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heets/sheet1.xml" ContentType="application/vnd.openxmlformats-officedocument.spreadsheetml.chart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3.xml" ContentType="application/vnd.openxmlformats-officedocument.themeOverrid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omments6.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comments7.xml" ContentType="application/vnd.openxmlformats-officedocument.spreadsheetml.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xml"/>
  <Override PartName="/xl/comments8.xml" ContentType="application/vnd.openxmlformats-officedocument.spreadsheetml.comment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omments9.xml" ContentType="application/vnd.openxmlformats-officedocument.spreadsheetml.comments+xml"/>
  <Override PartName="/xl/drawings/drawing6.xml" ContentType="application/vnd.openxmlformats-officedocument.drawing+xml"/>
  <Override PartName="/xl/comments10.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drawings/drawing9.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0.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Cole\Dropbox\Private\Projects\"/>
    </mc:Choice>
  </mc:AlternateContent>
  <xr:revisionPtr revIDLastSave="0" documentId="13_ncr:1_{75516A07-5A63-4153-8287-4F0A15CC12A5}" xr6:coauthVersionLast="47" xr6:coauthVersionMax="47" xr10:uidLastSave="{00000000-0000-0000-0000-000000000000}"/>
  <bookViews>
    <workbookView xWindow="-120" yWindow="-120" windowWidth="29040" windowHeight="15990" tabRatio="919" activeTab="1" xr2:uid="{7B515E07-B3FE-4C8B-A230-F84D45B6DA42}"/>
  </bookViews>
  <sheets>
    <sheet name="Dashboard" sheetId="22" r:id="rId1"/>
    <sheet name="Data" sheetId="1" r:id="rId2"/>
    <sheet name="Data Analysis" sheetId="10" r:id="rId3"/>
    <sheet name="Bills" sheetId="35" r:id="rId4"/>
    <sheet name="Bitcoin" sheetId="26" r:id="rId5"/>
    <sheet name="Stocks" sheetId="31" r:id="rId6"/>
    <sheet name="Student Loans" sheetId="12" r:id="rId7"/>
    <sheet name="Assets" sheetId="15" r:id="rId8"/>
    <sheet name="Desirables" sheetId="5" r:id="rId9"/>
    <sheet name="Gas" sheetId="13" r:id="rId10"/>
    <sheet name="Health" sheetId="9" r:id="rId11"/>
    <sheet name="Food and Drink" sheetId="24" r:id="rId12"/>
    <sheet name="Calculation Definitions" sheetId="34" r:id="rId13"/>
    <sheet name="Fee Model" sheetId="28" r:id="rId14"/>
    <sheet name="Fee Comparison" sheetId="29" r:id="rId15"/>
    <sheet name="Current Bitcoin Price" sheetId="30" r:id="rId16"/>
    <sheet name="Sheet1" sheetId="25" r:id="rId17"/>
    <sheet name="Bills (Error) (2)" sheetId="36" r:id="rId18"/>
    <sheet name="Economic Model" sheetId="37" r:id="rId19"/>
    <sheet name="Fluid Model" sheetId="38" r:id="rId20"/>
  </sheets>
  <definedNames>
    <definedName name="_xlnm.Print_Area" localSheetId="0">Dashboard!$X$23</definedName>
    <definedName name="solver_adj" localSheetId="4" hidden="1">Bitcoin!$I$50:$I$55</definedName>
    <definedName name="solver_adj" localSheetId="14" hidden="1">'Fee Comparison'!$H$12</definedName>
    <definedName name="solver_adj" localSheetId="5" hidden="1">Stocks!#REF!</definedName>
    <definedName name="solver_adj" localSheetId="6" hidden="1">'Student Loans'!$M$20:$M$22</definedName>
    <definedName name="solver_cvg" localSheetId="4" hidden="1">0.0001</definedName>
    <definedName name="solver_cvg" localSheetId="14" hidden="1">0.0001</definedName>
    <definedName name="solver_cvg" localSheetId="5" hidden="1">0.0001</definedName>
    <definedName name="solver_cvg" localSheetId="6" hidden="1">0.0001</definedName>
    <definedName name="solver_drv" localSheetId="4" hidden="1">1</definedName>
    <definedName name="solver_drv" localSheetId="14" hidden="1">2</definedName>
    <definedName name="solver_drv" localSheetId="5" hidden="1">1</definedName>
    <definedName name="solver_drv" localSheetId="6" hidden="1">1</definedName>
    <definedName name="solver_eng" localSheetId="4" hidden="1">1</definedName>
    <definedName name="solver_eng" localSheetId="14" hidden="1">1</definedName>
    <definedName name="solver_eng" localSheetId="5" hidden="1">1</definedName>
    <definedName name="solver_eng" localSheetId="6" hidden="1">1</definedName>
    <definedName name="solver_est" localSheetId="4" hidden="1">1</definedName>
    <definedName name="solver_est" localSheetId="14" hidden="1">1</definedName>
    <definedName name="solver_est" localSheetId="5" hidden="1">1</definedName>
    <definedName name="solver_est" localSheetId="6" hidden="1">1</definedName>
    <definedName name="solver_itr" localSheetId="4" hidden="1">2147483647</definedName>
    <definedName name="solver_itr" localSheetId="14" hidden="1">2147483647</definedName>
    <definedName name="solver_itr" localSheetId="5" hidden="1">2147483647</definedName>
    <definedName name="solver_itr" localSheetId="6" hidden="1">2147483647</definedName>
    <definedName name="solver_lin" localSheetId="4" hidden="1">2</definedName>
    <definedName name="solver_lin" localSheetId="5" hidden="1">2</definedName>
    <definedName name="solver_mip" localSheetId="4" hidden="1">2147483647</definedName>
    <definedName name="solver_mip" localSheetId="14" hidden="1">2147483647</definedName>
    <definedName name="solver_mip" localSheetId="5" hidden="1">2147483647</definedName>
    <definedName name="solver_mip" localSheetId="6" hidden="1">2147483647</definedName>
    <definedName name="solver_mni" localSheetId="4" hidden="1">30</definedName>
    <definedName name="solver_mni" localSheetId="14" hidden="1">30</definedName>
    <definedName name="solver_mni" localSheetId="5" hidden="1">30</definedName>
    <definedName name="solver_mni" localSheetId="6" hidden="1">30</definedName>
    <definedName name="solver_mrt" localSheetId="4" hidden="1">0.075</definedName>
    <definedName name="solver_mrt" localSheetId="14" hidden="1">0.075</definedName>
    <definedName name="solver_mrt" localSheetId="5" hidden="1">0.075</definedName>
    <definedName name="solver_mrt" localSheetId="6" hidden="1">0.075</definedName>
    <definedName name="solver_msl" localSheetId="4" hidden="1">2</definedName>
    <definedName name="solver_msl" localSheetId="14" hidden="1">2</definedName>
    <definedName name="solver_msl" localSheetId="5" hidden="1">2</definedName>
    <definedName name="solver_msl" localSheetId="6" hidden="1">2</definedName>
    <definedName name="solver_neg" localSheetId="4" hidden="1">1</definedName>
    <definedName name="solver_neg" localSheetId="14" hidden="1">1</definedName>
    <definedName name="solver_neg" localSheetId="5" hidden="1">1</definedName>
    <definedName name="solver_neg" localSheetId="6" hidden="1">1</definedName>
    <definedName name="solver_nod" localSheetId="4" hidden="1">2147483647</definedName>
    <definedName name="solver_nod" localSheetId="14" hidden="1">2147483647</definedName>
    <definedName name="solver_nod" localSheetId="5" hidden="1">2147483647</definedName>
    <definedName name="solver_nod" localSheetId="6" hidden="1">2147483647</definedName>
    <definedName name="solver_num" localSheetId="4" hidden="1">0</definedName>
    <definedName name="solver_num" localSheetId="14" hidden="1">0</definedName>
    <definedName name="solver_num" localSheetId="5" hidden="1">0</definedName>
    <definedName name="solver_num" localSheetId="6" hidden="1">0</definedName>
    <definedName name="solver_nwt" localSheetId="4" hidden="1">1</definedName>
    <definedName name="solver_nwt" localSheetId="14" hidden="1">1</definedName>
    <definedName name="solver_nwt" localSheetId="5" hidden="1">1</definedName>
    <definedName name="solver_nwt" localSheetId="6" hidden="1">1</definedName>
    <definedName name="solver_opt" localSheetId="4" hidden="1">Bitcoin!$J$50</definedName>
    <definedName name="solver_opt" localSheetId="14" hidden="1">'Fee Comparison'!$G$16</definedName>
    <definedName name="solver_opt" localSheetId="5" hidden="1">Stocks!#REF!</definedName>
    <definedName name="solver_opt" localSheetId="6" hidden="1">'Student Loans'!$K$17</definedName>
    <definedName name="solver_pre" localSheetId="4" hidden="1">0.000001</definedName>
    <definedName name="solver_pre" localSheetId="14" hidden="1">0.000001</definedName>
    <definedName name="solver_pre" localSheetId="5" hidden="1">0.000001</definedName>
    <definedName name="solver_pre" localSheetId="6" hidden="1">0.000001</definedName>
    <definedName name="solver_rbv" localSheetId="4" hidden="1">1</definedName>
    <definedName name="solver_rbv" localSheetId="14" hidden="1">2</definedName>
    <definedName name="solver_rbv" localSheetId="5" hidden="1">1</definedName>
    <definedName name="solver_rbv" localSheetId="6" hidden="1">1</definedName>
    <definedName name="solver_rlx" localSheetId="4" hidden="1">2</definedName>
    <definedName name="solver_rlx" localSheetId="14" hidden="1">2</definedName>
    <definedName name="solver_rlx" localSheetId="5" hidden="1">2</definedName>
    <definedName name="solver_rlx" localSheetId="6" hidden="1">2</definedName>
    <definedName name="solver_rsd" localSheetId="4" hidden="1">0</definedName>
    <definedName name="solver_rsd" localSheetId="14" hidden="1">0</definedName>
    <definedName name="solver_rsd" localSheetId="5" hidden="1">0</definedName>
    <definedName name="solver_rsd" localSheetId="6" hidden="1">0</definedName>
    <definedName name="solver_scl" localSheetId="4" hidden="1">1</definedName>
    <definedName name="solver_scl" localSheetId="14" hidden="1">2</definedName>
    <definedName name="solver_scl" localSheetId="5" hidden="1">1</definedName>
    <definedName name="solver_scl" localSheetId="6" hidden="1">1</definedName>
    <definedName name="solver_sho" localSheetId="4" hidden="1">2</definedName>
    <definedName name="solver_sho" localSheetId="14" hidden="1">2</definedName>
    <definedName name="solver_sho" localSheetId="5" hidden="1">2</definedName>
    <definedName name="solver_sho" localSheetId="6" hidden="1">2</definedName>
    <definedName name="solver_ssz" localSheetId="4" hidden="1">100</definedName>
    <definedName name="solver_ssz" localSheetId="14" hidden="1">100</definedName>
    <definedName name="solver_ssz" localSheetId="5" hidden="1">100</definedName>
    <definedName name="solver_ssz" localSheetId="6" hidden="1">100</definedName>
    <definedName name="solver_tim" localSheetId="4" hidden="1">2147483647</definedName>
    <definedName name="solver_tim" localSheetId="14" hidden="1">2147483647</definedName>
    <definedName name="solver_tim" localSheetId="5" hidden="1">2147483647</definedName>
    <definedName name="solver_tim" localSheetId="6" hidden="1">2147483647</definedName>
    <definedName name="solver_tol" localSheetId="4" hidden="1">0.01</definedName>
    <definedName name="solver_tol" localSheetId="14" hidden="1">0.01</definedName>
    <definedName name="solver_tol" localSheetId="5" hidden="1">0.01</definedName>
    <definedName name="solver_tol" localSheetId="6" hidden="1">0.01</definedName>
    <definedName name="solver_typ" localSheetId="4" hidden="1">3</definedName>
    <definedName name="solver_typ" localSheetId="14" hidden="1">2</definedName>
    <definedName name="solver_typ" localSheetId="5" hidden="1">3</definedName>
    <definedName name="solver_typ" localSheetId="6" hidden="1">2</definedName>
    <definedName name="solver_val" localSheetId="4" hidden="1">2.12</definedName>
    <definedName name="solver_val" localSheetId="14" hidden="1">0.023031</definedName>
    <definedName name="solver_val" localSheetId="5" hidden="1">2.12</definedName>
    <definedName name="solver_val" localSheetId="6" hidden="1">0</definedName>
    <definedName name="solver_ver" localSheetId="4" hidden="1">3</definedName>
    <definedName name="solver_ver" localSheetId="14" hidden="1">3</definedName>
    <definedName name="solver_ver" localSheetId="5"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7" i="1" l="1"/>
  <c r="Z845" i="1"/>
  <c r="F836" i="1"/>
  <c r="N836" i="1"/>
  <c r="N837" i="1"/>
  <c r="O29" i="35"/>
  <c r="I846" i="1"/>
  <c r="I840" i="1"/>
  <c r="X839" i="1"/>
  <c r="I864" i="1" s="1"/>
  <c r="T74" i="12"/>
  <c r="R74" i="12" s="1"/>
  <c r="L74" i="12"/>
  <c r="J74" i="12" s="1"/>
  <c r="Z823" i="1"/>
  <c r="M74" i="10"/>
  <c r="Z74" i="10"/>
  <c r="AA74" i="10"/>
  <c r="AD74" i="10"/>
  <c r="AE74" i="10"/>
  <c r="AC74" i="10" s="1"/>
  <c r="X844" i="1"/>
  <c r="X838" i="1"/>
  <c r="U838" i="1"/>
  <c r="U840" i="1" s="1"/>
  <c r="S838" i="1"/>
  <c r="U837" i="1"/>
  <c r="U839" i="1" s="1"/>
  <c r="S837" i="1"/>
  <c r="S846" i="1" s="1"/>
  <c r="U836" i="1"/>
  <c r="G97" i="38"/>
  <c r="F97" i="38"/>
  <c r="E97" i="38"/>
  <c r="D97" i="38"/>
  <c r="C97" i="38"/>
  <c r="B97" i="38"/>
  <c r="G96" i="38"/>
  <c r="F96" i="38"/>
  <c r="E96" i="38"/>
  <c r="D96" i="38"/>
  <c r="C96" i="38"/>
  <c r="B96" i="38"/>
  <c r="G95" i="38"/>
  <c r="F95" i="38"/>
  <c r="E95" i="38"/>
  <c r="D95" i="38"/>
  <c r="C95" i="38"/>
  <c r="B95" i="38"/>
  <c r="G94" i="38"/>
  <c r="F94" i="38"/>
  <c r="E94" i="38"/>
  <c r="D94" i="38"/>
  <c r="C94" i="38"/>
  <c r="B94" i="38"/>
  <c r="G93" i="38"/>
  <c r="F93" i="38"/>
  <c r="E93" i="38"/>
  <c r="D93" i="38"/>
  <c r="C93" i="38"/>
  <c r="B93" i="38"/>
  <c r="G92" i="38"/>
  <c r="F92" i="38"/>
  <c r="E92" i="38"/>
  <c r="D92" i="38"/>
  <c r="C92" i="38"/>
  <c r="B92" i="38"/>
  <c r="G91" i="38"/>
  <c r="F91" i="38"/>
  <c r="E91" i="38"/>
  <c r="D91" i="38"/>
  <c r="C91" i="38"/>
  <c r="B91" i="38"/>
  <c r="G90" i="38"/>
  <c r="F90" i="38"/>
  <c r="E90" i="38"/>
  <c r="D90" i="38"/>
  <c r="C90" i="38"/>
  <c r="B90" i="38"/>
  <c r="G89" i="38"/>
  <c r="F89" i="38"/>
  <c r="E89" i="38"/>
  <c r="D89" i="38"/>
  <c r="C89" i="38"/>
  <c r="B89" i="38"/>
  <c r="E88" i="38"/>
  <c r="C82" i="38"/>
  <c r="C81" i="38"/>
  <c r="M60" i="38"/>
  <c r="L60" i="38"/>
  <c r="K60" i="38"/>
  <c r="J60" i="38"/>
  <c r="I60" i="38"/>
  <c r="H60" i="38"/>
  <c r="G60" i="38"/>
  <c r="F60" i="38"/>
  <c r="E60" i="38"/>
  <c r="D60" i="38"/>
  <c r="C60" i="38"/>
  <c r="B60" i="38"/>
  <c r="A60" i="38"/>
  <c r="M59" i="38"/>
  <c r="L59" i="38"/>
  <c r="K59" i="38"/>
  <c r="J59" i="38"/>
  <c r="I59" i="38"/>
  <c r="H59" i="38"/>
  <c r="G59" i="38"/>
  <c r="F59" i="38"/>
  <c r="E59" i="38"/>
  <c r="D59" i="38"/>
  <c r="C59" i="38"/>
  <c r="B59" i="38"/>
  <c r="A59" i="38"/>
  <c r="M58" i="38"/>
  <c r="L58" i="38"/>
  <c r="K58" i="38"/>
  <c r="J58" i="38"/>
  <c r="I58" i="38"/>
  <c r="H58" i="38"/>
  <c r="G58" i="38"/>
  <c r="F58" i="38"/>
  <c r="E58" i="38"/>
  <c r="D58" i="38"/>
  <c r="C58" i="38"/>
  <c r="B58" i="38"/>
  <c r="A58" i="38"/>
  <c r="M57" i="38"/>
  <c r="L57" i="38"/>
  <c r="K57" i="38"/>
  <c r="J57" i="38"/>
  <c r="I57" i="38"/>
  <c r="H57" i="38"/>
  <c r="G57" i="38"/>
  <c r="F57" i="38"/>
  <c r="E57" i="38"/>
  <c r="D57" i="38"/>
  <c r="C57" i="38"/>
  <c r="B57" i="38"/>
  <c r="A57" i="38"/>
  <c r="M56" i="38"/>
  <c r="L56" i="38"/>
  <c r="K56" i="38"/>
  <c r="J56" i="38"/>
  <c r="I56" i="38"/>
  <c r="H56" i="38"/>
  <c r="G56" i="38"/>
  <c r="F56" i="38"/>
  <c r="E56" i="38"/>
  <c r="D56" i="38"/>
  <c r="C56" i="38"/>
  <c r="B56" i="38"/>
  <c r="A56" i="38"/>
  <c r="M55" i="38"/>
  <c r="L55" i="38"/>
  <c r="K55" i="38"/>
  <c r="J55" i="38"/>
  <c r="I55" i="38"/>
  <c r="H55" i="38"/>
  <c r="G55" i="38"/>
  <c r="F55" i="38"/>
  <c r="E55" i="38"/>
  <c r="D55" i="38"/>
  <c r="C55" i="38"/>
  <c r="B55" i="38"/>
  <c r="A55" i="38"/>
  <c r="M54" i="38"/>
  <c r="L54" i="38"/>
  <c r="K54" i="38"/>
  <c r="J54" i="38"/>
  <c r="I54" i="38"/>
  <c r="H54" i="38"/>
  <c r="G54" i="38"/>
  <c r="F54" i="38"/>
  <c r="E54" i="38"/>
  <c r="D54" i="38"/>
  <c r="C54" i="38"/>
  <c r="B54" i="38"/>
  <c r="A54" i="38"/>
  <c r="M53" i="38"/>
  <c r="L53" i="38"/>
  <c r="K53" i="38"/>
  <c r="J53" i="38"/>
  <c r="I53" i="38"/>
  <c r="H53" i="38"/>
  <c r="G53" i="38"/>
  <c r="F53" i="38"/>
  <c r="E53" i="38"/>
  <c r="D53" i="38"/>
  <c r="C53" i="38"/>
  <c r="B53" i="38"/>
  <c r="A53" i="38"/>
  <c r="M52" i="38"/>
  <c r="L52" i="38"/>
  <c r="K52" i="38"/>
  <c r="J52" i="38"/>
  <c r="I52" i="38"/>
  <c r="H52" i="38"/>
  <c r="G52" i="38"/>
  <c r="F52" i="38"/>
  <c r="E52" i="38"/>
  <c r="D52" i="38"/>
  <c r="C52" i="38"/>
  <c r="B52" i="38"/>
  <c r="A52" i="38"/>
  <c r="M51" i="38"/>
  <c r="L51" i="38"/>
  <c r="K51" i="38"/>
  <c r="J51" i="38"/>
  <c r="I51" i="38"/>
  <c r="H51" i="38"/>
  <c r="G51" i="38"/>
  <c r="F51" i="38"/>
  <c r="E51" i="38"/>
  <c r="D51" i="38"/>
  <c r="C51" i="38"/>
  <c r="B51" i="38"/>
  <c r="A51" i="38"/>
  <c r="M50" i="38"/>
  <c r="L50" i="38"/>
  <c r="K50" i="38"/>
  <c r="J50" i="38"/>
  <c r="I50" i="38"/>
  <c r="H50" i="38"/>
  <c r="G50" i="38"/>
  <c r="F50" i="38"/>
  <c r="E50" i="38"/>
  <c r="D50" i="38"/>
  <c r="C50" i="38"/>
  <c r="B50" i="38"/>
  <c r="A50" i="38"/>
  <c r="M49" i="38"/>
  <c r="L49" i="38"/>
  <c r="J49" i="38"/>
  <c r="I49" i="38"/>
  <c r="H49" i="38"/>
  <c r="G49" i="38"/>
  <c r="F49" i="38"/>
  <c r="E49" i="38"/>
  <c r="D49" i="38"/>
  <c r="C49" i="38"/>
  <c r="B49" i="38"/>
  <c r="A49" i="38"/>
  <c r="I48" i="38"/>
  <c r="B48" i="38"/>
  <c r="A48" i="38"/>
  <c r="B36" i="38"/>
  <c r="B35" i="38"/>
  <c r="B34" i="38"/>
  <c r="B29" i="38"/>
  <c r="B28" i="38"/>
  <c r="B27" i="38"/>
  <c r="B26" i="38"/>
  <c r="B25" i="38"/>
  <c r="B24" i="38"/>
  <c r="B23" i="38"/>
  <c r="B22" i="38"/>
  <c r="G17" i="38"/>
  <c r="F17" i="38"/>
  <c r="E17" i="38"/>
  <c r="D17" i="38"/>
  <c r="G16" i="38"/>
  <c r="F16" i="38"/>
  <c r="E16" i="38"/>
  <c r="D16" i="38"/>
  <c r="G15" i="38"/>
  <c r="F15" i="38"/>
  <c r="E15" i="38"/>
  <c r="D15" i="38"/>
  <c r="G14" i="38"/>
  <c r="F14" i="38"/>
  <c r="E14" i="38"/>
  <c r="D14" i="38"/>
  <c r="G13" i="38"/>
  <c r="F13" i="38"/>
  <c r="E13" i="38"/>
  <c r="D13" i="38"/>
  <c r="G12" i="38"/>
  <c r="F12" i="38"/>
  <c r="E12" i="38"/>
  <c r="D12" i="38"/>
  <c r="G11" i="38"/>
  <c r="F11" i="38"/>
  <c r="E11" i="38"/>
  <c r="D11" i="38"/>
  <c r="G10" i="38"/>
  <c r="F10" i="38"/>
  <c r="E10" i="38"/>
  <c r="D10" i="38"/>
  <c r="G9" i="38"/>
  <c r="F9" i="38"/>
  <c r="E9" i="38"/>
  <c r="D9" i="38"/>
  <c r="G8" i="38"/>
  <c r="F8" i="38"/>
  <c r="E8" i="38"/>
  <c r="D8" i="38"/>
  <c r="F7" i="38"/>
  <c r="E7" i="38"/>
  <c r="D7" i="38"/>
  <c r="E6" i="38"/>
  <c r="D6" i="38"/>
  <c r="G94" i="37"/>
  <c r="F94" i="37"/>
  <c r="E94" i="37"/>
  <c r="D94" i="37"/>
  <c r="C94" i="37"/>
  <c r="B94" i="37"/>
  <c r="G93" i="37"/>
  <c r="F93" i="37"/>
  <c r="E93" i="37"/>
  <c r="D93" i="37"/>
  <c r="C93" i="37"/>
  <c r="B93" i="37"/>
  <c r="G92" i="37"/>
  <c r="F92" i="37"/>
  <c r="E92" i="37"/>
  <c r="D92" i="37"/>
  <c r="C92" i="37"/>
  <c r="B92" i="37"/>
  <c r="G91" i="37"/>
  <c r="F91" i="37"/>
  <c r="E91" i="37"/>
  <c r="D91" i="37"/>
  <c r="C91" i="37"/>
  <c r="B91" i="37"/>
  <c r="G90" i="37"/>
  <c r="F90" i="37"/>
  <c r="E90" i="37"/>
  <c r="D90" i="37"/>
  <c r="C90" i="37"/>
  <c r="B90" i="37"/>
  <c r="G89" i="37"/>
  <c r="F89" i="37"/>
  <c r="E89" i="37"/>
  <c r="D89" i="37"/>
  <c r="C89" i="37"/>
  <c r="B89" i="37"/>
  <c r="G88" i="37"/>
  <c r="F88" i="37"/>
  <c r="E88" i="37"/>
  <c r="D88" i="37"/>
  <c r="C88" i="37"/>
  <c r="B88" i="37"/>
  <c r="G87" i="37"/>
  <c r="F87" i="37"/>
  <c r="E87" i="37"/>
  <c r="D87" i="37"/>
  <c r="C87" i="37"/>
  <c r="B87" i="37"/>
  <c r="G86" i="37"/>
  <c r="F86" i="37"/>
  <c r="E86" i="37"/>
  <c r="D86" i="37"/>
  <c r="C86" i="37"/>
  <c r="B86" i="37"/>
  <c r="G85" i="37"/>
  <c r="F85" i="37"/>
  <c r="E85" i="37"/>
  <c r="D85" i="37"/>
  <c r="C85" i="37"/>
  <c r="B85" i="37"/>
  <c r="E84" i="37"/>
  <c r="C79" i="37"/>
  <c r="C78" i="37"/>
  <c r="M57" i="37"/>
  <c r="L57" i="37"/>
  <c r="K57" i="37"/>
  <c r="J57" i="37"/>
  <c r="I57" i="37"/>
  <c r="H57" i="37"/>
  <c r="G57" i="37"/>
  <c r="F57" i="37"/>
  <c r="E57" i="37"/>
  <c r="D57" i="37"/>
  <c r="C57" i="37"/>
  <c r="B57" i="37"/>
  <c r="A57" i="37"/>
  <c r="M56" i="37"/>
  <c r="L56" i="37"/>
  <c r="K56" i="37"/>
  <c r="J56" i="37"/>
  <c r="I56" i="37"/>
  <c r="H56" i="37"/>
  <c r="G56" i="37"/>
  <c r="F56" i="37"/>
  <c r="E56" i="37"/>
  <c r="D56" i="37"/>
  <c r="C56" i="37"/>
  <c r="B56" i="37"/>
  <c r="A56" i="37"/>
  <c r="M55" i="37"/>
  <c r="L55" i="37"/>
  <c r="K55" i="37"/>
  <c r="J55" i="37"/>
  <c r="I55" i="37"/>
  <c r="H55" i="37"/>
  <c r="G55" i="37"/>
  <c r="F55" i="37"/>
  <c r="E55" i="37"/>
  <c r="D55" i="37"/>
  <c r="C55" i="37"/>
  <c r="B55" i="37"/>
  <c r="A55" i="37"/>
  <c r="M54" i="37"/>
  <c r="L54" i="37"/>
  <c r="K54" i="37"/>
  <c r="J54" i="37"/>
  <c r="I54" i="37"/>
  <c r="H54" i="37"/>
  <c r="G54" i="37"/>
  <c r="F54" i="37"/>
  <c r="E54" i="37"/>
  <c r="D54" i="37"/>
  <c r="C54" i="37"/>
  <c r="B54" i="37"/>
  <c r="A54" i="37"/>
  <c r="M53" i="37"/>
  <c r="L53" i="37"/>
  <c r="K53" i="37"/>
  <c r="J53" i="37"/>
  <c r="I53" i="37"/>
  <c r="H53" i="37"/>
  <c r="G53" i="37"/>
  <c r="F53" i="37"/>
  <c r="E53" i="37"/>
  <c r="D53" i="37"/>
  <c r="C53" i="37"/>
  <c r="B53" i="37"/>
  <c r="A53" i="37"/>
  <c r="M52" i="37"/>
  <c r="L52" i="37"/>
  <c r="K52" i="37"/>
  <c r="J52" i="37"/>
  <c r="I52" i="37"/>
  <c r="H52" i="37"/>
  <c r="G52" i="37"/>
  <c r="F52" i="37"/>
  <c r="E52" i="37"/>
  <c r="D52" i="37"/>
  <c r="C52" i="37"/>
  <c r="B52" i="37"/>
  <c r="A52" i="37"/>
  <c r="M51" i="37"/>
  <c r="L51" i="37"/>
  <c r="K51" i="37"/>
  <c r="J51" i="37"/>
  <c r="I51" i="37"/>
  <c r="H51" i="37"/>
  <c r="G51" i="37"/>
  <c r="F51" i="37"/>
  <c r="E51" i="37"/>
  <c r="D51" i="37"/>
  <c r="C51" i="37"/>
  <c r="B51" i="37"/>
  <c r="A51" i="37"/>
  <c r="M50" i="37"/>
  <c r="L50" i="37"/>
  <c r="K50" i="37"/>
  <c r="J50" i="37"/>
  <c r="I50" i="37"/>
  <c r="H50" i="37"/>
  <c r="G50" i="37"/>
  <c r="F50" i="37"/>
  <c r="E50" i="37"/>
  <c r="D50" i="37"/>
  <c r="C50" i="37"/>
  <c r="B50" i="37"/>
  <c r="A50" i="37"/>
  <c r="M49" i="37"/>
  <c r="L49" i="37"/>
  <c r="K49" i="37"/>
  <c r="J49" i="37"/>
  <c r="I49" i="37"/>
  <c r="H49" i="37"/>
  <c r="G49" i="37"/>
  <c r="F49" i="37"/>
  <c r="E49" i="37"/>
  <c r="D49" i="37"/>
  <c r="C49" i="37"/>
  <c r="B49" i="37"/>
  <c r="A49" i="37"/>
  <c r="M48" i="37"/>
  <c r="L48" i="37"/>
  <c r="K48" i="37"/>
  <c r="J48" i="37"/>
  <c r="I48" i="37"/>
  <c r="H48" i="37"/>
  <c r="G48" i="37"/>
  <c r="F48" i="37"/>
  <c r="E48" i="37"/>
  <c r="D48" i="37"/>
  <c r="C48" i="37"/>
  <c r="B48" i="37"/>
  <c r="A48" i="37"/>
  <c r="M47" i="37"/>
  <c r="L47" i="37"/>
  <c r="K47" i="37"/>
  <c r="J47" i="37"/>
  <c r="I47" i="37"/>
  <c r="H47" i="37"/>
  <c r="G47" i="37"/>
  <c r="F47" i="37"/>
  <c r="E47" i="37"/>
  <c r="D47" i="37"/>
  <c r="C47" i="37"/>
  <c r="B47" i="37"/>
  <c r="A47" i="37"/>
  <c r="M46" i="37"/>
  <c r="L46" i="37"/>
  <c r="J46" i="37"/>
  <c r="I46" i="37"/>
  <c r="H46" i="37"/>
  <c r="G46" i="37"/>
  <c r="F46" i="37"/>
  <c r="E46" i="37"/>
  <c r="D46" i="37"/>
  <c r="C46" i="37"/>
  <c r="B46" i="37"/>
  <c r="A46" i="37"/>
  <c r="I45" i="37"/>
  <c r="B45" i="37"/>
  <c r="A45" i="37"/>
  <c r="B37" i="37"/>
  <c r="B36" i="37"/>
  <c r="B35" i="37"/>
  <c r="B29" i="37"/>
  <c r="B28" i="37"/>
  <c r="B27" i="37"/>
  <c r="B25" i="37"/>
  <c r="B24" i="37"/>
  <c r="B23" i="37"/>
  <c r="B22" i="37"/>
  <c r="G17" i="37"/>
  <c r="F17" i="37"/>
  <c r="E17" i="37"/>
  <c r="D17" i="37"/>
  <c r="G16" i="37"/>
  <c r="F16" i="37"/>
  <c r="E16" i="37"/>
  <c r="D16" i="37"/>
  <c r="G15" i="37"/>
  <c r="F15" i="37"/>
  <c r="E15" i="37"/>
  <c r="D15" i="37"/>
  <c r="G14" i="37"/>
  <c r="F14" i="37"/>
  <c r="E14" i="37"/>
  <c r="D14" i="37"/>
  <c r="G13" i="37"/>
  <c r="F13" i="37"/>
  <c r="E13" i="37"/>
  <c r="D13" i="37"/>
  <c r="G12" i="37"/>
  <c r="F12" i="37"/>
  <c r="E12" i="37"/>
  <c r="D12" i="37"/>
  <c r="G11" i="37"/>
  <c r="F11" i="37"/>
  <c r="E11" i="37"/>
  <c r="D11" i="37"/>
  <c r="G10" i="37"/>
  <c r="F10" i="37"/>
  <c r="E10" i="37"/>
  <c r="D10" i="37"/>
  <c r="G9" i="37"/>
  <c r="F9" i="37"/>
  <c r="E9" i="37"/>
  <c r="D9" i="37"/>
  <c r="G8" i="37"/>
  <c r="F8" i="37"/>
  <c r="E8" i="37"/>
  <c r="D8" i="37"/>
  <c r="F7" i="37"/>
  <c r="E7" i="37"/>
  <c r="D7" i="37"/>
  <c r="E6" i="37"/>
  <c r="D6" i="37"/>
  <c r="J21" i="36"/>
  <c r="D21" i="36"/>
  <c r="T19" i="36"/>
  <c r="S19" i="36"/>
  <c r="P19" i="36"/>
  <c r="O19" i="36"/>
  <c r="T18" i="36"/>
  <c r="S18" i="36"/>
  <c r="P18" i="36"/>
  <c r="O18" i="36"/>
  <c r="T17" i="36"/>
  <c r="S17" i="36"/>
  <c r="P17" i="36"/>
  <c r="O17" i="36"/>
  <c r="T16" i="36"/>
  <c r="S16" i="36"/>
  <c r="P16" i="36"/>
  <c r="O16" i="36"/>
  <c r="T15" i="36"/>
  <c r="S15" i="36"/>
  <c r="P15" i="36"/>
  <c r="O15" i="36"/>
  <c r="T14" i="36"/>
  <c r="S14" i="36"/>
  <c r="Q14" i="36"/>
  <c r="P14" i="36"/>
  <c r="O14" i="36"/>
  <c r="T13" i="36"/>
  <c r="S13" i="36"/>
  <c r="Q13" i="36"/>
  <c r="P13" i="36"/>
  <c r="O13" i="36"/>
  <c r="J13" i="36"/>
  <c r="H13" i="36"/>
  <c r="F13" i="36"/>
  <c r="T12" i="36"/>
  <c r="S12" i="36"/>
  <c r="Q12" i="36"/>
  <c r="P12" i="36"/>
  <c r="O12" i="36"/>
  <c r="T11" i="36"/>
  <c r="S11" i="36"/>
  <c r="Q11" i="36"/>
  <c r="P11" i="36"/>
  <c r="O11" i="36"/>
  <c r="T10" i="36"/>
  <c r="S10" i="36"/>
  <c r="Q10" i="36"/>
  <c r="P10" i="36"/>
  <c r="O10" i="36"/>
  <c r="T9" i="36"/>
  <c r="S9" i="36"/>
  <c r="Q9" i="36"/>
  <c r="P9" i="36"/>
  <c r="O9" i="36"/>
  <c r="T8" i="36"/>
  <c r="S8" i="36"/>
  <c r="Q8" i="36"/>
  <c r="P8" i="36"/>
  <c r="O8" i="36"/>
  <c r="T7" i="36"/>
  <c r="S7" i="36"/>
  <c r="Q7" i="36"/>
  <c r="P7" i="36"/>
  <c r="O7" i="36"/>
  <c r="T6" i="36"/>
  <c r="S6" i="36"/>
  <c r="Q6" i="36"/>
  <c r="P6" i="36"/>
  <c r="O6" i="36"/>
  <c r="T5" i="36"/>
  <c r="S5" i="36"/>
  <c r="Q5" i="36"/>
  <c r="P5" i="36"/>
  <c r="O5" i="36"/>
  <c r="T4" i="36"/>
  <c r="S4" i="36"/>
  <c r="Q4" i="36"/>
  <c r="P4" i="36"/>
  <c r="O4" i="36"/>
  <c r="T2" i="36"/>
  <c r="S2" i="36"/>
  <c r="F9" i="25"/>
  <c r="C2" i="30"/>
  <c r="C3" i="30" s="1"/>
  <c r="C4" i="30" s="1"/>
  <c r="C5" i="30" s="1"/>
  <c r="C6" i="30" s="1"/>
  <c r="C7" i="30" s="1"/>
  <c r="C8" i="30" s="1"/>
  <c r="C9" i="30" s="1"/>
  <c r="C10" i="30" s="1"/>
  <c r="C11" i="30" s="1"/>
  <c r="C12" i="30" s="1"/>
  <c r="C13" i="30" s="1"/>
  <c r="C14" i="30" s="1"/>
  <c r="C15" i="30" s="1"/>
  <c r="C16" i="30" s="1"/>
  <c r="C17" i="30" s="1"/>
  <c r="C18" i="30" s="1"/>
  <c r="C19" i="30" s="1"/>
  <c r="C20" i="30" s="1"/>
  <c r="C21" i="30" s="1"/>
  <c r="C22" i="30" s="1"/>
  <c r="C23" i="30" s="1"/>
  <c r="C24" i="30" s="1"/>
  <c r="C25" i="30" s="1"/>
  <c r="C26" i="30" s="1"/>
  <c r="C27" i="30" s="1"/>
  <c r="C28" i="30" s="1"/>
  <c r="C29" i="30" s="1"/>
  <c r="C30" i="30" s="1"/>
  <c r="C31" i="30" s="1"/>
  <c r="C32" i="30" s="1"/>
  <c r="C33" i="30" s="1"/>
  <c r="C34" i="30" s="1"/>
  <c r="C35" i="30" s="1"/>
  <c r="C36" i="30" s="1"/>
  <c r="C37" i="30" s="1"/>
  <c r="C38" i="30" s="1"/>
  <c r="C39" i="30" s="1"/>
  <c r="C40" i="30" s="1"/>
  <c r="C41" i="30" s="1"/>
  <c r="C42" i="30" s="1"/>
  <c r="C43" i="30" s="1"/>
  <c r="C44" i="30" s="1"/>
  <c r="C45" i="30" s="1"/>
  <c r="C46" i="30" s="1"/>
  <c r="C47" i="30" s="1"/>
  <c r="C48" i="30" s="1"/>
  <c r="C49" i="30" s="1"/>
  <c r="C50" i="30" s="1"/>
  <c r="C51" i="30" s="1"/>
  <c r="C52" i="30" s="1"/>
  <c r="C53" i="30" s="1"/>
  <c r="C54" i="30" s="1"/>
  <c r="C55" i="30" s="1"/>
  <c r="C56" i="30" s="1"/>
  <c r="C57" i="30" s="1"/>
  <c r="C58" i="30" s="1"/>
  <c r="C59" i="30" s="1"/>
  <c r="C60" i="30" s="1"/>
  <c r="C61" i="30" s="1"/>
  <c r="C62" i="30" s="1"/>
  <c r="C63" i="30" s="1"/>
  <c r="C64" i="30" s="1"/>
  <c r="C65" i="30" s="1"/>
  <c r="C66" i="30" s="1"/>
  <c r="C67" i="30" s="1"/>
  <c r="C68" i="30" s="1"/>
  <c r="C69" i="30" s="1"/>
  <c r="C70" i="30" s="1"/>
  <c r="C71" i="30" s="1"/>
  <c r="C72" i="30" s="1"/>
  <c r="C73" i="30" s="1"/>
  <c r="C74" i="30" s="1"/>
  <c r="C75" i="30" s="1"/>
  <c r="C76" i="30" s="1"/>
  <c r="C77" i="30" s="1"/>
  <c r="C78" i="30" s="1"/>
  <c r="C79" i="30" s="1"/>
  <c r="C80" i="30" s="1"/>
  <c r="C81" i="30" s="1"/>
  <c r="C82" i="30" s="1"/>
  <c r="C83" i="30" s="1"/>
  <c r="C84" i="30" s="1"/>
  <c r="C85" i="30" s="1"/>
  <c r="C86" i="30" s="1"/>
  <c r="C87" i="30" s="1"/>
  <c r="C88" i="30" s="1"/>
  <c r="C89" i="30" s="1"/>
  <c r="C90" i="30" s="1"/>
  <c r="C91" i="30" s="1"/>
  <c r="C92" i="30" s="1"/>
  <c r="C93" i="30" s="1"/>
  <c r="C94" i="30" s="1"/>
  <c r="C95" i="30" s="1"/>
  <c r="C96" i="30" s="1"/>
  <c r="C97" i="30" s="1"/>
  <c r="C98" i="30" s="1"/>
  <c r="C99" i="30" s="1"/>
  <c r="C100" i="30" s="1"/>
  <c r="C101" i="30" s="1"/>
  <c r="C102" i="30" s="1"/>
  <c r="C103" i="30" s="1"/>
  <c r="C104" i="30" s="1"/>
  <c r="C105" i="30" s="1"/>
  <c r="C106" i="30" s="1"/>
  <c r="C107" i="30" s="1"/>
  <c r="C108" i="30" s="1"/>
  <c r="C109" i="30" s="1"/>
  <c r="C110" i="30" s="1"/>
  <c r="C111" i="30" s="1"/>
  <c r="C112" i="30" s="1"/>
  <c r="C113" i="30" s="1"/>
  <c r="C114" i="30" s="1"/>
  <c r="C115" i="30" s="1"/>
  <c r="C116" i="30" s="1"/>
  <c r="C117" i="30" s="1"/>
  <c r="C118" i="30" s="1"/>
  <c r="C119" i="30" s="1"/>
  <c r="C120" i="30" s="1"/>
  <c r="C121" i="30" s="1"/>
  <c r="C122" i="30" s="1"/>
  <c r="C123" i="30" s="1"/>
  <c r="C124" i="30" s="1"/>
  <c r="C125" i="30" s="1"/>
  <c r="C126" i="30" s="1"/>
  <c r="C127" i="30" s="1"/>
  <c r="C128" i="30" s="1"/>
  <c r="C129" i="30" s="1"/>
  <c r="C130" i="30" s="1"/>
  <c r="C131" i="30" s="1"/>
  <c r="C132" i="30" s="1"/>
  <c r="C133" i="30" s="1"/>
  <c r="C134" i="30" s="1"/>
  <c r="C135" i="30" s="1"/>
  <c r="C136" i="30" s="1"/>
  <c r="C137" i="30" s="1"/>
  <c r="C138" i="30" s="1"/>
  <c r="C139" i="30" s="1"/>
  <c r="C140" i="30" s="1"/>
  <c r="C141" i="30" s="1"/>
  <c r="C142" i="30" s="1"/>
  <c r="C143" i="30" s="1"/>
  <c r="C144" i="30" s="1"/>
  <c r="C145" i="30" s="1"/>
  <c r="C146" i="30" s="1"/>
  <c r="C147" i="30" s="1"/>
  <c r="C148" i="30" s="1"/>
  <c r="C149" i="30" s="1"/>
  <c r="C150" i="30" s="1"/>
  <c r="C151" i="30" s="1"/>
  <c r="C17" i="29"/>
  <c r="G16" i="29"/>
  <c r="C14" i="29"/>
  <c r="G13" i="29"/>
  <c r="C13" i="29"/>
  <c r="G12" i="29"/>
  <c r="C3" i="29"/>
  <c r="L28" i="34"/>
  <c r="M24" i="34"/>
  <c r="M23" i="34"/>
  <c r="M22" i="34"/>
  <c r="L22" i="34"/>
  <c r="M11" i="34"/>
  <c r="L11" i="34"/>
  <c r="M7" i="34"/>
  <c r="Q6" i="34"/>
  <c r="P6" i="34"/>
  <c r="M6" i="34"/>
  <c r="Q5" i="34"/>
  <c r="P5" i="34"/>
  <c r="M5" i="34"/>
  <c r="Q4" i="34"/>
  <c r="M3" i="34"/>
  <c r="C536" i="24"/>
  <c r="C496" i="24"/>
  <c r="C494" i="24"/>
  <c r="C465" i="24"/>
  <c r="C247" i="24"/>
  <c r="C172" i="24"/>
  <c r="U993" i="9"/>
  <c r="T993" i="9"/>
  <c r="S993" i="9"/>
  <c r="R993" i="9"/>
  <c r="Q993" i="9"/>
  <c r="P993" i="9"/>
  <c r="U992" i="9"/>
  <c r="T992" i="9"/>
  <c r="S992" i="9"/>
  <c r="R992" i="9"/>
  <c r="Q992" i="9"/>
  <c r="P992" i="9"/>
  <c r="U991" i="9"/>
  <c r="T991" i="9"/>
  <c r="S991" i="9"/>
  <c r="R991" i="9"/>
  <c r="Q991" i="9"/>
  <c r="P991" i="9"/>
  <c r="U990" i="9"/>
  <c r="T990" i="9"/>
  <c r="S990" i="9"/>
  <c r="R990" i="9"/>
  <c r="Q990" i="9"/>
  <c r="P990" i="9"/>
  <c r="U989" i="9"/>
  <c r="T989" i="9"/>
  <c r="S989" i="9"/>
  <c r="R989" i="9"/>
  <c r="Q989" i="9"/>
  <c r="P989" i="9"/>
  <c r="U988" i="9"/>
  <c r="T988" i="9"/>
  <c r="S988" i="9"/>
  <c r="R988" i="9"/>
  <c r="Q988" i="9"/>
  <c r="P988" i="9"/>
  <c r="U987" i="9"/>
  <c r="T987" i="9"/>
  <c r="S987" i="9"/>
  <c r="R987" i="9"/>
  <c r="Q987" i="9"/>
  <c r="P987" i="9"/>
  <c r="U986" i="9"/>
  <c r="T986" i="9"/>
  <c r="S986" i="9"/>
  <c r="R986" i="9"/>
  <c r="Q986" i="9"/>
  <c r="P986" i="9"/>
  <c r="U985" i="9"/>
  <c r="T985" i="9"/>
  <c r="S985" i="9"/>
  <c r="R985" i="9"/>
  <c r="Q985" i="9"/>
  <c r="P985" i="9"/>
  <c r="U984" i="9"/>
  <c r="T984" i="9"/>
  <c r="S984" i="9"/>
  <c r="R984" i="9"/>
  <c r="Q984" i="9"/>
  <c r="P984" i="9"/>
  <c r="U983" i="9"/>
  <c r="T983" i="9"/>
  <c r="S983" i="9"/>
  <c r="R983" i="9"/>
  <c r="Q983" i="9"/>
  <c r="P983" i="9"/>
  <c r="U982" i="9"/>
  <c r="T982" i="9"/>
  <c r="S982" i="9"/>
  <c r="R982" i="9"/>
  <c r="Q982" i="9"/>
  <c r="P982" i="9"/>
  <c r="U981" i="9"/>
  <c r="T981" i="9"/>
  <c r="S981" i="9"/>
  <c r="R981" i="9"/>
  <c r="Q981" i="9"/>
  <c r="P981" i="9"/>
  <c r="U980" i="9"/>
  <c r="T980" i="9"/>
  <c r="S980" i="9"/>
  <c r="R980" i="9"/>
  <c r="Q980" i="9"/>
  <c r="P980" i="9"/>
  <c r="U979" i="9"/>
  <c r="T979" i="9"/>
  <c r="S979" i="9"/>
  <c r="R979" i="9"/>
  <c r="Q979" i="9"/>
  <c r="P979" i="9"/>
  <c r="U978" i="9"/>
  <c r="T978" i="9"/>
  <c r="S978" i="9"/>
  <c r="R978" i="9"/>
  <c r="Q978" i="9"/>
  <c r="P978" i="9"/>
  <c r="U977" i="9"/>
  <c r="T977" i="9"/>
  <c r="S977" i="9"/>
  <c r="R977" i="9"/>
  <c r="Q977" i="9"/>
  <c r="P977" i="9"/>
  <c r="U976" i="9"/>
  <c r="T976" i="9"/>
  <c r="S976" i="9"/>
  <c r="R976" i="9"/>
  <c r="Q976" i="9"/>
  <c r="P976" i="9"/>
  <c r="U975" i="9"/>
  <c r="T975" i="9"/>
  <c r="S975" i="9"/>
  <c r="R975" i="9"/>
  <c r="Q975" i="9"/>
  <c r="P975" i="9"/>
  <c r="U974" i="9"/>
  <c r="T974" i="9"/>
  <c r="S974" i="9"/>
  <c r="R974" i="9"/>
  <c r="Q974" i="9"/>
  <c r="P974" i="9"/>
  <c r="U973" i="9"/>
  <c r="T973" i="9"/>
  <c r="S973" i="9"/>
  <c r="R973" i="9"/>
  <c r="Q973" i="9"/>
  <c r="P973" i="9"/>
  <c r="U972" i="9"/>
  <c r="T972" i="9"/>
  <c r="S972" i="9"/>
  <c r="R972" i="9"/>
  <c r="Q972" i="9"/>
  <c r="P972" i="9"/>
  <c r="U971" i="9"/>
  <c r="T971" i="9"/>
  <c r="S971" i="9"/>
  <c r="R971" i="9"/>
  <c r="Q971" i="9"/>
  <c r="P971" i="9"/>
  <c r="U970" i="9"/>
  <c r="T970" i="9"/>
  <c r="S970" i="9"/>
  <c r="R970" i="9"/>
  <c r="Q970" i="9"/>
  <c r="P970" i="9"/>
  <c r="U969" i="9"/>
  <c r="T969" i="9"/>
  <c r="S969" i="9"/>
  <c r="R969" i="9"/>
  <c r="Q969" i="9"/>
  <c r="P969" i="9"/>
  <c r="U968" i="9"/>
  <c r="T968" i="9"/>
  <c r="S968" i="9"/>
  <c r="R968" i="9"/>
  <c r="Q968" i="9"/>
  <c r="P968" i="9"/>
  <c r="U967" i="9"/>
  <c r="T967" i="9"/>
  <c r="S967" i="9"/>
  <c r="R967" i="9"/>
  <c r="Q967" i="9"/>
  <c r="P967" i="9"/>
  <c r="U966" i="9"/>
  <c r="T966" i="9"/>
  <c r="S966" i="9"/>
  <c r="R966" i="9"/>
  <c r="Q966" i="9"/>
  <c r="P966" i="9"/>
  <c r="U965" i="9"/>
  <c r="T965" i="9"/>
  <c r="S965" i="9"/>
  <c r="R965" i="9"/>
  <c r="Q965" i="9"/>
  <c r="P965" i="9"/>
  <c r="U964" i="9"/>
  <c r="T964" i="9"/>
  <c r="S964" i="9"/>
  <c r="R964" i="9"/>
  <c r="Q964" i="9"/>
  <c r="P964" i="9"/>
  <c r="U963" i="9"/>
  <c r="T963" i="9"/>
  <c r="S963" i="9"/>
  <c r="R963" i="9"/>
  <c r="Q963" i="9"/>
  <c r="P963" i="9"/>
  <c r="U962" i="9"/>
  <c r="T962" i="9"/>
  <c r="S962" i="9"/>
  <c r="R962" i="9"/>
  <c r="Q962" i="9"/>
  <c r="P962" i="9"/>
  <c r="U961" i="9"/>
  <c r="T961" i="9"/>
  <c r="S961" i="9"/>
  <c r="R961" i="9"/>
  <c r="Q961" i="9"/>
  <c r="P961" i="9"/>
  <c r="U960" i="9"/>
  <c r="T960" i="9"/>
  <c r="S960" i="9"/>
  <c r="R960" i="9"/>
  <c r="Q960" i="9"/>
  <c r="P960" i="9"/>
  <c r="U959" i="9"/>
  <c r="T959" i="9"/>
  <c r="S959" i="9"/>
  <c r="R959" i="9"/>
  <c r="Q959" i="9"/>
  <c r="P959" i="9"/>
  <c r="U958" i="9"/>
  <c r="T958" i="9"/>
  <c r="S958" i="9"/>
  <c r="R958" i="9"/>
  <c r="Q958" i="9"/>
  <c r="P958" i="9"/>
  <c r="U957" i="9"/>
  <c r="T957" i="9"/>
  <c r="S957" i="9"/>
  <c r="R957" i="9"/>
  <c r="Q957" i="9"/>
  <c r="P957" i="9"/>
  <c r="U956" i="9"/>
  <c r="T956" i="9"/>
  <c r="S956" i="9"/>
  <c r="R956" i="9"/>
  <c r="Q956" i="9"/>
  <c r="P956" i="9"/>
  <c r="U955" i="9"/>
  <c r="T955" i="9"/>
  <c r="S955" i="9"/>
  <c r="R955" i="9"/>
  <c r="Q955" i="9"/>
  <c r="P955" i="9"/>
  <c r="U954" i="9"/>
  <c r="T954" i="9"/>
  <c r="S954" i="9"/>
  <c r="R954" i="9"/>
  <c r="Q954" i="9"/>
  <c r="P954" i="9"/>
  <c r="U953" i="9"/>
  <c r="T953" i="9"/>
  <c r="S953" i="9"/>
  <c r="R953" i="9"/>
  <c r="Q953" i="9"/>
  <c r="P953" i="9"/>
  <c r="U952" i="9"/>
  <c r="T952" i="9"/>
  <c r="S952" i="9"/>
  <c r="R952" i="9"/>
  <c r="Q952" i="9"/>
  <c r="P952" i="9"/>
  <c r="U951" i="9"/>
  <c r="T951" i="9"/>
  <c r="S951" i="9"/>
  <c r="R951" i="9"/>
  <c r="Q951" i="9"/>
  <c r="P951" i="9"/>
  <c r="U950" i="9"/>
  <c r="T950" i="9"/>
  <c r="S950" i="9"/>
  <c r="R950" i="9"/>
  <c r="Q950" i="9"/>
  <c r="P950" i="9"/>
  <c r="U949" i="9"/>
  <c r="T949" i="9"/>
  <c r="S949" i="9"/>
  <c r="R949" i="9"/>
  <c r="Q949" i="9"/>
  <c r="P949" i="9"/>
  <c r="U948" i="9"/>
  <c r="T948" i="9"/>
  <c r="S948" i="9"/>
  <c r="R948" i="9"/>
  <c r="Q948" i="9"/>
  <c r="P948" i="9"/>
  <c r="U947" i="9"/>
  <c r="T947" i="9"/>
  <c r="S947" i="9"/>
  <c r="R947" i="9"/>
  <c r="Q947" i="9"/>
  <c r="P947" i="9"/>
  <c r="U946" i="9"/>
  <c r="T946" i="9"/>
  <c r="S946" i="9"/>
  <c r="R946" i="9"/>
  <c r="Q946" i="9"/>
  <c r="P946" i="9"/>
  <c r="U945" i="9"/>
  <c r="T945" i="9"/>
  <c r="S945" i="9"/>
  <c r="R945" i="9"/>
  <c r="Q945" i="9"/>
  <c r="P945" i="9"/>
  <c r="U944" i="9"/>
  <c r="T944" i="9"/>
  <c r="S944" i="9"/>
  <c r="R944" i="9"/>
  <c r="Q944" i="9"/>
  <c r="P944" i="9"/>
  <c r="U943" i="9"/>
  <c r="T943" i="9"/>
  <c r="S943" i="9"/>
  <c r="R943" i="9"/>
  <c r="Q943" i="9"/>
  <c r="P943" i="9"/>
  <c r="U942" i="9"/>
  <c r="T942" i="9"/>
  <c r="S942" i="9"/>
  <c r="R942" i="9"/>
  <c r="Q942" i="9"/>
  <c r="P942" i="9"/>
  <c r="U941" i="9"/>
  <c r="T941" i="9"/>
  <c r="S941" i="9"/>
  <c r="R941" i="9"/>
  <c r="Q941" i="9"/>
  <c r="P941" i="9"/>
  <c r="U940" i="9"/>
  <c r="T940" i="9"/>
  <c r="S940" i="9"/>
  <c r="R940" i="9"/>
  <c r="Q940" i="9"/>
  <c r="P940" i="9"/>
  <c r="U939" i="9"/>
  <c r="T939" i="9"/>
  <c r="S939" i="9"/>
  <c r="R939" i="9"/>
  <c r="Q939" i="9"/>
  <c r="P939" i="9"/>
  <c r="U938" i="9"/>
  <c r="T938" i="9"/>
  <c r="S938" i="9"/>
  <c r="R938" i="9"/>
  <c r="Q938" i="9"/>
  <c r="P938" i="9"/>
  <c r="U937" i="9"/>
  <c r="T937" i="9"/>
  <c r="S937" i="9"/>
  <c r="R937" i="9"/>
  <c r="Q937" i="9"/>
  <c r="P937" i="9"/>
  <c r="U936" i="9"/>
  <c r="T936" i="9"/>
  <c r="S936" i="9"/>
  <c r="R936" i="9"/>
  <c r="Q936" i="9"/>
  <c r="P936" i="9"/>
  <c r="U935" i="9"/>
  <c r="T935" i="9"/>
  <c r="S935" i="9"/>
  <c r="R935" i="9"/>
  <c r="Q935" i="9"/>
  <c r="P935" i="9"/>
  <c r="U934" i="9"/>
  <c r="T934" i="9"/>
  <c r="S934" i="9"/>
  <c r="R934" i="9"/>
  <c r="Q934" i="9"/>
  <c r="P934" i="9"/>
  <c r="U933" i="9"/>
  <c r="T933" i="9"/>
  <c r="S933" i="9"/>
  <c r="R933" i="9"/>
  <c r="Q933" i="9"/>
  <c r="P933" i="9"/>
  <c r="U932" i="9"/>
  <c r="T932" i="9"/>
  <c r="S932" i="9"/>
  <c r="R932" i="9"/>
  <c r="Q932" i="9"/>
  <c r="P932" i="9"/>
  <c r="U931" i="9"/>
  <c r="T931" i="9"/>
  <c r="S931" i="9"/>
  <c r="R931" i="9"/>
  <c r="Q931" i="9"/>
  <c r="P931" i="9"/>
  <c r="U930" i="9"/>
  <c r="T930" i="9"/>
  <c r="S930" i="9"/>
  <c r="R930" i="9"/>
  <c r="Q930" i="9"/>
  <c r="P930" i="9"/>
  <c r="U929" i="9"/>
  <c r="T929" i="9"/>
  <c r="S929" i="9"/>
  <c r="R929" i="9"/>
  <c r="Q929" i="9"/>
  <c r="P929" i="9"/>
  <c r="U928" i="9"/>
  <c r="T928" i="9"/>
  <c r="S928" i="9"/>
  <c r="R928" i="9"/>
  <c r="Q928" i="9"/>
  <c r="P928" i="9"/>
  <c r="U927" i="9"/>
  <c r="T927" i="9"/>
  <c r="S927" i="9"/>
  <c r="R927" i="9"/>
  <c r="Q927" i="9"/>
  <c r="P927" i="9"/>
  <c r="U926" i="9"/>
  <c r="T926" i="9"/>
  <c r="S926" i="9"/>
  <c r="R926" i="9"/>
  <c r="Q926" i="9"/>
  <c r="P926" i="9"/>
  <c r="U925" i="9"/>
  <c r="T925" i="9"/>
  <c r="S925" i="9"/>
  <c r="R925" i="9"/>
  <c r="Q925" i="9"/>
  <c r="P925" i="9"/>
  <c r="U924" i="9"/>
  <c r="T924" i="9"/>
  <c r="S924" i="9"/>
  <c r="R924" i="9"/>
  <c r="Q924" i="9"/>
  <c r="P924" i="9"/>
  <c r="U923" i="9"/>
  <c r="T923" i="9"/>
  <c r="S923" i="9"/>
  <c r="R923" i="9"/>
  <c r="Q923" i="9"/>
  <c r="P923" i="9"/>
  <c r="U922" i="9"/>
  <c r="T922" i="9"/>
  <c r="S922" i="9"/>
  <c r="R922" i="9"/>
  <c r="Q922" i="9"/>
  <c r="P922" i="9"/>
  <c r="U921" i="9"/>
  <c r="T921" i="9"/>
  <c r="S921" i="9"/>
  <c r="R921" i="9"/>
  <c r="Q921" i="9"/>
  <c r="P921" i="9"/>
  <c r="U920" i="9"/>
  <c r="T920" i="9"/>
  <c r="S920" i="9"/>
  <c r="R920" i="9"/>
  <c r="Q920" i="9"/>
  <c r="P920" i="9"/>
  <c r="U919" i="9"/>
  <c r="T919" i="9"/>
  <c r="S919" i="9"/>
  <c r="R919" i="9"/>
  <c r="Q919" i="9"/>
  <c r="P919" i="9"/>
  <c r="U918" i="9"/>
  <c r="T918" i="9"/>
  <c r="S918" i="9"/>
  <c r="R918" i="9"/>
  <c r="Q918" i="9"/>
  <c r="P918" i="9"/>
  <c r="U917" i="9"/>
  <c r="T917" i="9"/>
  <c r="S917" i="9"/>
  <c r="R917" i="9"/>
  <c r="Q917" i="9"/>
  <c r="P917" i="9"/>
  <c r="U916" i="9"/>
  <c r="T916" i="9"/>
  <c r="S916" i="9"/>
  <c r="R916" i="9"/>
  <c r="Q916" i="9"/>
  <c r="P916" i="9"/>
  <c r="U915" i="9"/>
  <c r="T915" i="9"/>
  <c r="S915" i="9"/>
  <c r="R915" i="9"/>
  <c r="Q915" i="9"/>
  <c r="P915" i="9"/>
  <c r="U914" i="9"/>
  <c r="T914" i="9"/>
  <c r="S914" i="9"/>
  <c r="R914" i="9"/>
  <c r="Q914" i="9"/>
  <c r="P914" i="9"/>
  <c r="U913" i="9"/>
  <c r="T913" i="9"/>
  <c r="S913" i="9"/>
  <c r="R913" i="9"/>
  <c r="Q913" i="9"/>
  <c r="P913" i="9"/>
  <c r="U912" i="9"/>
  <c r="T912" i="9"/>
  <c r="S912" i="9"/>
  <c r="R912" i="9"/>
  <c r="Q912" i="9"/>
  <c r="P912" i="9"/>
  <c r="U911" i="9"/>
  <c r="T911" i="9"/>
  <c r="S911" i="9"/>
  <c r="R911" i="9"/>
  <c r="Q911" i="9"/>
  <c r="P911" i="9"/>
  <c r="U910" i="9"/>
  <c r="T910" i="9"/>
  <c r="S910" i="9"/>
  <c r="R910" i="9"/>
  <c r="Q910" i="9"/>
  <c r="P910" i="9"/>
  <c r="U909" i="9"/>
  <c r="T909" i="9"/>
  <c r="S909" i="9"/>
  <c r="R909" i="9"/>
  <c r="Q909" i="9"/>
  <c r="P909" i="9"/>
  <c r="U908" i="9"/>
  <c r="T908" i="9"/>
  <c r="S908" i="9"/>
  <c r="R908" i="9"/>
  <c r="Q908" i="9"/>
  <c r="P908" i="9"/>
  <c r="U907" i="9"/>
  <c r="T907" i="9"/>
  <c r="S907" i="9"/>
  <c r="R907" i="9"/>
  <c r="Q907" i="9"/>
  <c r="P907" i="9"/>
  <c r="U906" i="9"/>
  <c r="T906" i="9"/>
  <c r="S906" i="9"/>
  <c r="R906" i="9"/>
  <c r="Q906" i="9"/>
  <c r="P906" i="9"/>
  <c r="U905" i="9"/>
  <c r="T905" i="9"/>
  <c r="S905" i="9"/>
  <c r="R905" i="9"/>
  <c r="Q905" i="9"/>
  <c r="P905" i="9"/>
  <c r="U904" i="9"/>
  <c r="T904" i="9"/>
  <c r="S904" i="9"/>
  <c r="R904" i="9"/>
  <c r="Q904" i="9"/>
  <c r="P904" i="9"/>
  <c r="U903" i="9"/>
  <c r="T903" i="9"/>
  <c r="S903" i="9"/>
  <c r="R903" i="9"/>
  <c r="Q903" i="9"/>
  <c r="P903" i="9"/>
  <c r="U902" i="9"/>
  <c r="T902" i="9"/>
  <c r="S902" i="9"/>
  <c r="R902" i="9"/>
  <c r="Q902" i="9"/>
  <c r="P902" i="9"/>
  <c r="U901" i="9"/>
  <c r="T901" i="9"/>
  <c r="S901" i="9"/>
  <c r="R901" i="9"/>
  <c r="Q901" i="9"/>
  <c r="P901" i="9"/>
  <c r="U900" i="9"/>
  <c r="T900" i="9"/>
  <c r="S900" i="9"/>
  <c r="R900" i="9"/>
  <c r="Q900" i="9"/>
  <c r="P900" i="9"/>
  <c r="U899" i="9"/>
  <c r="T899" i="9"/>
  <c r="S899" i="9"/>
  <c r="R899" i="9"/>
  <c r="Q899" i="9"/>
  <c r="P899" i="9"/>
  <c r="U898" i="9"/>
  <c r="T898" i="9"/>
  <c r="S898" i="9"/>
  <c r="R898" i="9"/>
  <c r="Q898" i="9"/>
  <c r="P898" i="9"/>
  <c r="U897" i="9"/>
  <c r="T897" i="9"/>
  <c r="S897" i="9"/>
  <c r="R897" i="9"/>
  <c r="Q897" i="9"/>
  <c r="P897" i="9"/>
  <c r="U896" i="9"/>
  <c r="T896" i="9"/>
  <c r="S896" i="9"/>
  <c r="R896" i="9"/>
  <c r="Q896" i="9"/>
  <c r="P896" i="9"/>
  <c r="U895" i="9"/>
  <c r="T895" i="9"/>
  <c r="S895" i="9"/>
  <c r="R895" i="9"/>
  <c r="Q895" i="9"/>
  <c r="P895" i="9"/>
  <c r="U894" i="9"/>
  <c r="T894" i="9"/>
  <c r="S894" i="9"/>
  <c r="R894" i="9"/>
  <c r="Q894" i="9"/>
  <c r="P894" i="9"/>
  <c r="U893" i="9"/>
  <c r="T893" i="9"/>
  <c r="S893" i="9"/>
  <c r="R893" i="9"/>
  <c r="Q893" i="9"/>
  <c r="P893" i="9"/>
  <c r="U892" i="9"/>
  <c r="T892" i="9"/>
  <c r="S892" i="9"/>
  <c r="R892" i="9"/>
  <c r="Q892" i="9"/>
  <c r="P892" i="9"/>
  <c r="U891" i="9"/>
  <c r="T891" i="9"/>
  <c r="S891" i="9"/>
  <c r="R891" i="9"/>
  <c r="Q891" i="9"/>
  <c r="P891" i="9"/>
  <c r="U890" i="9"/>
  <c r="T890" i="9"/>
  <c r="S890" i="9"/>
  <c r="R890" i="9"/>
  <c r="Q890" i="9"/>
  <c r="P890" i="9"/>
  <c r="U889" i="9"/>
  <c r="T889" i="9"/>
  <c r="S889" i="9"/>
  <c r="R889" i="9"/>
  <c r="Q889" i="9"/>
  <c r="P889" i="9"/>
  <c r="U888" i="9"/>
  <c r="T888" i="9"/>
  <c r="S888" i="9"/>
  <c r="R888" i="9"/>
  <c r="Q888" i="9"/>
  <c r="P888" i="9"/>
  <c r="U887" i="9"/>
  <c r="T887" i="9"/>
  <c r="S887" i="9"/>
  <c r="R887" i="9"/>
  <c r="Q887" i="9"/>
  <c r="P887" i="9"/>
  <c r="U886" i="9"/>
  <c r="T886" i="9"/>
  <c r="S886" i="9"/>
  <c r="R886" i="9"/>
  <c r="Q886" i="9"/>
  <c r="P886" i="9"/>
  <c r="U885" i="9"/>
  <c r="T885" i="9"/>
  <c r="S885" i="9"/>
  <c r="R885" i="9"/>
  <c r="Q885" i="9"/>
  <c r="P885" i="9"/>
  <c r="U884" i="9"/>
  <c r="T884" i="9"/>
  <c r="S884" i="9"/>
  <c r="R884" i="9"/>
  <c r="Q884" i="9"/>
  <c r="P884" i="9"/>
  <c r="U883" i="9"/>
  <c r="T883" i="9"/>
  <c r="S883" i="9"/>
  <c r="R883" i="9"/>
  <c r="Q883" i="9"/>
  <c r="P883" i="9"/>
  <c r="U882" i="9"/>
  <c r="T882" i="9"/>
  <c r="S882" i="9"/>
  <c r="R882" i="9"/>
  <c r="Q882" i="9"/>
  <c r="P882" i="9"/>
  <c r="U881" i="9"/>
  <c r="T881" i="9"/>
  <c r="S881" i="9"/>
  <c r="R881" i="9"/>
  <c r="Q881" i="9"/>
  <c r="P881" i="9"/>
  <c r="U880" i="9"/>
  <c r="T880" i="9"/>
  <c r="S880" i="9"/>
  <c r="R880" i="9"/>
  <c r="Q880" i="9"/>
  <c r="P880" i="9"/>
  <c r="U879" i="9"/>
  <c r="T879" i="9"/>
  <c r="S879" i="9"/>
  <c r="R879" i="9"/>
  <c r="Q879" i="9"/>
  <c r="P879" i="9"/>
  <c r="U878" i="9"/>
  <c r="T878" i="9"/>
  <c r="S878" i="9"/>
  <c r="R878" i="9"/>
  <c r="Q878" i="9"/>
  <c r="P878" i="9"/>
  <c r="U877" i="9"/>
  <c r="T877" i="9"/>
  <c r="S877" i="9"/>
  <c r="R877" i="9"/>
  <c r="Q877" i="9"/>
  <c r="P877" i="9"/>
  <c r="U876" i="9"/>
  <c r="T876" i="9"/>
  <c r="S876" i="9"/>
  <c r="R876" i="9"/>
  <c r="Q876" i="9"/>
  <c r="P876" i="9"/>
  <c r="U875" i="9"/>
  <c r="T875" i="9"/>
  <c r="S875" i="9"/>
  <c r="R875" i="9"/>
  <c r="Q875" i="9"/>
  <c r="P875" i="9"/>
  <c r="U874" i="9"/>
  <c r="T874" i="9"/>
  <c r="S874" i="9"/>
  <c r="R874" i="9"/>
  <c r="Q874" i="9"/>
  <c r="P874" i="9"/>
  <c r="U873" i="9"/>
  <c r="T873" i="9"/>
  <c r="S873" i="9"/>
  <c r="R873" i="9"/>
  <c r="Q873" i="9"/>
  <c r="P873" i="9"/>
  <c r="U872" i="9"/>
  <c r="T872" i="9"/>
  <c r="S872" i="9"/>
  <c r="R872" i="9"/>
  <c r="Q872" i="9"/>
  <c r="P872" i="9"/>
  <c r="U871" i="9"/>
  <c r="T871" i="9"/>
  <c r="S871" i="9"/>
  <c r="R871" i="9"/>
  <c r="Q871" i="9"/>
  <c r="P871" i="9"/>
  <c r="U870" i="9"/>
  <c r="T870" i="9"/>
  <c r="S870" i="9"/>
  <c r="R870" i="9"/>
  <c r="Q870" i="9"/>
  <c r="P870" i="9"/>
  <c r="U869" i="9"/>
  <c r="T869" i="9"/>
  <c r="S869" i="9"/>
  <c r="R869" i="9"/>
  <c r="Q869" i="9"/>
  <c r="P869" i="9"/>
  <c r="U868" i="9"/>
  <c r="T868" i="9"/>
  <c r="S868" i="9"/>
  <c r="R868" i="9"/>
  <c r="Q868" i="9"/>
  <c r="P868" i="9"/>
  <c r="U867" i="9"/>
  <c r="T867" i="9"/>
  <c r="S867" i="9"/>
  <c r="R867" i="9"/>
  <c r="Q867" i="9"/>
  <c r="P867" i="9"/>
  <c r="U866" i="9"/>
  <c r="T866" i="9"/>
  <c r="S866" i="9"/>
  <c r="R866" i="9"/>
  <c r="Q866" i="9"/>
  <c r="P866" i="9"/>
  <c r="U865" i="9"/>
  <c r="T865" i="9"/>
  <c r="S865" i="9"/>
  <c r="R865" i="9"/>
  <c r="Q865" i="9"/>
  <c r="P865" i="9"/>
  <c r="U864" i="9"/>
  <c r="T864" i="9"/>
  <c r="S864" i="9"/>
  <c r="R864" i="9"/>
  <c r="Q864" i="9"/>
  <c r="P864" i="9"/>
  <c r="U863" i="9"/>
  <c r="T863" i="9"/>
  <c r="S863" i="9"/>
  <c r="R863" i="9"/>
  <c r="Q863" i="9"/>
  <c r="P863" i="9"/>
  <c r="U862" i="9"/>
  <c r="T862" i="9"/>
  <c r="S862" i="9"/>
  <c r="R862" i="9"/>
  <c r="Q862" i="9"/>
  <c r="P862" i="9"/>
  <c r="U861" i="9"/>
  <c r="T861" i="9"/>
  <c r="S861" i="9"/>
  <c r="R861" i="9"/>
  <c r="Q861" i="9"/>
  <c r="P861" i="9"/>
  <c r="U860" i="9"/>
  <c r="T860" i="9"/>
  <c r="S860" i="9"/>
  <c r="R860" i="9"/>
  <c r="Q860" i="9"/>
  <c r="P860" i="9"/>
  <c r="U859" i="9"/>
  <c r="T859" i="9"/>
  <c r="S859" i="9"/>
  <c r="R859" i="9"/>
  <c r="Q859" i="9"/>
  <c r="P859" i="9"/>
  <c r="U858" i="9"/>
  <c r="T858" i="9"/>
  <c r="S858" i="9"/>
  <c r="R858" i="9"/>
  <c r="Q858" i="9"/>
  <c r="P858" i="9"/>
  <c r="U857" i="9"/>
  <c r="T857" i="9"/>
  <c r="S857" i="9"/>
  <c r="R857" i="9"/>
  <c r="Q857" i="9"/>
  <c r="P857" i="9"/>
  <c r="U856" i="9"/>
  <c r="T856" i="9"/>
  <c r="S856" i="9"/>
  <c r="R856" i="9"/>
  <c r="Q856" i="9"/>
  <c r="P856" i="9"/>
  <c r="U855" i="9"/>
  <c r="T855" i="9"/>
  <c r="S855" i="9"/>
  <c r="R855" i="9"/>
  <c r="Q855" i="9"/>
  <c r="P855" i="9"/>
  <c r="U854" i="9"/>
  <c r="T854" i="9"/>
  <c r="S854" i="9"/>
  <c r="R854" i="9"/>
  <c r="Q854" i="9"/>
  <c r="P854" i="9"/>
  <c r="U853" i="9"/>
  <c r="T853" i="9"/>
  <c r="S853" i="9"/>
  <c r="R853" i="9"/>
  <c r="Q853" i="9"/>
  <c r="P853" i="9"/>
  <c r="U852" i="9"/>
  <c r="T852" i="9"/>
  <c r="S852" i="9"/>
  <c r="R852" i="9"/>
  <c r="Q852" i="9"/>
  <c r="P852" i="9"/>
  <c r="U851" i="9"/>
  <c r="T851" i="9"/>
  <c r="S851" i="9"/>
  <c r="R851" i="9"/>
  <c r="Q851" i="9"/>
  <c r="P851" i="9"/>
  <c r="U850" i="9"/>
  <c r="T850" i="9"/>
  <c r="S850" i="9"/>
  <c r="R850" i="9"/>
  <c r="Q850" i="9"/>
  <c r="P850" i="9"/>
  <c r="U849" i="9"/>
  <c r="T849" i="9"/>
  <c r="S849" i="9"/>
  <c r="R849" i="9"/>
  <c r="Q849" i="9"/>
  <c r="P849" i="9"/>
  <c r="U848" i="9"/>
  <c r="T848" i="9"/>
  <c r="S848" i="9"/>
  <c r="R848" i="9"/>
  <c r="Q848" i="9"/>
  <c r="P848" i="9"/>
  <c r="U847" i="9"/>
  <c r="T847" i="9"/>
  <c r="S847" i="9"/>
  <c r="R847" i="9"/>
  <c r="Q847" i="9"/>
  <c r="P847" i="9"/>
  <c r="U846" i="9"/>
  <c r="T846" i="9"/>
  <c r="S846" i="9"/>
  <c r="R846" i="9"/>
  <c r="Q846" i="9"/>
  <c r="P846" i="9"/>
  <c r="U845" i="9"/>
  <c r="T845" i="9"/>
  <c r="S845" i="9"/>
  <c r="R845" i="9"/>
  <c r="Q845" i="9"/>
  <c r="P845" i="9"/>
  <c r="U844" i="9"/>
  <c r="T844" i="9"/>
  <c r="S844" i="9"/>
  <c r="R844" i="9"/>
  <c r="Q844" i="9"/>
  <c r="P844" i="9"/>
  <c r="U843" i="9"/>
  <c r="T843" i="9"/>
  <c r="S843" i="9"/>
  <c r="R843" i="9"/>
  <c r="Q843" i="9"/>
  <c r="P843" i="9"/>
  <c r="U842" i="9"/>
  <c r="T842" i="9"/>
  <c r="S842" i="9"/>
  <c r="R842" i="9"/>
  <c r="Q842" i="9"/>
  <c r="P842" i="9"/>
  <c r="U841" i="9"/>
  <c r="T841" i="9"/>
  <c r="S841" i="9"/>
  <c r="R841" i="9"/>
  <c r="Q841" i="9"/>
  <c r="P841" i="9"/>
  <c r="U840" i="9"/>
  <c r="T840" i="9"/>
  <c r="S840" i="9"/>
  <c r="R840" i="9"/>
  <c r="Q840" i="9"/>
  <c r="P840" i="9"/>
  <c r="U839" i="9"/>
  <c r="T839" i="9"/>
  <c r="S839" i="9"/>
  <c r="R839" i="9"/>
  <c r="Q839" i="9"/>
  <c r="P839" i="9"/>
  <c r="U838" i="9"/>
  <c r="T838" i="9"/>
  <c r="S838" i="9"/>
  <c r="R838" i="9"/>
  <c r="Q838" i="9"/>
  <c r="P838" i="9"/>
  <c r="U837" i="9"/>
  <c r="T837" i="9"/>
  <c r="S837" i="9"/>
  <c r="R837" i="9"/>
  <c r="Q837" i="9"/>
  <c r="P837" i="9"/>
  <c r="U836" i="9"/>
  <c r="T836" i="9"/>
  <c r="S836" i="9"/>
  <c r="R836" i="9"/>
  <c r="Q836" i="9"/>
  <c r="P836" i="9"/>
  <c r="U835" i="9"/>
  <c r="T835" i="9"/>
  <c r="S835" i="9"/>
  <c r="R835" i="9"/>
  <c r="Q835" i="9"/>
  <c r="P835" i="9"/>
  <c r="U834" i="9"/>
  <c r="T834" i="9"/>
  <c r="S834" i="9"/>
  <c r="R834" i="9"/>
  <c r="Q834" i="9"/>
  <c r="P834" i="9"/>
  <c r="U833" i="9"/>
  <c r="T833" i="9"/>
  <c r="S833" i="9"/>
  <c r="R833" i="9"/>
  <c r="Q833" i="9"/>
  <c r="P833" i="9"/>
  <c r="U832" i="9"/>
  <c r="T832" i="9"/>
  <c r="S832" i="9"/>
  <c r="R832" i="9"/>
  <c r="Q832" i="9"/>
  <c r="P832" i="9"/>
  <c r="U831" i="9"/>
  <c r="T831" i="9"/>
  <c r="S831" i="9"/>
  <c r="R831" i="9"/>
  <c r="Q831" i="9"/>
  <c r="P831" i="9"/>
  <c r="U830" i="9"/>
  <c r="T830" i="9"/>
  <c r="S830" i="9"/>
  <c r="R830" i="9"/>
  <c r="Q830" i="9"/>
  <c r="P830" i="9"/>
  <c r="U829" i="9"/>
  <c r="T829" i="9"/>
  <c r="S829" i="9"/>
  <c r="R829" i="9"/>
  <c r="Q829" i="9"/>
  <c r="P829" i="9"/>
  <c r="U828" i="9"/>
  <c r="T828" i="9"/>
  <c r="S828" i="9"/>
  <c r="R828" i="9"/>
  <c r="Q828" i="9"/>
  <c r="P828" i="9"/>
  <c r="U827" i="9"/>
  <c r="T827" i="9"/>
  <c r="S827" i="9"/>
  <c r="R827" i="9"/>
  <c r="Q827" i="9"/>
  <c r="P827" i="9"/>
  <c r="U826" i="9"/>
  <c r="T826" i="9"/>
  <c r="S826" i="9"/>
  <c r="R826" i="9"/>
  <c r="Q826" i="9"/>
  <c r="P826" i="9"/>
  <c r="U825" i="9"/>
  <c r="T825" i="9"/>
  <c r="S825" i="9"/>
  <c r="R825" i="9"/>
  <c r="Q825" i="9"/>
  <c r="P825" i="9"/>
  <c r="U824" i="9"/>
  <c r="T824" i="9"/>
  <c r="S824" i="9"/>
  <c r="R824" i="9"/>
  <c r="Q824" i="9"/>
  <c r="P824" i="9"/>
  <c r="U823" i="9"/>
  <c r="T823" i="9"/>
  <c r="S823" i="9"/>
  <c r="R823" i="9"/>
  <c r="Q823" i="9"/>
  <c r="P823" i="9"/>
  <c r="U822" i="9"/>
  <c r="T822" i="9"/>
  <c r="S822" i="9"/>
  <c r="R822" i="9"/>
  <c r="Q822" i="9"/>
  <c r="P822" i="9"/>
  <c r="U821" i="9"/>
  <c r="T821" i="9"/>
  <c r="S821" i="9"/>
  <c r="R821" i="9"/>
  <c r="Q821" i="9"/>
  <c r="P821" i="9"/>
  <c r="U820" i="9"/>
  <c r="T820" i="9"/>
  <c r="S820" i="9"/>
  <c r="R820" i="9"/>
  <c r="Q820" i="9"/>
  <c r="P820" i="9"/>
  <c r="U819" i="9"/>
  <c r="T819" i="9"/>
  <c r="S819" i="9"/>
  <c r="R819" i="9"/>
  <c r="Q819" i="9"/>
  <c r="P819" i="9"/>
  <c r="U818" i="9"/>
  <c r="T818" i="9"/>
  <c r="S818" i="9"/>
  <c r="R818" i="9"/>
  <c r="Q818" i="9"/>
  <c r="P818" i="9"/>
  <c r="U817" i="9"/>
  <c r="T817" i="9"/>
  <c r="S817" i="9"/>
  <c r="R817" i="9"/>
  <c r="Q817" i="9"/>
  <c r="P817" i="9"/>
  <c r="U816" i="9"/>
  <c r="T816" i="9"/>
  <c r="S816" i="9"/>
  <c r="R816" i="9"/>
  <c r="Q816" i="9"/>
  <c r="P816" i="9"/>
  <c r="U815" i="9"/>
  <c r="T815" i="9"/>
  <c r="S815" i="9"/>
  <c r="R815" i="9"/>
  <c r="Q815" i="9"/>
  <c r="P815" i="9"/>
  <c r="U814" i="9"/>
  <c r="T814" i="9"/>
  <c r="S814" i="9"/>
  <c r="R814" i="9"/>
  <c r="Q814" i="9"/>
  <c r="P814" i="9"/>
  <c r="U813" i="9"/>
  <c r="T813" i="9"/>
  <c r="S813" i="9"/>
  <c r="R813" i="9"/>
  <c r="Q813" i="9"/>
  <c r="P813" i="9"/>
  <c r="U812" i="9"/>
  <c r="T812" i="9"/>
  <c r="S812" i="9"/>
  <c r="R812" i="9"/>
  <c r="Q812" i="9"/>
  <c r="P812" i="9"/>
  <c r="U811" i="9"/>
  <c r="T811" i="9"/>
  <c r="S811" i="9"/>
  <c r="R811" i="9"/>
  <c r="Q811" i="9"/>
  <c r="P811" i="9"/>
  <c r="U810" i="9"/>
  <c r="T810" i="9"/>
  <c r="S810" i="9"/>
  <c r="R810" i="9"/>
  <c r="Q810" i="9"/>
  <c r="P810" i="9"/>
  <c r="U809" i="9"/>
  <c r="T809" i="9"/>
  <c r="S809" i="9"/>
  <c r="R809" i="9"/>
  <c r="Q809" i="9"/>
  <c r="P809" i="9"/>
  <c r="U808" i="9"/>
  <c r="T808" i="9"/>
  <c r="S808" i="9"/>
  <c r="R808" i="9"/>
  <c r="Q808" i="9"/>
  <c r="P808" i="9"/>
  <c r="U807" i="9"/>
  <c r="T807" i="9"/>
  <c r="S807" i="9"/>
  <c r="R807" i="9"/>
  <c r="Q807" i="9"/>
  <c r="P807" i="9"/>
  <c r="U806" i="9"/>
  <c r="T806" i="9"/>
  <c r="S806" i="9"/>
  <c r="R806" i="9"/>
  <c r="Q806" i="9"/>
  <c r="P806" i="9"/>
  <c r="U805" i="9"/>
  <c r="T805" i="9"/>
  <c r="S805" i="9"/>
  <c r="R805" i="9"/>
  <c r="Q805" i="9"/>
  <c r="P805" i="9"/>
  <c r="U804" i="9"/>
  <c r="T804" i="9"/>
  <c r="S804" i="9"/>
  <c r="R804" i="9"/>
  <c r="Q804" i="9"/>
  <c r="P804" i="9"/>
  <c r="U803" i="9"/>
  <c r="T803" i="9"/>
  <c r="S803" i="9"/>
  <c r="R803" i="9"/>
  <c r="Q803" i="9"/>
  <c r="P803" i="9"/>
  <c r="U802" i="9"/>
  <c r="T802" i="9"/>
  <c r="S802" i="9"/>
  <c r="R802" i="9"/>
  <c r="Q802" i="9"/>
  <c r="P802" i="9"/>
  <c r="U801" i="9"/>
  <c r="T801" i="9"/>
  <c r="S801" i="9"/>
  <c r="R801" i="9"/>
  <c r="Q801" i="9"/>
  <c r="P801" i="9"/>
  <c r="U800" i="9"/>
  <c r="T800" i="9"/>
  <c r="S800" i="9"/>
  <c r="R800" i="9"/>
  <c r="Q800" i="9"/>
  <c r="P800" i="9"/>
  <c r="U799" i="9"/>
  <c r="T799" i="9"/>
  <c r="S799" i="9"/>
  <c r="R799" i="9"/>
  <c r="Q799" i="9"/>
  <c r="P799" i="9"/>
  <c r="U798" i="9"/>
  <c r="T798" i="9"/>
  <c r="S798" i="9"/>
  <c r="R798" i="9"/>
  <c r="Q798" i="9"/>
  <c r="P798" i="9"/>
  <c r="U797" i="9"/>
  <c r="T797" i="9"/>
  <c r="S797" i="9"/>
  <c r="R797" i="9"/>
  <c r="Q797" i="9"/>
  <c r="P797" i="9"/>
  <c r="U796" i="9"/>
  <c r="T796" i="9"/>
  <c r="S796" i="9"/>
  <c r="R796" i="9"/>
  <c r="Q796" i="9"/>
  <c r="P796" i="9"/>
  <c r="U795" i="9"/>
  <c r="T795" i="9"/>
  <c r="S795" i="9"/>
  <c r="R795" i="9"/>
  <c r="Q795" i="9"/>
  <c r="P795" i="9"/>
  <c r="U794" i="9"/>
  <c r="T794" i="9"/>
  <c r="S794" i="9"/>
  <c r="R794" i="9"/>
  <c r="Q794" i="9"/>
  <c r="P794" i="9"/>
  <c r="U793" i="9"/>
  <c r="T793" i="9"/>
  <c r="S793" i="9"/>
  <c r="R793" i="9"/>
  <c r="Q793" i="9"/>
  <c r="P793" i="9"/>
  <c r="U792" i="9"/>
  <c r="T792" i="9"/>
  <c r="S792" i="9"/>
  <c r="R792" i="9"/>
  <c r="Q792" i="9"/>
  <c r="P792" i="9"/>
  <c r="U791" i="9"/>
  <c r="T791" i="9"/>
  <c r="S791" i="9"/>
  <c r="R791" i="9"/>
  <c r="Q791" i="9"/>
  <c r="P791" i="9"/>
  <c r="U790" i="9"/>
  <c r="T790" i="9"/>
  <c r="S790" i="9"/>
  <c r="R790" i="9"/>
  <c r="Q790" i="9"/>
  <c r="P790" i="9"/>
  <c r="U789" i="9"/>
  <c r="T789" i="9"/>
  <c r="S789" i="9"/>
  <c r="R789" i="9"/>
  <c r="Q789" i="9"/>
  <c r="P789" i="9"/>
  <c r="U788" i="9"/>
  <c r="T788" i="9"/>
  <c r="S788" i="9"/>
  <c r="R788" i="9"/>
  <c r="Q788" i="9"/>
  <c r="P788" i="9"/>
  <c r="U787" i="9"/>
  <c r="T787" i="9"/>
  <c r="S787" i="9"/>
  <c r="R787" i="9"/>
  <c r="Q787" i="9"/>
  <c r="P787" i="9"/>
  <c r="U786" i="9"/>
  <c r="T786" i="9"/>
  <c r="S786" i="9"/>
  <c r="R786" i="9"/>
  <c r="Q786" i="9"/>
  <c r="P786" i="9"/>
  <c r="U785" i="9"/>
  <c r="T785" i="9"/>
  <c r="S785" i="9"/>
  <c r="R785" i="9"/>
  <c r="Q785" i="9"/>
  <c r="P785" i="9"/>
  <c r="U784" i="9"/>
  <c r="T784" i="9"/>
  <c r="S784" i="9"/>
  <c r="R784" i="9"/>
  <c r="Q784" i="9"/>
  <c r="P784" i="9"/>
  <c r="U783" i="9"/>
  <c r="T783" i="9"/>
  <c r="S783" i="9"/>
  <c r="R783" i="9"/>
  <c r="Q783" i="9"/>
  <c r="P783" i="9"/>
  <c r="U782" i="9"/>
  <c r="T782" i="9"/>
  <c r="S782" i="9"/>
  <c r="R782" i="9"/>
  <c r="Q782" i="9"/>
  <c r="P782" i="9"/>
  <c r="U781" i="9"/>
  <c r="T781" i="9"/>
  <c r="S781" i="9"/>
  <c r="R781" i="9"/>
  <c r="Q781" i="9"/>
  <c r="P781" i="9"/>
  <c r="U780" i="9"/>
  <c r="T780" i="9"/>
  <c r="S780" i="9"/>
  <c r="R780" i="9"/>
  <c r="Q780" i="9"/>
  <c r="P780" i="9"/>
  <c r="U779" i="9"/>
  <c r="T779" i="9"/>
  <c r="S779" i="9"/>
  <c r="R779" i="9"/>
  <c r="Q779" i="9"/>
  <c r="P779" i="9"/>
  <c r="U778" i="9"/>
  <c r="T778" i="9"/>
  <c r="S778" i="9"/>
  <c r="R778" i="9"/>
  <c r="Q778" i="9"/>
  <c r="P778" i="9"/>
  <c r="U777" i="9"/>
  <c r="T777" i="9"/>
  <c r="S777" i="9"/>
  <c r="R777" i="9"/>
  <c r="Q777" i="9"/>
  <c r="P777" i="9"/>
  <c r="U776" i="9"/>
  <c r="T776" i="9"/>
  <c r="S776" i="9"/>
  <c r="R776" i="9"/>
  <c r="Q776" i="9"/>
  <c r="P776" i="9"/>
  <c r="U775" i="9"/>
  <c r="T775" i="9"/>
  <c r="S775" i="9"/>
  <c r="R775" i="9"/>
  <c r="Q775" i="9"/>
  <c r="P775" i="9"/>
  <c r="U774" i="9"/>
  <c r="T774" i="9"/>
  <c r="S774" i="9"/>
  <c r="R774" i="9"/>
  <c r="Q774" i="9"/>
  <c r="P774" i="9"/>
  <c r="U773" i="9"/>
  <c r="T773" i="9"/>
  <c r="S773" i="9"/>
  <c r="R773" i="9"/>
  <c r="Q773" i="9"/>
  <c r="P773" i="9"/>
  <c r="U772" i="9"/>
  <c r="T772" i="9"/>
  <c r="S772" i="9"/>
  <c r="R772" i="9"/>
  <c r="Q772" i="9"/>
  <c r="P772" i="9"/>
  <c r="U771" i="9"/>
  <c r="T771" i="9"/>
  <c r="S771" i="9"/>
  <c r="R771" i="9"/>
  <c r="Q771" i="9"/>
  <c r="P771" i="9"/>
  <c r="U770" i="9"/>
  <c r="T770" i="9"/>
  <c r="S770" i="9"/>
  <c r="R770" i="9"/>
  <c r="Q770" i="9"/>
  <c r="P770" i="9"/>
  <c r="U769" i="9"/>
  <c r="T769" i="9"/>
  <c r="S769" i="9"/>
  <c r="R769" i="9"/>
  <c r="Q769" i="9"/>
  <c r="P769" i="9"/>
  <c r="U768" i="9"/>
  <c r="T768" i="9"/>
  <c r="S768" i="9"/>
  <c r="R768" i="9"/>
  <c r="Q768" i="9"/>
  <c r="P768" i="9"/>
  <c r="U767" i="9"/>
  <c r="T767" i="9"/>
  <c r="S767" i="9"/>
  <c r="R767" i="9"/>
  <c r="Q767" i="9"/>
  <c r="P767" i="9"/>
  <c r="U766" i="9"/>
  <c r="T766" i="9"/>
  <c r="S766" i="9"/>
  <c r="R766" i="9"/>
  <c r="Q766" i="9"/>
  <c r="P766" i="9"/>
  <c r="U765" i="9"/>
  <c r="T765" i="9"/>
  <c r="S765" i="9"/>
  <c r="R765" i="9"/>
  <c r="Q765" i="9"/>
  <c r="P765" i="9"/>
  <c r="U764" i="9"/>
  <c r="T764" i="9"/>
  <c r="S764" i="9"/>
  <c r="R764" i="9"/>
  <c r="Q764" i="9"/>
  <c r="P764" i="9"/>
  <c r="U763" i="9"/>
  <c r="T763" i="9"/>
  <c r="S763" i="9"/>
  <c r="R763" i="9"/>
  <c r="Q763" i="9"/>
  <c r="P763" i="9"/>
  <c r="U762" i="9"/>
  <c r="T762" i="9"/>
  <c r="S762" i="9"/>
  <c r="R762" i="9"/>
  <c r="Q762" i="9"/>
  <c r="P762" i="9"/>
  <c r="U761" i="9"/>
  <c r="T761" i="9"/>
  <c r="S761" i="9"/>
  <c r="R761" i="9"/>
  <c r="Q761" i="9"/>
  <c r="P761" i="9"/>
  <c r="U760" i="9"/>
  <c r="T760" i="9"/>
  <c r="S760" i="9"/>
  <c r="R760" i="9"/>
  <c r="Q760" i="9"/>
  <c r="P760" i="9"/>
  <c r="U759" i="9"/>
  <c r="T759" i="9"/>
  <c r="S759" i="9"/>
  <c r="R759" i="9"/>
  <c r="Q759" i="9"/>
  <c r="P759" i="9"/>
  <c r="U758" i="9"/>
  <c r="T758" i="9"/>
  <c r="S758" i="9"/>
  <c r="R758" i="9"/>
  <c r="Q758" i="9"/>
  <c r="P758" i="9"/>
  <c r="U757" i="9"/>
  <c r="T757" i="9"/>
  <c r="S757" i="9"/>
  <c r="R757" i="9"/>
  <c r="Q757" i="9"/>
  <c r="P757" i="9"/>
  <c r="U756" i="9"/>
  <c r="T756" i="9"/>
  <c r="S756" i="9"/>
  <c r="R756" i="9"/>
  <c r="Q756" i="9"/>
  <c r="P756" i="9"/>
  <c r="U755" i="9"/>
  <c r="T755" i="9"/>
  <c r="S755" i="9"/>
  <c r="R755" i="9"/>
  <c r="Q755" i="9"/>
  <c r="P755" i="9"/>
  <c r="U754" i="9"/>
  <c r="T754" i="9"/>
  <c r="S754" i="9"/>
  <c r="R754" i="9"/>
  <c r="Q754" i="9"/>
  <c r="P754" i="9"/>
  <c r="U753" i="9"/>
  <c r="T753" i="9"/>
  <c r="S753" i="9"/>
  <c r="R753" i="9"/>
  <c r="Q753" i="9"/>
  <c r="P753" i="9"/>
  <c r="U752" i="9"/>
  <c r="T752" i="9"/>
  <c r="S752" i="9"/>
  <c r="R752" i="9"/>
  <c r="Q752" i="9"/>
  <c r="P752" i="9"/>
  <c r="U751" i="9"/>
  <c r="T751" i="9"/>
  <c r="S751" i="9"/>
  <c r="R751" i="9"/>
  <c r="Q751" i="9"/>
  <c r="P751" i="9"/>
  <c r="U750" i="9"/>
  <c r="T750" i="9"/>
  <c r="S750" i="9"/>
  <c r="R750" i="9"/>
  <c r="Q750" i="9"/>
  <c r="P750" i="9"/>
  <c r="U749" i="9"/>
  <c r="T749" i="9"/>
  <c r="S749" i="9"/>
  <c r="R749" i="9"/>
  <c r="Q749" i="9"/>
  <c r="P749" i="9"/>
  <c r="U748" i="9"/>
  <c r="T748" i="9"/>
  <c r="S748" i="9"/>
  <c r="R748" i="9"/>
  <c r="Q748" i="9"/>
  <c r="P748" i="9"/>
  <c r="U747" i="9"/>
  <c r="T747" i="9"/>
  <c r="S747" i="9"/>
  <c r="R747" i="9"/>
  <c r="Q747" i="9"/>
  <c r="P747" i="9"/>
  <c r="U746" i="9"/>
  <c r="T746" i="9"/>
  <c r="S746" i="9"/>
  <c r="R746" i="9"/>
  <c r="Q746" i="9"/>
  <c r="P746" i="9"/>
  <c r="U745" i="9"/>
  <c r="T745" i="9"/>
  <c r="S745" i="9"/>
  <c r="R745" i="9"/>
  <c r="Q745" i="9"/>
  <c r="P745" i="9"/>
  <c r="U744" i="9"/>
  <c r="T744" i="9"/>
  <c r="S744" i="9"/>
  <c r="R744" i="9"/>
  <c r="Q744" i="9"/>
  <c r="P744" i="9"/>
  <c r="U743" i="9"/>
  <c r="T743" i="9"/>
  <c r="S743" i="9"/>
  <c r="R743" i="9"/>
  <c r="Q743" i="9"/>
  <c r="P743" i="9"/>
  <c r="U742" i="9"/>
  <c r="T742" i="9"/>
  <c r="S742" i="9"/>
  <c r="R742" i="9"/>
  <c r="Q742" i="9"/>
  <c r="P742" i="9"/>
  <c r="U741" i="9"/>
  <c r="T741" i="9"/>
  <c r="S741" i="9"/>
  <c r="R741" i="9"/>
  <c r="Q741" i="9"/>
  <c r="P741" i="9"/>
  <c r="U740" i="9"/>
  <c r="T740" i="9"/>
  <c r="S740" i="9"/>
  <c r="R740" i="9"/>
  <c r="Q740" i="9"/>
  <c r="P740" i="9"/>
  <c r="U739" i="9"/>
  <c r="T739" i="9"/>
  <c r="S739" i="9"/>
  <c r="R739" i="9"/>
  <c r="Q739" i="9"/>
  <c r="P739" i="9"/>
  <c r="U738" i="9"/>
  <c r="T738" i="9"/>
  <c r="S738" i="9"/>
  <c r="R738" i="9"/>
  <c r="Q738" i="9"/>
  <c r="P738" i="9"/>
  <c r="U737" i="9"/>
  <c r="T737" i="9"/>
  <c r="S737" i="9"/>
  <c r="R737" i="9"/>
  <c r="Q737" i="9"/>
  <c r="P737" i="9"/>
  <c r="U736" i="9"/>
  <c r="T736" i="9"/>
  <c r="S736" i="9"/>
  <c r="R736" i="9"/>
  <c r="Q736" i="9"/>
  <c r="P736" i="9"/>
  <c r="U735" i="9"/>
  <c r="T735" i="9"/>
  <c r="S735" i="9"/>
  <c r="R735" i="9"/>
  <c r="Q735" i="9"/>
  <c r="P735" i="9"/>
  <c r="U734" i="9"/>
  <c r="T734" i="9"/>
  <c r="S734" i="9"/>
  <c r="R734" i="9"/>
  <c r="Q734" i="9"/>
  <c r="P734" i="9"/>
  <c r="U733" i="9"/>
  <c r="T733" i="9"/>
  <c r="S733" i="9"/>
  <c r="R733" i="9"/>
  <c r="Q733" i="9"/>
  <c r="P733" i="9"/>
  <c r="U732" i="9"/>
  <c r="T732" i="9"/>
  <c r="S732" i="9"/>
  <c r="R732" i="9"/>
  <c r="Q732" i="9"/>
  <c r="P732" i="9"/>
  <c r="U731" i="9"/>
  <c r="T731" i="9"/>
  <c r="S731" i="9"/>
  <c r="R731" i="9"/>
  <c r="Q731" i="9"/>
  <c r="P731" i="9"/>
  <c r="U730" i="9"/>
  <c r="T730" i="9"/>
  <c r="S730" i="9"/>
  <c r="R730" i="9"/>
  <c r="Q730" i="9"/>
  <c r="P730" i="9"/>
  <c r="U729" i="9"/>
  <c r="T729" i="9"/>
  <c r="S729" i="9"/>
  <c r="R729" i="9"/>
  <c r="Q729" i="9"/>
  <c r="P729" i="9"/>
  <c r="U728" i="9"/>
  <c r="T728" i="9"/>
  <c r="S728" i="9"/>
  <c r="R728" i="9"/>
  <c r="Q728" i="9"/>
  <c r="P728" i="9"/>
  <c r="U727" i="9"/>
  <c r="T727" i="9"/>
  <c r="S727" i="9"/>
  <c r="R727" i="9"/>
  <c r="Q727" i="9"/>
  <c r="P727" i="9"/>
  <c r="U726" i="9"/>
  <c r="T726" i="9"/>
  <c r="S726" i="9"/>
  <c r="R726" i="9"/>
  <c r="Q726" i="9"/>
  <c r="P726" i="9"/>
  <c r="U725" i="9"/>
  <c r="T725" i="9"/>
  <c r="S725" i="9"/>
  <c r="R725" i="9"/>
  <c r="Q725" i="9"/>
  <c r="P725" i="9"/>
  <c r="U724" i="9"/>
  <c r="T724" i="9"/>
  <c r="S724" i="9"/>
  <c r="R724" i="9"/>
  <c r="Q724" i="9"/>
  <c r="P724" i="9"/>
  <c r="U723" i="9"/>
  <c r="T723" i="9"/>
  <c r="S723" i="9"/>
  <c r="R723" i="9"/>
  <c r="Q723" i="9"/>
  <c r="P723" i="9"/>
  <c r="U722" i="9"/>
  <c r="T722" i="9"/>
  <c r="S722" i="9"/>
  <c r="R722" i="9"/>
  <c r="Q722" i="9"/>
  <c r="P722" i="9"/>
  <c r="U721" i="9"/>
  <c r="T721" i="9"/>
  <c r="S721" i="9"/>
  <c r="R721" i="9"/>
  <c r="Q721" i="9"/>
  <c r="P721" i="9"/>
  <c r="U720" i="9"/>
  <c r="T720" i="9"/>
  <c r="S720" i="9"/>
  <c r="R720" i="9"/>
  <c r="Q720" i="9"/>
  <c r="P720" i="9"/>
  <c r="U719" i="9"/>
  <c r="T719" i="9"/>
  <c r="S719" i="9"/>
  <c r="R719" i="9"/>
  <c r="Q719" i="9"/>
  <c r="P719" i="9"/>
  <c r="U718" i="9"/>
  <c r="T718" i="9"/>
  <c r="S718" i="9"/>
  <c r="R718" i="9"/>
  <c r="Q718" i="9"/>
  <c r="P718" i="9"/>
  <c r="U717" i="9"/>
  <c r="T717" i="9"/>
  <c r="S717" i="9"/>
  <c r="R717" i="9"/>
  <c r="Q717" i="9"/>
  <c r="P717" i="9"/>
  <c r="U716" i="9"/>
  <c r="T716" i="9"/>
  <c r="S716" i="9"/>
  <c r="R716" i="9"/>
  <c r="Q716" i="9"/>
  <c r="P716" i="9"/>
  <c r="U715" i="9"/>
  <c r="T715" i="9"/>
  <c r="S715" i="9"/>
  <c r="R715" i="9"/>
  <c r="Q715" i="9"/>
  <c r="P715" i="9"/>
  <c r="U714" i="9"/>
  <c r="T714" i="9"/>
  <c r="S714" i="9"/>
  <c r="R714" i="9"/>
  <c r="Q714" i="9"/>
  <c r="P714" i="9"/>
  <c r="U713" i="9"/>
  <c r="T713" i="9"/>
  <c r="S713" i="9"/>
  <c r="R713" i="9"/>
  <c r="Q713" i="9"/>
  <c r="P713" i="9"/>
  <c r="U712" i="9"/>
  <c r="T712" i="9"/>
  <c r="S712" i="9"/>
  <c r="R712" i="9"/>
  <c r="Q712" i="9"/>
  <c r="P712" i="9"/>
  <c r="U711" i="9"/>
  <c r="T711" i="9"/>
  <c r="S711" i="9"/>
  <c r="R711" i="9"/>
  <c r="Q711" i="9"/>
  <c r="P711" i="9"/>
  <c r="U710" i="9"/>
  <c r="T710" i="9"/>
  <c r="S710" i="9"/>
  <c r="R710" i="9"/>
  <c r="Q710" i="9"/>
  <c r="P710" i="9"/>
  <c r="U709" i="9"/>
  <c r="T709" i="9"/>
  <c r="S709" i="9"/>
  <c r="R709" i="9"/>
  <c r="Q709" i="9"/>
  <c r="P709" i="9"/>
  <c r="U708" i="9"/>
  <c r="T708" i="9"/>
  <c r="S708" i="9"/>
  <c r="R708" i="9"/>
  <c r="Q708" i="9"/>
  <c r="P708" i="9"/>
  <c r="U707" i="9"/>
  <c r="T707" i="9"/>
  <c r="S707" i="9"/>
  <c r="R707" i="9"/>
  <c r="Q707" i="9"/>
  <c r="P707" i="9"/>
  <c r="U706" i="9"/>
  <c r="T706" i="9"/>
  <c r="S706" i="9"/>
  <c r="R706" i="9"/>
  <c r="Q706" i="9"/>
  <c r="P706" i="9"/>
  <c r="U705" i="9"/>
  <c r="T705" i="9"/>
  <c r="S705" i="9"/>
  <c r="R705" i="9"/>
  <c r="Q705" i="9"/>
  <c r="P705" i="9"/>
  <c r="U704" i="9"/>
  <c r="T704" i="9"/>
  <c r="S704" i="9"/>
  <c r="R704" i="9"/>
  <c r="Q704" i="9"/>
  <c r="P704" i="9"/>
  <c r="U703" i="9"/>
  <c r="T703" i="9"/>
  <c r="S703" i="9"/>
  <c r="R703" i="9"/>
  <c r="Q703" i="9"/>
  <c r="P703" i="9"/>
  <c r="U702" i="9"/>
  <c r="T702" i="9"/>
  <c r="S702" i="9"/>
  <c r="R702" i="9"/>
  <c r="Q702" i="9"/>
  <c r="P702" i="9"/>
  <c r="U701" i="9"/>
  <c r="T701" i="9"/>
  <c r="S701" i="9"/>
  <c r="R701" i="9"/>
  <c r="Q701" i="9"/>
  <c r="P701" i="9"/>
  <c r="U700" i="9"/>
  <c r="T700" i="9"/>
  <c r="S700" i="9"/>
  <c r="R700" i="9"/>
  <c r="Q700" i="9"/>
  <c r="P700" i="9"/>
  <c r="U699" i="9"/>
  <c r="T699" i="9"/>
  <c r="S699" i="9"/>
  <c r="R699" i="9"/>
  <c r="Q699" i="9"/>
  <c r="P699" i="9"/>
  <c r="U698" i="9"/>
  <c r="T698" i="9"/>
  <c r="S698" i="9"/>
  <c r="R698" i="9"/>
  <c r="Q698" i="9"/>
  <c r="P698" i="9"/>
  <c r="U697" i="9"/>
  <c r="T697" i="9"/>
  <c r="S697" i="9"/>
  <c r="R697" i="9"/>
  <c r="Q697" i="9"/>
  <c r="P697" i="9"/>
  <c r="U696" i="9"/>
  <c r="T696" i="9"/>
  <c r="S696" i="9"/>
  <c r="R696" i="9"/>
  <c r="Q696" i="9"/>
  <c r="P696" i="9"/>
  <c r="U695" i="9"/>
  <c r="T695" i="9"/>
  <c r="S695" i="9"/>
  <c r="R695" i="9"/>
  <c r="Q695" i="9"/>
  <c r="P695" i="9"/>
  <c r="U694" i="9"/>
  <c r="T694" i="9"/>
  <c r="S694" i="9"/>
  <c r="R694" i="9"/>
  <c r="Q694" i="9"/>
  <c r="P694" i="9"/>
  <c r="U693" i="9"/>
  <c r="T693" i="9"/>
  <c r="S693" i="9"/>
  <c r="R693" i="9"/>
  <c r="Q693" i="9"/>
  <c r="P693" i="9"/>
  <c r="U692" i="9"/>
  <c r="T692" i="9"/>
  <c r="S692" i="9"/>
  <c r="R692" i="9"/>
  <c r="Q692" i="9"/>
  <c r="P692" i="9"/>
  <c r="U691" i="9"/>
  <c r="T691" i="9"/>
  <c r="S691" i="9"/>
  <c r="R691" i="9"/>
  <c r="Q691" i="9"/>
  <c r="P691" i="9"/>
  <c r="U690" i="9"/>
  <c r="T690" i="9"/>
  <c r="S690" i="9"/>
  <c r="R690" i="9"/>
  <c r="Q690" i="9"/>
  <c r="P690" i="9"/>
  <c r="U689" i="9"/>
  <c r="T689" i="9"/>
  <c r="S689" i="9"/>
  <c r="R689" i="9"/>
  <c r="Q689" i="9"/>
  <c r="P689" i="9"/>
  <c r="U688" i="9"/>
  <c r="T688" i="9"/>
  <c r="S688" i="9"/>
  <c r="R688" i="9"/>
  <c r="Q688" i="9"/>
  <c r="P688" i="9"/>
  <c r="U687" i="9"/>
  <c r="T687" i="9"/>
  <c r="S687" i="9"/>
  <c r="R687" i="9"/>
  <c r="Q687" i="9"/>
  <c r="P687" i="9"/>
  <c r="U686" i="9"/>
  <c r="T686" i="9"/>
  <c r="S686" i="9"/>
  <c r="R686" i="9"/>
  <c r="Q686" i="9"/>
  <c r="P686" i="9"/>
  <c r="U685" i="9"/>
  <c r="T685" i="9"/>
  <c r="S685" i="9"/>
  <c r="R685" i="9"/>
  <c r="Q685" i="9"/>
  <c r="P685" i="9"/>
  <c r="U684" i="9"/>
  <c r="T684" i="9"/>
  <c r="S684" i="9"/>
  <c r="R684" i="9"/>
  <c r="Q684" i="9"/>
  <c r="P684" i="9"/>
  <c r="U683" i="9"/>
  <c r="T683" i="9"/>
  <c r="S683" i="9"/>
  <c r="R683" i="9"/>
  <c r="Q683" i="9"/>
  <c r="P683" i="9"/>
  <c r="U682" i="9"/>
  <c r="T682" i="9"/>
  <c r="S682" i="9"/>
  <c r="R682" i="9"/>
  <c r="Q682" i="9"/>
  <c r="P682" i="9"/>
  <c r="U681" i="9"/>
  <c r="T681" i="9"/>
  <c r="S681" i="9"/>
  <c r="R681" i="9"/>
  <c r="Q681" i="9"/>
  <c r="P681" i="9"/>
  <c r="U680" i="9"/>
  <c r="T680" i="9"/>
  <c r="S680" i="9"/>
  <c r="R680" i="9"/>
  <c r="Q680" i="9"/>
  <c r="P680" i="9"/>
  <c r="U679" i="9"/>
  <c r="T679" i="9"/>
  <c r="S679" i="9"/>
  <c r="R679" i="9"/>
  <c r="Q679" i="9"/>
  <c r="P679" i="9"/>
  <c r="U678" i="9"/>
  <c r="T678" i="9"/>
  <c r="S678" i="9"/>
  <c r="R678" i="9"/>
  <c r="Q678" i="9"/>
  <c r="P678" i="9"/>
  <c r="U677" i="9"/>
  <c r="T677" i="9"/>
  <c r="S677" i="9"/>
  <c r="R677" i="9"/>
  <c r="Q677" i="9"/>
  <c r="P677" i="9"/>
  <c r="U676" i="9"/>
  <c r="T676" i="9"/>
  <c r="S676" i="9"/>
  <c r="R676" i="9"/>
  <c r="Q676" i="9"/>
  <c r="P676" i="9"/>
  <c r="U675" i="9"/>
  <c r="T675" i="9"/>
  <c r="S675" i="9"/>
  <c r="R675" i="9"/>
  <c r="Q675" i="9"/>
  <c r="P675" i="9"/>
  <c r="U674" i="9"/>
  <c r="T674" i="9"/>
  <c r="S674" i="9"/>
  <c r="R674" i="9"/>
  <c r="Q674" i="9"/>
  <c r="P674" i="9"/>
  <c r="U673" i="9"/>
  <c r="T673" i="9"/>
  <c r="S673" i="9"/>
  <c r="R673" i="9"/>
  <c r="Q673" i="9"/>
  <c r="P673" i="9"/>
  <c r="U672" i="9"/>
  <c r="T672" i="9"/>
  <c r="S672" i="9"/>
  <c r="R672" i="9"/>
  <c r="Q672" i="9"/>
  <c r="P672" i="9"/>
  <c r="U671" i="9"/>
  <c r="T671" i="9"/>
  <c r="S671" i="9"/>
  <c r="R671" i="9"/>
  <c r="Q671" i="9"/>
  <c r="P671" i="9"/>
  <c r="U670" i="9"/>
  <c r="T670" i="9"/>
  <c r="S670" i="9"/>
  <c r="R670" i="9"/>
  <c r="Q670" i="9"/>
  <c r="P670" i="9"/>
  <c r="U669" i="9"/>
  <c r="T669" i="9"/>
  <c r="S669" i="9"/>
  <c r="R669" i="9"/>
  <c r="Q669" i="9"/>
  <c r="P669" i="9"/>
  <c r="U668" i="9"/>
  <c r="T668" i="9"/>
  <c r="S668" i="9"/>
  <c r="R668" i="9"/>
  <c r="Q668" i="9"/>
  <c r="P668" i="9"/>
  <c r="U667" i="9"/>
  <c r="T667" i="9"/>
  <c r="S667" i="9"/>
  <c r="R667" i="9"/>
  <c r="Q667" i="9"/>
  <c r="P667" i="9"/>
  <c r="U666" i="9"/>
  <c r="T666" i="9"/>
  <c r="S666" i="9"/>
  <c r="R666" i="9"/>
  <c r="Q666" i="9"/>
  <c r="P666" i="9"/>
  <c r="U665" i="9"/>
  <c r="T665" i="9"/>
  <c r="S665" i="9"/>
  <c r="R665" i="9"/>
  <c r="Q665" i="9"/>
  <c r="P665" i="9"/>
  <c r="U664" i="9"/>
  <c r="T664" i="9"/>
  <c r="S664" i="9"/>
  <c r="R664" i="9"/>
  <c r="Q664" i="9"/>
  <c r="P664" i="9"/>
  <c r="U663" i="9"/>
  <c r="T663" i="9"/>
  <c r="S663" i="9"/>
  <c r="R663" i="9"/>
  <c r="Q663" i="9"/>
  <c r="P663" i="9"/>
  <c r="U662" i="9"/>
  <c r="T662" i="9"/>
  <c r="S662" i="9"/>
  <c r="R662" i="9"/>
  <c r="Q662" i="9"/>
  <c r="P662" i="9"/>
  <c r="U661" i="9"/>
  <c r="T661" i="9"/>
  <c r="S661" i="9"/>
  <c r="R661" i="9"/>
  <c r="Q661" i="9"/>
  <c r="P661" i="9"/>
  <c r="U660" i="9"/>
  <c r="T660" i="9"/>
  <c r="S660" i="9"/>
  <c r="R660" i="9"/>
  <c r="Q660" i="9"/>
  <c r="P660" i="9"/>
  <c r="U659" i="9"/>
  <c r="T659" i="9"/>
  <c r="S659" i="9"/>
  <c r="R659" i="9"/>
  <c r="Q659" i="9"/>
  <c r="P659" i="9"/>
  <c r="U658" i="9"/>
  <c r="T658" i="9"/>
  <c r="S658" i="9"/>
  <c r="R658" i="9"/>
  <c r="Q658" i="9"/>
  <c r="P658" i="9"/>
  <c r="U657" i="9"/>
  <c r="T657" i="9"/>
  <c r="S657" i="9"/>
  <c r="R657" i="9"/>
  <c r="Q657" i="9"/>
  <c r="P657" i="9"/>
  <c r="U656" i="9"/>
  <c r="T656" i="9"/>
  <c r="S656" i="9"/>
  <c r="R656" i="9"/>
  <c r="Q656" i="9"/>
  <c r="P656" i="9"/>
  <c r="U655" i="9"/>
  <c r="T655" i="9"/>
  <c r="S655" i="9"/>
  <c r="R655" i="9"/>
  <c r="Q655" i="9"/>
  <c r="P655" i="9"/>
  <c r="U654" i="9"/>
  <c r="T654" i="9"/>
  <c r="S654" i="9"/>
  <c r="R654" i="9"/>
  <c r="Q654" i="9"/>
  <c r="P654" i="9"/>
  <c r="U653" i="9"/>
  <c r="T653" i="9"/>
  <c r="S653" i="9"/>
  <c r="R653" i="9"/>
  <c r="Q653" i="9"/>
  <c r="P653" i="9"/>
  <c r="U652" i="9"/>
  <c r="T652" i="9"/>
  <c r="S652" i="9"/>
  <c r="R652" i="9"/>
  <c r="Q652" i="9"/>
  <c r="P652" i="9"/>
  <c r="U651" i="9"/>
  <c r="T651" i="9"/>
  <c r="S651" i="9"/>
  <c r="R651" i="9"/>
  <c r="Q651" i="9"/>
  <c r="P651" i="9"/>
  <c r="U650" i="9"/>
  <c r="T650" i="9"/>
  <c r="S650" i="9"/>
  <c r="R650" i="9"/>
  <c r="Q650" i="9"/>
  <c r="P650" i="9"/>
  <c r="U649" i="9"/>
  <c r="T649" i="9"/>
  <c r="S649" i="9"/>
  <c r="R649" i="9"/>
  <c r="Q649" i="9"/>
  <c r="P649" i="9"/>
  <c r="U648" i="9"/>
  <c r="T648" i="9"/>
  <c r="S648" i="9"/>
  <c r="R648" i="9"/>
  <c r="Q648" i="9"/>
  <c r="P648" i="9"/>
  <c r="U647" i="9"/>
  <c r="T647" i="9"/>
  <c r="S647" i="9"/>
  <c r="R647" i="9"/>
  <c r="Q647" i="9"/>
  <c r="P647" i="9"/>
  <c r="U646" i="9"/>
  <c r="T646" i="9"/>
  <c r="S646" i="9"/>
  <c r="R646" i="9"/>
  <c r="Q646" i="9"/>
  <c r="P646" i="9"/>
  <c r="U645" i="9"/>
  <c r="T645" i="9"/>
  <c r="S645" i="9"/>
  <c r="R645" i="9"/>
  <c r="Q645" i="9"/>
  <c r="P645" i="9"/>
  <c r="U644" i="9"/>
  <c r="T644" i="9"/>
  <c r="S644" i="9"/>
  <c r="R644" i="9"/>
  <c r="Q644" i="9"/>
  <c r="P644" i="9"/>
  <c r="U643" i="9"/>
  <c r="T643" i="9"/>
  <c r="S643" i="9"/>
  <c r="R643" i="9"/>
  <c r="Q643" i="9"/>
  <c r="P643" i="9"/>
  <c r="U642" i="9"/>
  <c r="T642" i="9"/>
  <c r="S642" i="9"/>
  <c r="R642" i="9"/>
  <c r="Q642" i="9"/>
  <c r="P642" i="9"/>
  <c r="U641" i="9"/>
  <c r="T641" i="9"/>
  <c r="S641" i="9"/>
  <c r="R641" i="9"/>
  <c r="Q641" i="9"/>
  <c r="P641" i="9"/>
  <c r="U640" i="9"/>
  <c r="T640" i="9"/>
  <c r="S640" i="9"/>
  <c r="R640" i="9"/>
  <c r="Q640" i="9"/>
  <c r="P640" i="9"/>
  <c r="U639" i="9"/>
  <c r="T639" i="9"/>
  <c r="S639" i="9"/>
  <c r="R639" i="9"/>
  <c r="Q639" i="9"/>
  <c r="P639" i="9"/>
  <c r="U638" i="9"/>
  <c r="T638" i="9"/>
  <c r="S638" i="9"/>
  <c r="R638" i="9"/>
  <c r="Q638" i="9"/>
  <c r="P638" i="9"/>
  <c r="U637" i="9"/>
  <c r="T637" i="9"/>
  <c r="S637" i="9"/>
  <c r="R637" i="9"/>
  <c r="Q637" i="9"/>
  <c r="P637" i="9"/>
  <c r="U636" i="9"/>
  <c r="T636" i="9"/>
  <c r="S636" i="9"/>
  <c r="R636" i="9"/>
  <c r="Q636" i="9"/>
  <c r="P636" i="9"/>
  <c r="U635" i="9"/>
  <c r="T635" i="9"/>
  <c r="S635" i="9"/>
  <c r="R635" i="9"/>
  <c r="Q635" i="9"/>
  <c r="P635" i="9"/>
  <c r="U634" i="9"/>
  <c r="T634" i="9"/>
  <c r="S634" i="9"/>
  <c r="R634" i="9"/>
  <c r="Q634" i="9"/>
  <c r="P634" i="9"/>
  <c r="U633" i="9"/>
  <c r="T633" i="9"/>
  <c r="S633" i="9"/>
  <c r="R633" i="9"/>
  <c r="Q633" i="9"/>
  <c r="P633" i="9"/>
  <c r="U632" i="9"/>
  <c r="T632" i="9"/>
  <c r="S632" i="9"/>
  <c r="R632" i="9"/>
  <c r="Q632" i="9"/>
  <c r="P632" i="9"/>
  <c r="U631" i="9"/>
  <c r="T631" i="9"/>
  <c r="S631" i="9"/>
  <c r="R631" i="9"/>
  <c r="Q631" i="9"/>
  <c r="P631" i="9"/>
  <c r="U630" i="9"/>
  <c r="T630" i="9"/>
  <c r="S630" i="9"/>
  <c r="R630" i="9"/>
  <c r="Q630" i="9"/>
  <c r="P630" i="9"/>
  <c r="U629" i="9"/>
  <c r="T629" i="9"/>
  <c r="S629" i="9"/>
  <c r="R629" i="9"/>
  <c r="Q629" i="9"/>
  <c r="P629" i="9"/>
  <c r="U628" i="9"/>
  <c r="T628" i="9"/>
  <c r="S628" i="9"/>
  <c r="R628" i="9"/>
  <c r="Q628" i="9"/>
  <c r="P628" i="9"/>
  <c r="U627" i="9"/>
  <c r="T627" i="9"/>
  <c r="S627" i="9"/>
  <c r="R627" i="9"/>
  <c r="Q627" i="9"/>
  <c r="P627" i="9"/>
  <c r="U626" i="9"/>
  <c r="T626" i="9"/>
  <c r="S626" i="9"/>
  <c r="R626" i="9"/>
  <c r="Q626" i="9"/>
  <c r="P626" i="9"/>
  <c r="U625" i="9"/>
  <c r="T625" i="9"/>
  <c r="S625" i="9"/>
  <c r="R625" i="9"/>
  <c r="Q625" i="9"/>
  <c r="P625" i="9"/>
  <c r="U624" i="9"/>
  <c r="T624" i="9"/>
  <c r="S624" i="9"/>
  <c r="R624" i="9"/>
  <c r="Q624" i="9"/>
  <c r="P624" i="9"/>
  <c r="U623" i="9"/>
  <c r="T623" i="9"/>
  <c r="S623" i="9"/>
  <c r="R623" i="9"/>
  <c r="Q623" i="9"/>
  <c r="P623" i="9"/>
  <c r="U622" i="9"/>
  <c r="T622" i="9"/>
  <c r="S622" i="9"/>
  <c r="R622" i="9"/>
  <c r="Q622" i="9"/>
  <c r="P622" i="9"/>
  <c r="U621" i="9"/>
  <c r="T621" i="9"/>
  <c r="S621" i="9"/>
  <c r="R621" i="9"/>
  <c r="Q621" i="9"/>
  <c r="P621" i="9"/>
  <c r="U620" i="9"/>
  <c r="T620" i="9"/>
  <c r="S620" i="9"/>
  <c r="R620" i="9"/>
  <c r="Q620" i="9"/>
  <c r="P620" i="9"/>
  <c r="U619" i="9"/>
  <c r="T619" i="9"/>
  <c r="S619" i="9"/>
  <c r="R619" i="9"/>
  <c r="Q619" i="9"/>
  <c r="P619" i="9"/>
  <c r="U618" i="9"/>
  <c r="T618" i="9"/>
  <c r="S618" i="9"/>
  <c r="R618" i="9"/>
  <c r="Q618" i="9"/>
  <c r="P618" i="9"/>
  <c r="U617" i="9"/>
  <c r="T617" i="9"/>
  <c r="S617" i="9"/>
  <c r="R617" i="9"/>
  <c r="Q617" i="9"/>
  <c r="P617" i="9"/>
  <c r="U616" i="9"/>
  <c r="T616" i="9"/>
  <c r="S616" i="9"/>
  <c r="R616" i="9"/>
  <c r="Q616" i="9"/>
  <c r="P616" i="9"/>
  <c r="U615" i="9"/>
  <c r="T615" i="9"/>
  <c r="S615" i="9"/>
  <c r="R615" i="9"/>
  <c r="Q615" i="9"/>
  <c r="P615" i="9"/>
  <c r="U614" i="9"/>
  <c r="T614" i="9"/>
  <c r="S614" i="9"/>
  <c r="R614" i="9"/>
  <c r="Q614" i="9"/>
  <c r="P614" i="9"/>
  <c r="U613" i="9"/>
  <c r="T613" i="9"/>
  <c r="S613" i="9"/>
  <c r="R613" i="9"/>
  <c r="Q613" i="9"/>
  <c r="P613" i="9"/>
  <c r="U612" i="9"/>
  <c r="T612" i="9"/>
  <c r="S612" i="9"/>
  <c r="R612" i="9"/>
  <c r="Q612" i="9"/>
  <c r="P612" i="9"/>
  <c r="U611" i="9"/>
  <c r="T611" i="9"/>
  <c r="S611" i="9"/>
  <c r="R611" i="9"/>
  <c r="Q611" i="9"/>
  <c r="P611" i="9"/>
  <c r="U610" i="9"/>
  <c r="T610" i="9"/>
  <c r="S610" i="9"/>
  <c r="R610" i="9"/>
  <c r="Q610" i="9"/>
  <c r="P610" i="9"/>
  <c r="U609" i="9"/>
  <c r="T609" i="9"/>
  <c r="S609" i="9"/>
  <c r="R609" i="9"/>
  <c r="Q609" i="9"/>
  <c r="P609" i="9"/>
  <c r="U608" i="9"/>
  <c r="T608" i="9"/>
  <c r="S608" i="9"/>
  <c r="R608" i="9"/>
  <c r="Q608" i="9"/>
  <c r="P608" i="9"/>
  <c r="U607" i="9"/>
  <c r="T607" i="9"/>
  <c r="S607" i="9"/>
  <c r="R607" i="9"/>
  <c r="Q607" i="9"/>
  <c r="P607" i="9"/>
  <c r="U606" i="9"/>
  <c r="T606" i="9"/>
  <c r="S606" i="9"/>
  <c r="R606" i="9"/>
  <c r="Q606" i="9"/>
  <c r="P606" i="9"/>
  <c r="U605" i="9"/>
  <c r="T605" i="9"/>
  <c r="S605" i="9"/>
  <c r="R605" i="9"/>
  <c r="Q605" i="9"/>
  <c r="P605" i="9"/>
  <c r="U604" i="9"/>
  <c r="T604" i="9"/>
  <c r="S604" i="9"/>
  <c r="R604" i="9"/>
  <c r="Q604" i="9"/>
  <c r="P604" i="9"/>
  <c r="U603" i="9"/>
  <c r="T603" i="9"/>
  <c r="S603" i="9"/>
  <c r="R603" i="9"/>
  <c r="Q603" i="9"/>
  <c r="P603" i="9"/>
  <c r="U602" i="9"/>
  <c r="T602" i="9"/>
  <c r="S602" i="9"/>
  <c r="R602" i="9"/>
  <c r="Q602" i="9"/>
  <c r="P602" i="9"/>
  <c r="U601" i="9"/>
  <c r="T601" i="9"/>
  <c r="S601" i="9"/>
  <c r="R601" i="9"/>
  <c r="Q601" i="9"/>
  <c r="P601" i="9"/>
  <c r="U600" i="9"/>
  <c r="T600" i="9"/>
  <c r="S600" i="9"/>
  <c r="R600" i="9"/>
  <c r="Q600" i="9"/>
  <c r="P600" i="9"/>
  <c r="U599" i="9"/>
  <c r="T599" i="9"/>
  <c r="S599" i="9"/>
  <c r="R599" i="9"/>
  <c r="Q599" i="9"/>
  <c r="P599" i="9"/>
  <c r="U598" i="9"/>
  <c r="T598" i="9"/>
  <c r="S598" i="9"/>
  <c r="R598" i="9"/>
  <c r="Q598" i="9"/>
  <c r="P598" i="9"/>
  <c r="U597" i="9"/>
  <c r="T597" i="9"/>
  <c r="S597" i="9"/>
  <c r="R597" i="9"/>
  <c r="Q597" i="9"/>
  <c r="P597" i="9"/>
  <c r="U596" i="9"/>
  <c r="T596" i="9"/>
  <c r="S596" i="9"/>
  <c r="R596" i="9"/>
  <c r="Q596" i="9"/>
  <c r="P596" i="9"/>
  <c r="U595" i="9"/>
  <c r="T595" i="9"/>
  <c r="S595" i="9"/>
  <c r="R595" i="9"/>
  <c r="Q595" i="9"/>
  <c r="P595" i="9"/>
  <c r="U594" i="9"/>
  <c r="T594" i="9"/>
  <c r="S594" i="9"/>
  <c r="R594" i="9"/>
  <c r="Q594" i="9"/>
  <c r="P594" i="9"/>
  <c r="U593" i="9"/>
  <c r="T593" i="9"/>
  <c r="S593" i="9"/>
  <c r="R593" i="9"/>
  <c r="Q593" i="9"/>
  <c r="P593" i="9"/>
  <c r="U592" i="9"/>
  <c r="T592" i="9"/>
  <c r="S592" i="9"/>
  <c r="R592" i="9"/>
  <c r="Q592" i="9"/>
  <c r="P592" i="9"/>
  <c r="U591" i="9"/>
  <c r="T591" i="9"/>
  <c r="S591" i="9"/>
  <c r="R591" i="9"/>
  <c r="Q591" i="9"/>
  <c r="P591" i="9"/>
  <c r="U590" i="9"/>
  <c r="T590" i="9"/>
  <c r="S590" i="9"/>
  <c r="R590" i="9"/>
  <c r="Q590" i="9"/>
  <c r="P590" i="9"/>
  <c r="U589" i="9"/>
  <c r="T589" i="9"/>
  <c r="S589" i="9"/>
  <c r="R589" i="9"/>
  <c r="Q589" i="9"/>
  <c r="P589" i="9"/>
  <c r="U588" i="9"/>
  <c r="T588" i="9"/>
  <c r="S588" i="9"/>
  <c r="R588" i="9"/>
  <c r="Q588" i="9"/>
  <c r="P588" i="9"/>
  <c r="U587" i="9"/>
  <c r="T587" i="9"/>
  <c r="S587" i="9"/>
  <c r="R587" i="9"/>
  <c r="Q587" i="9"/>
  <c r="P587" i="9"/>
  <c r="U586" i="9"/>
  <c r="T586" i="9"/>
  <c r="S586" i="9"/>
  <c r="R586" i="9"/>
  <c r="Q586" i="9"/>
  <c r="P586" i="9"/>
  <c r="U585" i="9"/>
  <c r="T585" i="9"/>
  <c r="S585" i="9"/>
  <c r="R585" i="9"/>
  <c r="Q585" i="9"/>
  <c r="P585" i="9"/>
  <c r="U584" i="9"/>
  <c r="T584" i="9"/>
  <c r="S584" i="9"/>
  <c r="R584" i="9"/>
  <c r="Q584" i="9"/>
  <c r="P584" i="9"/>
  <c r="U583" i="9"/>
  <c r="T583" i="9"/>
  <c r="S583" i="9"/>
  <c r="R583" i="9"/>
  <c r="Q583" i="9"/>
  <c r="P583" i="9"/>
  <c r="U582" i="9"/>
  <c r="T582" i="9"/>
  <c r="S582" i="9"/>
  <c r="R582" i="9"/>
  <c r="Q582" i="9"/>
  <c r="P582" i="9"/>
  <c r="U581" i="9"/>
  <c r="T581" i="9"/>
  <c r="S581" i="9"/>
  <c r="R581" i="9"/>
  <c r="Q581" i="9"/>
  <c r="P581" i="9"/>
  <c r="U580" i="9"/>
  <c r="T580" i="9"/>
  <c r="S580" i="9"/>
  <c r="R580" i="9"/>
  <c r="Q580" i="9"/>
  <c r="P580" i="9"/>
  <c r="U579" i="9"/>
  <c r="T579" i="9"/>
  <c r="S579" i="9"/>
  <c r="R579" i="9"/>
  <c r="Q579" i="9"/>
  <c r="P579" i="9"/>
  <c r="U578" i="9"/>
  <c r="T578" i="9"/>
  <c r="S578" i="9"/>
  <c r="R578" i="9"/>
  <c r="Q578" i="9"/>
  <c r="P578" i="9"/>
  <c r="U577" i="9"/>
  <c r="T577" i="9"/>
  <c r="S577" i="9"/>
  <c r="R577" i="9"/>
  <c r="Q577" i="9"/>
  <c r="P577" i="9"/>
  <c r="U576" i="9"/>
  <c r="T576" i="9"/>
  <c r="S576" i="9"/>
  <c r="R576" i="9"/>
  <c r="Q576" i="9"/>
  <c r="P576" i="9"/>
  <c r="U575" i="9"/>
  <c r="T575" i="9"/>
  <c r="S575" i="9"/>
  <c r="R575" i="9"/>
  <c r="Q575" i="9"/>
  <c r="P575" i="9"/>
  <c r="U574" i="9"/>
  <c r="T574" i="9"/>
  <c r="S574" i="9"/>
  <c r="R574" i="9"/>
  <c r="Q574" i="9"/>
  <c r="P574" i="9"/>
  <c r="U573" i="9"/>
  <c r="T573" i="9"/>
  <c r="S573" i="9"/>
  <c r="R573" i="9"/>
  <c r="Q573" i="9"/>
  <c r="P573" i="9"/>
  <c r="U572" i="9"/>
  <c r="T572" i="9"/>
  <c r="S572" i="9"/>
  <c r="R572" i="9"/>
  <c r="Q572" i="9"/>
  <c r="P572" i="9"/>
  <c r="U571" i="9"/>
  <c r="T571" i="9"/>
  <c r="S571" i="9"/>
  <c r="R571" i="9"/>
  <c r="Q571" i="9"/>
  <c r="P571" i="9"/>
  <c r="U570" i="9"/>
  <c r="T570" i="9"/>
  <c r="S570" i="9"/>
  <c r="R570" i="9"/>
  <c r="Q570" i="9"/>
  <c r="P570" i="9"/>
  <c r="U569" i="9"/>
  <c r="T569" i="9"/>
  <c r="S569" i="9"/>
  <c r="R569" i="9"/>
  <c r="Q569" i="9"/>
  <c r="P569" i="9"/>
  <c r="U568" i="9"/>
  <c r="T568" i="9"/>
  <c r="S568" i="9"/>
  <c r="R568" i="9"/>
  <c r="Q568" i="9"/>
  <c r="P568" i="9"/>
  <c r="U567" i="9"/>
  <c r="T567" i="9"/>
  <c r="S567" i="9"/>
  <c r="R567" i="9"/>
  <c r="Q567" i="9"/>
  <c r="P567" i="9"/>
  <c r="U566" i="9"/>
  <c r="T566" i="9"/>
  <c r="S566" i="9"/>
  <c r="R566" i="9"/>
  <c r="Q566" i="9"/>
  <c r="P566" i="9"/>
  <c r="U565" i="9"/>
  <c r="T565" i="9"/>
  <c r="S565" i="9"/>
  <c r="R565" i="9"/>
  <c r="Q565" i="9"/>
  <c r="P565" i="9"/>
  <c r="U564" i="9"/>
  <c r="T564" i="9"/>
  <c r="S564" i="9"/>
  <c r="R564" i="9"/>
  <c r="Q564" i="9"/>
  <c r="P564" i="9"/>
  <c r="U563" i="9"/>
  <c r="T563" i="9"/>
  <c r="S563" i="9"/>
  <c r="R563" i="9"/>
  <c r="Q563" i="9"/>
  <c r="P563" i="9"/>
  <c r="U562" i="9"/>
  <c r="T562" i="9"/>
  <c r="S562" i="9"/>
  <c r="R562" i="9"/>
  <c r="Q562" i="9"/>
  <c r="P562" i="9"/>
  <c r="U561" i="9"/>
  <c r="T561" i="9"/>
  <c r="S561" i="9"/>
  <c r="R561" i="9"/>
  <c r="Q561" i="9"/>
  <c r="P561" i="9"/>
  <c r="U560" i="9"/>
  <c r="T560" i="9"/>
  <c r="S560" i="9"/>
  <c r="R560" i="9"/>
  <c r="Q560" i="9"/>
  <c r="P560" i="9"/>
  <c r="U559" i="9"/>
  <c r="T559" i="9"/>
  <c r="S559" i="9"/>
  <c r="R559" i="9"/>
  <c r="Q559" i="9"/>
  <c r="P559" i="9"/>
  <c r="U558" i="9"/>
  <c r="T558" i="9"/>
  <c r="S558" i="9"/>
  <c r="R558" i="9"/>
  <c r="Q558" i="9"/>
  <c r="P558" i="9"/>
  <c r="U557" i="9"/>
  <c r="T557" i="9"/>
  <c r="S557" i="9"/>
  <c r="R557" i="9"/>
  <c r="Q557" i="9"/>
  <c r="P557" i="9"/>
  <c r="U556" i="9"/>
  <c r="T556" i="9"/>
  <c r="S556" i="9"/>
  <c r="R556" i="9"/>
  <c r="Q556" i="9"/>
  <c r="P556" i="9"/>
  <c r="U555" i="9"/>
  <c r="T555" i="9"/>
  <c r="S555" i="9"/>
  <c r="R555" i="9"/>
  <c r="Q555" i="9"/>
  <c r="P555" i="9"/>
  <c r="U554" i="9"/>
  <c r="T554" i="9"/>
  <c r="S554" i="9"/>
  <c r="R554" i="9"/>
  <c r="Q554" i="9"/>
  <c r="P554" i="9"/>
  <c r="U553" i="9"/>
  <c r="T553" i="9"/>
  <c r="S553" i="9"/>
  <c r="R553" i="9"/>
  <c r="Q553" i="9"/>
  <c r="P553" i="9"/>
  <c r="U552" i="9"/>
  <c r="T552" i="9"/>
  <c r="S552" i="9"/>
  <c r="R552" i="9"/>
  <c r="Q552" i="9"/>
  <c r="P552" i="9"/>
  <c r="U551" i="9"/>
  <c r="T551" i="9"/>
  <c r="S551" i="9"/>
  <c r="R551" i="9"/>
  <c r="Q551" i="9"/>
  <c r="P551" i="9"/>
  <c r="U550" i="9"/>
  <c r="T550" i="9"/>
  <c r="S550" i="9"/>
  <c r="R550" i="9"/>
  <c r="Q550" i="9"/>
  <c r="P550" i="9"/>
  <c r="U549" i="9"/>
  <c r="T549" i="9"/>
  <c r="S549" i="9"/>
  <c r="R549" i="9"/>
  <c r="Q549" i="9"/>
  <c r="P549" i="9"/>
  <c r="U548" i="9"/>
  <c r="T548" i="9"/>
  <c r="S548" i="9"/>
  <c r="R548" i="9"/>
  <c r="Q548" i="9"/>
  <c r="P548" i="9"/>
  <c r="U547" i="9"/>
  <c r="T547" i="9"/>
  <c r="S547" i="9"/>
  <c r="R547" i="9"/>
  <c r="Q547" i="9"/>
  <c r="P547" i="9"/>
  <c r="U546" i="9"/>
  <c r="T546" i="9"/>
  <c r="S546" i="9"/>
  <c r="R546" i="9"/>
  <c r="Q546" i="9"/>
  <c r="P546" i="9"/>
  <c r="U545" i="9"/>
  <c r="T545" i="9"/>
  <c r="S545" i="9"/>
  <c r="R545" i="9"/>
  <c r="Q545" i="9"/>
  <c r="P545" i="9"/>
  <c r="U544" i="9"/>
  <c r="T544" i="9"/>
  <c r="S544" i="9"/>
  <c r="R544" i="9"/>
  <c r="Q544" i="9"/>
  <c r="P544" i="9"/>
  <c r="U543" i="9"/>
  <c r="T543" i="9"/>
  <c r="S543" i="9"/>
  <c r="R543" i="9"/>
  <c r="Q543" i="9"/>
  <c r="P543" i="9"/>
  <c r="U542" i="9"/>
  <c r="T542" i="9"/>
  <c r="S542" i="9"/>
  <c r="R542" i="9"/>
  <c r="Q542" i="9"/>
  <c r="P542" i="9"/>
  <c r="U541" i="9"/>
  <c r="T541" i="9"/>
  <c r="S541" i="9"/>
  <c r="R541" i="9"/>
  <c r="Q541" i="9"/>
  <c r="P541" i="9"/>
  <c r="U540" i="9"/>
  <c r="T540" i="9"/>
  <c r="S540" i="9"/>
  <c r="R540" i="9"/>
  <c r="Q540" i="9"/>
  <c r="P540" i="9"/>
  <c r="U539" i="9"/>
  <c r="T539" i="9"/>
  <c r="S539" i="9"/>
  <c r="R539" i="9"/>
  <c r="Q539" i="9"/>
  <c r="P539" i="9"/>
  <c r="U538" i="9"/>
  <c r="T538" i="9"/>
  <c r="S538" i="9"/>
  <c r="R538" i="9"/>
  <c r="Q538" i="9"/>
  <c r="P538" i="9"/>
  <c r="U537" i="9"/>
  <c r="T537" i="9"/>
  <c r="S537" i="9"/>
  <c r="R537" i="9"/>
  <c r="Q537" i="9"/>
  <c r="P537" i="9"/>
  <c r="U536" i="9"/>
  <c r="T536" i="9"/>
  <c r="S536" i="9"/>
  <c r="R536" i="9"/>
  <c r="Q536" i="9"/>
  <c r="P536" i="9"/>
  <c r="U535" i="9"/>
  <c r="T535" i="9"/>
  <c r="S535" i="9"/>
  <c r="R535" i="9"/>
  <c r="Q535" i="9"/>
  <c r="P535" i="9"/>
  <c r="U534" i="9"/>
  <c r="T534" i="9"/>
  <c r="S534" i="9"/>
  <c r="R534" i="9"/>
  <c r="Q534" i="9"/>
  <c r="P534" i="9"/>
  <c r="U533" i="9"/>
  <c r="T533" i="9"/>
  <c r="S533" i="9"/>
  <c r="R533" i="9"/>
  <c r="Q533" i="9"/>
  <c r="P533" i="9"/>
  <c r="U532" i="9"/>
  <c r="T532" i="9"/>
  <c r="S532" i="9"/>
  <c r="R532" i="9"/>
  <c r="Q532" i="9"/>
  <c r="P532" i="9"/>
  <c r="U531" i="9"/>
  <c r="T531" i="9"/>
  <c r="S531" i="9"/>
  <c r="R531" i="9"/>
  <c r="Q531" i="9"/>
  <c r="P531" i="9"/>
  <c r="U530" i="9"/>
  <c r="T530" i="9"/>
  <c r="S530" i="9"/>
  <c r="R530" i="9"/>
  <c r="Q530" i="9"/>
  <c r="P530" i="9"/>
  <c r="U529" i="9"/>
  <c r="T529" i="9"/>
  <c r="S529" i="9"/>
  <c r="R529" i="9"/>
  <c r="Q529" i="9"/>
  <c r="P529" i="9"/>
  <c r="U528" i="9"/>
  <c r="T528" i="9"/>
  <c r="S528" i="9"/>
  <c r="R528" i="9"/>
  <c r="Q528" i="9"/>
  <c r="P528" i="9"/>
  <c r="U527" i="9"/>
  <c r="T527" i="9"/>
  <c r="S527" i="9"/>
  <c r="R527" i="9"/>
  <c r="Q527" i="9"/>
  <c r="P527" i="9"/>
  <c r="U526" i="9"/>
  <c r="T526" i="9"/>
  <c r="S526" i="9"/>
  <c r="R526" i="9"/>
  <c r="Q526" i="9"/>
  <c r="P526" i="9"/>
  <c r="U525" i="9"/>
  <c r="T525" i="9"/>
  <c r="S525" i="9"/>
  <c r="R525" i="9"/>
  <c r="Q525" i="9"/>
  <c r="P525" i="9"/>
  <c r="U524" i="9"/>
  <c r="T524" i="9"/>
  <c r="S524" i="9"/>
  <c r="R524" i="9"/>
  <c r="Q524" i="9"/>
  <c r="P524" i="9"/>
  <c r="U523" i="9"/>
  <c r="T523" i="9"/>
  <c r="S523" i="9"/>
  <c r="R523" i="9"/>
  <c r="Q523" i="9"/>
  <c r="P523" i="9"/>
  <c r="U522" i="9"/>
  <c r="T522" i="9"/>
  <c r="S522" i="9"/>
  <c r="R522" i="9"/>
  <c r="Q522" i="9"/>
  <c r="P522" i="9"/>
  <c r="U521" i="9"/>
  <c r="T521" i="9"/>
  <c r="S521" i="9"/>
  <c r="R521" i="9"/>
  <c r="Q521" i="9"/>
  <c r="P521" i="9"/>
  <c r="U520" i="9"/>
  <c r="T520" i="9"/>
  <c r="S520" i="9"/>
  <c r="R520" i="9"/>
  <c r="Q520" i="9"/>
  <c r="P520" i="9"/>
  <c r="U519" i="9"/>
  <c r="T519" i="9"/>
  <c r="S519" i="9"/>
  <c r="R519" i="9"/>
  <c r="Q519" i="9"/>
  <c r="P519" i="9"/>
  <c r="U518" i="9"/>
  <c r="T518" i="9"/>
  <c r="S518" i="9"/>
  <c r="R518" i="9"/>
  <c r="Q518" i="9"/>
  <c r="P518" i="9"/>
  <c r="U517" i="9"/>
  <c r="T517" i="9"/>
  <c r="S517" i="9"/>
  <c r="R517" i="9"/>
  <c r="Q517" i="9"/>
  <c r="P517" i="9"/>
  <c r="U516" i="9"/>
  <c r="T516" i="9"/>
  <c r="S516" i="9"/>
  <c r="R516" i="9"/>
  <c r="Q516" i="9"/>
  <c r="P516" i="9"/>
  <c r="U515" i="9"/>
  <c r="T515" i="9"/>
  <c r="S515" i="9"/>
  <c r="R515" i="9"/>
  <c r="Q515" i="9"/>
  <c r="P515" i="9"/>
  <c r="U514" i="9"/>
  <c r="T514" i="9"/>
  <c r="S514" i="9"/>
  <c r="R514" i="9"/>
  <c r="Q514" i="9"/>
  <c r="P514" i="9"/>
  <c r="U513" i="9"/>
  <c r="T513" i="9"/>
  <c r="S513" i="9"/>
  <c r="R513" i="9"/>
  <c r="Q513" i="9"/>
  <c r="P513" i="9"/>
  <c r="U512" i="9"/>
  <c r="T512" i="9"/>
  <c r="S512" i="9"/>
  <c r="R512" i="9"/>
  <c r="Q512" i="9"/>
  <c r="P512" i="9"/>
  <c r="U511" i="9"/>
  <c r="T511" i="9"/>
  <c r="S511" i="9"/>
  <c r="R511" i="9"/>
  <c r="Q511" i="9"/>
  <c r="P511" i="9"/>
  <c r="U510" i="9"/>
  <c r="T510" i="9"/>
  <c r="S510" i="9"/>
  <c r="R510" i="9"/>
  <c r="Q510" i="9"/>
  <c r="P510" i="9"/>
  <c r="U509" i="9"/>
  <c r="T509" i="9"/>
  <c r="S509" i="9"/>
  <c r="R509" i="9"/>
  <c r="Q509" i="9"/>
  <c r="P509" i="9"/>
  <c r="U508" i="9"/>
  <c r="T508" i="9"/>
  <c r="S508" i="9"/>
  <c r="R508" i="9"/>
  <c r="Q508" i="9"/>
  <c r="P508" i="9"/>
  <c r="U507" i="9"/>
  <c r="T507" i="9"/>
  <c r="S507" i="9"/>
  <c r="R507" i="9"/>
  <c r="Q507" i="9"/>
  <c r="P507" i="9"/>
  <c r="U506" i="9"/>
  <c r="T506" i="9"/>
  <c r="S506" i="9"/>
  <c r="R506" i="9"/>
  <c r="Q506" i="9"/>
  <c r="P506" i="9"/>
  <c r="U505" i="9"/>
  <c r="T505" i="9"/>
  <c r="S505" i="9"/>
  <c r="R505" i="9"/>
  <c r="Q505" i="9"/>
  <c r="P505" i="9"/>
  <c r="U504" i="9"/>
  <c r="T504" i="9"/>
  <c r="S504" i="9"/>
  <c r="R504" i="9"/>
  <c r="Q504" i="9"/>
  <c r="P504" i="9"/>
  <c r="U503" i="9"/>
  <c r="T503" i="9"/>
  <c r="S503" i="9"/>
  <c r="R503" i="9"/>
  <c r="Q503" i="9"/>
  <c r="P503" i="9"/>
  <c r="U502" i="9"/>
  <c r="T502" i="9"/>
  <c r="S502" i="9"/>
  <c r="R502" i="9"/>
  <c r="Q502" i="9"/>
  <c r="P502" i="9"/>
  <c r="U501" i="9"/>
  <c r="T501" i="9"/>
  <c r="S501" i="9"/>
  <c r="R501" i="9"/>
  <c r="Q501" i="9"/>
  <c r="P501" i="9"/>
  <c r="U500" i="9"/>
  <c r="T500" i="9"/>
  <c r="S500" i="9"/>
  <c r="R500" i="9"/>
  <c r="Q500" i="9"/>
  <c r="P500" i="9"/>
  <c r="U499" i="9"/>
  <c r="T499" i="9"/>
  <c r="S499" i="9"/>
  <c r="R499" i="9"/>
  <c r="Q499" i="9"/>
  <c r="P499" i="9"/>
  <c r="U498" i="9"/>
  <c r="T498" i="9"/>
  <c r="S498" i="9"/>
  <c r="R498" i="9"/>
  <c r="Q498" i="9"/>
  <c r="P498" i="9"/>
  <c r="U497" i="9"/>
  <c r="T497" i="9"/>
  <c r="S497" i="9"/>
  <c r="R497" i="9"/>
  <c r="Q497" i="9"/>
  <c r="P497" i="9"/>
  <c r="U496" i="9"/>
  <c r="T496" i="9"/>
  <c r="S496" i="9"/>
  <c r="R496" i="9"/>
  <c r="Q496" i="9"/>
  <c r="P496" i="9"/>
  <c r="U495" i="9"/>
  <c r="T495" i="9"/>
  <c r="S495" i="9"/>
  <c r="R495" i="9"/>
  <c r="Q495" i="9"/>
  <c r="P495" i="9"/>
  <c r="U494" i="9"/>
  <c r="T494" i="9"/>
  <c r="S494" i="9"/>
  <c r="R494" i="9"/>
  <c r="Q494" i="9"/>
  <c r="P494" i="9"/>
  <c r="U493" i="9"/>
  <c r="T493" i="9"/>
  <c r="S493" i="9"/>
  <c r="R493" i="9"/>
  <c r="Q493" i="9"/>
  <c r="P493" i="9"/>
  <c r="U492" i="9"/>
  <c r="T492" i="9"/>
  <c r="S492" i="9"/>
  <c r="R492" i="9"/>
  <c r="Q492" i="9"/>
  <c r="P492" i="9"/>
  <c r="U491" i="9"/>
  <c r="T491" i="9"/>
  <c r="S491" i="9"/>
  <c r="R491" i="9"/>
  <c r="Q491" i="9"/>
  <c r="P491" i="9"/>
  <c r="U490" i="9"/>
  <c r="T490" i="9"/>
  <c r="S490" i="9"/>
  <c r="R490" i="9"/>
  <c r="Q490" i="9"/>
  <c r="P490" i="9"/>
  <c r="U489" i="9"/>
  <c r="T489" i="9"/>
  <c r="S489" i="9"/>
  <c r="R489" i="9"/>
  <c r="Q489" i="9"/>
  <c r="P489" i="9"/>
  <c r="U488" i="9"/>
  <c r="T488" i="9"/>
  <c r="S488" i="9"/>
  <c r="R488" i="9"/>
  <c r="Q488" i="9"/>
  <c r="P488" i="9"/>
  <c r="U487" i="9"/>
  <c r="T487" i="9"/>
  <c r="S487" i="9"/>
  <c r="R487" i="9"/>
  <c r="Q487" i="9"/>
  <c r="P487" i="9"/>
  <c r="U486" i="9"/>
  <c r="T486" i="9"/>
  <c r="S486" i="9"/>
  <c r="R486" i="9"/>
  <c r="Q486" i="9"/>
  <c r="P486" i="9"/>
  <c r="U485" i="9"/>
  <c r="T485" i="9"/>
  <c r="S485" i="9"/>
  <c r="R485" i="9"/>
  <c r="Q485" i="9"/>
  <c r="P485" i="9"/>
  <c r="U484" i="9"/>
  <c r="T484" i="9"/>
  <c r="S484" i="9"/>
  <c r="R484" i="9"/>
  <c r="Q484" i="9"/>
  <c r="P484" i="9"/>
  <c r="U483" i="9"/>
  <c r="T483" i="9"/>
  <c r="S483" i="9"/>
  <c r="R483" i="9"/>
  <c r="Q483" i="9"/>
  <c r="P483" i="9"/>
  <c r="U482" i="9"/>
  <c r="T482" i="9"/>
  <c r="S482" i="9"/>
  <c r="R482" i="9"/>
  <c r="Q482" i="9"/>
  <c r="P482" i="9"/>
  <c r="U481" i="9"/>
  <c r="T481" i="9"/>
  <c r="S481" i="9"/>
  <c r="R481" i="9"/>
  <c r="Q481" i="9"/>
  <c r="P481" i="9"/>
  <c r="U480" i="9"/>
  <c r="T480" i="9"/>
  <c r="S480" i="9"/>
  <c r="R480" i="9"/>
  <c r="Q480" i="9"/>
  <c r="P480" i="9"/>
  <c r="U479" i="9"/>
  <c r="T479" i="9"/>
  <c r="S479" i="9"/>
  <c r="R479" i="9"/>
  <c r="Q479" i="9"/>
  <c r="P479" i="9"/>
  <c r="U478" i="9"/>
  <c r="T478" i="9"/>
  <c r="S478" i="9"/>
  <c r="R478" i="9"/>
  <c r="Q478" i="9"/>
  <c r="P478" i="9"/>
  <c r="U477" i="9"/>
  <c r="T477" i="9"/>
  <c r="S477" i="9"/>
  <c r="R477" i="9"/>
  <c r="Q477" i="9"/>
  <c r="P477" i="9"/>
  <c r="U476" i="9"/>
  <c r="T476" i="9"/>
  <c r="S476" i="9"/>
  <c r="R476" i="9"/>
  <c r="Q476" i="9"/>
  <c r="P476" i="9"/>
  <c r="U475" i="9"/>
  <c r="T475" i="9"/>
  <c r="S475" i="9"/>
  <c r="R475" i="9"/>
  <c r="Q475" i="9"/>
  <c r="P475" i="9"/>
  <c r="U474" i="9"/>
  <c r="T474" i="9"/>
  <c r="S474" i="9"/>
  <c r="R474" i="9"/>
  <c r="Q474" i="9"/>
  <c r="P474" i="9"/>
  <c r="U473" i="9"/>
  <c r="T473" i="9"/>
  <c r="S473" i="9"/>
  <c r="R473" i="9"/>
  <c r="Q473" i="9"/>
  <c r="P473" i="9"/>
  <c r="U472" i="9"/>
  <c r="T472" i="9"/>
  <c r="S472" i="9"/>
  <c r="R472" i="9"/>
  <c r="Q472" i="9"/>
  <c r="P472" i="9"/>
  <c r="U471" i="9"/>
  <c r="T471" i="9"/>
  <c r="S471" i="9"/>
  <c r="R471" i="9"/>
  <c r="Q471" i="9"/>
  <c r="P471" i="9"/>
  <c r="U470" i="9"/>
  <c r="T470" i="9"/>
  <c r="S470" i="9"/>
  <c r="R470" i="9"/>
  <c r="Q470" i="9"/>
  <c r="P470" i="9"/>
  <c r="U469" i="9"/>
  <c r="T469" i="9"/>
  <c r="S469" i="9"/>
  <c r="R469" i="9"/>
  <c r="Q469" i="9"/>
  <c r="P469" i="9"/>
  <c r="U468" i="9"/>
  <c r="T468" i="9"/>
  <c r="S468" i="9"/>
  <c r="R468" i="9"/>
  <c r="Q468" i="9"/>
  <c r="P468" i="9"/>
  <c r="U467" i="9"/>
  <c r="T467" i="9"/>
  <c r="S467" i="9"/>
  <c r="R467" i="9"/>
  <c r="Q467" i="9"/>
  <c r="P467" i="9"/>
  <c r="U466" i="9"/>
  <c r="T466" i="9"/>
  <c r="S466" i="9"/>
  <c r="R466" i="9"/>
  <c r="Q466" i="9"/>
  <c r="P466" i="9"/>
  <c r="U465" i="9"/>
  <c r="T465" i="9"/>
  <c r="S465" i="9"/>
  <c r="R465" i="9"/>
  <c r="Q465" i="9"/>
  <c r="P465" i="9"/>
  <c r="U464" i="9"/>
  <c r="T464" i="9"/>
  <c r="S464" i="9"/>
  <c r="R464" i="9"/>
  <c r="Q464" i="9"/>
  <c r="P464" i="9"/>
  <c r="U463" i="9"/>
  <c r="T463" i="9"/>
  <c r="S463" i="9"/>
  <c r="R463" i="9"/>
  <c r="Q463" i="9"/>
  <c r="P463" i="9"/>
  <c r="U462" i="9"/>
  <c r="T462" i="9"/>
  <c r="S462" i="9"/>
  <c r="R462" i="9"/>
  <c r="Q462" i="9"/>
  <c r="P462" i="9"/>
  <c r="U461" i="9"/>
  <c r="T461" i="9"/>
  <c r="S461" i="9"/>
  <c r="R461" i="9"/>
  <c r="Q461" i="9"/>
  <c r="P461" i="9"/>
  <c r="U460" i="9"/>
  <c r="T460" i="9"/>
  <c r="S460" i="9"/>
  <c r="R460" i="9"/>
  <c r="Q460" i="9"/>
  <c r="P460" i="9"/>
  <c r="U459" i="9"/>
  <c r="T459" i="9"/>
  <c r="S459" i="9"/>
  <c r="R459" i="9"/>
  <c r="Q459" i="9"/>
  <c r="P459" i="9"/>
  <c r="U458" i="9"/>
  <c r="T458" i="9"/>
  <c r="S458" i="9"/>
  <c r="R458" i="9"/>
  <c r="Q458" i="9"/>
  <c r="P458" i="9"/>
  <c r="U457" i="9"/>
  <c r="T457" i="9"/>
  <c r="S457" i="9"/>
  <c r="R457" i="9"/>
  <c r="Q457" i="9"/>
  <c r="P457" i="9"/>
  <c r="U456" i="9"/>
  <c r="T456" i="9"/>
  <c r="S456" i="9"/>
  <c r="R456" i="9"/>
  <c r="Q456" i="9"/>
  <c r="P456" i="9"/>
  <c r="U455" i="9"/>
  <c r="T455" i="9"/>
  <c r="S455" i="9"/>
  <c r="R455" i="9"/>
  <c r="Q455" i="9"/>
  <c r="P455" i="9"/>
  <c r="U454" i="9"/>
  <c r="T454" i="9"/>
  <c r="S454" i="9"/>
  <c r="R454" i="9"/>
  <c r="Q454" i="9"/>
  <c r="P454" i="9"/>
  <c r="U453" i="9"/>
  <c r="T453" i="9"/>
  <c r="S453" i="9"/>
  <c r="R453" i="9"/>
  <c r="Q453" i="9"/>
  <c r="P453" i="9"/>
  <c r="U452" i="9"/>
  <c r="T452" i="9"/>
  <c r="S452" i="9"/>
  <c r="R452" i="9"/>
  <c r="Q452" i="9"/>
  <c r="P452" i="9"/>
  <c r="U451" i="9"/>
  <c r="T451" i="9"/>
  <c r="S451" i="9"/>
  <c r="R451" i="9"/>
  <c r="Q451" i="9"/>
  <c r="P451" i="9"/>
  <c r="U450" i="9"/>
  <c r="T450" i="9"/>
  <c r="S450" i="9"/>
  <c r="R450" i="9"/>
  <c r="Q450" i="9"/>
  <c r="P450" i="9"/>
  <c r="U449" i="9"/>
  <c r="T449" i="9"/>
  <c r="S449" i="9"/>
  <c r="R449" i="9"/>
  <c r="Q449" i="9"/>
  <c r="P449" i="9"/>
  <c r="U448" i="9"/>
  <c r="T448" i="9"/>
  <c r="S448" i="9"/>
  <c r="R448" i="9"/>
  <c r="Q448" i="9"/>
  <c r="P448" i="9"/>
  <c r="U447" i="9"/>
  <c r="T447" i="9"/>
  <c r="S447" i="9"/>
  <c r="R447" i="9"/>
  <c r="Q447" i="9"/>
  <c r="P447" i="9"/>
  <c r="U446" i="9"/>
  <c r="T446" i="9"/>
  <c r="S446" i="9"/>
  <c r="R446" i="9"/>
  <c r="Q446" i="9"/>
  <c r="P446" i="9"/>
  <c r="U445" i="9"/>
  <c r="T445" i="9"/>
  <c r="S445" i="9"/>
  <c r="R445" i="9"/>
  <c r="Q445" i="9"/>
  <c r="P445" i="9"/>
  <c r="U444" i="9"/>
  <c r="T444" i="9"/>
  <c r="S444" i="9"/>
  <c r="R444" i="9"/>
  <c r="Q444" i="9"/>
  <c r="P444" i="9"/>
  <c r="U443" i="9"/>
  <c r="T443" i="9"/>
  <c r="S443" i="9"/>
  <c r="R443" i="9"/>
  <c r="Q443" i="9"/>
  <c r="P443" i="9"/>
  <c r="U442" i="9"/>
  <c r="T442" i="9"/>
  <c r="S442" i="9"/>
  <c r="R442" i="9"/>
  <c r="Q442" i="9"/>
  <c r="P442" i="9"/>
  <c r="U441" i="9"/>
  <c r="T441" i="9"/>
  <c r="S441" i="9"/>
  <c r="R441" i="9"/>
  <c r="Q441" i="9"/>
  <c r="P441" i="9"/>
  <c r="U440" i="9"/>
  <c r="T440" i="9"/>
  <c r="S440" i="9"/>
  <c r="R440" i="9"/>
  <c r="Q440" i="9"/>
  <c r="P440" i="9"/>
  <c r="U439" i="9"/>
  <c r="T439" i="9"/>
  <c r="S439" i="9"/>
  <c r="R439" i="9"/>
  <c r="Q439" i="9"/>
  <c r="P439" i="9"/>
  <c r="U438" i="9"/>
  <c r="T438" i="9"/>
  <c r="S438" i="9"/>
  <c r="R438" i="9"/>
  <c r="Q438" i="9"/>
  <c r="P438" i="9"/>
  <c r="U437" i="9"/>
  <c r="T437" i="9"/>
  <c r="S437" i="9"/>
  <c r="R437" i="9"/>
  <c r="Q437" i="9"/>
  <c r="P437" i="9"/>
  <c r="U436" i="9"/>
  <c r="T436" i="9"/>
  <c r="S436" i="9"/>
  <c r="R436" i="9"/>
  <c r="Q436" i="9"/>
  <c r="P436" i="9"/>
  <c r="U435" i="9"/>
  <c r="T435" i="9"/>
  <c r="S435" i="9"/>
  <c r="R435" i="9"/>
  <c r="Q435" i="9"/>
  <c r="P435" i="9"/>
  <c r="U434" i="9"/>
  <c r="T434" i="9"/>
  <c r="S434" i="9"/>
  <c r="R434" i="9"/>
  <c r="Q434" i="9"/>
  <c r="P434" i="9"/>
  <c r="U433" i="9"/>
  <c r="T433" i="9"/>
  <c r="S433" i="9"/>
  <c r="R433" i="9"/>
  <c r="Q433" i="9"/>
  <c r="P433" i="9"/>
  <c r="U432" i="9"/>
  <c r="T432" i="9"/>
  <c r="S432" i="9"/>
  <c r="R432" i="9"/>
  <c r="Q432" i="9"/>
  <c r="P432" i="9"/>
  <c r="U431" i="9"/>
  <c r="T431" i="9"/>
  <c r="S431" i="9"/>
  <c r="R431" i="9"/>
  <c r="Q431" i="9"/>
  <c r="P431" i="9"/>
  <c r="U430" i="9"/>
  <c r="T430" i="9"/>
  <c r="S430" i="9"/>
  <c r="R430" i="9"/>
  <c r="Q430" i="9"/>
  <c r="P430" i="9"/>
  <c r="U429" i="9"/>
  <c r="T429" i="9"/>
  <c r="S429" i="9"/>
  <c r="R429" i="9"/>
  <c r="Q429" i="9"/>
  <c r="P429" i="9"/>
  <c r="U428" i="9"/>
  <c r="T428" i="9"/>
  <c r="S428" i="9"/>
  <c r="R428" i="9"/>
  <c r="Q428" i="9"/>
  <c r="P428" i="9"/>
  <c r="U427" i="9"/>
  <c r="T427" i="9"/>
  <c r="S427" i="9"/>
  <c r="R427" i="9"/>
  <c r="Q427" i="9"/>
  <c r="P427" i="9"/>
  <c r="U426" i="9"/>
  <c r="T426" i="9"/>
  <c r="S426" i="9"/>
  <c r="R426" i="9"/>
  <c r="Q426" i="9"/>
  <c r="P426" i="9"/>
  <c r="U425" i="9"/>
  <c r="T425" i="9"/>
  <c r="S425" i="9"/>
  <c r="R425" i="9"/>
  <c r="Q425" i="9"/>
  <c r="P425" i="9"/>
  <c r="U424" i="9"/>
  <c r="T424" i="9"/>
  <c r="S424" i="9"/>
  <c r="R424" i="9"/>
  <c r="Q424" i="9"/>
  <c r="P424" i="9"/>
  <c r="U423" i="9"/>
  <c r="T423" i="9"/>
  <c r="S423" i="9"/>
  <c r="R423" i="9"/>
  <c r="Q423" i="9"/>
  <c r="P423" i="9"/>
  <c r="U422" i="9"/>
  <c r="T422" i="9"/>
  <c r="S422" i="9"/>
  <c r="R422" i="9"/>
  <c r="Q422" i="9"/>
  <c r="P422" i="9"/>
  <c r="U421" i="9"/>
  <c r="T421" i="9"/>
  <c r="S421" i="9"/>
  <c r="R421" i="9"/>
  <c r="Q421" i="9"/>
  <c r="P421" i="9"/>
  <c r="U420" i="9"/>
  <c r="T420" i="9"/>
  <c r="S420" i="9"/>
  <c r="R420" i="9"/>
  <c r="Q420" i="9"/>
  <c r="P420" i="9"/>
  <c r="U419" i="9"/>
  <c r="T419" i="9"/>
  <c r="S419" i="9"/>
  <c r="R419" i="9"/>
  <c r="Q419" i="9"/>
  <c r="P419" i="9"/>
  <c r="U418" i="9"/>
  <c r="T418" i="9"/>
  <c r="S418" i="9"/>
  <c r="R418" i="9"/>
  <c r="Q418" i="9"/>
  <c r="P418" i="9"/>
  <c r="U417" i="9"/>
  <c r="T417" i="9"/>
  <c r="S417" i="9"/>
  <c r="R417" i="9"/>
  <c r="Q417" i="9"/>
  <c r="P417" i="9"/>
  <c r="U416" i="9"/>
  <c r="T416" i="9"/>
  <c r="S416" i="9"/>
  <c r="R416" i="9"/>
  <c r="Q416" i="9"/>
  <c r="P416" i="9"/>
  <c r="U415" i="9"/>
  <c r="T415" i="9"/>
  <c r="S415" i="9"/>
  <c r="R415" i="9"/>
  <c r="Q415" i="9"/>
  <c r="P415" i="9"/>
  <c r="U414" i="9"/>
  <c r="T414" i="9"/>
  <c r="S414" i="9"/>
  <c r="R414" i="9"/>
  <c r="Q414" i="9"/>
  <c r="P414" i="9"/>
  <c r="U413" i="9"/>
  <c r="T413" i="9"/>
  <c r="S413" i="9"/>
  <c r="R413" i="9"/>
  <c r="Q413" i="9"/>
  <c r="P413" i="9"/>
  <c r="U412" i="9"/>
  <c r="T412" i="9"/>
  <c r="S412" i="9"/>
  <c r="R412" i="9"/>
  <c r="Q412" i="9"/>
  <c r="P412" i="9"/>
  <c r="U411" i="9"/>
  <c r="T411" i="9"/>
  <c r="S411" i="9"/>
  <c r="R411" i="9"/>
  <c r="Q411" i="9"/>
  <c r="P411" i="9"/>
  <c r="U410" i="9"/>
  <c r="T410" i="9"/>
  <c r="S410" i="9"/>
  <c r="R410" i="9"/>
  <c r="Q410" i="9"/>
  <c r="P410" i="9"/>
  <c r="U409" i="9"/>
  <c r="T409" i="9"/>
  <c r="S409" i="9"/>
  <c r="R409" i="9"/>
  <c r="Q409" i="9"/>
  <c r="P409" i="9"/>
  <c r="U408" i="9"/>
  <c r="T408" i="9"/>
  <c r="S408" i="9"/>
  <c r="R408" i="9"/>
  <c r="Q408" i="9"/>
  <c r="P408" i="9"/>
  <c r="U407" i="9"/>
  <c r="T407" i="9"/>
  <c r="S407" i="9"/>
  <c r="R407" i="9"/>
  <c r="Q407" i="9"/>
  <c r="P407" i="9"/>
  <c r="U406" i="9"/>
  <c r="T406" i="9"/>
  <c r="S406" i="9"/>
  <c r="R406" i="9"/>
  <c r="Q406" i="9"/>
  <c r="P406" i="9"/>
  <c r="U405" i="9"/>
  <c r="T405" i="9"/>
  <c r="S405" i="9"/>
  <c r="R405" i="9"/>
  <c r="Q405" i="9"/>
  <c r="P405" i="9"/>
  <c r="U404" i="9"/>
  <c r="T404" i="9"/>
  <c r="S404" i="9"/>
  <c r="R404" i="9"/>
  <c r="Q404" i="9"/>
  <c r="P404" i="9"/>
  <c r="U403" i="9"/>
  <c r="T403" i="9"/>
  <c r="S403" i="9"/>
  <c r="R403" i="9"/>
  <c r="Q403" i="9"/>
  <c r="P403" i="9"/>
  <c r="U402" i="9"/>
  <c r="T402" i="9"/>
  <c r="S402" i="9"/>
  <c r="R402" i="9"/>
  <c r="Q402" i="9"/>
  <c r="P402" i="9"/>
  <c r="U401" i="9"/>
  <c r="T401" i="9"/>
  <c r="S401" i="9"/>
  <c r="R401" i="9"/>
  <c r="Q401" i="9"/>
  <c r="P401" i="9"/>
  <c r="U400" i="9"/>
  <c r="T400" i="9"/>
  <c r="S400" i="9"/>
  <c r="R400" i="9"/>
  <c r="Q400" i="9"/>
  <c r="P400" i="9"/>
  <c r="U399" i="9"/>
  <c r="T399" i="9"/>
  <c r="S399" i="9"/>
  <c r="R399" i="9"/>
  <c r="Q399" i="9"/>
  <c r="P399" i="9"/>
  <c r="U398" i="9"/>
  <c r="T398" i="9"/>
  <c r="S398" i="9"/>
  <c r="R398" i="9"/>
  <c r="Q398" i="9"/>
  <c r="P398" i="9"/>
  <c r="U397" i="9"/>
  <c r="T397" i="9"/>
  <c r="S397" i="9"/>
  <c r="R397" i="9"/>
  <c r="Q397" i="9"/>
  <c r="P397" i="9"/>
  <c r="U396" i="9"/>
  <c r="T396" i="9"/>
  <c r="S396" i="9"/>
  <c r="R396" i="9"/>
  <c r="Q396" i="9"/>
  <c r="P396" i="9"/>
  <c r="U395" i="9"/>
  <c r="T395" i="9"/>
  <c r="S395" i="9"/>
  <c r="R395" i="9"/>
  <c r="Q395" i="9"/>
  <c r="P395" i="9"/>
  <c r="U394" i="9"/>
  <c r="T394" i="9"/>
  <c r="S394" i="9"/>
  <c r="R394" i="9"/>
  <c r="Q394" i="9"/>
  <c r="P394" i="9"/>
  <c r="U393" i="9"/>
  <c r="T393" i="9"/>
  <c r="S393" i="9"/>
  <c r="R393" i="9"/>
  <c r="Q393" i="9"/>
  <c r="P393" i="9"/>
  <c r="U392" i="9"/>
  <c r="T392" i="9"/>
  <c r="S392" i="9"/>
  <c r="R392" i="9"/>
  <c r="Q392" i="9"/>
  <c r="P392" i="9"/>
  <c r="U391" i="9"/>
  <c r="T391" i="9"/>
  <c r="S391" i="9"/>
  <c r="R391" i="9"/>
  <c r="Q391" i="9"/>
  <c r="P391" i="9"/>
  <c r="U390" i="9"/>
  <c r="T390" i="9"/>
  <c r="S390" i="9"/>
  <c r="R390" i="9"/>
  <c r="Q390" i="9"/>
  <c r="P390" i="9"/>
  <c r="U389" i="9"/>
  <c r="T389" i="9"/>
  <c r="S389" i="9"/>
  <c r="R389" i="9"/>
  <c r="Q389" i="9"/>
  <c r="P389" i="9"/>
  <c r="U388" i="9"/>
  <c r="T388" i="9"/>
  <c r="S388" i="9"/>
  <c r="R388" i="9"/>
  <c r="Q388" i="9"/>
  <c r="P388" i="9"/>
  <c r="U387" i="9"/>
  <c r="T387" i="9"/>
  <c r="S387" i="9"/>
  <c r="R387" i="9"/>
  <c r="Q387" i="9"/>
  <c r="P387" i="9"/>
  <c r="U386" i="9"/>
  <c r="T386" i="9"/>
  <c r="S386" i="9"/>
  <c r="R386" i="9"/>
  <c r="Q386" i="9"/>
  <c r="P386" i="9"/>
  <c r="U385" i="9"/>
  <c r="T385" i="9"/>
  <c r="S385" i="9"/>
  <c r="R385" i="9"/>
  <c r="Q385" i="9"/>
  <c r="P385" i="9"/>
  <c r="U384" i="9"/>
  <c r="T384" i="9"/>
  <c r="S384" i="9"/>
  <c r="R384" i="9"/>
  <c r="Q384" i="9"/>
  <c r="P384" i="9"/>
  <c r="U383" i="9"/>
  <c r="T383" i="9"/>
  <c r="S383" i="9"/>
  <c r="R383" i="9"/>
  <c r="Q383" i="9"/>
  <c r="P383" i="9"/>
  <c r="U382" i="9"/>
  <c r="T382" i="9"/>
  <c r="S382" i="9"/>
  <c r="R382" i="9"/>
  <c r="Q382" i="9"/>
  <c r="P382" i="9"/>
  <c r="U381" i="9"/>
  <c r="T381" i="9"/>
  <c r="S381" i="9"/>
  <c r="R381" i="9"/>
  <c r="Q381" i="9"/>
  <c r="P381" i="9"/>
  <c r="U380" i="9"/>
  <c r="T380" i="9"/>
  <c r="S380" i="9"/>
  <c r="R380" i="9"/>
  <c r="Q380" i="9"/>
  <c r="P380" i="9"/>
  <c r="U379" i="9"/>
  <c r="T379" i="9"/>
  <c r="S379" i="9"/>
  <c r="R379" i="9"/>
  <c r="Q379" i="9"/>
  <c r="P379" i="9"/>
  <c r="U378" i="9"/>
  <c r="T378" i="9"/>
  <c r="S378" i="9"/>
  <c r="R378" i="9"/>
  <c r="Q378" i="9"/>
  <c r="P378" i="9"/>
  <c r="U377" i="9"/>
  <c r="T377" i="9"/>
  <c r="S377" i="9"/>
  <c r="R377" i="9"/>
  <c r="Q377" i="9"/>
  <c r="P377" i="9"/>
  <c r="U376" i="9"/>
  <c r="T376" i="9"/>
  <c r="S376" i="9"/>
  <c r="R376" i="9"/>
  <c r="Q376" i="9"/>
  <c r="P376" i="9"/>
  <c r="U375" i="9"/>
  <c r="T375" i="9"/>
  <c r="S375" i="9"/>
  <c r="R375" i="9"/>
  <c r="Q375" i="9"/>
  <c r="P375" i="9"/>
  <c r="U374" i="9"/>
  <c r="T374" i="9"/>
  <c r="S374" i="9"/>
  <c r="R374" i="9"/>
  <c r="Q374" i="9"/>
  <c r="P374" i="9"/>
  <c r="U373" i="9"/>
  <c r="T373" i="9"/>
  <c r="S373" i="9"/>
  <c r="R373" i="9"/>
  <c r="Q373" i="9"/>
  <c r="P373" i="9"/>
  <c r="U372" i="9"/>
  <c r="T372" i="9"/>
  <c r="S372" i="9"/>
  <c r="R372" i="9"/>
  <c r="Q372" i="9"/>
  <c r="P372" i="9"/>
  <c r="U371" i="9"/>
  <c r="T371" i="9"/>
  <c r="S371" i="9"/>
  <c r="R371" i="9"/>
  <c r="Q371" i="9"/>
  <c r="P371" i="9"/>
  <c r="U370" i="9"/>
  <c r="T370" i="9"/>
  <c r="S370" i="9"/>
  <c r="R370" i="9"/>
  <c r="Q370" i="9"/>
  <c r="P370" i="9"/>
  <c r="U369" i="9"/>
  <c r="T369" i="9"/>
  <c r="S369" i="9"/>
  <c r="R369" i="9"/>
  <c r="Q369" i="9"/>
  <c r="P369" i="9"/>
  <c r="U368" i="9"/>
  <c r="T368" i="9"/>
  <c r="S368" i="9"/>
  <c r="R368" i="9"/>
  <c r="Q368" i="9"/>
  <c r="P368" i="9"/>
  <c r="U367" i="9"/>
  <c r="T367" i="9"/>
  <c r="S367" i="9"/>
  <c r="R367" i="9"/>
  <c r="Q367" i="9"/>
  <c r="P367" i="9"/>
  <c r="U366" i="9"/>
  <c r="T366" i="9"/>
  <c r="S366" i="9"/>
  <c r="R366" i="9"/>
  <c r="Q366" i="9"/>
  <c r="P366" i="9"/>
  <c r="U365" i="9"/>
  <c r="T365" i="9"/>
  <c r="S365" i="9"/>
  <c r="R365" i="9"/>
  <c r="Q365" i="9"/>
  <c r="P365" i="9"/>
  <c r="U364" i="9"/>
  <c r="T364" i="9"/>
  <c r="S364" i="9"/>
  <c r="R364" i="9"/>
  <c r="Q364" i="9"/>
  <c r="P364" i="9"/>
  <c r="U363" i="9"/>
  <c r="T363" i="9"/>
  <c r="S363" i="9"/>
  <c r="R363" i="9"/>
  <c r="Q363" i="9"/>
  <c r="P363" i="9"/>
  <c r="U362" i="9"/>
  <c r="T362" i="9"/>
  <c r="S362" i="9"/>
  <c r="R362" i="9"/>
  <c r="Q362" i="9"/>
  <c r="P362" i="9"/>
  <c r="U361" i="9"/>
  <c r="T361" i="9"/>
  <c r="S361" i="9"/>
  <c r="R361" i="9"/>
  <c r="Q361" i="9"/>
  <c r="P361" i="9"/>
  <c r="U360" i="9"/>
  <c r="T360" i="9"/>
  <c r="S360" i="9"/>
  <c r="R360" i="9"/>
  <c r="Q360" i="9"/>
  <c r="P360" i="9"/>
  <c r="U359" i="9"/>
  <c r="T359" i="9"/>
  <c r="S359" i="9"/>
  <c r="R359" i="9"/>
  <c r="Q359" i="9"/>
  <c r="P359" i="9"/>
  <c r="U358" i="9"/>
  <c r="T358" i="9"/>
  <c r="S358" i="9"/>
  <c r="R358" i="9"/>
  <c r="Q358" i="9"/>
  <c r="P358" i="9"/>
  <c r="U357" i="9"/>
  <c r="T357" i="9"/>
  <c r="S357" i="9"/>
  <c r="R357" i="9"/>
  <c r="Q357" i="9"/>
  <c r="P357" i="9"/>
  <c r="U356" i="9"/>
  <c r="T356" i="9"/>
  <c r="S356" i="9"/>
  <c r="R356" i="9"/>
  <c r="Q356" i="9"/>
  <c r="P356" i="9"/>
  <c r="U355" i="9"/>
  <c r="T355" i="9"/>
  <c r="S355" i="9"/>
  <c r="R355" i="9"/>
  <c r="Q355" i="9"/>
  <c r="P355" i="9"/>
  <c r="U354" i="9"/>
  <c r="T354" i="9"/>
  <c r="S354" i="9"/>
  <c r="R354" i="9"/>
  <c r="Q354" i="9"/>
  <c r="P354" i="9"/>
  <c r="U353" i="9"/>
  <c r="T353" i="9"/>
  <c r="S353" i="9"/>
  <c r="R353" i="9"/>
  <c r="Q353" i="9"/>
  <c r="P353" i="9"/>
  <c r="U352" i="9"/>
  <c r="T352" i="9"/>
  <c r="S352" i="9"/>
  <c r="R352" i="9"/>
  <c r="Q352" i="9"/>
  <c r="P352" i="9"/>
  <c r="U351" i="9"/>
  <c r="T351" i="9"/>
  <c r="S351" i="9"/>
  <c r="R351" i="9"/>
  <c r="Q351" i="9"/>
  <c r="P351" i="9"/>
  <c r="U350" i="9"/>
  <c r="T350" i="9"/>
  <c r="S350" i="9"/>
  <c r="R350" i="9"/>
  <c r="Q350" i="9"/>
  <c r="P350" i="9"/>
  <c r="U349" i="9"/>
  <c r="T349" i="9"/>
  <c r="S349" i="9"/>
  <c r="R349" i="9"/>
  <c r="Q349" i="9"/>
  <c r="P349" i="9"/>
  <c r="U348" i="9"/>
  <c r="T348" i="9"/>
  <c r="S348" i="9"/>
  <c r="R348" i="9"/>
  <c r="Q348" i="9"/>
  <c r="P348" i="9"/>
  <c r="U347" i="9"/>
  <c r="T347" i="9"/>
  <c r="S347" i="9"/>
  <c r="R347" i="9"/>
  <c r="Q347" i="9"/>
  <c r="P347" i="9"/>
  <c r="U346" i="9"/>
  <c r="T346" i="9"/>
  <c r="S346" i="9"/>
  <c r="R346" i="9"/>
  <c r="Q346" i="9"/>
  <c r="P346" i="9"/>
  <c r="U345" i="9"/>
  <c r="T345" i="9"/>
  <c r="S345" i="9"/>
  <c r="R345" i="9"/>
  <c r="Q345" i="9"/>
  <c r="P345" i="9"/>
  <c r="U344" i="9"/>
  <c r="T344" i="9"/>
  <c r="S344" i="9"/>
  <c r="R344" i="9"/>
  <c r="Q344" i="9"/>
  <c r="P344" i="9"/>
  <c r="U343" i="9"/>
  <c r="T343" i="9"/>
  <c r="S343" i="9"/>
  <c r="R343" i="9"/>
  <c r="Q343" i="9"/>
  <c r="P343" i="9"/>
  <c r="U342" i="9"/>
  <c r="T342" i="9"/>
  <c r="S342" i="9"/>
  <c r="R342" i="9"/>
  <c r="Q342" i="9"/>
  <c r="P342" i="9"/>
  <c r="U341" i="9"/>
  <c r="T341" i="9"/>
  <c r="S341" i="9"/>
  <c r="R341" i="9"/>
  <c r="Q341" i="9"/>
  <c r="P341" i="9"/>
  <c r="U340" i="9"/>
  <c r="T340" i="9"/>
  <c r="S340" i="9"/>
  <c r="R340" i="9"/>
  <c r="Q340" i="9"/>
  <c r="P340" i="9"/>
  <c r="U339" i="9"/>
  <c r="T339" i="9"/>
  <c r="S339" i="9"/>
  <c r="R339" i="9"/>
  <c r="Q339" i="9"/>
  <c r="P339" i="9"/>
  <c r="U338" i="9"/>
  <c r="T338" i="9"/>
  <c r="S338" i="9"/>
  <c r="R338" i="9"/>
  <c r="Q338" i="9"/>
  <c r="P338" i="9"/>
  <c r="U337" i="9"/>
  <c r="T337" i="9"/>
  <c r="S337" i="9"/>
  <c r="R337" i="9"/>
  <c r="Q337" i="9"/>
  <c r="P337" i="9"/>
  <c r="U336" i="9"/>
  <c r="T336" i="9"/>
  <c r="S336" i="9"/>
  <c r="R336" i="9"/>
  <c r="Q336" i="9"/>
  <c r="P336" i="9"/>
  <c r="U335" i="9"/>
  <c r="T335" i="9"/>
  <c r="S335" i="9"/>
  <c r="R335" i="9"/>
  <c r="Q335" i="9"/>
  <c r="P335" i="9"/>
  <c r="U334" i="9"/>
  <c r="T334" i="9"/>
  <c r="S334" i="9"/>
  <c r="R334" i="9"/>
  <c r="Q334" i="9"/>
  <c r="P334" i="9"/>
  <c r="U333" i="9"/>
  <c r="T333" i="9"/>
  <c r="S333" i="9"/>
  <c r="R333" i="9"/>
  <c r="Q333" i="9"/>
  <c r="P333" i="9"/>
  <c r="U332" i="9"/>
  <c r="T332" i="9"/>
  <c r="S332" i="9"/>
  <c r="R332" i="9"/>
  <c r="Q332" i="9"/>
  <c r="P332" i="9"/>
  <c r="U331" i="9"/>
  <c r="T331" i="9"/>
  <c r="S331" i="9"/>
  <c r="R331" i="9"/>
  <c r="Q331" i="9"/>
  <c r="P331" i="9"/>
  <c r="U330" i="9"/>
  <c r="T330" i="9"/>
  <c r="S330" i="9"/>
  <c r="R330" i="9"/>
  <c r="Q330" i="9"/>
  <c r="P330" i="9"/>
  <c r="U329" i="9"/>
  <c r="T329" i="9"/>
  <c r="S329" i="9"/>
  <c r="R329" i="9"/>
  <c r="Q329" i="9"/>
  <c r="P329" i="9"/>
  <c r="U328" i="9"/>
  <c r="T328" i="9"/>
  <c r="S328" i="9"/>
  <c r="R328" i="9"/>
  <c r="Q328" i="9"/>
  <c r="P328" i="9"/>
  <c r="U327" i="9"/>
  <c r="T327" i="9"/>
  <c r="S327" i="9"/>
  <c r="R327" i="9"/>
  <c r="Q327" i="9"/>
  <c r="P327" i="9"/>
  <c r="U326" i="9"/>
  <c r="T326" i="9"/>
  <c r="S326" i="9"/>
  <c r="R326" i="9"/>
  <c r="Q326" i="9"/>
  <c r="P326" i="9"/>
  <c r="U325" i="9"/>
  <c r="T325" i="9"/>
  <c r="S325" i="9"/>
  <c r="R325" i="9"/>
  <c r="Q325" i="9"/>
  <c r="P325" i="9"/>
  <c r="U324" i="9"/>
  <c r="T324" i="9"/>
  <c r="S324" i="9"/>
  <c r="R324" i="9"/>
  <c r="Q324" i="9"/>
  <c r="P324" i="9"/>
  <c r="U323" i="9"/>
  <c r="T323" i="9"/>
  <c r="S323" i="9"/>
  <c r="R323" i="9"/>
  <c r="Q323" i="9"/>
  <c r="P323" i="9"/>
  <c r="U322" i="9"/>
  <c r="T322" i="9"/>
  <c r="S322" i="9"/>
  <c r="R322" i="9"/>
  <c r="Q322" i="9"/>
  <c r="P322" i="9"/>
  <c r="U321" i="9"/>
  <c r="T321" i="9"/>
  <c r="S321" i="9"/>
  <c r="R321" i="9"/>
  <c r="Q321" i="9"/>
  <c r="P321" i="9"/>
  <c r="U320" i="9"/>
  <c r="T320" i="9"/>
  <c r="S320" i="9"/>
  <c r="R320" i="9"/>
  <c r="Q320" i="9"/>
  <c r="P320" i="9"/>
  <c r="U319" i="9"/>
  <c r="T319" i="9"/>
  <c r="S319" i="9"/>
  <c r="R319" i="9"/>
  <c r="Q319" i="9"/>
  <c r="P319" i="9"/>
  <c r="U318" i="9"/>
  <c r="T318" i="9"/>
  <c r="S318" i="9"/>
  <c r="R318" i="9"/>
  <c r="Q318" i="9"/>
  <c r="P318" i="9"/>
  <c r="U317" i="9"/>
  <c r="T317" i="9"/>
  <c r="S317" i="9"/>
  <c r="R317" i="9"/>
  <c r="Q317" i="9"/>
  <c r="P317" i="9"/>
  <c r="U316" i="9"/>
  <c r="T316" i="9"/>
  <c r="S316" i="9"/>
  <c r="R316" i="9"/>
  <c r="Q316" i="9"/>
  <c r="P316" i="9"/>
  <c r="U315" i="9"/>
  <c r="T315" i="9"/>
  <c r="S315" i="9"/>
  <c r="R315" i="9"/>
  <c r="Q315" i="9"/>
  <c r="P315" i="9"/>
  <c r="U314" i="9"/>
  <c r="T314" i="9"/>
  <c r="S314" i="9"/>
  <c r="R314" i="9"/>
  <c r="Q314" i="9"/>
  <c r="P314" i="9"/>
  <c r="U313" i="9"/>
  <c r="T313" i="9"/>
  <c r="S313" i="9"/>
  <c r="R313" i="9"/>
  <c r="Q313" i="9"/>
  <c r="P313" i="9"/>
  <c r="U312" i="9"/>
  <c r="T312" i="9"/>
  <c r="S312" i="9"/>
  <c r="R312" i="9"/>
  <c r="Q312" i="9"/>
  <c r="P312" i="9"/>
  <c r="U311" i="9"/>
  <c r="T311" i="9"/>
  <c r="S311" i="9"/>
  <c r="R311" i="9"/>
  <c r="Q311" i="9"/>
  <c r="P311" i="9"/>
  <c r="U310" i="9"/>
  <c r="T310" i="9"/>
  <c r="S310" i="9"/>
  <c r="R310" i="9"/>
  <c r="Q310" i="9"/>
  <c r="P310" i="9"/>
  <c r="U309" i="9"/>
  <c r="T309" i="9"/>
  <c r="S309" i="9"/>
  <c r="R309" i="9"/>
  <c r="Q309" i="9"/>
  <c r="P309" i="9"/>
  <c r="U308" i="9"/>
  <c r="T308" i="9"/>
  <c r="S308" i="9"/>
  <c r="R308" i="9"/>
  <c r="Q308" i="9"/>
  <c r="P308" i="9"/>
  <c r="U307" i="9"/>
  <c r="T307" i="9"/>
  <c r="S307" i="9"/>
  <c r="R307" i="9"/>
  <c r="Q307" i="9"/>
  <c r="P307" i="9"/>
  <c r="U306" i="9"/>
  <c r="T306" i="9"/>
  <c r="S306" i="9"/>
  <c r="R306" i="9"/>
  <c r="Q306" i="9"/>
  <c r="P306" i="9"/>
  <c r="U305" i="9"/>
  <c r="T305" i="9"/>
  <c r="S305" i="9"/>
  <c r="R305" i="9"/>
  <c r="Q305" i="9"/>
  <c r="P305" i="9"/>
  <c r="U304" i="9"/>
  <c r="T304" i="9"/>
  <c r="S304" i="9"/>
  <c r="R304" i="9"/>
  <c r="Q304" i="9"/>
  <c r="P304" i="9"/>
  <c r="U303" i="9"/>
  <c r="T303" i="9"/>
  <c r="S303" i="9"/>
  <c r="R303" i="9"/>
  <c r="Q303" i="9"/>
  <c r="P303" i="9"/>
  <c r="U302" i="9"/>
  <c r="T302" i="9"/>
  <c r="S302" i="9"/>
  <c r="R302" i="9"/>
  <c r="Q302" i="9"/>
  <c r="P302" i="9"/>
  <c r="U301" i="9"/>
  <c r="T301" i="9"/>
  <c r="S301" i="9"/>
  <c r="R301" i="9"/>
  <c r="Q301" i="9"/>
  <c r="P301" i="9"/>
  <c r="U300" i="9"/>
  <c r="T300" i="9"/>
  <c r="S300" i="9"/>
  <c r="R300" i="9"/>
  <c r="Q300" i="9"/>
  <c r="P300" i="9"/>
  <c r="U299" i="9"/>
  <c r="T299" i="9"/>
  <c r="S299" i="9"/>
  <c r="R299" i="9"/>
  <c r="Q299" i="9"/>
  <c r="P299" i="9"/>
  <c r="U298" i="9"/>
  <c r="T298" i="9"/>
  <c r="S298" i="9"/>
  <c r="R298" i="9"/>
  <c r="Q298" i="9"/>
  <c r="P298" i="9"/>
  <c r="U297" i="9"/>
  <c r="T297" i="9"/>
  <c r="S297" i="9"/>
  <c r="R297" i="9"/>
  <c r="Q297" i="9"/>
  <c r="P297" i="9"/>
  <c r="U296" i="9"/>
  <c r="T296" i="9"/>
  <c r="S296" i="9"/>
  <c r="R296" i="9"/>
  <c r="Q296" i="9"/>
  <c r="P296" i="9"/>
  <c r="U295" i="9"/>
  <c r="T295" i="9"/>
  <c r="S295" i="9"/>
  <c r="R295" i="9"/>
  <c r="Q295" i="9"/>
  <c r="P295" i="9"/>
  <c r="U294" i="9"/>
  <c r="T294" i="9"/>
  <c r="S294" i="9"/>
  <c r="R294" i="9"/>
  <c r="Q294" i="9"/>
  <c r="P294" i="9"/>
  <c r="U293" i="9"/>
  <c r="T293" i="9"/>
  <c r="S293" i="9"/>
  <c r="R293" i="9"/>
  <c r="Q293" i="9"/>
  <c r="P293" i="9"/>
  <c r="U292" i="9"/>
  <c r="T292" i="9"/>
  <c r="S292" i="9"/>
  <c r="R292" i="9"/>
  <c r="Q292" i="9"/>
  <c r="P292" i="9"/>
  <c r="U291" i="9"/>
  <c r="T291" i="9"/>
  <c r="S291" i="9"/>
  <c r="R291" i="9"/>
  <c r="Q291" i="9"/>
  <c r="P291" i="9"/>
  <c r="U290" i="9"/>
  <c r="T290" i="9"/>
  <c r="S290" i="9"/>
  <c r="R290" i="9"/>
  <c r="Q290" i="9"/>
  <c r="P290" i="9"/>
  <c r="U289" i="9"/>
  <c r="T289" i="9"/>
  <c r="S289" i="9"/>
  <c r="R289" i="9"/>
  <c r="Q289" i="9"/>
  <c r="P289" i="9"/>
  <c r="U288" i="9"/>
  <c r="T288" i="9"/>
  <c r="S288" i="9"/>
  <c r="R288" i="9"/>
  <c r="Q288" i="9"/>
  <c r="P288" i="9"/>
  <c r="U287" i="9"/>
  <c r="T287" i="9"/>
  <c r="S287" i="9"/>
  <c r="R287" i="9"/>
  <c r="Q287" i="9"/>
  <c r="P287" i="9"/>
  <c r="U286" i="9"/>
  <c r="T286" i="9"/>
  <c r="S286" i="9"/>
  <c r="R286" i="9"/>
  <c r="Q286" i="9"/>
  <c r="P286" i="9"/>
  <c r="U285" i="9"/>
  <c r="T285" i="9"/>
  <c r="S285" i="9"/>
  <c r="R285" i="9"/>
  <c r="Q285" i="9"/>
  <c r="P285" i="9"/>
  <c r="U284" i="9"/>
  <c r="T284" i="9"/>
  <c r="S284" i="9"/>
  <c r="R284" i="9"/>
  <c r="Q284" i="9"/>
  <c r="P284" i="9"/>
  <c r="U283" i="9"/>
  <c r="T283" i="9"/>
  <c r="S283" i="9"/>
  <c r="R283" i="9"/>
  <c r="Q283" i="9"/>
  <c r="P283" i="9"/>
  <c r="U282" i="9"/>
  <c r="T282" i="9"/>
  <c r="S282" i="9"/>
  <c r="R282" i="9"/>
  <c r="Q282" i="9"/>
  <c r="P282" i="9"/>
  <c r="U281" i="9"/>
  <c r="T281" i="9"/>
  <c r="S281" i="9"/>
  <c r="R281" i="9"/>
  <c r="Q281" i="9"/>
  <c r="P281" i="9"/>
  <c r="U280" i="9"/>
  <c r="T280" i="9"/>
  <c r="S280" i="9"/>
  <c r="R280" i="9"/>
  <c r="Q280" i="9"/>
  <c r="P280" i="9"/>
  <c r="U279" i="9"/>
  <c r="T279" i="9"/>
  <c r="S279" i="9"/>
  <c r="R279" i="9"/>
  <c r="Q279" i="9"/>
  <c r="P279" i="9"/>
  <c r="U278" i="9"/>
  <c r="T278" i="9"/>
  <c r="S278" i="9"/>
  <c r="R278" i="9"/>
  <c r="Q278" i="9"/>
  <c r="P278" i="9"/>
  <c r="U277" i="9"/>
  <c r="T277" i="9"/>
  <c r="S277" i="9"/>
  <c r="R277" i="9"/>
  <c r="Q277" i="9"/>
  <c r="P277" i="9"/>
  <c r="U276" i="9"/>
  <c r="T276" i="9"/>
  <c r="S276" i="9"/>
  <c r="R276" i="9"/>
  <c r="Q276" i="9"/>
  <c r="P276" i="9"/>
  <c r="U275" i="9"/>
  <c r="T275" i="9"/>
  <c r="S275" i="9"/>
  <c r="R275" i="9"/>
  <c r="Q275" i="9"/>
  <c r="P275" i="9"/>
  <c r="U274" i="9"/>
  <c r="T274" i="9"/>
  <c r="S274" i="9"/>
  <c r="R274" i="9"/>
  <c r="Q274" i="9"/>
  <c r="P274" i="9"/>
  <c r="U273" i="9"/>
  <c r="T273" i="9"/>
  <c r="S273" i="9"/>
  <c r="R273" i="9"/>
  <c r="Q273" i="9"/>
  <c r="P273" i="9"/>
  <c r="U272" i="9"/>
  <c r="T272" i="9"/>
  <c r="S272" i="9"/>
  <c r="R272" i="9"/>
  <c r="Q272" i="9"/>
  <c r="P272" i="9"/>
  <c r="U271" i="9"/>
  <c r="T271" i="9"/>
  <c r="S271" i="9"/>
  <c r="R271" i="9"/>
  <c r="Q271" i="9"/>
  <c r="P271" i="9"/>
  <c r="U270" i="9"/>
  <c r="T270" i="9"/>
  <c r="S270" i="9"/>
  <c r="R270" i="9"/>
  <c r="Q270" i="9"/>
  <c r="P270" i="9"/>
  <c r="U269" i="9"/>
  <c r="T269" i="9"/>
  <c r="S269" i="9"/>
  <c r="R269" i="9"/>
  <c r="Q269" i="9"/>
  <c r="P269" i="9"/>
  <c r="U268" i="9"/>
  <c r="T268" i="9"/>
  <c r="S268" i="9"/>
  <c r="R268" i="9"/>
  <c r="Q268" i="9"/>
  <c r="P268" i="9"/>
  <c r="U267" i="9"/>
  <c r="T267" i="9"/>
  <c r="S267" i="9"/>
  <c r="R267" i="9"/>
  <c r="Q267" i="9"/>
  <c r="P267" i="9"/>
  <c r="U266" i="9"/>
  <c r="T266" i="9"/>
  <c r="S266" i="9"/>
  <c r="R266" i="9"/>
  <c r="Q266" i="9"/>
  <c r="P266" i="9"/>
  <c r="U265" i="9"/>
  <c r="T265" i="9"/>
  <c r="S265" i="9"/>
  <c r="R265" i="9"/>
  <c r="Q265" i="9"/>
  <c r="P265" i="9"/>
  <c r="U264" i="9"/>
  <c r="T264" i="9"/>
  <c r="S264" i="9"/>
  <c r="R264" i="9"/>
  <c r="Q264" i="9"/>
  <c r="P264" i="9"/>
  <c r="U263" i="9"/>
  <c r="T263" i="9"/>
  <c r="S263" i="9"/>
  <c r="R263" i="9"/>
  <c r="Q263" i="9"/>
  <c r="P263" i="9"/>
  <c r="U262" i="9"/>
  <c r="T262" i="9"/>
  <c r="S262" i="9"/>
  <c r="R262" i="9"/>
  <c r="Q262" i="9"/>
  <c r="P262" i="9"/>
  <c r="U261" i="9"/>
  <c r="T261" i="9"/>
  <c r="S261" i="9"/>
  <c r="R261" i="9"/>
  <c r="Q261" i="9"/>
  <c r="P261" i="9"/>
  <c r="U260" i="9"/>
  <c r="T260" i="9"/>
  <c r="S260" i="9"/>
  <c r="R260" i="9"/>
  <c r="Q260" i="9"/>
  <c r="P260" i="9"/>
  <c r="U259" i="9"/>
  <c r="T259" i="9"/>
  <c r="S259" i="9"/>
  <c r="R259" i="9"/>
  <c r="Q259" i="9"/>
  <c r="P259" i="9"/>
  <c r="U258" i="9"/>
  <c r="T258" i="9"/>
  <c r="S258" i="9"/>
  <c r="R258" i="9"/>
  <c r="Q258" i="9"/>
  <c r="P258" i="9"/>
  <c r="U257" i="9"/>
  <c r="T257" i="9"/>
  <c r="S257" i="9"/>
  <c r="R257" i="9"/>
  <c r="Q257" i="9"/>
  <c r="P257" i="9"/>
  <c r="U256" i="9"/>
  <c r="T256" i="9"/>
  <c r="S256" i="9"/>
  <c r="R256" i="9"/>
  <c r="Q256" i="9"/>
  <c r="P256" i="9"/>
  <c r="U255" i="9"/>
  <c r="T255" i="9"/>
  <c r="S255" i="9"/>
  <c r="R255" i="9"/>
  <c r="Q255" i="9"/>
  <c r="P255" i="9"/>
  <c r="U254" i="9"/>
  <c r="T254" i="9"/>
  <c r="S254" i="9"/>
  <c r="R254" i="9"/>
  <c r="Q254" i="9"/>
  <c r="P254" i="9"/>
  <c r="U253" i="9"/>
  <c r="T253" i="9"/>
  <c r="S253" i="9"/>
  <c r="R253" i="9"/>
  <c r="Q253" i="9"/>
  <c r="P253" i="9"/>
  <c r="U252" i="9"/>
  <c r="T252" i="9"/>
  <c r="S252" i="9"/>
  <c r="R252" i="9"/>
  <c r="Q252" i="9"/>
  <c r="P252" i="9"/>
  <c r="U251" i="9"/>
  <c r="T251" i="9"/>
  <c r="S251" i="9"/>
  <c r="R251" i="9"/>
  <c r="Q251" i="9"/>
  <c r="P251" i="9"/>
  <c r="U250" i="9"/>
  <c r="T250" i="9"/>
  <c r="S250" i="9"/>
  <c r="R250" i="9"/>
  <c r="Q250" i="9"/>
  <c r="P250" i="9"/>
  <c r="U249" i="9"/>
  <c r="T249" i="9"/>
  <c r="S249" i="9"/>
  <c r="R249" i="9"/>
  <c r="Q249" i="9"/>
  <c r="P249" i="9"/>
  <c r="U248" i="9"/>
  <c r="T248" i="9"/>
  <c r="S248" i="9"/>
  <c r="R248" i="9"/>
  <c r="Q248" i="9"/>
  <c r="P248" i="9"/>
  <c r="U247" i="9"/>
  <c r="T247" i="9"/>
  <c r="S247" i="9"/>
  <c r="R247" i="9"/>
  <c r="Q247" i="9"/>
  <c r="P247" i="9"/>
  <c r="U246" i="9"/>
  <c r="T246" i="9"/>
  <c r="S246" i="9"/>
  <c r="R246" i="9"/>
  <c r="Q246" i="9"/>
  <c r="P246" i="9"/>
  <c r="U245" i="9"/>
  <c r="T245" i="9"/>
  <c r="S245" i="9"/>
  <c r="R245" i="9"/>
  <c r="Q245" i="9"/>
  <c r="P245" i="9"/>
  <c r="U244" i="9"/>
  <c r="T244" i="9"/>
  <c r="S244" i="9"/>
  <c r="R244" i="9"/>
  <c r="Q244" i="9"/>
  <c r="P244" i="9"/>
  <c r="U243" i="9"/>
  <c r="T243" i="9"/>
  <c r="S243" i="9"/>
  <c r="R243" i="9"/>
  <c r="Q243" i="9"/>
  <c r="P243" i="9"/>
  <c r="U242" i="9"/>
  <c r="T242" i="9"/>
  <c r="S242" i="9"/>
  <c r="R242" i="9"/>
  <c r="Q242" i="9"/>
  <c r="P242" i="9"/>
  <c r="U241" i="9"/>
  <c r="T241" i="9"/>
  <c r="S241" i="9"/>
  <c r="R241" i="9"/>
  <c r="Q241" i="9"/>
  <c r="P241" i="9"/>
  <c r="U240" i="9"/>
  <c r="T240" i="9"/>
  <c r="S240" i="9"/>
  <c r="R240" i="9"/>
  <c r="Q240" i="9"/>
  <c r="P240" i="9"/>
  <c r="U239" i="9"/>
  <c r="T239" i="9"/>
  <c r="S239" i="9"/>
  <c r="R239" i="9"/>
  <c r="Q239" i="9"/>
  <c r="P239" i="9"/>
  <c r="U238" i="9"/>
  <c r="T238" i="9"/>
  <c r="S238" i="9"/>
  <c r="R238" i="9"/>
  <c r="Q238" i="9"/>
  <c r="P238" i="9"/>
  <c r="U237" i="9"/>
  <c r="T237" i="9"/>
  <c r="S237" i="9"/>
  <c r="R237" i="9"/>
  <c r="Q237" i="9"/>
  <c r="P237" i="9"/>
  <c r="U236" i="9"/>
  <c r="T236" i="9"/>
  <c r="S236" i="9"/>
  <c r="R236" i="9"/>
  <c r="Q236" i="9"/>
  <c r="P236" i="9"/>
  <c r="U235" i="9"/>
  <c r="T235" i="9"/>
  <c r="S235" i="9"/>
  <c r="R235" i="9"/>
  <c r="Q235" i="9"/>
  <c r="P235" i="9"/>
  <c r="U234" i="9"/>
  <c r="T234" i="9"/>
  <c r="S234" i="9"/>
  <c r="R234" i="9"/>
  <c r="Q234" i="9"/>
  <c r="P234" i="9"/>
  <c r="U233" i="9"/>
  <c r="T233" i="9"/>
  <c r="S233" i="9"/>
  <c r="R233" i="9"/>
  <c r="Q233" i="9"/>
  <c r="P233" i="9"/>
  <c r="U232" i="9"/>
  <c r="T232" i="9"/>
  <c r="S232" i="9"/>
  <c r="R232" i="9"/>
  <c r="Q232" i="9"/>
  <c r="P232" i="9"/>
  <c r="U231" i="9"/>
  <c r="T231" i="9"/>
  <c r="S231" i="9"/>
  <c r="R231" i="9"/>
  <c r="Q231" i="9"/>
  <c r="P231" i="9"/>
  <c r="U230" i="9"/>
  <c r="T230" i="9"/>
  <c r="S230" i="9"/>
  <c r="R230" i="9"/>
  <c r="Q230" i="9"/>
  <c r="P230" i="9"/>
  <c r="U229" i="9"/>
  <c r="T229" i="9"/>
  <c r="S229" i="9"/>
  <c r="R229" i="9"/>
  <c r="Q229" i="9"/>
  <c r="P229" i="9"/>
  <c r="U228" i="9"/>
  <c r="T228" i="9"/>
  <c r="S228" i="9"/>
  <c r="R228" i="9"/>
  <c r="Q228" i="9"/>
  <c r="P228" i="9"/>
  <c r="U227" i="9"/>
  <c r="T227" i="9"/>
  <c r="S227" i="9"/>
  <c r="R227" i="9"/>
  <c r="Q227" i="9"/>
  <c r="P227" i="9"/>
  <c r="U226" i="9"/>
  <c r="T226" i="9"/>
  <c r="S226" i="9"/>
  <c r="R226" i="9"/>
  <c r="Q226" i="9"/>
  <c r="P226" i="9"/>
  <c r="U225" i="9"/>
  <c r="T225" i="9"/>
  <c r="S225" i="9"/>
  <c r="R225" i="9"/>
  <c r="Q225" i="9"/>
  <c r="P225" i="9"/>
  <c r="U224" i="9"/>
  <c r="T224" i="9"/>
  <c r="S224" i="9"/>
  <c r="R224" i="9"/>
  <c r="Q224" i="9"/>
  <c r="P224" i="9"/>
  <c r="U223" i="9"/>
  <c r="T223" i="9"/>
  <c r="S223" i="9"/>
  <c r="R223" i="9"/>
  <c r="Q223" i="9"/>
  <c r="P223" i="9"/>
  <c r="U222" i="9"/>
  <c r="T222" i="9"/>
  <c r="S222" i="9"/>
  <c r="R222" i="9"/>
  <c r="Q222" i="9"/>
  <c r="P222" i="9"/>
  <c r="U221" i="9"/>
  <c r="T221" i="9"/>
  <c r="S221" i="9"/>
  <c r="R221" i="9"/>
  <c r="Q221" i="9"/>
  <c r="P221" i="9"/>
  <c r="U220" i="9"/>
  <c r="T220" i="9"/>
  <c r="S220" i="9"/>
  <c r="R220" i="9"/>
  <c r="Q220" i="9"/>
  <c r="P220" i="9"/>
  <c r="U219" i="9"/>
  <c r="T219" i="9"/>
  <c r="S219" i="9"/>
  <c r="R219" i="9"/>
  <c r="Q219" i="9"/>
  <c r="P219" i="9"/>
  <c r="U218" i="9"/>
  <c r="T218" i="9"/>
  <c r="S218" i="9"/>
  <c r="R218" i="9"/>
  <c r="Q218" i="9"/>
  <c r="P218" i="9"/>
  <c r="U217" i="9"/>
  <c r="T217" i="9"/>
  <c r="S217" i="9"/>
  <c r="R217" i="9"/>
  <c r="Q217" i="9"/>
  <c r="P217" i="9"/>
  <c r="U216" i="9"/>
  <c r="T216" i="9"/>
  <c r="S216" i="9"/>
  <c r="R216" i="9"/>
  <c r="Q216" i="9"/>
  <c r="P216" i="9"/>
  <c r="U215" i="9"/>
  <c r="T215" i="9"/>
  <c r="S215" i="9"/>
  <c r="R215" i="9"/>
  <c r="Q215" i="9"/>
  <c r="P215" i="9"/>
  <c r="U214" i="9"/>
  <c r="T214" i="9"/>
  <c r="S214" i="9"/>
  <c r="R214" i="9"/>
  <c r="Q214" i="9"/>
  <c r="P214" i="9"/>
  <c r="U213" i="9"/>
  <c r="T213" i="9"/>
  <c r="S213" i="9"/>
  <c r="R213" i="9"/>
  <c r="Q213" i="9"/>
  <c r="P213" i="9"/>
  <c r="U212" i="9"/>
  <c r="T212" i="9"/>
  <c r="S212" i="9"/>
  <c r="R212" i="9"/>
  <c r="Q212" i="9"/>
  <c r="P212" i="9"/>
  <c r="U211" i="9"/>
  <c r="T211" i="9"/>
  <c r="S211" i="9"/>
  <c r="R211" i="9"/>
  <c r="Q211" i="9"/>
  <c r="P211" i="9"/>
  <c r="U210" i="9"/>
  <c r="T210" i="9"/>
  <c r="S210" i="9"/>
  <c r="R210" i="9"/>
  <c r="Q210" i="9"/>
  <c r="P210" i="9"/>
  <c r="U209" i="9"/>
  <c r="T209" i="9"/>
  <c r="S209" i="9"/>
  <c r="R209" i="9"/>
  <c r="Q209" i="9"/>
  <c r="P209" i="9"/>
  <c r="U208" i="9"/>
  <c r="T208" i="9"/>
  <c r="S208" i="9"/>
  <c r="R208" i="9"/>
  <c r="Q208" i="9"/>
  <c r="P208" i="9"/>
  <c r="U207" i="9"/>
  <c r="T207" i="9"/>
  <c r="S207" i="9"/>
  <c r="R207" i="9"/>
  <c r="Q207" i="9"/>
  <c r="P207" i="9"/>
  <c r="U206" i="9"/>
  <c r="T206" i="9"/>
  <c r="S206" i="9"/>
  <c r="R206" i="9"/>
  <c r="Q206" i="9"/>
  <c r="P206" i="9"/>
  <c r="U205" i="9"/>
  <c r="T205" i="9"/>
  <c r="S205" i="9"/>
  <c r="R205" i="9"/>
  <c r="Q205" i="9"/>
  <c r="P205" i="9"/>
  <c r="U204" i="9"/>
  <c r="T204" i="9"/>
  <c r="S204" i="9"/>
  <c r="R204" i="9"/>
  <c r="Q204" i="9"/>
  <c r="P204" i="9"/>
  <c r="U203" i="9"/>
  <c r="T203" i="9"/>
  <c r="S203" i="9"/>
  <c r="R203" i="9"/>
  <c r="Q203" i="9"/>
  <c r="P203" i="9"/>
  <c r="U202" i="9"/>
  <c r="T202" i="9"/>
  <c r="S202" i="9"/>
  <c r="R202" i="9"/>
  <c r="Q202" i="9"/>
  <c r="P202" i="9"/>
  <c r="U201" i="9"/>
  <c r="T201" i="9"/>
  <c r="S201" i="9"/>
  <c r="R201" i="9"/>
  <c r="Q201" i="9"/>
  <c r="P201" i="9"/>
  <c r="U200" i="9"/>
  <c r="T200" i="9"/>
  <c r="S200" i="9"/>
  <c r="R200" i="9"/>
  <c r="Q200" i="9"/>
  <c r="P200" i="9"/>
  <c r="U199" i="9"/>
  <c r="T199" i="9"/>
  <c r="S199" i="9"/>
  <c r="R199" i="9"/>
  <c r="Q199" i="9"/>
  <c r="P199" i="9"/>
  <c r="U198" i="9"/>
  <c r="T198" i="9"/>
  <c r="S198" i="9"/>
  <c r="R198" i="9"/>
  <c r="Q198" i="9"/>
  <c r="P198" i="9"/>
  <c r="U197" i="9"/>
  <c r="T197" i="9"/>
  <c r="S197" i="9"/>
  <c r="R197" i="9"/>
  <c r="Q197" i="9"/>
  <c r="P197" i="9"/>
  <c r="U196" i="9"/>
  <c r="T196" i="9"/>
  <c r="S196" i="9"/>
  <c r="R196" i="9"/>
  <c r="Q196" i="9"/>
  <c r="P196" i="9"/>
  <c r="U195" i="9"/>
  <c r="T195" i="9"/>
  <c r="S195" i="9"/>
  <c r="R195" i="9"/>
  <c r="Q195" i="9"/>
  <c r="P195" i="9"/>
  <c r="U194" i="9"/>
  <c r="T194" i="9"/>
  <c r="S194" i="9"/>
  <c r="R194" i="9"/>
  <c r="Q194" i="9"/>
  <c r="P194" i="9"/>
  <c r="U193" i="9"/>
  <c r="T193" i="9"/>
  <c r="S193" i="9"/>
  <c r="R193" i="9"/>
  <c r="Q193" i="9"/>
  <c r="P193" i="9"/>
  <c r="U192" i="9"/>
  <c r="T192" i="9"/>
  <c r="S192" i="9"/>
  <c r="R192" i="9"/>
  <c r="Q192" i="9"/>
  <c r="P192" i="9"/>
  <c r="U191" i="9"/>
  <c r="T191" i="9"/>
  <c r="S191" i="9"/>
  <c r="R191" i="9"/>
  <c r="Q191" i="9"/>
  <c r="P191" i="9"/>
  <c r="U190" i="9"/>
  <c r="T190" i="9"/>
  <c r="S190" i="9"/>
  <c r="R190" i="9"/>
  <c r="Q190" i="9"/>
  <c r="P190" i="9"/>
  <c r="U189" i="9"/>
  <c r="T189" i="9"/>
  <c r="S189" i="9"/>
  <c r="R189" i="9"/>
  <c r="Q189" i="9"/>
  <c r="P189" i="9"/>
  <c r="U188" i="9"/>
  <c r="T188" i="9"/>
  <c r="S188" i="9"/>
  <c r="R188" i="9"/>
  <c r="Q188" i="9"/>
  <c r="P188" i="9"/>
  <c r="U187" i="9"/>
  <c r="T187" i="9"/>
  <c r="S187" i="9"/>
  <c r="R187" i="9"/>
  <c r="Q187" i="9"/>
  <c r="P187" i="9"/>
  <c r="U186" i="9"/>
  <c r="T186" i="9"/>
  <c r="S186" i="9"/>
  <c r="R186" i="9"/>
  <c r="Q186" i="9"/>
  <c r="P186" i="9"/>
  <c r="U185" i="9"/>
  <c r="T185" i="9"/>
  <c r="S185" i="9"/>
  <c r="R185" i="9"/>
  <c r="Q185" i="9"/>
  <c r="P185" i="9"/>
  <c r="U184" i="9"/>
  <c r="T184" i="9"/>
  <c r="S184" i="9"/>
  <c r="R184" i="9"/>
  <c r="Q184" i="9"/>
  <c r="P184" i="9"/>
  <c r="U183" i="9"/>
  <c r="T183" i="9"/>
  <c r="S183" i="9"/>
  <c r="R183" i="9"/>
  <c r="Q183" i="9"/>
  <c r="P183" i="9"/>
  <c r="U182" i="9"/>
  <c r="T182" i="9"/>
  <c r="S182" i="9"/>
  <c r="R182" i="9"/>
  <c r="Q182" i="9"/>
  <c r="P182" i="9"/>
  <c r="U181" i="9"/>
  <c r="T181" i="9"/>
  <c r="S181" i="9"/>
  <c r="R181" i="9"/>
  <c r="Q181" i="9"/>
  <c r="P181" i="9"/>
  <c r="U180" i="9"/>
  <c r="T180" i="9"/>
  <c r="S180" i="9"/>
  <c r="R180" i="9"/>
  <c r="Q180" i="9"/>
  <c r="P180" i="9"/>
  <c r="U179" i="9"/>
  <c r="T179" i="9"/>
  <c r="S179" i="9"/>
  <c r="R179" i="9"/>
  <c r="Q179" i="9"/>
  <c r="P179" i="9"/>
  <c r="U178" i="9"/>
  <c r="T178" i="9"/>
  <c r="S178" i="9"/>
  <c r="R178" i="9"/>
  <c r="Q178" i="9"/>
  <c r="P178" i="9"/>
  <c r="U177" i="9"/>
  <c r="T177" i="9"/>
  <c r="S177" i="9"/>
  <c r="R177" i="9"/>
  <c r="Q177" i="9"/>
  <c r="P177" i="9"/>
  <c r="U176" i="9"/>
  <c r="T176" i="9"/>
  <c r="S176" i="9"/>
  <c r="R176" i="9"/>
  <c r="Q176" i="9"/>
  <c r="P176" i="9"/>
  <c r="U175" i="9"/>
  <c r="T175" i="9"/>
  <c r="S175" i="9"/>
  <c r="R175" i="9"/>
  <c r="Q175" i="9"/>
  <c r="P175" i="9"/>
  <c r="U174" i="9"/>
  <c r="T174" i="9"/>
  <c r="S174" i="9"/>
  <c r="R174" i="9"/>
  <c r="Q174" i="9"/>
  <c r="P174" i="9"/>
  <c r="U173" i="9"/>
  <c r="T173" i="9"/>
  <c r="S173" i="9"/>
  <c r="R173" i="9"/>
  <c r="Q173" i="9"/>
  <c r="P173" i="9"/>
  <c r="U172" i="9"/>
  <c r="T172" i="9"/>
  <c r="S172" i="9"/>
  <c r="R172" i="9"/>
  <c r="Q172" i="9"/>
  <c r="P172" i="9"/>
  <c r="U171" i="9"/>
  <c r="T171" i="9"/>
  <c r="S171" i="9"/>
  <c r="R171" i="9"/>
  <c r="Q171" i="9"/>
  <c r="P171" i="9"/>
  <c r="U170" i="9"/>
  <c r="T170" i="9"/>
  <c r="S170" i="9"/>
  <c r="R170" i="9"/>
  <c r="Q170" i="9"/>
  <c r="P170" i="9"/>
  <c r="U169" i="9"/>
  <c r="T169" i="9"/>
  <c r="S169" i="9"/>
  <c r="R169" i="9"/>
  <c r="Q169" i="9"/>
  <c r="P169" i="9"/>
  <c r="U168" i="9"/>
  <c r="T168" i="9"/>
  <c r="S168" i="9"/>
  <c r="R168" i="9"/>
  <c r="Q168" i="9"/>
  <c r="P168" i="9"/>
  <c r="U167" i="9"/>
  <c r="T167" i="9"/>
  <c r="S167" i="9"/>
  <c r="R167" i="9"/>
  <c r="Q167" i="9"/>
  <c r="P167" i="9"/>
  <c r="U166" i="9"/>
  <c r="T166" i="9"/>
  <c r="S166" i="9"/>
  <c r="R166" i="9"/>
  <c r="Q166" i="9"/>
  <c r="P166" i="9"/>
  <c r="U165" i="9"/>
  <c r="T165" i="9"/>
  <c r="S165" i="9"/>
  <c r="R165" i="9"/>
  <c r="Q165" i="9"/>
  <c r="P165" i="9"/>
  <c r="U164" i="9"/>
  <c r="T164" i="9"/>
  <c r="S164" i="9"/>
  <c r="R164" i="9"/>
  <c r="Q164" i="9"/>
  <c r="P164" i="9"/>
  <c r="U163" i="9"/>
  <c r="T163" i="9"/>
  <c r="S163" i="9"/>
  <c r="R163" i="9"/>
  <c r="Q163" i="9"/>
  <c r="P163" i="9"/>
  <c r="U162" i="9"/>
  <c r="T162" i="9"/>
  <c r="S162" i="9"/>
  <c r="R162" i="9"/>
  <c r="Q162" i="9"/>
  <c r="P162" i="9"/>
  <c r="U161" i="9"/>
  <c r="T161" i="9"/>
  <c r="S161" i="9"/>
  <c r="R161" i="9"/>
  <c r="Q161" i="9"/>
  <c r="P161" i="9"/>
  <c r="U160" i="9"/>
  <c r="T160" i="9"/>
  <c r="S160" i="9"/>
  <c r="R160" i="9"/>
  <c r="Q160" i="9"/>
  <c r="P160" i="9"/>
  <c r="U159" i="9"/>
  <c r="T159" i="9"/>
  <c r="S159" i="9"/>
  <c r="R159" i="9"/>
  <c r="Q159" i="9"/>
  <c r="P159" i="9"/>
  <c r="U158" i="9"/>
  <c r="T158" i="9"/>
  <c r="S158" i="9"/>
  <c r="R158" i="9"/>
  <c r="Q158" i="9"/>
  <c r="P158" i="9"/>
  <c r="U157" i="9"/>
  <c r="T157" i="9"/>
  <c r="S157" i="9"/>
  <c r="R157" i="9"/>
  <c r="Q157" i="9"/>
  <c r="P157" i="9"/>
  <c r="U156" i="9"/>
  <c r="T156" i="9"/>
  <c r="S156" i="9"/>
  <c r="R156" i="9"/>
  <c r="Q156" i="9"/>
  <c r="P156" i="9"/>
  <c r="U155" i="9"/>
  <c r="T155" i="9"/>
  <c r="S155" i="9"/>
  <c r="R155" i="9"/>
  <c r="Q155" i="9"/>
  <c r="P155" i="9"/>
  <c r="U154" i="9"/>
  <c r="T154" i="9"/>
  <c r="S154" i="9"/>
  <c r="R154" i="9"/>
  <c r="Q154" i="9"/>
  <c r="P154" i="9"/>
  <c r="U153" i="9"/>
  <c r="T153" i="9"/>
  <c r="S153" i="9"/>
  <c r="R153" i="9"/>
  <c r="Q153" i="9"/>
  <c r="P153" i="9"/>
  <c r="U152" i="9"/>
  <c r="T152" i="9"/>
  <c r="S152" i="9"/>
  <c r="R152" i="9"/>
  <c r="Q152" i="9"/>
  <c r="P152" i="9"/>
  <c r="U151" i="9"/>
  <c r="T151" i="9"/>
  <c r="S151" i="9"/>
  <c r="R151" i="9"/>
  <c r="Q151" i="9"/>
  <c r="P151" i="9"/>
  <c r="U150" i="9"/>
  <c r="T150" i="9"/>
  <c r="S150" i="9"/>
  <c r="R150" i="9"/>
  <c r="Q150" i="9"/>
  <c r="P150" i="9"/>
  <c r="U149" i="9"/>
  <c r="T149" i="9"/>
  <c r="S149" i="9"/>
  <c r="R149" i="9"/>
  <c r="Q149" i="9"/>
  <c r="P149" i="9"/>
  <c r="U148" i="9"/>
  <c r="T148" i="9"/>
  <c r="S148" i="9"/>
  <c r="R148" i="9"/>
  <c r="Q148" i="9"/>
  <c r="P148" i="9"/>
  <c r="U147" i="9"/>
  <c r="T147" i="9"/>
  <c r="S147" i="9"/>
  <c r="R147" i="9"/>
  <c r="Q147" i="9"/>
  <c r="P147" i="9"/>
  <c r="U146" i="9"/>
  <c r="T146" i="9"/>
  <c r="S146" i="9"/>
  <c r="R146" i="9"/>
  <c r="Q146" i="9"/>
  <c r="P146" i="9"/>
  <c r="U145" i="9"/>
  <c r="T145" i="9"/>
  <c r="S145" i="9"/>
  <c r="R145" i="9"/>
  <c r="Q145" i="9"/>
  <c r="P145" i="9"/>
  <c r="U144" i="9"/>
  <c r="T144" i="9"/>
  <c r="S144" i="9"/>
  <c r="R144" i="9"/>
  <c r="Q144" i="9"/>
  <c r="P144" i="9"/>
  <c r="U143" i="9"/>
  <c r="T143" i="9"/>
  <c r="S143" i="9"/>
  <c r="R143" i="9"/>
  <c r="Q143" i="9"/>
  <c r="P143" i="9"/>
  <c r="U142" i="9"/>
  <c r="T142" i="9"/>
  <c r="S142" i="9"/>
  <c r="R142" i="9"/>
  <c r="Q142" i="9"/>
  <c r="P142" i="9"/>
  <c r="U141" i="9"/>
  <c r="T141" i="9"/>
  <c r="S141" i="9"/>
  <c r="R141" i="9"/>
  <c r="Q141" i="9"/>
  <c r="P141" i="9"/>
  <c r="U140" i="9"/>
  <c r="T140" i="9"/>
  <c r="S140" i="9"/>
  <c r="R140" i="9"/>
  <c r="Q140" i="9"/>
  <c r="P140" i="9"/>
  <c r="U139" i="9"/>
  <c r="T139" i="9"/>
  <c r="S139" i="9"/>
  <c r="R139" i="9"/>
  <c r="Q139" i="9"/>
  <c r="P139" i="9"/>
  <c r="U138" i="9"/>
  <c r="T138" i="9"/>
  <c r="S138" i="9"/>
  <c r="R138" i="9"/>
  <c r="Q138" i="9"/>
  <c r="P138" i="9"/>
  <c r="U137" i="9"/>
  <c r="T137" i="9"/>
  <c r="S137" i="9"/>
  <c r="R137" i="9"/>
  <c r="Q137" i="9"/>
  <c r="P137" i="9"/>
  <c r="U136" i="9"/>
  <c r="T136" i="9"/>
  <c r="S136" i="9"/>
  <c r="R136" i="9"/>
  <c r="Q136" i="9"/>
  <c r="P136" i="9"/>
  <c r="U135" i="9"/>
  <c r="T135" i="9"/>
  <c r="S135" i="9"/>
  <c r="R135" i="9"/>
  <c r="Q135" i="9"/>
  <c r="P135" i="9"/>
  <c r="U134" i="9"/>
  <c r="T134" i="9"/>
  <c r="S134" i="9"/>
  <c r="R134" i="9"/>
  <c r="Q134" i="9"/>
  <c r="P134" i="9"/>
  <c r="U133" i="9"/>
  <c r="T133" i="9"/>
  <c r="S133" i="9"/>
  <c r="R133" i="9"/>
  <c r="Q133" i="9"/>
  <c r="P133" i="9"/>
  <c r="U132" i="9"/>
  <c r="T132" i="9"/>
  <c r="S132" i="9"/>
  <c r="R132" i="9"/>
  <c r="Q132" i="9"/>
  <c r="P132" i="9"/>
  <c r="U131" i="9"/>
  <c r="T131" i="9"/>
  <c r="S131" i="9"/>
  <c r="R131" i="9"/>
  <c r="Q131" i="9"/>
  <c r="P131" i="9"/>
  <c r="U130" i="9"/>
  <c r="T130" i="9"/>
  <c r="S130" i="9"/>
  <c r="R130" i="9"/>
  <c r="Q130" i="9"/>
  <c r="P130" i="9"/>
  <c r="U129" i="9"/>
  <c r="T129" i="9"/>
  <c r="S129" i="9"/>
  <c r="R129" i="9"/>
  <c r="Q129" i="9"/>
  <c r="P129" i="9"/>
  <c r="U128" i="9"/>
  <c r="T128" i="9"/>
  <c r="S128" i="9"/>
  <c r="R128" i="9"/>
  <c r="Q128" i="9"/>
  <c r="P128" i="9"/>
  <c r="U127" i="9"/>
  <c r="T127" i="9"/>
  <c r="S127" i="9"/>
  <c r="R127" i="9"/>
  <c r="Q127" i="9"/>
  <c r="P127" i="9"/>
  <c r="U126" i="9"/>
  <c r="T126" i="9"/>
  <c r="S126" i="9"/>
  <c r="R126" i="9"/>
  <c r="Q126" i="9"/>
  <c r="P126" i="9"/>
  <c r="U125" i="9"/>
  <c r="T125" i="9"/>
  <c r="S125" i="9"/>
  <c r="R125" i="9"/>
  <c r="Q125" i="9"/>
  <c r="P125" i="9"/>
  <c r="U124" i="9"/>
  <c r="T124" i="9"/>
  <c r="S124" i="9"/>
  <c r="R124" i="9"/>
  <c r="Q124" i="9"/>
  <c r="P124" i="9"/>
  <c r="U123" i="9"/>
  <c r="T123" i="9"/>
  <c r="S123" i="9"/>
  <c r="R123" i="9"/>
  <c r="Q123" i="9"/>
  <c r="P123" i="9"/>
  <c r="U122" i="9"/>
  <c r="T122" i="9"/>
  <c r="S122" i="9"/>
  <c r="R122" i="9"/>
  <c r="Q122" i="9"/>
  <c r="P122" i="9"/>
  <c r="U121" i="9"/>
  <c r="T121" i="9"/>
  <c r="S121" i="9"/>
  <c r="R121" i="9"/>
  <c r="Q121" i="9"/>
  <c r="P121" i="9"/>
  <c r="U120" i="9"/>
  <c r="T120" i="9"/>
  <c r="S120" i="9"/>
  <c r="R120" i="9"/>
  <c r="Q120" i="9"/>
  <c r="P120" i="9"/>
  <c r="U119" i="9"/>
  <c r="T119" i="9"/>
  <c r="S119" i="9"/>
  <c r="R119" i="9"/>
  <c r="Q119" i="9"/>
  <c r="P119" i="9"/>
  <c r="U118" i="9"/>
  <c r="T118" i="9"/>
  <c r="S118" i="9"/>
  <c r="R118" i="9"/>
  <c r="Q118" i="9"/>
  <c r="P118" i="9"/>
  <c r="U117" i="9"/>
  <c r="T117" i="9"/>
  <c r="S117" i="9"/>
  <c r="R117" i="9"/>
  <c r="Q117" i="9"/>
  <c r="P117" i="9"/>
  <c r="U116" i="9"/>
  <c r="T116" i="9"/>
  <c r="S116" i="9"/>
  <c r="R116" i="9"/>
  <c r="Q116" i="9"/>
  <c r="P116" i="9"/>
  <c r="U115" i="9"/>
  <c r="T115" i="9"/>
  <c r="S115" i="9"/>
  <c r="R115" i="9"/>
  <c r="Q115" i="9"/>
  <c r="P115" i="9"/>
  <c r="U114" i="9"/>
  <c r="T114" i="9"/>
  <c r="S114" i="9"/>
  <c r="R114" i="9"/>
  <c r="Q114" i="9"/>
  <c r="P114" i="9"/>
  <c r="U113" i="9"/>
  <c r="T113" i="9"/>
  <c r="S113" i="9"/>
  <c r="R113" i="9"/>
  <c r="Q113" i="9"/>
  <c r="P113" i="9"/>
  <c r="U112" i="9"/>
  <c r="T112" i="9"/>
  <c r="S112" i="9"/>
  <c r="R112" i="9"/>
  <c r="Q112" i="9"/>
  <c r="P112" i="9"/>
  <c r="U111" i="9"/>
  <c r="T111" i="9"/>
  <c r="S111" i="9"/>
  <c r="R111" i="9"/>
  <c r="Q111" i="9"/>
  <c r="P111" i="9"/>
  <c r="U110" i="9"/>
  <c r="T110" i="9"/>
  <c r="S110" i="9"/>
  <c r="R110" i="9"/>
  <c r="Q110" i="9"/>
  <c r="P110" i="9"/>
  <c r="U109" i="9"/>
  <c r="T109" i="9"/>
  <c r="S109" i="9"/>
  <c r="R109" i="9"/>
  <c r="Q109" i="9"/>
  <c r="P109" i="9"/>
  <c r="U108" i="9"/>
  <c r="T108" i="9"/>
  <c r="S108" i="9"/>
  <c r="R108" i="9"/>
  <c r="Q108" i="9"/>
  <c r="P108" i="9"/>
  <c r="U107" i="9"/>
  <c r="T107" i="9"/>
  <c r="S107" i="9"/>
  <c r="R107" i="9"/>
  <c r="Q107" i="9"/>
  <c r="P107" i="9"/>
  <c r="U106" i="9"/>
  <c r="T106" i="9"/>
  <c r="S106" i="9"/>
  <c r="R106" i="9"/>
  <c r="Q106" i="9"/>
  <c r="P106" i="9"/>
  <c r="U105" i="9"/>
  <c r="T105" i="9"/>
  <c r="S105" i="9"/>
  <c r="R105" i="9"/>
  <c r="Q105" i="9"/>
  <c r="P105" i="9"/>
  <c r="U104" i="9"/>
  <c r="T104" i="9"/>
  <c r="S104" i="9"/>
  <c r="R104" i="9"/>
  <c r="Q104" i="9"/>
  <c r="P104" i="9"/>
  <c r="U103" i="9"/>
  <c r="T103" i="9"/>
  <c r="S103" i="9"/>
  <c r="R103" i="9"/>
  <c r="Q103" i="9"/>
  <c r="P103" i="9"/>
  <c r="U102" i="9"/>
  <c r="T102" i="9"/>
  <c r="S102" i="9"/>
  <c r="R102" i="9"/>
  <c r="Q102" i="9"/>
  <c r="P102" i="9"/>
  <c r="U101" i="9"/>
  <c r="T101" i="9"/>
  <c r="S101" i="9"/>
  <c r="R101" i="9"/>
  <c r="Q101" i="9"/>
  <c r="P101" i="9"/>
  <c r="U100" i="9"/>
  <c r="T100" i="9"/>
  <c r="S100" i="9"/>
  <c r="R100" i="9"/>
  <c r="Q100" i="9"/>
  <c r="P100" i="9"/>
  <c r="U99" i="9"/>
  <c r="T99" i="9"/>
  <c r="S99" i="9"/>
  <c r="R99" i="9"/>
  <c r="Q99" i="9"/>
  <c r="P99" i="9"/>
  <c r="U98" i="9"/>
  <c r="T98" i="9"/>
  <c r="S98" i="9"/>
  <c r="R98" i="9"/>
  <c r="Q98" i="9"/>
  <c r="P98" i="9"/>
  <c r="U97" i="9"/>
  <c r="T97" i="9"/>
  <c r="S97" i="9"/>
  <c r="R97" i="9"/>
  <c r="Q97" i="9"/>
  <c r="P97" i="9"/>
  <c r="U96" i="9"/>
  <c r="T96" i="9"/>
  <c r="S96" i="9"/>
  <c r="R96" i="9"/>
  <c r="Q96" i="9"/>
  <c r="P96" i="9"/>
  <c r="U95" i="9"/>
  <c r="T95" i="9"/>
  <c r="S95" i="9"/>
  <c r="R95" i="9"/>
  <c r="Q95" i="9"/>
  <c r="P95" i="9"/>
  <c r="U94" i="9"/>
  <c r="T94" i="9"/>
  <c r="S94" i="9"/>
  <c r="R94" i="9"/>
  <c r="Q94" i="9"/>
  <c r="P94" i="9"/>
  <c r="U93" i="9"/>
  <c r="T93" i="9"/>
  <c r="S93" i="9"/>
  <c r="R93" i="9"/>
  <c r="Q93" i="9"/>
  <c r="P93" i="9"/>
  <c r="U92" i="9"/>
  <c r="T92" i="9"/>
  <c r="S92" i="9"/>
  <c r="R92" i="9"/>
  <c r="Q92" i="9"/>
  <c r="P92" i="9"/>
  <c r="U91" i="9"/>
  <c r="T91" i="9"/>
  <c r="S91" i="9"/>
  <c r="R91" i="9"/>
  <c r="Q91" i="9"/>
  <c r="P91" i="9"/>
  <c r="U90" i="9"/>
  <c r="T90" i="9"/>
  <c r="S90" i="9"/>
  <c r="R90" i="9"/>
  <c r="Q90" i="9"/>
  <c r="P90" i="9"/>
  <c r="U89" i="9"/>
  <c r="T89" i="9"/>
  <c r="S89" i="9"/>
  <c r="R89" i="9"/>
  <c r="Q89" i="9"/>
  <c r="P89" i="9"/>
  <c r="U88" i="9"/>
  <c r="T88" i="9"/>
  <c r="S88" i="9"/>
  <c r="R88" i="9"/>
  <c r="Q88" i="9"/>
  <c r="P88" i="9"/>
  <c r="U87" i="9"/>
  <c r="T87" i="9"/>
  <c r="S87" i="9"/>
  <c r="R87" i="9"/>
  <c r="Q87" i="9"/>
  <c r="P87" i="9"/>
  <c r="U86" i="9"/>
  <c r="T86" i="9"/>
  <c r="S86" i="9"/>
  <c r="R86" i="9"/>
  <c r="Q86" i="9"/>
  <c r="P86" i="9"/>
  <c r="U85" i="9"/>
  <c r="T85" i="9"/>
  <c r="S85" i="9"/>
  <c r="R85" i="9"/>
  <c r="Q85" i="9"/>
  <c r="P85" i="9"/>
  <c r="U84" i="9"/>
  <c r="T84" i="9"/>
  <c r="S84" i="9"/>
  <c r="R84" i="9"/>
  <c r="Q84" i="9"/>
  <c r="P84" i="9"/>
  <c r="U83" i="9"/>
  <c r="T83" i="9"/>
  <c r="S83" i="9"/>
  <c r="R83" i="9"/>
  <c r="Q83" i="9"/>
  <c r="P83" i="9"/>
  <c r="U82" i="9"/>
  <c r="T82" i="9"/>
  <c r="S82" i="9"/>
  <c r="R82" i="9"/>
  <c r="Q82" i="9"/>
  <c r="P82" i="9"/>
  <c r="U81" i="9"/>
  <c r="T81" i="9"/>
  <c r="S81" i="9"/>
  <c r="R81" i="9"/>
  <c r="Q81" i="9"/>
  <c r="P81" i="9"/>
  <c r="U80" i="9"/>
  <c r="T80" i="9"/>
  <c r="S80" i="9"/>
  <c r="R80" i="9"/>
  <c r="Q80" i="9"/>
  <c r="P80" i="9"/>
  <c r="U79" i="9"/>
  <c r="T79" i="9"/>
  <c r="S79" i="9"/>
  <c r="R79" i="9"/>
  <c r="Q79" i="9"/>
  <c r="P79" i="9"/>
  <c r="U78" i="9"/>
  <c r="T78" i="9"/>
  <c r="S78" i="9"/>
  <c r="R78" i="9"/>
  <c r="Q78" i="9"/>
  <c r="P78" i="9"/>
  <c r="U77" i="9"/>
  <c r="T77" i="9"/>
  <c r="S77" i="9"/>
  <c r="R77" i="9"/>
  <c r="Q77" i="9"/>
  <c r="P77" i="9"/>
  <c r="U76" i="9"/>
  <c r="T76" i="9"/>
  <c r="S76" i="9"/>
  <c r="R76" i="9"/>
  <c r="Q76" i="9"/>
  <c r="P76" i="9"/>
  <c r="U75" i="9"/>
  <c r="T75" i="9"/>
  <c r="S75" i="9"/>
  <c r="R75" i="9"/>
  <c r="Q75" i="9"/>
  <c r="P75" i="9"/>
  <c r="U74" i="9"/>
  <c r="T74" i="9"/>
  <c r="S74" i="9"/>
  <c r="R74" i="9"/>
  <c r="Q74" i="9"/>
  <c r="P74" i="9"/>
  <c r="U73" i="9"/>
  <c r="T73" i="9"/>
  <c r="S73" i="9"/>
  <c r="R73" i="9"/>
  <c r="Q73" i="9"/>
  <c r="P73" i="9"/>
  <c r="U72" i="9"/>
  <c r="T72" i="9"/>
  <c r="S72" i="9"/>
  <c r="R72" i="9"/>
  <c r="Q72" i="9"/>
  <c r="P72" i="9"/>
  <c r="N72" i="9"/>
  <c r="BW61" i="10" s="1"/>
  <c r="U71" i="9"/>
  <c r="T71" i="9"/>
  <c r="S71" i="9"/>
  <c r="R71" i="9"/>
  <c r="Q71" i="9"/>
  <c r="P71" i="9"/>
  <c r="N71" i="9"/>
  <c r="BW60" i="10" s="1"/>
  <c r="U70" i="9"/>
  <c r="T70" i="9"/>
  <c r="S70" i="9"/>
  <c r="R70" i="9"/>
  <c r="Q70" i="9"/>
  <c r="P70" i="9"/>
  <c r="N70" i="9"/>
  <c r="BW59" i="10" s="1"/>
  <c r="U69" i="9"/>
  <c r="T69" i="9"/>
  <c r="S69" i="9"/>
  <c r="R69" i="9"/>
  <c r="Q69" i="9"/>
  <c r="P69" i="9"/>
  <c r="N69" i="9"/>
  <c r="BW58" i="10" s="1"/>
  <c r="U68" i="9"/>
  <c r="T68" i="9"/>
  <c r="S68" i="9"/>
  <c r="R68" i="9"/>
  <c r="Q68" i="9"/>
  <c r="P68" i="9"/>
  <c r="N68" i="9"/>
  <c r="BW57" i="10" s="1"/>
  <c r="U67" i="9"/>
  <c r="T67" i="9"/>
  <c r="S67" i="9"/>
  <c r="R67" i="9"/>
  <c r="Q67" i="9"/>
  <c r="P67" i="9"/>
  <c r="N67" i="9"/>
  <c r="BW56" i="10" s="1"/>
  <c r="U66" i="9"/>
  <c r="T66" i="9"/>
  <c r="S66" i="9"/>
  <c r="R66" i="9"/>
  <c r="Q66" i="9"/>
  <c r="P66" i="9"/>
  <c r="N66" i="9"/>
  <c r="BW55" i="10" s="1"/>
  <c r="U65" i="9"/>
  <c r="T65" i="9"/>
  <c r="S65" i="9"/>
  <c r="R65" i="9"/>
  <c r="Q65" i="9"/>
  <c r="P65" i="9"/>
  <c r="N65" i="9"/>
  <c r="BW54" i="10" s="1"/>
  <c r="U64" i="9"/>
  <c r="T64" i="9"/>
  <c r="S64" i="9"/>
  <c r="R64" i="9"/>
  <c r="Q64" i="9"/>
  <c r="P64" i="9"/>
  <c r="N64" i="9"/>
  <c r="BW53" i="10" s="1"/>
  <c r="U63" i="9"/>
  <c r="T63" i="9"/>
  <c r="S63" i="9"/>
  <c r="R63" i="9"/>
  <c r="Q63" i="9"/>
  <c r="P63" i="9"/>
  <c r="N63" i="9"/>
  <c r="BW52" i="10" s="1"/>
  <c r="U62" i="9"/>
  <c r="T62" i="9"/>
  <c r="S62" i="9"/>
  <c r="R62" i="9"/>
  <c r="Q62" i="9"/>
  <c r="P62" i="9"/>
  <c r="N62" i="9"/>
  <c r="BW51" i="10" s="1"/>
  <c r="U61" i="9"/>
  <c r="T61" i="9"/>
  <c r="S61" i="9"/>
  <c r="R61" i="9"/>
  <c r="Q61" i="9"/>
  <c r="P61" i="9"/>
  <c r="N61" i="9"/>
  <c r="BW50" i="10" s="1"/>
  <c r="U60" i="9"/>
  <c r="T60" i="9"/>
  <c r="S60" i="9"/>
  <c r="R60" i="9"/>
  <c r="Q60" i="9"/>
  <c r="P60" i="9"/>
  <c r="N60" i="9"/>
  <c r="BW49" i="10" s="1"/>
  <c r="U59" i="9"/>
  <c r="T59" i="9"/>
  <c r="S59" i="9"/>
  <c r="R59" i="9"/>
  <c r="Q59" i="9"/>
  <c r="P59" i="9"/>
  <c r="N59" i="9"/>
  <c r="BW48" i="10" s="1"/>
  <c r="U58" i="9"/>
  <c r="T58" i="9"/>
  <c r="S58" i="9"/>
  <c r="R58" i="9"/>
  <c r="Q58" i="9"/>
  <c r="P58" i="9"/>
  <c r="N58" i="9"/>
  <c r="BW47" i="10" s="1"/>
  <c r="U57" i="9"/>
  <c r="T57" i="9"/>
  <c r="S57" i="9"/>
  <c r="R57" i="9"/>
  <c r="Q57" i="9"/>
  <c r="P57" i="9"/>
  <c r="N57" i="9"/>
  <c r="BW46" i="10" s="1"/>
  <c r="U56" i="9"/>
  <c r="T56" i="9"/>
  <c r="S56" i="9"/>
  <c r="R56" i="9"/>
  <c r="Q56" i="9"/>
  <c r="P56" i="9"/>
  <c r="N56" i="9"/>
  <c r="BW45" i="10" s="1"/>
  <c r="U55" i="9"/>
  <c r="T55" i="9"/>
  <c r="S55" i="9"/>
  <c r="R55" i="9"/>
  <c r="Q55" i="9"/>
  <c r="P55" i="9"/>
  <c r="N55" i="9"/>
  <c r="BW44" i="10" s="1"/>
  <c r="U54" i="9"/>
  <c r="T54" i="9"/>
  <c r="S54" i="9"/>
  <c r="R54" i="9"/>
  <c r="Q54" i="9"/>
  <c r="P54" i="9"/>
  <c r="N54" i="9"/>
  <c r="BW43" i="10" s="1"/>
  <c r="U53" i="9"/>
  <c r="T53" i="9"/>
  <c r="S53" i="9"/>
  <c r="R53" i="9"/>
  <c r="Q53" i="9"/>
  <c r="P53" i="9"/>
  <c r="N53" i="9"/>
  <c r="BW42" i="10" s="1"/>
  <c r="U52" i="9"/>
  <c r="T52" i="9"/>
  <c r="S52" i="9"/>
  <c r="R52" i="9"/>
  <c r="Q52" i="9"/>
  <c r="P52" i="9"/>
  <c r="N52" i="9"/>
  <c r="BW41" i="10" s="1"/>
  <c r="U51" i="9"/>
  <c r="T51" i="9"/>
  <c r="S51" i="9"/>
  <c r="R51" i="9"/>
  <c r="Q51" i="9"/>
  <c r="P51" i="9"/>
  <c r="N51" i="9"/>
  <c r="BW40" i="10" s="1"/>
  <c r="U50" i="9"/>
  <c r="T50" i="9"/>
  <c r="S50" i="9"/>
  <c r="R50" i="9"/>
  <c r="Q50" i="9"/>
  <c r="P50" i="9"/>
  <c r="N50" i="9"/>
  <c r="BW39" i="10" s="1"/>
  <c r="U49" i="9"/>
  <c r="T49" i="9"/>
  <c r="S49" i="9"/>
  <c r="R49" i="9"/>
  <c r="Q49" i="9"/>
  <c r="P49" i="9"/>
  <c r="N49" i="9"/>
  <c r="BW38" i="10" s="1"/>
  <c r="U48" i="9"/>
  <c r="T48" i="9"/>
  <c r="S48" i="9"/>
  <c r="R48" i="9"/>
  <c r="Q48" i="9"/>
  <c r="P48" i="9"/>
  <c r="N48" i="9"/>
  <c r="BW37" i="10" s="1"/>
  <c r="U47" i="9"/>
  <c r="T47" i="9"/>
  <c r="S47" i="9"/>
  <c r="R47" i="9"/>
  <c r="Q47" i="9"/>
  <c r="P47" i="9"/>
  <c r="N47" i="9"/>
  <c r="BW36" i="10" s="1"/>
  <c r="U46" i="9"/>
  <c r="T46" i="9"/>
  <c r="S46" i="9"/>
  <c r="R46" i="9"/>
  <c r="Q46" i="9"/>
  <c r="P46" i="9"/>
  <c r="N46" i="9"/>
  <c r="BW35" i="10" s="1"/>
  <c r="U45" i="9"/>
  <c r="T45" i="9"/>
  <c r="S45" i="9"/>
  <c r="R45" i="9"/>
  <c r="Q45" i="9"/>
  <c r="P45" i="9"/>
  <c r="N45" i="9"/>
  <c r="BW34" i="10" s="1"/>
  <c r="U44" i="9"/>
  <c r="T44" i="9"/>
  <c r="S44" i="9"/>
  <c r="R44" i="9"/>
  <c r="Q44" i="9"/>
  <c r="P44" i="9"/>
  <c r="N44" i="9"/>
  <c r="BW33" i="10" s="1"/>
  <c r="U43" i="9"/>
  <c r="T43" i="9"/>
  <c r="S43" i="9"/>
  <c r="R43" i="9"/>
  <c r="Q43" i="9"/>
  <c r="P43" i="9"/>
  <c r="N43" i="9"/>
  <c r="BW32" i="10" s="1"/>
  <c r="U42" i="9"/>
  <c r="T42" i="9"/>
  <c r="S42" i="9"/>
  <c r="R42" i="9"/>
  <c r="Q42" i="9"/>
  <c r="P42" i="9"/>
  <c r="N42" i="9"/>
  <c r="BW31" i="10" s="1"/>
  <c r="U41" i="9"/>
  <c r="T41" i="9"/>
  <c r="S41" i="9"/>
  <c r="R41" i="9"/>
  <c r="Q41" i="9"/>
  <c r="P41" i="9"/>
  <c r="N41" i="9"/>
  <c r="BW30" i="10" s="1"/>
  <c r="U40" i="9"/>
  <c r="T40" i="9"/>
  <c r="S40" i="9"/>
  <c r="R40" i="9"/>
  <c r="Q40" i="9"/>
  <c r="P40" i="9"/>
  <c r="N40" i="9"/>
  <c r="BW29" i="10" s="1"/>
  <c r="U39" i="9"/>
  <c r="T39" i="9"/>
  <c r="S39" i="9"/>
  <c r="R39" i="9"/>
  <c r="Q39" i="9"/>
  <c r="P39" i="9"/>
  <c r="N39" i="9"/>
  <c r="BW28" i="10" s="1"/>
  <c r="U38" i="9"/>
  <c r="T38" i="9"/>
  <c r="S38" i="9"/>
  <c r="R38" i="9"/>
  <c r="Q38" i="9"/>
  <c r="P38" i="9"/>
  <c r="N38" i="9"/>
  <c r="BW27" i="10" s="1"/>
  <c r="U37" i="9"/>
  <c r="T37" i="9"/>
  <c r="S37" i="9"/>
  <c r="R37" i="9"/>
  <c r="Q37" i="9"/>
  <c r="P37" i="9"/>
  <c r="N37" i="9"/>
  <c r="BW26" i="10" s="1"/>
  <c r="U36" i="9"/>
  <c r="T36" i="9"/>
  <c r="S36" i="9"/>
  <c r="R36" i="9"/>
  <c r="Q36" i="9"/>
  <c r="P36" i="9"/>
  <c r="N36" i="9"/>
  <c r="BW25" i="10" s="1"/>
  <c r="U35" i="9"/>
  <c r="T35" i="9"/>
  <c r="S35" i="9"/>
  <c r="R35" i="9"/>
  <c r="Q35" i="9"/>
  <c r="P35" i="9"/>
  <c r="N35" i="9"/>
  <c r="BW24" i="10" s="1"/>
  <c r="M35" i="9"/>
  <c r="U34" i="9"/>
  <c r="T34" i="9"/>
  <c r="S34" i="9"/>
  <c r="R34" i="9"/>
  <c r="Q34" i="9"/>
  <c r="P34" i="9"/>
  <c r="N34" i="9"/>
  <c r="BW23" i="10" s="1"/>
  <c r="M34" i="9"/>
  <c r="U33" i="9"/>
  <c r="T33" i="9"/>
  <c r="S33" i="9"/>
  <c r="R33" i="9"/>
  <c r="Q33" i="9"/>
  <c r="P33" i="9"/>
  <c r="N33" i="9"/>
  <c r="BW22" i="10" s="1"/>
  <c r="M33" i="9"/>
  <c r="U32" i="9"/>
  <c r="T32" i="9"/>
  <c r="S32" i="9"/>
  <c r="R32" i="9"/>
  <c r="Q32" i="9"/>
  <c r="P32" i="9"/>
  <c r="N32" i="9"/>
  <c r="BW21" i="10" s="1"/>
  <c r="M32" i="9"/>
  <c r="U31" i="9"/>
  <c r="T31" i="9"/>
  <c r="S31" i="9"/>
  <c r="R31" i="9"/>
  <c r="Q31" i="9"/>
  <c r="P31" i="9"/>
  <c r="U30" i="9"/>
  <c r="T30" i="9"/>
  <c r="S30" i="9"/>
  <c r="R30" i="9"/>
  <c r="Q30" i="9"/>
  <c r="P30" i="9"/>
  <c r="U29" i="9"/>
  <c r="T29" i="9"/>
  <c r="S29" i="9"/>
  <c r="R29" i="9"/>
  <c r="Q29" i="9"/>
  <c r="P29" i="9"/>
  <c r="U28" i="9"/>
  <c r="T28" i="9"/>
  <c r="S28" i="9"/>
  <c r="R28" i="9"/>
  <c r="Q28" i="9"/>
  <c r="P28" i="9"/>
  <c r="U27" i="9"/>
  <c r="T27" i="9"/>
  <c r="S27" i="9"/>
  <c r="R27" i="9"/>
  <c r="Q27" i="9"/>
  <c r="P27" i="9"/>
  <c r="U26" i="9"/>
  <c r="T26" i="9"/>
  <c r="S26" i="9"/>
  <c r="R26" i="9"/>
  <c r="Q26" i="9"/>
  <c r="P26" i="9"/>
  <c r="U25" i="9"/>
  <c r="T25" i="9"/>
  <c r="S25" i="9"/>
  <c r="R25" i="9"/>
  <c r="Q25" i="9"/>
  <c r="P25" i="9"/>
  <c r="U24" i="9"/>
  <c r="T24" i="9"/>
  <c r="S24" i="9"/>
  <c r="R24" i="9"/>
  <c r="Q24" i="9"/>
  <c r="P24" i="9"/>
  <c r="U23" i="9"/>
  <c r="T23" i="9"/>
  <c r="S23" i="9"/>
  <c r="R23" i="9"/>
  <c r="Q23" i="9"/>
  <c r="P23" i="9"/>
  <c r="U22" i="9"/>
  <c r="T22" i="9"/>
  <c r="S22" i="9"/>
  <c r="R22" i="9"/>
  <c r="Q22" i="9"/>
  <c r="P22" i="9"/>
  <c r="U21" i="9"/>
  <c r="T21" i="9"/>
  <c r="S21" i="9"/>
  <c r="R21" i="9"/>
  <c r="Q21" i="9"/>
  <c r="P21" i="9"/>
  <c r="U20" i="9"/>
  <c r="T20" i="9"/>
  <c r="S20" i="9"/>
  <c r="R20" i="9"/>
  <c r="Q20" i="9"/>
  <c r="P20" i="9"/>
  <c r="U19" i="9"/>
  <c r="T19" i="9"/>
  <c r="S19" i="9"/>
  <c r="R19" i="9"/>
  <c r="Q19" i="9"/>
  <c r="P19" i="9"/>
  <c r="U18" i="9"/>
  <c r="T18" i="9"/>
  <c r="S18" i="9"/>
  <c r="R18" i="9"/>
  <c r="Q18" i="9"/>
  <c r="P18" i="9"/>
  <c r="U17" i="9"/>
  <c r="T17" i="9"/>
  <c r="S17" i="9"/>
  <c r="R17" i="9"/>
  <c r="Q17" i="9"/>
  <c r="P17" i="9"/>
  <c r="U16" i="9"/>
  <c r="T16" i="9"/>
  <c r="S16" i="9"/>
  <c r="R16" i="9"/>
  <c r="Q16" i="9"/>
  <c r="P16" i="9"/>
  <c r="U15" i="9"/>
  <c r="T15" i="9"/>
  <c r="S15" i="9"/>
  <c r="R15" i="9"/>
  <c r="Q15" i="9"/>
  <c r="P15" i="9"/>
  <c r="U14" i="9"/>
  <c r="T14" i="9"/>
  <c r="S14" i="9"/>
  <c r="R14" i="9"/>
  <c r="Q14" i="9"/>
  <c r="P14" i="9"/>
  <c r="U13" i="9"/>
  <c r="T13" i="9"/>
  <c r="S13" i="9"/>
  <c r="R13" i="9"/>
  <c r="Q13" i="9"/>
  <c r="P13" i="9"/>
  <c r="U12" i="9"/>
  <c r="T12" i="9"/>
  <c r="S12" i="9"/>
  <c r="R12" i="9"/>
  <c r="Q12" i="9"/>
  <c r="P12" i="9"/>
  <c r="U11" i="9"/>
  <c r="T11" i="9"/>
  <c r="S11" i="9"/>
  <c r="R11" i="9"/>
  <c r="Q11" i="9"/>
  <c r="P11" i="9"/>
  <c r="U10" i="9"/>
  <c r="T10" i="9"/>
  <c r="S10" i="9"/>
  <c r="R10" i="9"/>
  <c r="Q10" i="9"/>
  <c r="P10" i="9"/>
  <c r="U9" i="9"/>
  <c r="T9" i="9"/>
  <c r="S9" i="9"/>
  <c r="R9" i="9"/>
  <c r="Q9" i="9"/>
  <c r="P9" i="9"/>
  <c r="U8" i="9"/>
  <c r="T8" i="9"/>
  <c r="S8" i="9"/>
  <c r="R8" i="9"/>
  <c r="Q8" i="9"/>
  <c r="P8" i="9"/>
  <c r="W7" i="9"/>
  <c r="U7" i="9"/>
  <c r="T7" i="9"/>
  <c r="S7" i="9"/>
  <c r="R7" i="9"/>
  <c r="Q7" i="9"/>
  <c r="P7" i="9"/>
  <c r="U6" i="9"/>
  <c r="T6" i="9"/>
  <c r="S6" i="9"/>
  <c r="R6" i="9"/>
  <c r="Q6" i="9"/>
  <c r="P6" i="9"/>
  <c r="X5" i="9"/>
  <c r="W5" i="9"/>
  <c r="U5" i="9"/>
  <c r="T5" i="9"/>
  <c r="S5" i="9"/>
  <c r="R5" i="9"/>
  <c r="Q5" i="9"/>
  <c r="P5" i="9"/>
  <c r="U4" i="9"/>
  <c r="T4" i="9"/>
  <c r="S4" i="9"/>
  <c r="R4" i="9"/>
  <c r="Q4" i="9"/>
  <c r="P4" i="9"/>
  <c r="U3" i="9"/>
  <c r="T3" i="9"/>
  <c r="S3" i="9"/>
  <c r="R3" i="9"/>
  <c r="Q3" i="9"/>
  <c r="P3" i="9"/>
  <c r="W1" i="9"/>
  <c r="T1" i="9"/>
  <c r="S1" i="9"/>
  <c r="K182" i="13"/>
  <c r="J182" i="13"/>
  <c r="I182" i="13"/>
  <c r="H182" i="13"/>
  <c r="N181" i="13"/>
  <c r="M181" i="13"/>
  <c r="K181" i="13"/>
  <c r="J181" i="13"/>
  <c r="I181" i="13"/>
  <c r="H181" i="13"/>
  <c r="N180" i="13"/>
  <c r="M180" i="13"/>
  <c r="K180" i="13"/>
  <c r="J180" i="13"/>
  <c r="I180" i="13"/>
  <c r="H180" i="13"/>
  <c r="N179" i="13"/>
  <c r="M179" i="13"/>
  <c r="K179" i="13"/>
  <c r="J179" i="13"/>
  <c r="I179" i="13"/>
  <c r="H179" i="13"/>
  <c r="E179" i="13"/>
  <c r="N178" i="13"/>
  <c r="M178" i="13"/>
  <c r="K178" i="13"/>
  <c r="J178" i="13"/>
  <c r="I178" i="13"/>
  <c r="H178" i="13"/>
  <c r="N177" i="13"/>
  <c r="M177" i="13"/>
  <c r="K177" i="13"/>
  <c r="J177" i="13"/>
  <c r="I177" i="13"/>
  <c r="H177" i="13"/>
  <c r="N176" i="13"/>
  <c r="M176" i="13"/>
  <c r="K176" i="13"/>
  <c r="J176" i="13"/>
  <c r="I176" i="13"/>
  <c r="H176" i="13"/>
  <c r="N175" i="13"/>
  <c r="M175" i="13"/>
  <c r="K175" i="13"/>
  <c r="J175" i="13"/>
  <c r="I175" i="13"/>
  <c r="H175" i="13"/>
  <c r="P174" i="13"/>
  <c r="N174" i="13"/>
  <c r="M174" i="13"/>
  <c r="K174" i="13"/>
  <c r="J174" i="13"/>
  <c r="I174" i="13"/>
  <c r="H174" i="13"/>
  <c r="N173" i="13"/>
  <c r="M173" i="13"/>
  <c r="K173" i="13"/>
  <c r="J173" i="13"/>
  <c r="I173" i="13"/>
  <c r="H173" i="13"/>
  <c r="N172" i="13"/>
  <c r="M172" i="13"/>
  <c r="K172" i="13"/>
  <c r="J172" i="13"/>
  <c r="I172" i="13"/>
  <c r="H172" i="13"/>
  <c r="N171" i="13"/>
  <c r="M171" i="13"/>
  <c r="K171" i="13"/>
  <c r="J171" i="13"/>
  <c r="I171" i="13"/>
  <c r="H171" i="13"/>
  <c r="N170" i="13"/>
  <c r="M170" i="13"/>
  <c r="K170" i="13"/>
  <c r="J170" i="13"/>
  <c r="I170" i="13"/>
  <c r="H170" i="13"/>
  <c r="N169" i="13"/>
  <c r="M169" i="13"/>
  <c r="K169" i="13"/>
  <c r="J169" i="13"/>
  <c r="I169" i="13"/>
  <c r="H169" i="13"/>
  <c r="N168" i="13"/>
  <c r="M168" i="13"/>
  <c r="K168" i="13"/>
  <c r="J168" i="13"/>
  <c r="I168" i="13"/>
  <c r="H168" i="13"/>
  <c r="N167" i="13"/>
  <c r="M167" i="13"/>
  <c r="K167" i="13"/>
  <c r="J167" i="13"/>
  <c r="I167" i="13"/>
  <c r="H167" i="13"/>
  <c r="N166" i="13"/>
  <c r="M166" i="13"/>
  <c r="K166" i="13"/>
  <c r="J166" i="13"/>
  <c r="I166" i="13"/>
  <c r="H166" i="13"/>
  <c r="E166" i="13"/>
  <c r="N165" i="13"/>
  <c r="M165" i="13"/>
  <c r="K165" i="13"/>
  <c r="J165" i="13"/>
  <c r="I165" i="13"/>
  <c r="H165" i="13"/>
  <c r="N164" i="13"/>
  <c r="M164" i="13"/>
  <c r="K164" i="13"/>
  <c r="J164" i="13"/>
  <c r="I164" i="13"/>
  <c r="H164" i="13"/>
  <c r="N163" i="13"/>
  <c r="M163" i="13"/>
  <c r="K163" i="13"/>
  <c r="J163" i="13"/>
  <c r="I163" i="13"/>
  <c r="H163" i="13"/>
  <c r="N162" i="13"/>
  <c r="M162" i="13"/>
  <c r="K162" i="13"/>
  <c r="J162" i="13"/>
  <c r="I162" i="13"/>
  <c r="H162" i="13"/>
  <c r="M161" i="13"/>
  <c r="K161" i="13"/>
  <c r="J161" i="13"/>
  <c r="I161" i="13"/>
  <c r="H161" i="13"/>
  <c r="N160" i="13"/>
  <c r="M160" i="13"/>
  <c r="H160" i="13"/>
  <c r="N159" i="13"/>
  <c r="M159" i="13"/>
  <c r="K159" i="13"/>
  <c r="J159" i="13"/>
  <c r="N158" i="13"/>
  <c r="M158" i="13"/>
  <c r="K158" i="13"/>
  <c r="J158" i="13"/>
  <c r="I158" i="13"/>
  <c r="H158" i="13"/>
  <c r="N157" i="13"/>
  <c r="M157" i="13"/>
  <c r="K157" i="13"/>
  <c r="J157" i="13"/>
  <c r="I157" i="13"/>
  <c r="H157" i="13"/>
  <c r="N156" i="13"/>
  <c r="M156" i="13"/>
  <c r="K156" i="13"/>
  <c r="J156" i="13"/>
  <c r="N155" i="13"/>
  <c r="M155" i="13"/>
  <c r="K155" i="13"/>
  <c r="J155" i="13"/>
  <c r="I155" i="13"/>
  <c r="H155" i="13"/>
  <c r="N154" i="13"/>
  <c r="M154" i="13"/>
  <c r="K154" i="13"/>
  <c r="J154" i="13"/>
  <c r="I154" i="13"/>
  <c r="H154" i="13"/>
  <c r="N153" i="13"/>
  <c r="M153" i="13"/>
  <c r="K153" i="13"/>
  <c r="J153" i="13"/>
  <c r="I153" i="13"/>
  <c r="H153" i="13"/>
  <c r="N152" i="13"/>
  <c r="M152" i="13"/>
  <c r="K152" i="13"/>
  <c r="J152" i="13"/>
  <c r="I152" i="13"/>
  <c r="H152" i="13"/>
  <c r="N151" i="13"/>
  <c r="M151" i="13"/>
  <c r="K151" i="13"/>
  <c r="J151" i="13"/>
  <c r="I151" i="13"/>
  <c r="H151" i="13"/>
  <c r="N150" i="13"/>
  <c r="M150" i="13"/>
  <c r="K150" i="13"/>
  <c r="J150" i="13"/>
  <c r="I150" i="13"/>
  <c r="H150" i="13"/>
  <c r="N149" i="13"/>
  <c r="M149" i="13"/>
  <c r="K149" i="13"/>
  <c r="J149" i="13"/>
  <c r="I149" i="13"/>
  <c r="H149" i="13"/>
  <c r="N148" i="13"/>
  <c r="M148" i="13"/>
  <c r="K148" i="13"/>
  <c r="J148" i="13"/>
  <c r="I148" i="13"/>
  <c r="H148" i="13"/>
  <c r="N147" i="13"/>
  <c r="M147" i="13"/>
  <c r="K147" i="13"/>
  <c r="J147" i="13"/>
  <c r="I147" i="13"/>
  <c r="H147" i="13"/>
  <c r="N146" i="13"/>
  <c r="M146" i="13"/>
  <c r="K146" i="13"/>
  <c r="J146" i="13"/>
  <c r="I146" i="13"/>
  <c r="H146" i="13"/>
  <c r="N145" i="13"/>
  <c r="M145" i="13"/>
  <c r="K145" i="13"/>
  <c r="J145" i="13"/>
  <c r="I145" i="13"/>
  <c r="H145" i="13"/>
  <c r="N144" i="13"/>
  <c r="M144" i="13"/>
  <c r="K144" i="13"/>
  <c r="J144" i="13"/>
  <c r="I144" i="13"/>
  <c r="H144" i="13"/>
  <c r="N143" i="13"/>
  <c r="M143" i="13"/>
  <c r="K143" i="13"/>
  <c r="J143" i="13"/>
  <c r="I143" i="13"/>
  <c r="H143" i="13"/>
  <c r="N142" i="13"/>
  <c r="M142" i="13"/>
  <c r="K142" i="13"/>
  <c r="J142" i="13"/>
  <c r="I142" i="13"/>
  <c r="H142" i="13"/>
  <c r="N141" i="13"/>
  <c r="M141" i="13"/>
  <c r="K141" i="13"/>
  <c r="J141" i="13"/>
  <c r="I141" i="13"/>
  <c r="H141" i="13"/>
  <c r="N140" i="13"/>
  <c r="M140" i="13"/>
  <c r="K140" i="13"/>
  <c r="J140" i="13"/>
  <c r="I140" i="13"/>
  <c r="H140" i="13"/>
  <c r="N139" i="13"/>
  <c r="M139" i="13"/>
  <c r="K139" i="13"/>
  <c r="J139" i="13"/>
  <c r="I139" i="13"/>
  <c r="H139" i="13"/>
  <c r="N138" i="13"/>
  <c r="M138" i="13"/>
  <c r="K138" i="13"/>
  <c r="J138" i="13"/>
  <c r="I138" i="13"/>
  <c r="H138" i="13"/>
  <c r="N137" i="13"/>
  <c r="M137" i="13"/>
  <c r="K137" i="13"/>
  <c r="J137" i="13"/>
  <c r="I137" i="13"/>
  <c r="H137" i="13"/>
  <c r="N136" i="13"/>
  <c r="M136" i="13"/>
  <c r="K136" i="13"/>
  <c r="J136" i="13"/>
  <c r="I136" i="13"/>
  <c r="H136" i="13"/>
  <c r="N135" i="13"/>
  <c r="M135" i="13"/>
  <c r="K135" i="13"/>
  <c r="J135" i="13"/>
  <c r="I135" i="13"/>
  <c r="H135" i="13"/>
  <c r="N134" i="13"/>
  <c r="M134" i="13"/>
  <c r="K134" i="13"/>
  <c r="J134" i="13"/>
  <c r="I134" i="13"/>
  <c r="H134" i="13"/>
  <c r="N133" i="13"/>
  <c r="M133" i="13"/>
  <c r="K133" i="13"/>
  <c r="J133" i="13"/>
  <c r="I133" i="13"/>
  <c r="H133" i="13"/>
  <c r="N132" i="13"/>
  <c r="M132" i="13"/>
  <c r="K132" i="13"/>
  <c r="J132" i="13"/>
  <c r="I132" i="13"/>
  <c r="H132" i="13"/>
  <c r="N131" i="13"/>
  <c r="M131" i="13"/>
  <c r="K131" i="13"/>
  <c r="J131" i="13"/>
  <c r="I131" i="13"/>
  <c r="H131" i="13"/>
  <c r="N130" i="13"/>
  <c r="M130" i="13"/>
  <c r="K130" i="13"/>
  <c r="J130" i="13"/>
  <c r="I130" i="13"/>
  <c r="H130" i="13"/>
  <c r="N129" i="13"/>
  <c r="M129" i="13"/>
  <c r="K129" i="13"/>
  <c r="J129" i="13"/>
  <c r="I129" i="13"/>
  <c r="H129" i="13"/>
  <c r="W128" i="13"/>
  <c r="N128" i="13"/>
  <c r="M128" i="13"/>
  <c r="K128" i="13"/>
  <c r="J128" i="13"/>
  <c r="I128" i="13"/>
  <c r="H128" i="13"/>
  <c r="W127" i="13"/>
  <c r="N127" i="13"/>
  <c r="M127" i="13"/>
  <c r="K127" i="13"/>
  <c r="J127" i="13"/>
  <c r="I127" i="13"/>
  <c r="H127" i="13"/>
  <c r="W126" i="13"/>
  <c r="N126" i="13"/>
  <c r="M126" i="13"/>
  <c r="K126" i="13"/>
  <c r="J126" i="13"/>
  <c r="I126" i="13"/>
  <c r="H126" i="13"/>
  <c r="W125" i="13"/>
  <c r="N125" i="13"/>
  <c r="M125" i="13"/>
  <c r="K125" i="13"/>
  <c r="J125" i="13"/>
  <c r="I125" i="13"/>
  <c r="H125" i="13"/>
  <c r="N124" i="13"/>
  <c r="M124" i="13"/>
  <c r="K124" i="13"/>
  <c r="J124" i="13"/>
  <c r="I124" i="13"/>
  <c r="H124" i="13"/>
  <c r="N123" i="13"/>
  <c r="M123" i="13"/>
  <c r="K123" i="13"/>
  <c r="J123" i="13"/>
  <c r="I123" i="13"/>
  <c r="H123" i="13"/>
  <c r="N122" i="13"/>
  <c r="M122" i="13"/>
  <c r="K122" i="13"/>
  <c r="J122" i="13"/>
  <c r="I122" i="13"/>
  <c r="H122" i="13"/>
  <c r="N121" i="13"/>
  <c r="M121" i="13"/>
  <c r="K121" i="13"/>
  <c r="J121" i="13"/>
  <c r="I121" i="13"/>
  <c r="H121" i="13"/>
  <c r="N120" i="13"/>
  <c r="M120" i="13"/>
  <c r="K120" i="13"/>
  <c r="J120" i="13"/>
  <c r="I120" i="13"/>
  <c r="H120" i="13"/>
  <c r="N119" i="13"/>
  <c r="M119" i="13"/>
  <c r="K119" i="13"/>
  <c r="J119" i="13"/>
  <c r="I119" i="13"/>
  <c r="H119" i="13"/>
  <c r="N118" i="13"/>
  <c r="M118" i="13"/>
  <c r="K118" i="13"/>
  <c r="J118" i="13"/>
  <c r="I118" i="13"/>
  <c r="H118" i="13"/>
  <c r="N117" i="13"/>
  <c r="M117" i="13"/>
  <c r="K117" i="13"/>
  <c r="J117" i="13"/>
  <c r="I117" i="13"/>
  <c r="H117" i="13"/>
  <c r="N116" i="13"/>
  <c r="M116" i="13"/>
  <c r="K116" i="13"/>
  <c r="J116" i="13"/>
  <c r="I116" i="13"/>
  <c r="H116" i="13"/>
  <c r="E116" i="13"/>
  <c r="N115" i="13"/>
  <c r="M115" i="13"/>
  <c r="K115" i="13"/>
  <c r="J115" i="13"/>
  <c r="I115" i="13"/>
  <c r="H115" i="13"/>
  <c r="N114" i="13"/>
  <c r="M114" i="13"/>
  <c r="K114" i="13"/>
  <c r="J114" i="13"/>
  <c r="I114" i="13"/>
  <c r="H114" i="13"/>
  <c r="N113" i="13"/>
  <c r="M113" i="13"/>
  <c r="K113" i="13"/>
  <c r="J113" i="13"/>
  <c r="I113" i="13"/>
  <c r="H113" i="13"/>
  <c r="N112" i="13"/>
  <c r="M112" i="13"/>
  <c r="K112" i="13"/>
  <c r="J112" i="13"/>
  <c r="I112" i="13"/>
  <c r="H112" i="13"/>
  <c r="N111" i="13"/>
  <c r="M111" i="13"/>
  <c r="K111" i="13"/>
  <c r="J111" i="13"/>
  <c r="I111" i="13"/>
  <c r="H111" i="13"/>
  <c r="N110" i="13"/>
  <c r="M110" i="13"/>
  <c r="K110" i="13"/>
  <c r="J110" i="13"/>
  <c r="I110" i="13"/>
  <c r="H110" i="13"/>
  <c r="N109" i="13"/>
  <c r="M109" i="13"/>
  <c r="K109" i="13"/>
  <c r="J109" i="13"/>
  <c r="I109" i="13"/>
  <c r="H109" i="13"/>
  <c r="N108" i="13"/>
  <c r="M108" i="13"/>
  <c r="K108" i="13"/>
  <c r="J108" i="13"/>
  <c r="I108" i="13"/>
  <c r="H108" i="13"/>
  <c r="N107" i="13"/>
  <c r="M107" i="13"/>
  <c r="K107" i="13"/>
  <c r="J107" i="13"/>
  <c r="I107" i="13"/>
  <c r="H107" i="13"/>
  <c r="N106" i="13"/>
  <c r="M106" i="13"/>
  <c r="K106" i="13"/>
  <c r="J106" i="13"/>
  <c r="I106" i="13"/>
  <c r="H106" i="13"/>
  <c r="N105" i="13"/>
  <c r="M105" i="13"/>
  <c r="K105" i="13"/>
  <c r="J105" i="13"/>
  <c r="I105" i="13"/>
  <c r="H105" i="13"/>
  <c r="K104" i="13"/>
  <c r="J104" i="13"/>
  <c r="I104" i="13"/>
  <c r="H104" i="13"/>
  <c r="K103" i="13"/>
  <c r="J103" i="13"/>
  <c r="I103" i="13"/>
  <c r="H103" i="13"/>
  <c r="N102" i="13"/>
  <c r="M102" i="13"/>
  <c r="K102" i="13"/>
  <c r="J102" i="13"/>
  <c r="I102" i="13"/>
  <c r="H102" i="13"/>
  <c r="N101" i="13"/>
  <c r="M101" i="13"/>
  <c r="K101" i="13"/>
  <c r="J101" i="13"/>
  <c r="I101" i="13"/>
  <c r="H101" i="13"/>
  <c r="N100" i="13"/>
  <c r="M100" i="13"/>
  <c r="K100" i="13"/>
  <c r="J100" i="13"/>
  <c r="I100" i="13"/>
  <c r="H100" i="13"/>
  <c r="N99" i="13"/>
  <c r="M99" i="13"/>
  <c r="N98" i="13"/>
  <c r="M98" i="13"/>
  <c r="K98" i="13"/>
  <c r="J98" i="13"/>
  <c r="I98" i="13"/>
  <c r="H98" i="13"/>
  <c r="N97" i="13"/>
  <c r="M97" i="13"/>
  <c r="K97" i="13"/>
  <c r="J97" i="13"/>
  <c r="I97" i="13"/>
  <c r="H97" i="13"/>
  <c r="N96" i="13"/>
  <c r="M96" i="13"/>
  <c r="K96" i="13"/>
  <c r="J96" i="13"/>
  <c r="I96" i="13"/>
  <c r="H96" i="13"/>
  <c r="N95" i="13"/>
  <c r="M95" i="13"/>
  <c r="K95" i="13"/>
  <c r="J95" i="13"/>
  <c r="I95" i="13"/>
  <c r="H95" i="13"/>
  <c r="N94" i="13"/>
  <c r="M94" i="13"/>
  <c r="K94" i="13"/>
  <c r="J94" i="13"/>
  <c r="I94" i="13"/>
  <c r="H94" i="13"/>
  <c r="N93" i="13"/>
  <c r="M93" i="13"/>
  <c r="K93" i="13"/>
  <c r="J93" i="13"/>
  <c r="I93" i="13"/>
  <c r="H93" i="13"/>
  <c r="N92" i="13"/>
  <c r="M92" i="13"/>
  <c r="N91" i="13"/>
  <c r="M91" i="13"/>
  <c r="K91" i="13"/>
  <c r="J91" i="13"/>
  <c r="I91" i="13"/>
  <c r="H91" i="13"/>
  <c r="N90" i="13"/>
  <c r="M90" i="13"/>
  <c r="K90" i="13"/>
  <c r="J90" i="13"/>
  <c r="I90" i="13"/>
  <c r="H90" i="13"/>
  <c r="N89" i="13"/>
  <c r="M89" i="13"/>
  <c r="K89" i="13"/>
  <c r="J89" i="13"/>
  <c r="I89" i="13"/>
  <c r="H89" i="13"/>
  <c r="N88" i="13"/>
  <c r="M88" i="13"/>
  <c r="K88" i="13"/>
  <c r="J88" i="13"/>
  <c r="I88" i="13"/>
  <c r="H88" i="13"/>
  <c r="N87" i="13"/>
  <c r="M87" i="13"/>
  <c r="K87" i="13"/>
  <c r="J87" i="13"/>
  <c r="I87" i="13"/>
  <c r="H87" i="13"/>
  <c r="N86" i="13"/>
  <c r="M86" i="13"/>
  <c r="K86" i="13"/>
  <c r="J86" i="13"/>
  <c r="I86" i="13"/>
  <c r="H86" i="13"/>
  <c r="N85" i="13"/>
  <c r="M85" i="13"/>
  <c r="K85" i="13"/>
  <c r="J85" i="13"/>
  <c r="I85" i="13"/>
  <c r="H85" i="13"/>
  <c r="N84" i="13"/>
  <c r="M84" i="13"/>
  <c r="K84" i="13"/>
  <c r="J84" i="13"/>
  <c r="I84" i="13"/>
  <c r="H84" i="13"/>
  <c r="N83" i="13"/>
  <c r="M83" i="13"/>
  <c r="K83" i="13"/>
  <c r="J83" i="13"/>
  <c r="I83" i="13"/>
  <c r="H83" i="13"/>
  <c r="N82" i="13"/>
  <c r="M82" i="13"/>
  <c r="K82" i="13"/>
  <c r="J82" i="13"/>
  <c r="N81" i="13"/>
  <c r="M81" i="13"/>
  <c r="K81" i="13"/>
  <c r="J81" i="13"/>
  <c r="I81" i="13"/>
  <c r="H81" i="13"/>
  <c r="N80" i="13"/>
  <c r="M80" i="13"/>
  <c r="K80" i="13"/>
  <c r="J80" i="13"/>
  <c r="I80" i="13"/>
  <c r="H80" i="13"/>
  <c r="N79" i="13"/>
  <c r="M79" i="13"/>
  <c r="K79" i="13"/>
  <c r="J79" i="13"/>
  <c r="I79" i="13"/>
  <c r="H79" i="13"/>
  <c r="N78" i="13"/>
  <c r="M78" i="13"/>
  <c r="K78" i="13"/>
  <c r="J78" i="13"/>
  <c r="I78" i="13"/>
  <c r="H78" i="13"/>
  <c r="N77" i="13"/>
  <c r="M77" i="13"/>
  <c r="K77" i="13"/>
  <c r="J77" i="13"/>
  <c r="I77" i="13"/>
  <c r="H77" i="13"/>
  <c r="N76" i="13"/>
  <c r="M76" i="13"/>
  <c r="K76" i="13"/>
  <c r="J76" i="13"/>
  <c r="I76" i="13"/>
  <c r="H76" i="13"/>
  <c r="N75" i="13"/>
  <c r="M75" i="13"/>
  <c r="K75" i="13"/>
  <c r="J75" i="13"/>
  <c r="I75" i="13"/>
  <c r="H75" i="13"/>
  <c r="N74" i="13"/>
  <c r="M74" i="13"/>
  <c r="K74" i="13"/>
  <c r="J74" i="13"/>
  <c r="I74" i="13"/>
  <c r="H74" i="13"/>
  <c r="N73" i="13"/>
  <c r="M73" i="13"/>
  <c r="K73" i="13"/>
  <c r="J73" i="13"/>
  <c r="I73" i="13"/>
  <c r="H73" i="13"/>
  <c r="N72" i="13"/>
  <c r="M72" i="13"/>
  <c r="K72" i="13"/>
  <c r="J72" i="13"/>
  <c r="I72" i="13"/>
  <c r="H72" i="13"/>
  <c r="N71" i="13"/>
  <c r="M71" i="13"/>
  <c r="K71" i="13"/>
  <c r="J71" i="13"/>
  <c r="I71" i="13"/>
  <c r="H71" i="13"/>
  <c r="N70" i="13"/>
  <c r="M70" i="13"/>
  <c r="K70" i="13"/>
  <c r="J70" i="13"/>
  <c r="I70" i="13"/>
  <c r="H70" i="13"/>
  <c r="N69" i="13"/>
  <c r="M69" i="13"/>
  <c r="K69" i="13"/>
  <c r="J69" i="13"/>
  <c r="I69" i="13"/>
  <c r="H69" i="13"/>
  <c r="N68" i="13"/>
  <c r="M68" i="13"/>
  <c r="K68" i="13"/>
  <c r="J68" i="13"/>
  <c r="N67" i="13"/>
  <c r="M67" i="13"/>
  <c r="K67" i="13"/>
  <c r="J67" i="13"/>
  <c r="I67" i="13"/>
  <c r="H67" i="13"/>
  <c r="N66" i="13"/>
  <c r="M66" i="13"/>
  <c r="K66" i="13"/>
  <c r="J66" i="13"/>
  <c r="I66" i="13"/>
  <c r="H66" i="13"/>
  <c r="N65" i="13"/>
  <c r="M65" i="13"/>
  <c r="K65" i="13"/>
  <c r="J65" i="13"/>
  <c r="I65" i="13"/>
  <c r="H65" i="13"/>
  <c r="N64" i="13"/>
  <c r="M64" i="13"/>
  <c r="K64" i="13"/>
  <c r="J64" i="13"/>
  <c r="I64" i="13"/>
  <c r="H64" i="13"/>
  <c r="N63" i="13"/>
  <c r="M63" i="13"/>
  <c r="K63" i="13"/>
  <c r="J63" i="13"/>
  <c r="I63" i="13"/>
  <c r="H63" i="13"/>
  <c r="N62" i="13"/>
  <c r="M62" i="13"/>
  <c r="K62" i="13"/>
  <c r="J62" i="13"/>
  <c r="I62" i="13"/>
  <c r="H62" i="13"/>
  <c r="N61" i="13"/>
  <c r="M61" i="13"/>
  <c r="K61" i="13"/>
  <c r="J61" i="13"/>
  <c r="I61" i="13"/>
  <c r="H61" i="13"/>
  <c r="N60" i="13"/>
  <c r="M60" i="13"/>
  <c r="K60" i="13"/>
  <c r="J60" i="13"/>
  <c r="I60" i="13"/>
  <c r="H60" i="13"/>
  <c r="P59" i="13"/>
  <c r="N59" i="13"/>
  <c r="M59" i="13"/>
  <c r="K59" i="13"/>
  <c r="J59" i="13"/>
  <c r="I59" i="13"/>
  <c r="H59" i="13"/>
  <c r="K58" i="13"/>
  <c r="J58" i="13"/>
  <c r="K57" i="13"/>
  <c r="J57" i="13"/>
  <c r="I57" i="13"/>
  <c r="H57" i="13"/>
  <c r="K56" i="13"/>
  <c r="J56" i="13"/>
  <c r="I56" i="13"/>
  <c r="H56" i="13"/>
  <c r="K55" i="13"/>
  <c r="J55" i="13"/>
  <c r="I55" i="13"/>
  <c r="H55" i="13"/>
  <c r="K54" i="13"/>
  <c r="J54" i="13"/>
  <c r="I54" i="13"/>
  <c r="H54" i="13"/>
  <c r="K53" i="13"/>
  <c r="J53" i="13"/>
  <c r="I53" i="13"/>
  <c r="H53" i="13"/>
  <c r="K52" i="13"/>
  <c r="J52" i="13"/>
  <c r="I52" i="13"/>
  <c r="H52" i="13"/>
  <c r="K51" i="13"/>
  <c r="J51" i="13"/>
  <c r="I51" i="13"/>
  <c r="H51" i="13"/>
  <c r="K50" i="13"/>
  <c r="J50" i="13"/>
  <c r="I50" i="13"/>
  <c r="H50" i="13"/>
  <c r="K49" i="13"/>
  <c r="J49" i="13"/>
  <c r="I49" i="13"/>
  <c r="H49" i="13"/>
  <c r="K48" i="13"/>
  <c r="J48" i="13"/>
  <c r="I48" i="13"/>
  <c r="H48" i="13"/>
  <c r="K47" i="13"/>
  <c r="J47" i="13"/>
  <c r="I47" i="13"/>
  <c r="H47" i="13"/>
  <c r="K46" i="13"/>
  <c r="J46" i="13"/>
  <c r="I46" i="13"/>
  <c r="H46" i="13"/>
  <c r="K45" i="13"/>
  <c r="J45" i="13"/>
  <c r="I45" i="13"/>
  <c r="H45" i="13"/>
  <c r="K44" i="13"/>
  <c r="J44" i="13"/>
  <c r="I44" i="13"/>
  <c r="H44" i="13"/>
  <c r="K43" i="13"/>
  <c r="J43" i="13"/>
  <c r="I43" i="13"/>
  <c r="H43" i="13"/>
  <c r="K42" i="13"/>
  <c r="J42" i="13"/>
  <c r="I42" i="13"/>
  <c r="H42" i="13"/>
  <c r="K41" i="13"/>
  <c r="J41" i="13"/>
  <c r="I41" i="13"/>
  <c r="H41" i="13"/>
  <c r="K40" i="13"/>
  <c r="J40" i="13"/>
  <c r="I40" i="13"/>
  <c r="H40" i="13"/>
  <c r="K39" i="13"/>
  <c r="J39" i="13"/>
  <c r="I39" i="13"/>
  <c r="H39" i="13"/>
  <c r="K38" i="13"/>
  <c r="J38" i="13"/>
  <c r="I38" i="13"/>
  <c r="H38" i="13"/>
  <c r="K37" i="13"/>
  <c r="J37" i="13"/>
  <c r="I37" i="13"/>
  <c r="H37" i="13"/>
  <c r="K36" i="13"/>
  <c r="J36" i="13"/>
  <c r="I36" i="13"/>
  <c r="H36" i="13"/>
  <c r="K35" i="13"/>
  <c r="J35" i="13"/>
  <c r="I35" i="13"/>
  <c r="H35" i="13"/>
  <c r="K34" i="13"/>
  <c r="J34" i="13"/>
  <c r="I34" i="13"/>
  <c r="H34" i="13"/>
  <c r="K33" i="13"/>
  <c r="J33" i="13"/>
  <c r="I33" i="13"/>
  <c r="H33" i="13"/>
  <c r="K32" i="13"/>
  <c r="J32" i="13"/>
  <c r="I32" i="13"/>
  <c r="H32" i="13"/>
  <c r="K31" i="13"/>
  <c r="J31" i="13"/>
  <c r="I31" i="13"/>
  <c r="H31" i="13"/>
  <c r="K30" i="13"/>
  <c r="J30" i="13"/>
  <c r="I30" i="13"/>
  <c r="H30" i="13"/>
  <c r="K29" i="13"/>
  <c r="J29" i="13"/>
  <c r="I29" i="13"/>
  <c r="H29" i="13"/>
  <c r="K28" i="13"/>
  <c r="J28" i="13"/>
  <c r="I28" i="13"/>
  <c r="H28" i="13"/>
  <c r="K27" i="13"/>
  <c r="J27" i="13"/>
  <c r="I27" i="13"/>
  <c r="H27" i="13"/>
  <c r="K26" i="13"/>
  <c r="J26" i="13"/>
  <c r="I26" i="13"/>
  <c r="H26" i="13"/>
  <c r="K25" i="13"/>
  <c r="J25" i="13"/>
  <c r="I25" i="13"/>
  <c r="H25" i="13"/>
  <c r="K24" i="13"/>
  <c r="J24" i="13"/>
  <c r="I24" i="13"/>
  <c r="H24" i="13"/>
  <c r="K23" i="13"/>
  <c r="J23" i="13"/>
  <c r="I23" i="13"/>
  <c r="H23" i="13"/>
  <c r="E23" i="13"/>
  <c r="K22" i="13"/>
  <c r="J22" i="13"/>
  <c r="I22" i="13"/>
  <c r="H22" i="13"/>
  <c r="K21" i="13"/>
  <c r="J21" i="13"/>
  <c r="I21" i="13"/>
  <c r="H21" i="13"/>
  <c r="K20" i="13"/>
  <c r="J20" i="13"/>
  <c r="I20" i="13"/>
  <c r="H20" i="13"/>
  <c r="K19" i="13"/>
  <c r="J19" i="13"/>
  <c r="I19" i="13"/>
  <c r="H19" i="13"/>
  <c r="K18" i="13"/>
  <c r="J18" i="13"/>
  <c r="I18" i="13"/>
  <c r="H18" i="13"/>
  <c r="K17" i="13"/>
  <c r="J17" i="13"/>
  <c r="I17" i="13"/>
  <c r="H17" i="13"/>
  <c r="K16" i="13"/>
  <c r="J16" i="13"/>
  <c r="I16" i="13"/>
  <c r="H16" i="13"/>
  <c r="E16" i="13"/>
  <c r="K15" i="13"/>
  <c r="J15" i="13"/>
  <c r="K14" i="13"/>
  <c r="J14" i="13"/>
  <c r="K13" i="13"/>
  <c r="J13" i="13"/>
  <c r="I13" i="13"/>
  <c r="H13" i="13"/>
  <c r="K12" i="13"/>
  <c r="J12" i="13"/>
  <c r="I12" i="13"/>
  <c r="H12" i="13"/>
  <c r="K11" i="13"/>
  <c r="J11" i="13"/>
  <c r="I11" i="13"/>
  <c r="H11" i="13"/>
  <c r="K10" i="13"/>
  <c r="J10" i="13"/>
  <c r="I10" i="13"/>
  <c r="H10" i="13"/>
  <c r="K9" i="13"/>
  <c r="J9" i="13"/>
  <c r="I9" i="13"/>
  <c r="H9" i="13"/>
  <c r="E9" i="13"/>
  <c r="K8" i="13"/>
  <c r="J8" i="13"/>
  <c r="I8" i="13"/>
  <c r="H8" i="13"/>
  <c r="K7" i="13"/>
  <c r="J7" i="13"/>
  <c r="I7" i="13"/>
  <c r="H7" i="13"/>
  <c r="K6" i="13"/>
  <c r="J6" i="13"/>
  <c r="I6" i="13"/>
  <c r="H6" i="13"/>
  <c r="K5" i="13"/>
  <c r="J5" i="13"/>
  <c r="I5" i="13"/>
  <c r="H5" i="13"/>
  <c r="K4" i="13"/>
  <c r="J4" i="13"/>
  <c r="I4" i="13"/>
  <c r="H4" i="13"/>
  <c r="Q3" i="13"/>
  <c r="P3" i="13"/>
  <c r="O3" i="13"/>
  <c r="N3" i="13"/>
  <c r="H3" i="13"/>
  <c r="F2" i="15"/>
  <c r="D2" i="15"/>
  <c r="AE467" i="12"/>
  <c r="AK466" i="12"/>
  <c r="AS465" i="12"/>
  <c r="AR465" i="12"/>
  <c r="AQ465" i="12"/>
  <c r="AI465" i="12"/>
  <c r="AS464" i="12"/>
  <c r="AR464" i="12"/>
  <c r="AQ464" i="12"/>
  <c r="AI464" i="12"/>
  <c r="AS463" i="12"/>
  <c r="AS462" i="12"/>
  <c r="AR462" i="12"/>
  <c r="AQ462" i="12"/>
  <c r="AI462" i="12"/>
  <c r="AS461" i="12"/>
  <c r="AR461" i="12"/>
  <c r="AQ461" i="12"/>
  <c r="AI461" i="12"/>
  <c r="AS460" i="12"/>
  <c r="AR460" i="12"/>
  <c r="AQ460" i="12"/>
  <c r="AI460" i="12"/>
  <c r="AS459" i="12"/>
  <c r="AS458" i="12"/>
  <c r="AR458" i="12"/>
  <c r="AQ458" i="12"/>
  <c r="AI458" i="12"/>
  <c r="AS457" i="12"/>
  <c r="AS456" i="12"/>
  <c r="AR456" i="12"/>
  <c r="AQ456" i="12"/>
  <c r="AI456" i="12"/>
  <c r="AI454" i="12"/>
  <c r="AE451" i="12"/>
  <c r="AK450" i="12"/>
  <c r="AS449" i="12"/>
  <c r="AR449" i="12"/>
  <c r="AQ449" i="12"/>
  <c r="AI449" i="12"/>
  <c r="AS448" i="12"/>
  <c r="AR448" i="12"/>
  <c r="AQ448" i="12"/>
  <c r="AI448" i="12"/>
  <c r="AS447" i="12"/>
  <c r="AS446" i="12"/>
  <c r="AR446" i="12"/>
  <c r="AQ446" i="12"/>
  <c r="AI446" i="12"/>
  <c r="AS445" i="12"/>
  <c r="AR445" i="12"/>
  <c r="AQ445" i="12"/>
  <c r="AI445" i="12"/>
  <c r="AS444" i="12"/>
  <c r="AR444" i="12"/>
  <c r="AQ444" i="12"/>
  <c r="AI444" i="12"/>
  <c r="AS443" i="12"/>
  <c r="AS442" i="12"/>
  <c r="AR442" i="12"/>
  <c r="AQ442" i="12"/>
  <c r="AI442" i="12"/>
  <c r="AS441" i="12"/>
  <c r="AS440" i="12"/>
  <c r="AR440" i="12"/>
  <c r="AQ440" i="12"/>
  <c r="AI440" i="12"/>
  <c r="AE435" i="12"/>
  <c r="AK434" i="12"/>
  <c r="AS433" i="12"/>
  <c r="AR433" i="12"/>
  <c r="AQ433" i="12"/>
  <c r="AI433" i="12"/>
  <c r="AS432" i="12"/>
  <c r="AR432" i="12"/>
  <c r="AQ432" i="12"/>
  <c r="AI432" i="12"/>
  <c r="AS431" i="12"/>
  <c r="AS430" i="12"/>
  <c r="AR430" i="12"/>
  <c r="AQ430" i="12"/>
  <c r="AI430" i="12"/>
  <c r="AS429" i="12"/>
  <c r="AR429" i="12"/>
  <c r="AQ429" i="12"/>
  <c r="AI429" i="12"/>
  <c r="AS428" i="12"/>
  <c r="AR428" i="12"/>
  <c r="AQ428" i="12"/>
  <c r="AI428" i="12"/>
  <c r="AS427" i="12"/>
  <c r="AS426" i="12"/>
  <c r="AR426" i="12"/>
  <c r="AQ426" i="12"/>
  <c r="AI426" i="12"/>
  <c r="AS425" i="12"/>
  <c r="AS424" i="12"/>
  <c r="AR424" i="12"/>
  <c r="AQ424" i="12"/>
  <c r="AI424" i="12"/>
  <c r="AE417" i="12"/>
  <c r="AK416" i="12"/>
  <c r="AS415" i="12"/>
  <c r="AR415" i="12"/>
  <c r="AQ415" i="12"/>
  <c r="AI415" i="12"/>
  <c r="AS414" i="12"/>
  <c r="AR414" i="12"/>
  <c r="AQ414" i="12"/>
  <c r="AI414" i="12"/>
  <c r="AS413" i="12"/>
  <c r="AS412" i="12"/>
  <c r="AR412" i="12"/>
  <c r="AQ412" i="12"/>
  <c r="AI412" i="12"/>
  <c r="AS411" i="12"/>
  <c r="AR411" i="12"/>
  <c r="AQ411" i="12"/>
  <c r="AI411" i="12"/>
  <c r="AS410" i="12"/>
  <c r="AR410" i="12"/>
  <c r="AQ410" i="12"/>
  <c r="AI410" i="12"/>
  <c r="AS409" i="12"/>
  <c r="AS408" i="12"/>
  <c r="AR408" i="12"/>
  <c r="AQ408" i="12"/>
  <c r="AI408" i="12"/>
  <c r="AS407" i="12"/>
  <c r="AS406" i="12"/>
  <c r="AR406" i="12"/>
  <c r="AQ406" i="12"/>
  <c r="AI406" i="12"/>
  <c r="AI404" i="12"/>
  <c r="AE397" i="12"/>
  <c r="AK396" i="12"/>
  <c r="AS395" i="12"/>
  <c r="AR395" i="12"/>
  <c r="AQ395" i="12"/>
  <c r="AI395" i="12"/>
  <c r="AF395" i="12"/>
  <c r="AS394" i="12"/>
  <c r="AR394" i="12"/>
  <c r="AQ394" i="12"/>
  <c r="AI394" i="12"/>
  <c r="AF394" i="12"/>
  <c r="AS393" i="12"/>
  <c r="AS392" i="12"/>
  <c r="AR392" i="12"/>
  <c r="AQ392" i="12"/>
  <c r="AI392" i="12"/>
  <c r="AF392" i="12"/>
  <c r="AS391" i="12"/>
  <c r="AR391" i="12"/>
  <c r="AQ391" i="12"/>
  <c r="AI391" i="12"/>
  <c r="AF391" i="12"/>
  <c r="AS390" i="12"/>
  <c r="AR390" i="12"/>
  <c r="AQ390" i="12"/>
  <c r="AI390" i="12"/>
  <c r="AF390" i="12"/>
  <c r="AS389" i="12"/>
  <c r="AI389" i="12"/>
  <c r="AS388" i="12"/>
  <c r="AR388" i="12"/>
  <c r="AQ388" i="12"/>
  <c r="AI388" i="12"/>
  <c r="AF388" i="12"/>
  <c r="AS387" i="12"/>
  <c r="AI387" i="12"/>
  <c r="AS386" i="12"/>
  <c r="AR386" i="12"/>
  <c r="AQ386" i="12"/>
  <c r="AI386" i="12"/>
  <c r="AF386" i="12"/>
  <c r="AI384" i="12"/>
  <c r="AE378" i="12"/>
  <c r="AK377" i="12"/>
  <c r="AI376" i="12"/>
  <c r="AF376" i="12"/>
  <c r="AI375" i="12"/>
  <c r="AF375" i="12"/>
  <c r="AI373" i="12"/>
  <c r="AF373" i="12"/>
  <c r="AI372" i="12"/>
  <c r="AF372" i="12"/>
  <c r="AI371" i="12"/>
  <c r="AF371" i="12"/>
  <c r="AI370" i="12"/>
  <c r="AI369" i="12"/>
  <c r="AF369" i="12"/>
  <c r="AI368" i="12"/>
  <c r="AI367" i="12"/>
  <c r="AF367" i="12"/>
  <c r="AI365" i="12"/>
  <c r="AE361" i="12"/>
  <c r="AK360" i="12"/>
  <c r="AI359" i="12"/>
  <c r="AF359" i="12"/>
  <c r="AI358" i="12"/>
  <c r="AF358" i="12"/>
  <c r="AI356" i="12"/>
  <c r="AF356" i="12"/>
  <c r="AI355" i="12"/>
  <c r="AF355" i="12"/>
  <c r="AI354" i="12"/>
  <c r="AF354" i="12"/>
  <c r="AI353" i="12"/>
  <c r="AI352" i="12"/>
  <c r="AF352" i="12"/>
  <c r="AI351" i="12"/>
  <c r="AI350" i="12"/>
  <c r="AF350" i="12"/>
  <c r="AI348" i="12"/>
  <c r="AE344" i="12"/>
  <c r="AD344" i="12"/>
  <c r="AC344" i="12"/>
  <c r="AB344" i="12"/>
  <c r="AA344" i="12"/>
  <c r="AK343" i="12"/>
  <c r="AE343" i="12"/>
  <c r="AD343" i="12"/>
  <c r="AC343" i="12"/>
  <c r="AI342" i="12"/>
  <c r="AF342" i="12"/>
  <c r="AE342" i="12"/>
  <c r="AD342" i="12"/>
  <c r="AC342" i="12"/>
  <c r="AB342" i="12"/>
  <c r="AI341" i="12"/>
  <c r="AF341" i="12"/>
  <c r="AE341" i="12"/>
  <c r="AD341" i="12"/>
  <c r="AC341" i="12"/>
  <c r="AB341" i="12"/>
  <c r="AI339" i="12"/>
  <c r="AF339" i="12"/>
  <c r="AE339" i="12"/>
  <c r="AD339" i="12"/>
  <c r="AC339" i="12"/>
  <c r="AB339" i="12"/>
  <c r="AI338" i="12"/>
  <c r="AF338" i="12"/>
  <c r="AE338" i="12"/>
  <c r="AD338" i="12"/>
  <c r="AC338" i="12"/>
  <c r="AB338" i="12"/>
  <c r="AI337" i="12"/>
  <c r="AF337" i="12"/>
  <c r="AE337" i="12"/>
  <c r="AD337" i="12"/>
  <c r="AC337" i="12"/>
  <c r="AB337" i="12"/>
  <c r="AI336" i="12"/>
  <c r="AI335" i="12"/>
  <c r="AF335" i="12"/>
  <c r="AE335" i="12"/>
  <c r="AD335" i="12"/>
  <c r="AC335" i="12"/>
  <c r="AB335" i="12"/>
  <c r="AI334" i="12"/>
  <c r="AI333" i="12"/>
  <c r="AF333" i="12"/>
  <c r="AE333" i="12"/>
  <c r="AD333" i="12"/>
  <c r="AC333" i="12"/>
  <c r="AB333" i="12"/>
  <c r="AI331" i="12"/>
  <c r="AE327" i="12"/>
  <c r="AD327" i="12"/>
  <c r="AC327" i="12"/>
  <c r="AB327" i="12"/>
  <c r="AK326" i="12"/>
  <c r="AE326" i="12"/>
  <c r="AD326" i="12"/>
  <c r="AC326" i="12"/>
  <c r="AI325" i="12"/>
  <c r="AF325" i="12"/>
  <c r="AE325" i="12"/>
  <c r="AD325" i="12"/>
  <c r="AC325" i="12"/>
  <c r="AB325" i="12"/>
  <c r="AI324" i="12"/>
  <c r="AF324" i="12"/>
  <c r="AE324" i="12"/>
  <c r="AD324" i="12"/>
  <c r="AC324" i="12"/>
  <c r="AB324" i="12"/>
  <c r="AI322" i="12"/>
  <c r="AF322" i="12"/>
  <c r="AE322" i="12"/>
  <c r="AD322" i="12"/>
  <c r="AC322" i="12"/>
  <c r="AB322" i="12"/>
  <c r="AI321" i="12"/>
  <c r="AF321" i="12"/>
  <c r="AE321" i="12"/>
  <c r="AD321" i="12"/>
  <c r="AC321" i="12"/>
  <c r="AB321" i="12"/>
  <c r="AI320" i="12"/>
  <c r="AF320" i="12"/>
  <c r="AE320" i="12"/>
  <c r="AD320" i="12"/>
  <c r="AC320" i="12"/>
  <c r="AB320" i="12"/>
  <c r="AI319" i="12"/>
  <c r="AI318" i="12"/>
  <c r="AF318" i="12"/>
  <c r="AE318" i="12"/>
  <c r="AD318" i="12"/>
  <c r="AC318" i="12"/>
  <c r="AB318" i="12"/>
  <c r="AI317" i="12"/>
  <c r="AI316" i="12"/>
  <c r="AF316" i="12"/>
  <c r="AE316" i="12"/>
  <c r="AD316" i="12"/>
  <c r="AC316" i="12"/>
  <c r="AB316" i="12"/>
  <c r="AI314" i="12"/>
  <c r="AE311" i="12"/>
  <c r="AD311" i="12"/>
  <c r="AC311" i="12"/>
  <c r="AB311" i="12"/>
  <c r="AK310" i="12"/>
  <c r="AE310" i="12"/>
  <c r="AD310" i="12"/>
  <c r="AC310" i="12"/>
  <c r="AI309" i="12"/>
  <c r="AF309" i="12"/>
  <c r="AE309" i="12"/>
  <c r="AD309" i="12"/>
  <c r="AC309" i="12"/>
  <c r="AB309" i="12"/>
  <c r="AI308" i="12"/>
  <c r="AF308" i="12"/>
  <c r="AE308" i="12"/>
  <c r="AD308" i="12"/>
  <c r="AC308" i="12"/>
  <c r="AB308" i="12"/>
  <c r="AI306" i="12"/>
  <c r="AF306" i="12"/>
  <c r="AE306" i="12"/>
  <c r="AD306" i="12"/>
  <c r="AC306" i="12"/>
  <c r="AB306" i="12"/>
  <c r="AI305" i="12"/>
  <c r="AF305" i="12"/>
  <c r="AE305" i="12"/>
  <c r="AD305" i="12"/>
  <c r="AC305" i="12"/>
  <c r="AB305" i="12"/>
  <c r="AI304" i="12"/>
  <c r="AF304" i="12"/>
  <c r="AE304" i="12"/>
  <c r="AD304" i="12"/>
  <c r="AC304" i="12"/>
  <c r="AB304" i="12"/>
  <c r="AI303" i="12"/>
  <c r="AI302" i="12"/>
  <c r="AF302" i="12"/>
  <c r="AE302" i="12"/>
  <c r="AD302" i="12"/>
  <c r="AC302" i="12"/>
  <c r="AB302" i="12"/>
  <c r="AI301" i="12"/>
  <c r="AI300" i="12"/>
  <c r="AF300" i="12"/>
  <c r="AE300" i="12"/>
  <c r="AD300" i="12"/>
  <c r="AC300" i="12"/>
  <c r="AB300" i="12"/>
  <c r="AI298" i="12"/>
  <c r="AK296" i="12"/>
  <c r="AE296" i="12"/>
  <c r="AD296" i="12"/>
  <c r="AC296" i="12"/>
  <c r="AI295" i="12"/>
  <c r="AF295" i="12"/>
  <c r="AE295" i="12"/>
  <c r="AD295" i="12"/>
  <c r="AC295" i="12"/>
  <c r="AI294" i="12"/>
  <c r="AF294" i="12"/>
  <c r="AE294" i="12"/>
  <c r="AD294" i="12"/>
  <c r="AC294" i="12"/>
  <c r="AI292" i="12"/>
  <c r="AF292" i="12"/>
  <c r="AE292" i="12"/>
  <c r="AD292" i="12"/>
  <c r="AC292" i="12"/>
  <c r="AI291" i="12"/>
  <c r="AF291" i="12"/>
  <c r="AE291" i="12"/>
  <c r="AD291" i="12"/>
  <c r="AC291" i="12"/>
  <c r="AI290" i="12"/>
  <c r="AF290" i="12"/>
  <c r="AE290" i="12"/>
  <c r="AD290" i="12"/>
  <c r="AC290" i="12"/>
  <c r="AI289" i="12"/>
  <c r="AI288" i="12"/>
  <c r="AF288" i="12"/>
  <c r="AE288" i="12"/>
  <c r="AD288" i="12"/>
  <c r="AC288" i="12"/>
  <c r="AI287" i="12"/>
  <c r="AI286" i="12"/>
  <c r="AF286" i="12"/>
  <c r="AE286" i="12"/>
  <c r="AD286" i="12"/>
  <c r="AC286" i="12"/>
  <c r="AI284" i="12"/>
  <c r="AE282" i="12"/>
  <c r="AD282" i="12"/>
  <c r="AC282" i="12"/>
  <c r="AB282" i="12"/>
  <c r="AK281" i="12"/>
  <c r="AE281" i="12"/>
  <c r="AD281" i="12"/>
  <c r="AC281" i="12"/>
  <c r="AI280" i="12"/>
  <c r="AF280" i="12"/>
  <c r="AE280" i="12"/>
  <c r="AD280" i="12"/>
  <c r="AC280" i="12"/>
  <c r="AB280" i="12"/>
  <c r="AI279" i="12"/>
  <c r="AF279" i="12"/>
  <c r="AE279" i="12"/>
  <c r="AD279" i="12"/>
  <c r="AC279" i="12"/>
  <c r="AB279" i="12"/>
  <c r="AI277" i="12"/>
  <c r="AF277" i="12"/>
  <c r="AE277" i="12"/>
  <c r="AD277" i="12"/>
  <c r="AC277" i="12"/>
  <c r="AB277" i="12"/>
  <c r="AI276" i="12"/>
  <c r="AF276" i="12"/>
  <c r="AE276" i="12"/>
  <c r="AD276" i="12"/>
  <c r="AC276" i="12"/>
  <c r="AB276" i="12"/>
  <c r="AI275" i="12"/>
  <c r="AF275" i="12"/>
  <c r="AE275" i="12"/>
  <c r="AD275" i="12"/>
  <c r="AC275" i="12"/>
  <c r="AB275" i="12"/>
  <c r="AI274" i="12"/>
  <c r="AI273" i="12"/>
  <c r="AF273" i="12"/>
  <c r="AE273" i="12"/>
  <c r="AD273" i="12"/>
  <c r="AC273" i="12"/>
  <c r="AB273" i="12"/>
  <c r="AI272" i="12"/>
  <c r="AI271" i="12"/>
  <c r="AF271" i="12"/>
  <c r="AE271" i="12"/>
  <c r="AD271" i="12"/>
  <c r="AC271" i="12"/>
  <c r="AB271" i="12"/>
  <c r="AI269" i="12"/>
  <c r="AK267" i="12"/>
  <c r="AE267" i="12"/>
  <c r="AD267" i="12"/>
  <c r="AC267" i="12"/>
  <c r="AI266" i="12"/>
  <c r="AF266" i="12"/>
  <c r="AE266" i="12"/>
  <c r="AD266" i="12"/>
  <c r="AC266" i="12"/>
  <c r="AI265" i="12"/>
  <c r="AF265" i="12"/>
  <c r="AE265" i="12"/>
  <c r="AD265" i="12"/>
  <c r="AC265" i="12"/>
  <c r="AI263" i="12"/>
  <c r="AF263" i="12"/>
  <c r="AE263" i="12"/>
  <c r="AD263" i="12"/>
  <c r="AC263" i="12"/>
  <c r="AI262" i="12"/>
  <c r="AF262" i="12"/>
  <c r="AE262" i="12"/>
  <c r="AD262" i="12"/>
  <c r="AC262" i="12"/>
  <c r="AI261" i="12"/>
  <c r="AF261" i="12"/>
  <c r="AE261" i="12"/>
  <c r="AD261" i="12"/>
  <c r="AC261" i="12"/>
  <c r="AI260" i="12"/>
  <c r="AI259" i="12"/>
  <c r="AF259" i="12"/>
  <c r="AE259" i="12"/>
  <c r="AD259" i="12"/>
  <c r="AC259" i="12"/>
  <c r="AI258" i="12"/>
  <c r="AI257" i="12"/>
  <c r="AF257" i="12"/>
  <c r="AE257" i="12"/>
  <c r="AD257" i="12"/>
  <c r="AC257" i="12"/>
  <c r="AI255" i="12"/>
  <c r="AE253" i="12"/>
  <c r="AD253" i="12"/>
  <c r="AC253" i="12"/>
  <c r="AB253" i="12"/>
  <c r="AK252" i="12"/>
  <c r="AE252" i="12"/>
  <c r="AD252" i="12"/>
  <c r="AC252" i="12"/>
  <c r="AI251" i="12"/>
  <c r="AF251" i="12"/>
  <c r="AE251" i="12"/>
  <c r="AD251" i="12"/>
  <c r="AC251" i="12"/>
  <c r="AB251" i="12"/>
  <c r="AI250" i="12"/>
  <c r="AF250" i="12"/>
  <c r="AE250" i="12"/>
  <c r="AD250" i="12"/>
  <c r="AC250" i="12"/>
  <c r="AB250" i="12"/>
  <c r="AI248" i="12"/>
  <c r="AF248" i="12"/>
  <c r="AE248" i="12"/>
  <c r="AD248" i="12"/>
  <c r="AC248" i="12"/>
  <c r="AB248" i="12"/>
  <c r="AI247" i="12"/>
  <c r="AF247" i="12"/>
  <c r="AE247" i="12"/>
  <c r="AD247" i="12"/>
  <c r="AC247" i="12"/>
  <c r="AB247" i="12"/>
  <c r="AI246" i="12"/>
  <c r="AF246" i="12"/>
  <c r="AE246" i="12"/>
  <c r="AD246" i="12"/>
  <c r="AC246" i="12"/>
  <c r="AB246" i="12"/>
  <c r="AI245" i="12"/>
  <c r="AI244" i="12"/>
  <c r="AF244" i="12"/>
  <c r="AE244" i="12"/>
  <c r="AD244" i="12"/>
  <c r="AC244" i="12"/>
  <c r="AB244" i="12"/>
  <c r="AI243" i="12"/>
  <c r="AI242" i="12"/>
  <c r="AF242" i="12"/>
  <c r="AE242" i="12"/>
  <c r="AD242" i="12"/>
  <c r="AC242" i="12"/>
  <c r="AB242" i="12"/>
  <c r="AI240" i="12"/>
  <c r="AK238" i="12"/>
  <c r="AE238" i="12"/>
  <c r="AD238" i="12"/>
  <c r="AC238" i="12"/>
  <c r="AI237" i="12"/>
  <c r="AF237" i="12"/>
  <c r="AE237" i="12"/>
  <c r="AD237" i="12"/>
  <c r="AC237" i="12"/>
  <c r="AI236" i="12"/>
  <c r="AF236" i="12"/>
  <c r="AE236" i="12"/>
  <c r="AD236" i="12"/>
  <c r="AC236" i="12"/>
  <c r="AE235" i="12"/>
  <c r="AD235" i="12"/>
  <c r="AC235" i="12"/>
  <c r="AI234" i="12"/>
  <c r="AF234" i="12"/>
  <c r="AE234" i="12"/>
  <c r="AD234" i="12"/>
  <c r="AC234" i="12"/>
  <c r="AI233" i="12"/>
  <c r="AF233" i="12"/>
  <c r="AE233" i="12"/>
  <c r="AD233" i="12"/>
  <c r="AC233" i="12"/>
  <c r="AI232" i="12"/>
  <c r="AF232" i="12"/>
  <c r="AE232" i="12"/>
  <c r="AD232" i="12"/>
  <c r="AC232" i="12"/>
  <c r="AI231" i="12"/>
  <c r="AE231" i="12"/>
  <c r="AD231" i="12"/>
  <c r="AC231" i="12"/>
  <c r="AI230" i="12"/>
  <c r="AF230" i="12"/>
  <c r="AE230" i="12"/>
  <c r="AD230" i="12"/>
  <c r="AC230" i="12"/>
  <c r="AI229" i="12"/>
  <c r="AE229" i="12"/>
  <c r="AD229" i="12"/>
  <c r="AC229" i="12"/>
  <c r="AI228" i="12"/>
  <c r="AF228" i="12"/>
  <c r="AE228" i="12"/>
  <c r="AD228" i="12"/>
  <c r="AC228" i="12"/>
  <c r="AI226" i="12"/>
  <c r="AE223" i="12"/>
  <c r="AD223" i="12"/>
  <c r="AC223" i="12"/>
  <c r="AB223" i="12"/>
  <c r="AK222" i="12"/>
  <c r="AE222" i="12"/>
  <c r="AD222" i="12"/>
  <c r="AC222" i="12"/>
  <c r="AI221" i="12"/>
  <c r="AF221" i="12"/>
  <c r="AE221" i="12"/>
  <c r="AD221" i="12"/>
  <c r="AC221" i="12"/>
  <c r="AB221" i="12"/>
  <c r="AI220" i="12"/>
  <c r="AF220" i="12"/>
  <c r="AE220" i="12"/>
  <c r="AD220" i="12"/>
  <c r="AC220" i="12"/>
  <c r="AB220" i="12"/>
  <c r="AI218" i="12"/>
  <c r="AF218" i="12"/>
  <c r="AE218" i="12"/>
  <c r="AD218" i="12"/>
  <c r="AC218" i="12"/>
  <c r="AB218" i="12"/>
  <c r="AI217" i="12"/>
  <c r="AF217" i="12"/>
  <c r="AE217" i="12"/>
  <c r="AD217" i="12"/>
  <c r="AC217" i="12"/>
  <c r="AB217" i="12"/>
  <c r="AI216" i="12"/>
  <c r="AF216" i="12"/>
  <c r="AE216" i="12"/>
  <c r="AD216" i="12"/>
  <c r="AC216" i="12"/>
  <c r="AB216" i="12"/>
  <c r="AI215" i="12"/>
  <c r="AI214" i="12"/>
  <c r="AF214" i="12"/>
  <c r="AE214" i="12"/>
  <c r="AD214" i="12"/>
  <c r="AC214" i="12"/>
  <c r="AB214" i="12"/>
  <c r="AI213" i="12"/>
  <c r="AI212" i="12"/>
  <c r="AF212" i="12"/>
  <c r="AE212" i="12"/>
  <c r="AD212" i="12"/>
  <c r="AC212" i="12"/>
  <c r="AB212" i="12"/>
  <c r="AI210" i="12"/>
  <c r="AK208" i="12"/>
  <c r="AE208" i="12"/>
  <c r="AD208" i="12"/>
  <c r="AC208" i="12"/>
  <c r="AI207" i="12"/>
  <c r="AF207" i="12"/>
  <c r="AE207" i="12"/>
  <c r="AD207" i="12"/>
  <c r="AC207" i="12"/>
  <c r="AI206" i="12"/>
  <c r="AF206" i="12"/>
  <c r="AE206" i="12"/>
  <c r="AD206" i="12"/>
  <c r="AC206" i="12"/>
  <c r="AE205" i="12"/>
  <c r="AD205" i="12"/>
  <c r="AC205" i="12"/>
  <c r="AI204" i="12"/>
  <c r="AF204" i="12"/>
  <c r="AE204" i="12"/>
  <c r="AD204" i="12"/>
  <c r="AC204" i="12"/>
  <c r="AI203" i="12"/>
  <c r="AF203" i="12"/>
  <c r="AE203" i="12"/>
  <c r="AD203" i="12"/>
  <c r="AC203" i="12"/>
  <c r="AI202" i="12"/>
  <c r="AF202" i="12"/>
  <c r="AE202" i="12"/>
  <c r="AD202" i="12"/>
  <c r="AC202" i="12"/>
  <c r="AI201" i="12"/>
  <c r="AE201" i="12"/>
  <c r="AD201" i="12"/>
  <c r="AC201" i="12"/>
  <c r="AI200" i="12"/>
  <c r="AF200" i="12"/>
  <c r="AE200" i="12"/>
  <c r="AD200" i="12"/>
  <c r="AC200" i="12"/>
  <c r="AI199" i="12"/>
  <c r="AE199" i="12"/>
  <c r="AD199" i="12"/>
  <c r="AC199" i="12"/>
  <c r="AI198" i="12"/>
  <c r="AF198" i="12"/>
  <c r="AE198" i="12"/>
  <c r="AD198" i="12"/>
  <c r="AC198" i="12"/>
  <c r="AI196" i="12"/>
  <c r="AE195" i="12"/>
  <c r="AD195" i="12"/>
  <c r="AC195" i="12"/>
  <c r="AB195" i="12"/>
  <c r="AK194" i="12"/>
  <c r="AE194" i="12"/>
  <c r="AD194" i="12"/>
  <c r="AC194" i="12"/>
  <c r="AI193" i="12"/>
  <c r="AF193" i="12"/>
  <c r="AE193" i="12"/>
  <c r="AD193" i="12"/>
  <c r="AC193" i="12"/>
  <c r="AB193" i="12"/>
  <c r="AI192" i="12"/>
  <c r="AF192" i="12"/>
  <c r="AE192" i="12"/>
  <c r="AD192" i="12"/>
  <c r="AC192" i="12"/>
  <c r="AB192" i="12"/>
  <c r="AI190" i="12"/>
  <c r="AF190" i="12"/>
  <c r="AE190" i="12"/>
  <c r="AD190" i="12"/>
  <c r="AC190" i="12"/>
  <c r="AB190" i="12"/>
  <c r="AI189" i="12"/>
  <c r="AF189" i="12"/>
  <c r="AE189" i="12"/>
  <c r="AD189" i="12"/>
  <c r="AC189" i="12"/>
  <c r="AB189" i="12"/>
  <c r="AI188" i="12"/>
  <c r="AF188" i="12"/>
  <c r="AE188" i="12"/>
  <c r="AD188" i="12"/>
  <c r="AC188" i="12"/>
  <c r="AB188" i="12"/>
  <c r="AI187" i="12"/>
  <c r="AI186" i="12"/>
  <c r="AF186" i="12"/>
  <c r="AE186" i="12"/>
  <c r="AD186" i="12"/>
  <c r="AC186" i="12"/>
  <c r="AB186" i="12"/>
  <c r="AI185" i="12"/>
  <c r="AI184" i="12"/>
  <c r="AF184" i="12"/>
  <c r="AE184" i="12"/>
  <c r="AD184" i="12"/>
  <c r="AC184" i="12"/>
  <c r="AB184" i="12"/>
  <c r="AI182" i="12"/>
  <c r="AK180" i="12"/>
  <c r="AE180" i="12"/>
  <c r="AD180" i="12"/>
  <c r="AC180" i="12"/>
  <c r="AI179" i="12"/>
  <c r="AF179" i="12"/>
  <c r="AE179" i="12"/>
  <c r="AD179" i="12"/>
  <c r="AC179" i="12"/>
  <c r="AI178" i="12"/>
  <c r="AF178" i="12"/>
  <c r="AE178" i="12"/>
  <c r="AD178" i="12"/>
  <c r="AC178" i="12"/>
  <c r="AE177" i="12"/>
  <c r="AD177" i="12"/>
  <c r="AC177" i="12"/>
  <c r="AI176" i="12"/>
  <c r="AF176" i="12"/>
  <c r="AE176" i="12"/>
  <c r="AD176" i="12"/>
  <c r="AC176" i="12"/>
  <c r="AI175" i="12"/>
  <c r="AF175" i="12"/>
  <c r="AE175" i="12"/>
  <c r="AD175" i="12"/>
  <c r="AC175" i="12"/>
  <c r="AI174" i="12"/>
  <c r="AF174" i="12"/>
  <c r="AE174" i="12"/>
  <c r="AD174" i="12"/>
  <c r="AC174" i="12"/>
  <c r="AI173" i="12"/>
  <c r="AE173" i="12"/>
  <c r="AD173" i="12"/>
  <c r="AC173" i="12"/>
  <c r="AI172" i="12"/>
  <c r="AF172" i="12"/>
  <c r="AE172" i="12"/>
  <c r="AD172" i="12"/>
  <c r="AC172" i="12"/>
  <c r="AI171" i="12"/>
  <c r="AE171" i="12"/>
  <c r="AD171" i="12"/>
  <c r="AC171" i="12"/>
  <c r="AI170" i="12"/>
  <c r="AF170" i="12"/>
  <c r="AE170" i="12"/>
  <c r="AD170" i="12"/>
  <c r="AC170" i="12"/>
  <c r="AI168" i="12"/>
  <c r="AE167" i="12"/>
  <c r="AD167" i="12"/>
  <c r="AC167" i="12"/>
  <c r="AB167" i="12"/>
  <c r="AK166" i="12"/>
  <c r="AE166" i="12"/>
  <c r="AD166" i="12"/>
  <c r="AC166" i="12"/>
  <c r="AI165" i="12"/>
  <c r="AF165" i="12"/>
  <c r="AE165" i="12"/>
  <c r="AD165" i="12"/>
  <c r="AC165" i="12"/>
  <c r="AB165" i="12"/>
  <c r="AI164" i="12"/>
  <c r="AF164" i="12"/>
  <c r="AE164" i="12"/>
  <c r="AD164" i="12"/>
  <c r="AC164" i="12"/>
  <c r="AB164" i="12"/>
  <c r="AI162" i="12"/>
  <c r="AF162" i="12"/>
  <c r="AE162" i="12"/>
  <c r="AD162" i="12"/>
  <c r="AC162" i="12"/>
  <c r="AB162" i="12"/>
  <c r="AI161" i="12"/>
  <c r="AF161" i="12"/>
  <c r="AE161" i="12"/>
  <c r="AD161" i="12"/>
  <c r="AC161" i="12"/>
  <c r="AB161" i="12"/>
  <c r="AI160" i="12"/>
  <c r="AF160" i="12"/>
  <c r="AE160" i="12"/>
  <c r="AD160" i="12"/>
  <c r="AC160" i="12"/>
  <c r="AB160" i="12"/>
  <c r="AI159" i="12"/>
  <c r="AI158" i="12"/>
  <c r="AF158" i="12"/>
  <c r="AE158" i="12"/>
  <c r="AD158" i="12"/>
  <c r="AC158" i="12"/>
  <c r="AB158" i="12"/>
  <c r="AI157" i="12"/>
  <c r="AI156" i="12"/>
  <c r="AF156" i="12"/>
  <c r="AE156" i="12"/>
  <c r="AD156" i="12"/>
  <c r="AC156" i="12"/>
  <c r="AB156" i="12"/>
  <c r="AI154" i="12"/>
  <c r="AK152" i="12"/>
  <c r="AE152" i="12"/>
  <c r="AD152" i="12"/>
  <c r="AC152" i="12"/>
  <c r="AI151" i="12"/>
  <c r="AF151" i="12"/>
  <c r="AE151" i="12"/>
  <c r="AD151" i="12"/>
  <c r="AC151" i="12"/>
  <c r="AI150" i="12"/>
  <c r="AF150" i="12"/>
  <c r="AE150" i="12"/>
  <c r="AD150" i="12"/>
  <c r="AC150" i="12"/>
  <c r="AE149" i="12"/>
  <c r="AD149" i="12"/>
  <c r="AC149" i="12"/>
  <c r="AI148" i="12"/>
  <c r="AF148" i="12"/>
  <c r="AE148" i="12"/>
  <c r="AD148" i="12"/>
  <c r="AC148" i="12"/>
  <c r="AI147" i="12"/>
  <c r="AF147" i="12"/>
  <c r="AE147" i="12"/>
  <c r="AD147" i="12"/>
  <c r="AC147" i="12"/>
  <c r="AI146" i="12"/>
  <c r="AF146" i="12"/>
  <c r="AE146" i="12"/>
  <c r="AD146" i="12"/>
  <c r="AC146" i="12"/>
  <c r="AI145" i="12"/>
  <c r="AE145" i="12"/>
  <c r="AD145" i="12"/>
  <c r="AC145" i="12"/>
  <c r="U145" i="12"/>
  <c r="Q145" i="12"/>
  <c r="P145" i="12"/>
  <c r="AI144" i="12"/>
  <c r="AF144" i="12"/>
  <c r="AE144" i="12"/>
  <c r="AD144" i="12"/>
  <c r="AC144" i="12"/>
  <c r="U144" i="12"/>
  <c r="Q144" i="12"/>
  <c r="P144" i="12"/>
  <c r="AI143" i="12"/>
  <c r="AE143" i="12"/>
  <c r="AD143" i="12"/>
  <c r="AC143" i="12"/>
  <c r="U143" i="12"/>
  <c r="Q143" i="12"/>
  <c r="P143" i="12"/>
  <c r="AI142" i="12"/>
  <c r="AF142" i="12"/>
  <c r="AE142" i="12"/>
  <c r="AD142" i="12"/>
  <c r="AC142" i="12"/>
  <c r="U142" i="12"/>
  <c r="Q142" i="12"/>
  <c r="P142" i="12"/>
  <c r="U141" i="12"/>
  <c r="Q141" i="12"/>
  <c r="P141" i="12"/>
  <c r="AI140" i="12"/>
  <c r="U140" i="12"/>
  <c r="Q140" i="12"/>
  <c r="P140" i="12"/>
  <c r="U139" i="12"/>
  <c r="Q139" i="12"/>
  <c r="P139" i="12"/>
  <c r="AK138" i="12"/>
  <c r="AE138" i="12"/>
  <c r="AD138" i="12"/>
  <c r="AC138" i="12"/>
  <c r="U138" i="12"/>
  <c r="Q138" i="12"/>
  <c r="P138" i="12"/>
  <c r="AI137" i="12"/>
  <c r="AF137" i="12"/>
  <c r="AE137" i="12"/>
  <c r="AD137" i="12"/>
  <c r="AC137" i="12"/>
  <c r="U137" i="12"/>
  <c r="Q137" i="12"/>
  <c r="P137" i="12"/>
  <c r="AI136" i="12"/>
  <c r="AF136" i="12"/>
  <c r="AE136" i="12"/>
  <c r="AD136" i="12"/>
  <c r="AC136" i="12"/>
  <c r="U136" i="12"/>
  <c r="Q136" i="12"/>
  <c r="P136" i="12"/>
  <c r="AE135" i="12"/>
  <c r="AD135" i="12"/>
  <c r="AC135" i="12"/>
  <c r="U135" i="12"/>
  <c r="Q135" i="12"/>
  <c r="P135" i="12"/>
  <c r="AI134" i="12"/>
  <c r="AF134" i="12"/>
  <c r="AE134" i="12"/>
  <c r="AD134" i="12"/>
  <c r="AC134" i="12"/>
  <c r="U134" i="12"/>
  <c r="Q134" i="12"/>
  <c r="P134" i="12"/>
  <c r="AI133" i="12"/>
  <c r="AF133" i="12"/>
  <c r="AE133" i="12"/>
  <c r="AD133" i="12"/>
  <c r="AC133" i="12"/>
  <c r="U133" i="12"/>
  <c r="Q133" i="12"/>
  <c r="P133" i="12"/>
  <c r="AI132" i="12"/>
  <c r="AF132" i="12"/>
  <c r="AE132" i="12"/>
  <c r="AD132" i="12"/>
  <c r="AC132" i="12"/>
  <c r="U132" i="12"/>
  <c r="Q132" i="12"/>
  <c r="P132" i="12"/>
  <c r="AI131" i="12"/>
  <c r="AE131" i="12"/>
  <c r="AD131" i="12"/>
  <c r="AC131" i="12"/>
  <c r="U131" i="12"/>
  <c r="Q131" i="12"/>
  <c r="P131" i="12"/>
  <c r="AI130" i="12"/>
  <c r="AF130" i="12"/>
  <c r="AE130" i="12"/>
  <c r="AD130" i="12"/>
  <c r="AC130" i="12"/>
  <c r="U130" i="12"/>
  <c r="Q130" i="12"/>
  <c r="P130" i="12"/>
  <c r="AI129" i="12"/>
  <c r="AE129" i="12"/>
  <c r="AD129" i="12"/>
  <c r="AC129" i="12"/>
  <c r="U129" i="12"/>
  <c r="Q129" i="12"/>
  <c r="P129" i="12"/>
  <c r="AI128" i="12"/>
  <c r="AF128" i="12"/>
  <c r="AE128" i="12"/>
  <c r="AD128" i="12"/>
  <c r="AC128" i="12"/>
  <c r="U128" i="12"/>
  <c r="Q128" i="12"/>
  <c r="P128" i="12"/>
  <c r="U127" i="12"/>
  <c r="Q127" i="12"/>
  <c r="P127" i="12"/>
  <c r="AI126" i="12"/>
  <c r="U126" i="12"/>
  <c r="Q126" i="12"/>
  <c r="P126" i="12"/>
  <c r="U125" i="12"/>
  <c r="Q125" i="12"/>
  <c r="P125" i="12"/>
  <c r="AE124" i="12"/>
  <c r="AC124" i="12"/>
  <c r="U124" i="12"/>
  <c r="Q124" i="12"/>
  <c r="P124" i="12"/>
  <c r="AK123" i="12"/>
  <c r="AE123" i="12"/>
  <c r="AD123" i="12"/>
  <c r="AC123" i="12"/>
  <c r="U123" i="12"/>
  <c r="Q123" i="12"/>
  <c r="P123" i="12"/>
  <c r="AI122" i="12"/>
  <c r="AF122" i="12"/>
  <c r="AE122" i="12"/>
  <c r="AD122" i="12"/>
  <c r="AC122" i="12"/>
  <c r="U122" i="12"/>
  <c r="Q122" i="12"/>
  <c r="P122" i="12"/>
  <c r="AI121" i="12"/>
  <c r="AF121" i="12"/>
  <c r="AE121" i="12"/>
  <c r="AD121" i="12"/>
  <c r="AC121" i="12"/>
  <c r="U121" i="12"/>
  <c r="Q121" i="12"/>
  <c r="P121" i="12"/>
  <c r="AE120" i="12"/>
  <c r="AD120" i="12"/>
  <c r="AC120" i="12"/>
  <c r="U120" i="12"/>
  <c r="Q120" i="12"/>
  <c r="P120" i="12"/>
  <c r="AI119" i="12"/>
  <c r="AF119" i="12"/>
  <c r="AE119" i="12"/>
  <c r="AD119" i="12"/>
  <c r="AC119" i="12"/>
  <c r="U119" i="12"/>
  <c r="Q119" i="12"/>
  <c r="P119" i="12"/>
  <c r="AI118" i="12"/>
  <c r="AF118" i="12"/>
  <c r="AE118" i="12"/>
  <c r="AD118" i="12"/>
  <c r="AC118" i="12"/>
  <c r="U118" i="12"/>
  <c r="Q118" i="12"/>
  <c r="P118" i="12"/>
  <c r="AI117" i="12"/>
  <c r="AF117" i="12"/>
  <c r="AE117" i="12"/>
  <c r="AD117" i="12"/>
  <c r="AC117" i="12"/>
  <c r="U117" i="12"/>
  <c r="Q117" i="12"/>
  <c r="P117" i="12"/>
  <c r="AI116" i="12"/>
  <c r="AE116" i="12"/>
  <c r="AD116" i="12"/>
  <c r="AC116" i="12"/>
  <c r="U116" i="12"/>
  <c r="Q116" i="12"/>
  <c r="P116" i="12"/>
  <c r="AI115" i="12"/>
  <c r="AF115" i="12"/>
  <c r="AE115" i="12"/>
  <c r="AD115" i="12"/>
  <c r="AC115" i="12"/>
  <c r="U115" i="12"/>
  <c r="Q115" i="12"/>
  <c r="P115" i="12"/>
  <c r="AI114" i="12"/>
  <c r="AE114" i="12"/>
  <c r="AD114" i="12"/>
  <c r="AC114" i="12"/>
  <c r="U114" i="12"/>
  <c r="Q114" i="12"/>
  <c r="P114" i="12"/>
  <c r="AI113" i="12"/>
  <c r="AF113" i="12"/>
  <c r="AE113" i="12"/>
  <c r="AD113" i="12"/>
  <c r="AC113" i="12"/>
  <c r="U113" i="12"/>
  <c r="Q113" i="12"/>
  <c r="P113" i="12"/>
  <c r="U112" i="12"/>
  <c r="Q112" i="12"/>
  <c r="P112" i="12"/>
  <c r="AI111" i="12"/>
  <c r="U111" i="12"/>
  <c r="Q111" i="12"/>
  <c r="P111" i="12"/>
  <c r="U110" i="12"/>
  <c r="Q110" i="12"/>
  <c r="P110" i="12"/>
  <c r="AK109" i="12"/>
  <c r="U109" i="12"/>
  <c r="Q109" i="12"/>
  <c r="P109" i="12"/>
  <c r="AI108" i="12"/>
  <c r="AF108" i="12"/>
  <c r="U108" i="12"/>
  <c r="Q108" i="12"/>
  <c r="P108" i="12"/>
  <c r="AI107" i="12"/>
  <c r="AF107" i="12"/>
  <c r="U107" i="12"/>
  <c r="Q107" i="12"/>
  <c r="P107" i="12"/>
  <c r="U106" i="12"/>
  <c r="Q106" i="12"/>
  <c r="P106" i="12"/>
  <c r="AI105" i="12"/>
  <c r="AF105" i="12"/>
  <c r="U105" i="12"/>
  <c r="Q105" i="12"/>
  <c r="P105" i="12"/>
  <c r="AI104" i="12"/>
  <c r="AF104" i="12"/>
  <c r="U104" i="12"/>
  <c r="Q104" i="12"/>
  <c r="P104" i="12"/>
  <c r="AI103" i="12"/>
  <c r="AF103" i="12"/>
  <c r="U103" i="12"/>
  <c r="Q103" i="12"/>
  <c r="P103" i="12"/>
  <c r="AI102" i="12"/>
  <c r="U102" i="12"/>
  <c r="Q102" i="12"/>
  <c r="P102" i="12"/>
  <c r="AI101" i="12"/>
  <c r="AF101" i="12"/>
  <c r="U101" i="12"/>
  <c r="Q101" i="12"/>
  <c r="P101" i="12"/>
  <c r="AI100" i="12"/>
  <c r="U100" i="12"/>
  <c r="Q100" i="12"/>
  <c r="P100" i="12"/>
  <c r="AI99" i="12"/>
  <c r="AF99" i="12"/>
  <c r="U99" i="12"/>
  <c r="Q99" i="12"/>
  <c r="P99" i="12"/>
  <c r="U98" i="12"/>
  <c r="Q98" i="12"/>
  <c r="P98" i="12"/>
  <c r="AI97" i="12"/>
  <c r="U97" i="12"/>
  <c r="Q97" i="12"/>
  <c r="P97" i="12"/>
  <c r="U96" i="12"/>
  <c r="Q96" i="12"/>
  <c r="P96" i="12"/>
  <c r="AK95" i="12"/>
  <c r="U95" i="12"/>
  <c r="Q95" i="12"/>
  <c r="P95" i="12"/>
  <c r="AI94" i="12"/>
  <c r="AF94" i="12"/>
  <c r="U94" i="12"/>
  <c r="Q94" i="12"/>
  <c r="P94" i="12"/>
  <c r="AI93" i="12"/>
  <c r="AF93" i="12"/>
  <c r="U93" i="12"/>
  <c r="Q93" i="12"/>
  <c r="P93" i="12"/>
  <c r="U92" i="12"/>
  <c r="Q92" i="12"/>
  <c r="P92" i="12"/>
  <c r="AI91" i="12"/>
  <c r="AF91" i="12"/>
  <c r="U91" i="12"/>
  <c r="Q91" i="12"/>
  <c r="P91" i="12"/>
  <c r="AI90" i="12"/>
  <c r="AF90" i="12"/>
  <c r="U90" i="12"/>
  <c r="Q90" i="12"/>
  <c r="P90" i="12"/>
  <c r="AI89" i="12"/>
  <c r="AF89" i="12"/>
  <c r="U89" i="12"/>
  <c r="Q89" i="12"/>
  <c r="P89" i="12"/>
  <c r="AI88" i="12"/>
  <c r="U88" i="12"/>
  <c r="Q88" i="12"/>
  <c r="P88" i="12"/>
  <c r="AI87" i="12"/>
  <c r="AF87" i="12"/>
  <c r="U87" i="12"/>
  <c r="Q87" i="12"/>
  <c r="P87" i="12"/>
  <c r="AI86" i="12"/>
  <c r="U86" i="12"/>
  <c r="Q86" i="12"/>
  <c r="P86" i="12"/>
  <c r="AI85" i="12"/>
  <c r="AF85" i="12"/>
  <c r="U85" i="12"/>
  <c r="Q85" i="12"/>
  <c r="P85" i="12"/>
  <c r="U84" i="12"/>
  <c r="Q84" i="12"/>
  <c r="P84" i="12"/>
  <c r="AI83" i="12"/>
  <c r="U83" i="12"/>
  <c r="Q83" i="12"/>
  <c r="P83" i="12"/>
  <c r="U82" i="12"/>
  <c r="Q82" i="12"/>
  <c r="P82" i="12"/>
  <c r="AK81" i="12"/>
  <c r="U81" i="12"/>
  <c r="Q81" i="12"/>
  <c r="P81" i="12"/>
  <c r="AI80" i="12"/>
  <c r="AF80" i="12"/>
  <c r="U80" i="12"/>
  <c r="Q80" i="12"/>
  <c r="P80" i="12"/>
  <c r="AI79" i="12"/>
  <c r="AF79" i="12"/>
  <c r="U79" i="12"/>
  <c r="Q79" i="12"/>
  <c r="P79" i="12"/>
  <c r="U78" i="12"/>
  <c r="Q78" i="12"/>
  <c r="P78" i="12"/>
  <c r="AI77" i="12"/>
  <c r="AF77" i="12"/>
  <c r="U77" i="12"/>
  <c r="Q77" i="12"/>
  <c r="P77" i="12"/>
  <c r="C77" i="12"/>
  <c r="C78" i="12" s="1"/>
  <c r="C79" i="12" s="1"/>
  <c r="C80" i="12" s="1"/>
  <c r="C81" i="12" s="1"/>
  <c r="C82" i="12" s="1"/>
  <c r="C83" i="12" s="1"/>
  <c r="C84" i="12" s="1"/>
  <c r="C85" i="12" s="1"/>
  <c r="C86" i="12" s="1"/>
  <c r="C87" i="12" s="1"/>
  <c r="C88" i="12" s="1"/>
  <c r="C89" i="12" s="1"/>
  <c r="C90" i="12" s="1"/>
  <c r="C91" i="12" s="1"/>
  <c r="C92" i="12" s="1"/>
  <c r="C93" i="12" s="1"/>
  <c r="C94" i="12" s="1"/>
  <c r="C95" i="12" s="1"/>
  <c r="C96" i="12" s="1"/>
  <c r="C97" i="12" s="1"/>
  <c r="C98" i="12" s="1"/>
  <c r="C99" i="12" s="1"/>
  <c r="C100" i="12" s="1"/>
  <c r="C101" i="12" s="1"/>
  <c r="C102" i="12" s="1"/>
  <c r="C103" i="12" s="1"/>
  <c r="C104" i="12" s="1"/>
  <c r="C105" i="12" s="1"/>
  <c r="C106" i="12" s="1"/>
  <c r="C107" i="12" s="1"/>
  <c r="C108" i="12" s="1"/>
  <c r="C109" i="12" s="1"/>
  <c r="C110" i="12" s="1"/>
  <c r="C111" i="12" s="1"/>
  <c r="C112" i="12" s="1"/>
  <c r="C113" i="12" s="1"/>
  <c r="C114" i="12" s="1"/>
  <c r="C115" i="12" s="1"/>
  <c r="C116" i="12" s="1"/>
  <c r="C117" i="12" s="1"/>
  <c r="C118" i="12" s="1"/>
  <c r="C119" i="12" s="1"/>
  <c r="C120" i="12" s="1"/>
  <c r="C121" i="12" s="1"/>
  <c r="C122" i="12" s="1"/>
  <c r="C123" i="12" s="1"/>
  <c r="C124" i="12" s="1"/>
  <c r="C125" i="12" s="1"/>
  <c r="C126" i="12" s="1"/>
  <c r="C127" i="12" s="1"/>
  <c r="C128" i="12" s="1"/>
  <c r="C129" i="12" s="1"/>
  <c r="C130" i="12" s="1"/>
  <c r="C131" i="12" s="1"/>
  <c r="C132" i="12" s="1"/>
  <c r="C133" i="12" s="1"/>
  <c r="C134" i="12" s="1"/>
  <c r="C135" i="12" s="1"/>
  <c r="C136" i="12" s="1"/>
  <c r="C137" i="12" s="1"/>
  <c r="C138" i="12" s="1"/>
  <c r="C139" i="12" s="1"/>
  <c r="C140" i="12" s="1"/>
  <c r="C141" i="12" s="1"/>
  <c r="C142" i="12" s="1"/>
  <c r="C143" i="12" s="1"/>
  <c r="C144" i="12" s="1"/>
  <c r="C145" i="12" s="1"/>
  <c r="AI76" i="12"/>
  <c r="AF76" i="12"/>
  <c r="U76" i="12"/>
  <c r="Q76" i="12"/>
  <c r="P76" i="12"/>
  <c r="M76" i="12"/>
  <c r="M77" i="12" s="1"/>
  <c r="AI75" i="12"/>
  <c r="AF75" i="12"/>
  <c r="U75" i="12"/>
  <c r="T75" i="12"/>
  <c r="R75" i="12"/>
  <c r="P75" i="12"/>
  <c r="M75" i="12"/>
  <c r="I76" i="12" s="1"/>
  <c r="H75" i="12"/>
  <c r="F75" i="12"/>
  <c r="AI74" i="12"/>
  <c r="U74" i="12"/>
  <c r="P74" i="12"/>
  <c r="M74" i="12"/>
  <c r="L75" i="12"/>
  <c r="H74" i="12"/>
  <c r="F74" i="12"/>
  <c r="D74" i="12"/>
  <c r="X5" i="12" s="1"/>
  <c r="AI73" i="12"/>
  <c r="AF73" i="12"/>
  <c r="U73" i="12"/>
  <c r="T73" i="12"/>
  <c r="R73" i="12"/>
  <c r="Q73" i="12"/>
  <c r="P73" i="12"/>
  <c r="M73" i="12"/>
  <c r="L73" i="12"/>
  <c r="J73" i="12"/>
  <c r="I73" i="12"/>
  <c r="H73" i="12"/>
  <c r="F73" i="12"/>
  <c r="D73" i="12"/>
  <c r="C73" i="12"/>
  <c r="AI72" i="12"/>
  <c r="U72" i="12"/>
  <c r="T72" i="12"/>
  <c r="R72" i="12"/>
  <c r="P72" i="12"/>
  <c r="M72" i="12"/>
  <c r="L72" i="12"/>
  <c r="J72" i="12"/>
  <c r="H72" i="12"/>
  <c r="F72" i="12"/>
  <c r="D72" i="12"/>
  <c r="AI71" i="12"/>
  <c r="AF71" i="12"/>
  <c r="U71" i="12"/>
  <c r="T71" i="12"/>
  <c r="S71" i="12"/>
  <c r="R71" i="12"/>
  <c r="P71" i="12"/>
  <c r="M71" i="12"/>
  <c r="L71" i="12"/>
  <c r="K71" i="12"/>
  <c r="J71" i="12"/>
  <c r="H71" i="12"/>
  <c r="F71" i="12"/>
  <c r="E71" i="12"/>
  <c r="D71" i="12"/>
  <c r="U70" i="12"/>
  <c r="T70" i="12"/>
  <c r="R70" i="12"/>
  <c r="Q70" i="12"/>
  <c r="P70" i="12"/>
  <c r="M70" i="12"/>
  <c r="L70" i="12"/>
  <c r="J70" i="12"/>
  <c r="I70" i="12"/>
  <c r="H70" i="12"/>
  <c r="F70" i="12"/>
  <c r="D70" i="12"/>
  <c r="C70" i="12"/>
  <c r="U69" i="12"/>
  <c r="T69" i="12"/>
  <c r="S69" i="12"/>
  <c r="R69" i="12"/>
  <c r="P69" i="12"/>
  <c r="M69" i="12"/>
  <c r="L69" i="12"/>
  <c r="K69" i="12"/>
  <c r="J69" i="12"/>
  <c r="H69" i="12"/>
  <c r="F69" i="12"/>
  <c r="E69" i="12"/>
  <c r="D69" i="12"/>
  <c r="T68" i="12"/>
  <c r="S68" i="12"/>
  <c r="R68" i="12"/>
  <c r="P68" i="12"/>
  <c r="L68" i="12"/>
  <c r="K68" i="12"/>
  <c r="J68" i="12"/>
  <c r="H68" i="12"/>
  <c r="F68" i="12"/>
  <c r="E68" i="12"/>
  <c r="D68" i="12"/>
  <c r="AK67" i="12"/>
  <c r="T67" i="12"/>
  <c r="R67" i="12"/>
  <c r="Q67" i="12"/>
  <c r="P67" i="12"/>
  <c r="L67" i="12"/>
  <c r="J67" i="12"/>
  <c r="I67" i="12"/>
  <c r="H67" i="12"/>
  <c r="F67" i="12"/>
  <c r="D67" i="12"/>
  <c r="C67" i="12"/>
  <c r="AI66" i="12"/>
  <c r="AF66" i="12"/>
  <c r="T66" i="12"/>
  <c r="S66" i="12"/>
  <c r="R66" i="12"/>
  <c r="Q66" i="12"/>
  <c r="P66" i="12"/>
  <c r="L66" i="12"/>
  <c r="K66" i="12"/>
  <c r="J66" i="12"/>
  <c r="I66" i="12"/>
  <c r="H66" i="12"/>
  <c r="F66" i="12"/>
  <c r="E66" i="12"/>
  <c r="D66" i="12"/>
  <c r="C66" i="12"/>
  <c r="AI65" i="12"/>
  <c r="AF65" i="12"/>
  <c r="T65" i="12"/>
  <c r="S65" i="12"/>
  <c r="R65" i="12"/>
  <c r="Q65" i="12"/>
  <c r="P65" i="12"/>
  <c r="L65" i="12"/>
  <c r="K65" i="12"/>
  <c r="J65" i="12"/>
  <c r="I65" i="12"/>
  <c r="H65" i="12"/>
  <c r="F65" i="12"/>
  <c r="E65" i="12"/>
  <c r="D65" i="12"/>
  <c r="C65" i="12"/>
  <c r="T64" i="12"/>
  <c r="R64" i="12"/>
  <c r="Q64" i="12"/>
  <c r="P64" i="12"/>
  <c r="L64" i="12"/>
  <c r="J64" i="12"/>
  <c r="I64" i="12"/>
  <c r="H64" i="12"/>
  <c r="F64" i="12"/>
  <c r="D64" i="12"/>
  <c r="C64" i="12"/>
  <c r="AI63" i="12"/>
  <c r="AF63" i="12"/>
  <c r="T63" i="12"/>
  <c r="S63" i="12"/>
  <c r="R63" i="12"/>
  <c r="Q63" i="12"/>
  <c r="P63" i="12"/>
  <c r="L63" i="12"/>
  <c r="K63" i="12"/>
  <c r="J63" i="12"/>
  <c r="I63" i="12"/>
  <c r="H63" i="12"/>
  <c r="F63" i="12"/>
  <c r="E63" i="12"/>
  <c r="D63" i="12"/>
  <c r="C63" i="12"/>
  <c r="AI62" i="12"/>
  <c r="AF62" i="12"/>
  <c r="T62" i="12"/>
  <c r="R62" i="12"/>
  <c r="Q62" i="12"/>
  <c r="P62" i="12"/>
  <c r="L62" i="12"/>
  <c r="J62" i="12"/>
  <c r="I62" i="12"/>
  <c r="H62" i="12"/>
  <c r="F62" i="12"/>
  <c r="D62" i="12"/>
  <c r="C62" i="12"/>
  <c r="AI61" i="12"/>
  <c r="AF61" i="12"/>
  <c r="T61" i="12"/>
  <c r="R61" i="12"/>
  <c r="P61" i="12"/>
  <c r="L61" i="12"/>
  <c r="J61" i="12"/>
  <c r="H61" i="12"/>
  <c r="F61" i="12"/>
  <c r="D61" i="12"/>
  <c r="AI60" i="12"/>
  <c r="T60" i="12"/>
  <c r="S60" i="12"/>
  <c r="R60" i="12"/>
  <c r="P60" i="12"/>
  <c r="L60" i="12"/>
  <c r="K60" i="12"/>
  <c r="J60" i="12"/>
  <c r="H60" i="12"/>
  <c r="F60" i="12"/>
  <c r="E60" i="12"/>
  <c r="D60" i="12"/>
  <c r="AI59" i="12"/>
  <c r="AF59" i="12"/>
  <c r="T59" i="12"/>
  <c r="S59" i="12"/>
  <c r="R59" i="12"/>
  <c r="Q59" i="12"/>
  <c r="P59" i="12"/>
  <c r="L59" i="12"/>
  <c r="K59" i="12"/>
  <c r="J59" i="12"/>
  <c r="I59" i="12"/>
  <c r="H59" i="12"/>
  <c r="F59" i="12"/>
  <c r="E59" i="12"/>
  <c r="D59" i="12"/>
  <c r="C59" i="12"/>
  <c r="AI58" i="12"/>
  <c r="T58" i="12"/>
  <c r="S58" i="12"/>
  <c r="R58" i="12"/>
  <c r="Q58" i="12"/>
  <c r="P58" i="12"/>
  <c r="L58" i="12"/>
  <c r="K58" i="12"/>
  <c r="J58" i="12"/>
  <c r="I58" i="12"/>
  <c r="H58" i="12"/>
  <c r="F58" i="12"/>
  <c r="E58" i="12"/>
  <c r="D58" i="12"/>
  <c r="C58" i="12"/>
  <c r="AI57" i="12"/>
  <c r="AF57" i="12"/>
  <c r="T57" i="12"/>
  <c r="S57" i="12"/>
  <c r="R57" i="12"/>
  <c r="P57" i="12"/>
  <c r="L57" i="12"/>
  <c r="K57" i="12"/>
  <c r="J57" i="12"/>
  <c r="H57" i="12"/>
  <c r="F57" i="12"/>
  <c r="E57" i="12"/>
  <c r="D57" i="12"/>
  <c r="T56" i="12"/>
  <c r="S56" i="12"/>
  <c r="R56" i="12"/>
  <c r="P56" i="12"/>
  <c r="L56" i="12"/>
  <c r="K56" i="12"/>
  <c r="J56" i="12"/>
  <c r="H56" i="12"/>
  <c r="F56" i="12"/>
  <c r="E56" i="12"/>
  <c r="D56" i="12"/>
  <c r="T55" i="12"/>
  <c r="S55" i="12"/>
  <c r="R55" i="12"/>
  <c r="P55" i="12"/>
  <c r="L55" i="12"/>
  <c r="K55" i="12"/>
  <c r="J55" i="12"/>
  <c r="H55" i="12"/>
  <c r="F55" i="12"/>
  <c r="E55" i="12"/>
  <c r="D55" i="12"/>
  <c r="R54" i="12"/>
  <c r="P54" i="12"/>
  <c r="J54" i="12"/>
  <c r="H54" i="12"/>
  <c r="D54" i="12"/>
  <c r="AI53" i="12"/>
  <c r="T53" i="12"/>
  <c r="S53" i="12"/>
  <c r="R53" i="12"/>
  <c r="P53" i="12"/>
  <c r="L53" i="12"/>
  <c r="K53" i="12"/>
  <c r="J53" i="12"/>
  <c r="H53" i="12"/>
  <c r="F53" i="12"/>
  <c r="E53" i="12"/>
  <c r="D53" i="12"/>
  <c r="AI52" i="12"/>
  <c r="T52" i="12"/>
  <c r="S52" i="12"/>
  <c r="R52" i="12"/>
  <c r="P52" i="12"/>
  <c r="L52" i="12"/>
  <c r="K52" i="12"/>
  <c r="J52" i="12"/>
  <c r="H52" i="12"/>
  <c r="F52" i="12"/>
  <c r="E52" i="12"/>
  <c r="D52" i="12"/>
  <c r="T51" i="12"/>
  <c r="S51" i="12"/>
  <c r="R51" i="12"/>
  <c r="P51" i="12"/>
  <c r="L51" i="12"/>
  <c r="K51" i="12"/>
  <c r="J51" i="12"/>
  <c r="H51" i="12"/>
  <c r="F51" i="12"/>
  <c r="E51" i="12"/>
  <c r="D51" i="12"/>
  <c r="AI50" i="12"/>
  <c r="T50" i="12"/>
  <c r="S50" i="12"/>
  <c r="R50" i="12"/>
  <c r="P50" i="12"/>
  <c r="L50" i="12"/>
  <c r="K50" i="12"/>
  <c r="J50" i="12"/>
  <c r="H50" i="12"/>
  <c r="F50" i="12"/>
  <c r="E50" i="12"/>
  <c r="D50" i="12"/>
  <c r="AI49" i="12"/>
  <c r="X49" i="12"/>
  <c r="T49" i="12"/>
  <c r="S49" i="12"/>
  <c r="R49" i="12"/>
  <c r="P49" i="12"/>
  <c r="L49" i="12"/>
  <c r="K49" i="12"/>
  <c r="J49" i="12"/>
  <c r="H49" i="12"/>
  <c r="F49" i="12"/>
  <c r="E49" i="12"/>
  <c r="D49" i="12"/>
  <c r="AI48" i="12"/>
  <c r="X48" i="12"/>
  <c r="T48" i="12"/>
  <c r="S48" i="12"/>
  <c r="R48" i="12"/>
  <c r="P48" i="12"/>
  <c r="L48" i="12"/>
  <c r="K48" i="12"/>
  <c r="J48" i="12"/>
  <c r="H48" i="12"/>
  <c r="F48" i="12"/>
  <c r="E48" i="12"/>
  <c r="D48" i="12"/>
  <c r="AI47" i="12"/>
  <c r="T47" i="12"/>
  <c r="S47" i="12"/>
  <c r="R47" i="12"/>
  <c r="P47" i="12"/>
  <c r="L47" i="12"/>
  <c r="K47" i="12"/>
  <c r="J47" i="12"/>
  <c r="H47" i="12"/>
  <c r="F47" i="12"/>
  <c r="E47" i="12"/>
  <c r="D47" i="12"/>
  <c r="AI46" i="12"/>
  <c r="Y46" i="12"/>
  <c r="X46" i="12"/>
  <c r="T46" i="12"/>
  <c r="R46" i="12"/>
  <c r="P46" i="12"/>
  <c r="L46" i="12"/>
  <c r="J46" i="12"/>
  <c r="H46" i="12"/>
  <c r="F46" i="12"/>
  <c r="D46" i="12"/>
  <c r="AI45" i="12"/>
  <c r="T45" i="12"/>
  <c r="R45" i="12"/>
  <c r="P45" i="12"/>
  <c r="L45" i="12"/>
  <c r="J45" i="12"/>
  <c r="H45" i="12"/>
  <c r="F45" i="12"/>
  <c r="D45" i="12"/>
  <c r="AI44" i="12"/>
  <c r="T44" i="12"/>
  <c r="R44" i="12"/>
  <c r="P44" i="12"/>
  <c r="L44" i="12"/>
  <c r="J44" i="12"/>
  <c r="H44" i="12"/>
  <c r="F44" i="12"/>
  <c r="D44" i="12"/>
  <c r="T43" i="12"/>
  <c r="R43" i="12"/>
  <c r="P43" i="12"/>
  <c r="L43" i="12"/>
  <c r="J43" i="12"/>
  <c r="H43" i="12"/>
  <c r="F43" i="12"/>
  <c r="D43" i="12"/>
  <c r="T42" i="12"/>
  <c r="R42" i="12"/>
  <c r="P42" i="12"/>
  <c r="L42" i="12"/>
  <c r="J42" i="12"/>
  <c r="H42" i="12"/>
  <c r="F42" i="12"/>
  <c r="D42" i="12"/>
  <c r="T41" i="12"/>
  <c r="R41" i="12"/>
  <c r="P41" i="12"/>
  <c r="L41" i="12"/>
  <c r="J41" i="12"/>
  <c r="H41" i="12"/>
  <c r="F41" i="12"/>
  <c r="D41" i="12"/>
  <c r="AI40" i="12"/>
  <c r="T40" i="12"/>
  <c r="R40" i="12"/>
  <c r="P40" i="12"/>
  <c r="L40" i="12"/>
  <c r="J40" i="12"/>
  <c r="H40" i="12"/>
  <c r="F40" i="12"/>
  <c r="D40" i="12"/>
  <c r="AI39" i="12"/>
  <c r="T39" i="12"/>
  <c r="R39" i="12"/>
  <c r="P39" i="12"/>
  <c r="L39" i="12"/>
  <c r="J39" i="12"/>
  <c r="H39" i="12"/>
  <c r="F39" i="12"/>
  <c r="D39" i="12"/>
  <c r="T38" i="12"/>
  <c r="R38" i="12"/>
  <c r="P38" i="12"/>
  <c r="L38" i="12"/>
  <c r="J38" i="12"/>
  <c r="H38" i="12"/>
  <c r="F38" i="12"/>
  <c r="D38" i="12"/>
  <c r="AI37" i="12"/>
  <c r="T37" i="12"/>
  <c r="R37" i="12"/>
  <c r="P37" i="12"/>
  <c r="L37" i="12"/>
  <c r="J37" i="12"/>
  <c r="H37" i="12"/>
  <c r="F37" i="12"/>
  <c r="D37" i="12"/>
  <c r="AI36" i="12"/>
  <c r="T36" i="12"/>
  <c r="R36" i="12"/>
  <c r="P36" i="12"/>
  <c r="L36" i="12"/>
  <c r="J36" i="12"/>
  <c r="H36" i="12"/>
  <c r="F36" i="12"/>
  <c r="D36" i="12"/>
  <c r="AI35" i="12"/>
  <c r="T35" i="12"/>
  <c r="R35" i="12"/>
  <c r="P35" i="12"/>
  <c r="L35" i="12"/>
  <c r="J35" i="12"/>
  <c r="H35" i="12"/>
  <c r="F35" i="12"/>
  <c r="D35" i="12"/>
  <c r="AI34" i="12"/>
  <c r="T34" i="12"/>
  <c r="R34" i="12"/>
  <c r="P34" i="12"/>
  <c r="L34" i="12"/>
  <c r="J34" i="12"/>
  <c r="H34" i="12"/>
  <c r="F34" i="12"/>
  <c r="D34" i="12"/>
  <c r="AI33" i="12"/>
  <c r="T33" i="12"/>
  <c r="R33" i="12"/>
  <c r="P33" i="12"/>
  <c r="L33" i="12"/>
  <c r="J33" i="12"/>
  <c r="H33" i="12"/>
  <c r="F33" i="12"/>
  <c r="D33" i="12"/>
  <c r="AI32" i="12"/>
  <c r="T32" i="12"/>
  <c r="R32" i="12"/>
  <c r="P32" i="12"/>
  <c r="L32" i="12"/>
  <c r="J32" i="12"/>
  <c r="H32" i="12"/>
  <c r="F32" i="12"/>
  <c r="D32" i="12"/>
  <c r="AI31" i="12"/>
  <c r="T31" i="12"/>
  <c r="R31" i="12"/>
  <c r="P31" i="12"/>
  <c r="L31" i="12"/>
  <c r="J31" i="12"/>
  <c r="H31" i="12"/>
  <c r="F31" i="12"/>
  <c r="D31" i="12"/>
  <c r="T30" i="12"/>
  <c r="R30" i="12"/>
  <c r="P30" i="12"/>
  <c r="L30" i="12"/>
  <c r="J30" i="12"/>
  <c r="H30" i="12"/>
  <c r="F30" i="12"/>
  <c r="D30" i="12"/>
  <c r="T29" i="12"/>
  <c r="R29" i="12"/>
  <c r="P29" i="12"/>
  <c r="L29" i="12"/>
  <c r="J29" i="12"/>
  <c r="H29" i="12"/>
  <c r="F29" i="12"/>
  <c r="D29" i="12"/>
  <c r="T28" i="12"/>
  <c r="R28" i="12"/>
  <c r="P28" i="12"/>
  <c r="L28" i="12"/>
  <c r="J28" i="12"/>
  <c r="H28" i="12"/>
  <c r="F28" i="12"/>
  <c r="D28" i="12"/>
  <c r="AI27" i="12"/>
  <c r="T27" i="12"/>
  <c r="R27" i="12"/>
  <c r="P27" i="12"/>
  <c r="L27" i="12"/>
  <c r="J27" i="12"/>
  <c r="H27" i="12"/>
  <c r="F27" i="12"/>
  <c r="D27" i="12"/>
  <c r="AI26" i="12"/>
  <c r="T26" i="12"/>
  <c r="R26" i="12"/>
  <c r="P26" i="12"/>
  <c r="L26" i="12"/>
  <c r="J26" i="12"/>
  <c r="H26" i="12"/>
  <c r="F26" i="12"/>
  <c r="D26" i="12"/>
  <c r="T25" i="12"/>
  <c r="R25" i="12"/>
  <c r="P25" i="12"/>
  <c r="L25" i="12"/>
  <c r="J25" i="12"/>
  <c r="H25" i="12"/>
  <c r="F25" i="12"/>
  <c r="D25" i="12"/>
  <c r="AI24" i="12"/>
  <c r="T24" i="12"/>
  <c r="P24" i="12"/>
  <c r="L24" i="12"/>
  <c r="H24" i="12"/>
  <c r="F24" i="12"/>
  <c r="AI23" i="12"/>
  <c r="T23" i="12"/>
  <c r="P23" i="12"/>
  <c r="L23" i="12"/>
  <c r="H23" i="12"/>
  <c r="F23" i="12"/>
  <c r="AI22" i="12"/>
  <c r="T22" i="12"/>
  <c r="P22" i="12"/>
  <c r="L22" i="12"/>
  <c r="H22" i="12"/>
  <c r="F22" i="12"/>
  <c r="AI21" i="12"/>
  <c r="T21" i="12"/>
  <c r="P21" i="12"/>
  <c r="L21" i="12"/>
  <c r="H21" i="12"/>
  <c r="F21" i="12"/>
  <c r="AI20" i="12"/>
  <c r="T20" i="12"/>
  <c r="P20" i="12"/>
  <c r="L20" i="12"/>
  <c r="H20" i="12"/>
  <c r="F20" i="12"/>
  <c r="AI19" i="12"/>
  <c r="T19" i="12"/>
  <c r="L19" i="12"/>
  <c r="F19" i="12"/>
  <c r="AI18" i="12"/>
  <c r="D16" i="12"/>
  <c r="AI14" i="12"/>
  <c r="AI13" i="12"/>
  <c r="AI11" i="12"/>
  <c r="AI10" i="12"/>
  <c r="AI9" i="12"/>
  <c r="AI8" i="12"/>
  <c r="AI7" i="12"/>
  <c r="AI6" i="12"/>
  <c r="AI5" i="12"/>
  <c r="Y5" i="12"/>
  <c r="AI3" i="12"/>
  <c r="X3" i="12"/>
  <c r="Q154" i="31"/>
  <c r="N154" i="31"/>
  <c r="Q153" i="31"/>
  <c r="N153" i="31"/>
  <c r="Q152" i="31"/>
  <c r="N152" i="31"/>
  <c r="Q151" i="31"/>
  <c r="N151" i="31"/>
  <c r="Q150" i="31"/>
  <c r="N150" i="31"/>
  <c r="Q149" i="31"/>
  <c r="N149" i="31"/>
  <c r="Q148" i="31"/>
  <c r="N148" i="31"/>
  <c r="Q147" i="31"/>
  <c r="N147" i="31"/>
  <c r="Q146" i="31"/>
  <c r="N146" i="31"/>
  <c r="Q145" i="31"/>
  <c r="N145" i="31"/>
  <c r="Q144" i="31"/>
  <c r="N144" i="31"/>
  <c r="Q143" i="31"/>
  <c r="N143" i="31"/>
  <c r="Q142" i="31"/>
  <c r="N142" i="31"/>
  <c r="Q141" i="31"/>
  <c r="N141" i="31"/>
  <c r="Q140" i="31"/>
  <c r="N140" i="31"/>
  <c r="Q139" i="31"/>
  <c r="N139" i="31"/>
  <c r="Q138" i="31"/>
  <c r="N138" i="31"/>
  <c r="Q137" i="31"/>
  <c r="N137" i="31"/>
  <c r="Q136" i="31"/>
  <c r="N136" i="31"/>
  <c r="Q135" i="31"/>
  <c r="N135" i="31"/>
  <c r="Q134" i="31"/>
  <c r="N134" i="31"/>
  <c r="Q133" i="31"/>
  <c r="N133" i="31"/>
  <c r="Q132" i="31"/>
  <c r="N132" i="31"/>
  <c r="Q131" i="31"/>
  <c r="N131" i="31"/>
  <c r="Q130" i="31"/>
  <c r="N130" i="31"/>
  <c r="Q129" i="31"/>
  <c r="N129" i="31"/>
  <c r="Q128" i="31"/>
  <c r="N128" i="31"/>
  <c r="Q127" i="31"/>
  <c r="N127" i="31"/>
  <c r="Q126" i="31"/>
  <c r="N126" i="31"/>
  <c r="Q125" i="31"/>
  <c r="N125" i="31"/>
  <c r="Q124" i="31"/>
  <c r="N124" i="31"/>
  <c r="Q123" i="31"/>
  <c r="N123" i="31"/>
  <c r="Q122" i="31"/>
  <c r="N122" i="31"/>
  <c r="Q121" i="31"/>
  <c r="N121" i="31"/>
  <c r="Q120" i="31"/>
  <c r="N120" i="31"/>
  <c r="Q119" i="31"/>
  <c r="N119" i="31"/>
  <c r="Q118" i="31"/>
  <c r="N118" i="31"/>
  <c r="Q117" i="31"/>
  <c r="N117" i="31"/>
  <c r="Q116" i="31"/>
  <c r="N116" i="31"/>
  <c r="Q115" i="31"/>
  <c r="N115" i="31"/>
  <c r="Q114" i="31"/>
  <c r="N114" i="31"/>
  <c r="Q113" i="31"/>
  <c r="N113" i="31"/>
  <c r="Q112" i="31"/>
  <c r="N112" i="31"/>
  <c r="Q111" i="31"/>
  <c r="N111" i="31"/>
  <c r="Q110" i="31"/>
  <c r="N110" i="31"/>
  <c r="Q109" i="31"/>
  <c r="N109" i="31"/>
  <c r="Q108" i="31"/>
  <c r="N108" i="31"/>
  <c r="Q107" i="31"/>
  <c r="N107" i="31"/>
  <c r="Q106" i="31"/>
  <c r="N106" i="31"/>
  <c r="Q105" i="31"/>
  <c r="N105" i="31"/>
  <c r="Q104" i="31"/>
  <c r="N104" i="31"/>
  <c r="Q103" i="31"/>
  <c r="N103" i="31"/>
  <c r="Q102" i="31"/>
  <c r="N102" i="31"/>
  <c r="Q101" i="31"/>
  <c r="N101" i="31"/>
  <c r="Q100" i="31"/>
  <c r="N100" i="31"/>
  <c r="Q99" i="31"/>
  <c r="N99" i="31"/>
  <c r="Q98" i="31"/>
  <c r="N98" i="31"/>
  <c r="Q97" i="31"/>
  <c r="N97" i="31"/>
  <c r="Q96" i="31"/>
  <c r="N96" i="31"/>
  <c r="Q95" i="31"/>
  <c r="N95" i="31"/>
  <c r="Q94" i="31"/>
  <c r="N94" i="31"/>
  <c r="Q93" i="31"/>
  <c r="N93" i="31"/>
  <c r="Q92" i="31"/>
  <c r="N92" i="31"/>
  <c r="Q91" i="31"/>
  <c r="N91" i="31"/>
  <c r="Q90" i="31"/>
  <c r="N90" i="31"/>
  <c r="Q89" i="31"/>
  <c r="N89" i="31"/>
  <c r="Q88" i="31"/>
  <c r="N88" i="31"/>
  <c r="I88" i="31"/>
  <c r="Q87" i="31"/>
  <c r="N87" i="31"/>
  <c r="I87" i="31"/>
  <c r="Q86" i="31"/>
  <c r="N86" i="31"/>
  <c r="I86" i="31"/>
  <c r="Q85" i="31"/>
  <c r="N85" i="31"/>
  <c r="I85" i="31"/>
  <c r="Q84" i="31"/>
  <c r="N84" i="31"/>
  <c r="I84" i="31"/>
  <c r="Q83" i="31"/>
  <c r="N83" i="31"/>
  <c r="I83" i="31"/>
  <c r="Q82" i="31"/>
  <c r="N82" i="31"/>
  <c r="I82" i="31"/>
  <c r="Q81" i="31"/>
  <c r="N81" i="31"/>
  <c r="I81" i="31"/>
  <c r="Q80" i="31"/>
  <c r="N80" i="31"/>
  <c r="I80" i="31"/>
  <c r="Q79" i="31"/>
  <c r="N79" i="31"/>
  <c r="I79" i="31"/>
  <c r="Q78" i="31"/>
  <c r="N78" i="31"/>
  <c r="I78" i="31"/>
  <c r="Q77" i="31"/>
  <c r="N77" i="31"/>
  <c r="I77" i="31"/>
  <c r="Q76" i="31"/>
  <c r="N76" i="31"/>
  <c r="I76" i="31"/>
  <c r="Q75" i="31"/>
  <c r="N75" i="31"/>
  <c r="I75" i="31"/>
  <c r="Q74" i="31"/>
  <c r="N74" i="31"/>
  <c r="I74" i="31"/>
  <c r="Q73" i="31"/>
  <c r="N73" i="31"/>
  <c r="I73" i="31"/>
  <c r="Q72" i="31"/>
  <c r="N72" i="31"/>
  <c r="I72" i="31"/>
  <c r="Q71" i="31"/>
  <c r="N71" i="31"/>
  <c r="I71" i="31"/>
  <c r="Q70" i="31"/>
  <c r="N70" i="31"/>
  <c r="I70" i="31"/>
  <c r="Q69" i="31"/>
  <c r="N69" i="31"/>
  <c r="I69" i="31"/>
  <c r="Q68" i="31"/>
  <c r="N68" i="31"/>
  <c r="I68" i="31"/>
  <c r="Q67" i="31"/>
  <c r="N67" i="31"/>
  <c r="I67" i="31"/>
  <c r="Q66" i="31"/>
  <c r="N66" i="31"/>
  <c r="I66" i="31"/>
  <c r="Q65" i="31"/>
  <c r="N65" i="31"/>
  <c r="I65" i="31"/>
  <c r="Q64" i="31"/>
  <c r="N64" i="31"/>
  <c r="I64" i="31"/>
  <c r="Q63" i="31"/>
  <c r="N63" i="31"/>
  <c r="I63" i="31"/>
  <c r="Q62" i="31"/>
  <c r="N62" i="31"/>
  <c r="I62" i="31"/>
  <c r="Q61" i="31"/>
  <c r="N61" i="31"/>
  <c r="I61" i="31"/>
  <c r="Q60" i="31"/>
  <c r="N60" i="31"/>
  <c r="I60" i="31"/>
  <c r="Q59" i="31"/>
  <c r="N59" i="31"/>
  <c r="I59" i="31"/>
  <c r="Q58" i="31"/>
  <c r="N58" i="31"/>
  <c r="I58" i="31"/>
  <c r="Q57" i="31"/>
  <c r="N57" i="31"/>
  <c r="I57" i="31"/>
  <c r="Q56" i="31"/>
  <c r="N56" i="31"/>
  <c r="I56" i="31"/>
  <c r="Q55" i="31"/>
  <c r="N55" i="31"/>
  <c r="I55" i="31"/>
  <c r="Q54" i="31"/>
  <c r="N54" i="31"/>
  <c r="I54" i="31"/>
  <c r="Q53" i="31"/>
  <c r="N53" i="31"/>
  <c r="I53" i="31"/>
  <c r="Q52" i="31"/>
  <c r="N52" i="31"/>
  <c r="I52" i="31"/>
  <c r="Q51" i="31"/>
  <c r="N51" i="31"/>
  <c r="I51" i="31"/>
  <c r="Q50" i="31"/>
  <c r="N50" i="31"/>
  <c r="I50" i="31"/>
  <c r="Q49" i="31"/>
  <c r="N49" i="31"/>
  <c r="I49" i="31"/>
  <c r="Q48" i="31"/>
  <c r="N48" i="31"/>
  <c r="I48" i="31"/>
  <c r="Q47" i="31"/>
  <c r="N47" i="31"/>
  <c r="I47" i="31"/>
  <c r="Q46" i="31"/>
  <c r="N46" i="31"/>
  <c r="I46" i="31"/>
  <c r="Q45" i="31"/>
  <c r="N45" i="31"/>
  <c r="I45" i="31"/>
  <c r="Q44" i="31"/>
  <c r="N44" i="31"/>
  <c r="I44" i="31"/>
  <c r="Q43" i="31"/>
  <c r="N43" i="31"/>
  <c r="I43" i="31"/>
  <c r="Q42" i="31"/>
  <c r="N42" i="31"/>
  <c r="I42" i="31"/>
  <c r="Q41" i="31"/>
  <c r="N41" i="31"/>
  <c r="I41" i="31"/>
  <c r="Q40" i="31"/>
  <c r="N40" i="31"/>
  <c r="I40" i="31"/>
  <c r="Q39" i="31"/>
  <c r="N39" i="31"/>
  <c r="I39" i="31"/>
  <c r="Q38" i="31"/>
  <c r="N38" i="31"/>
  <c r="I38" i="31"/>
  <c r="F38" i="31"/>
  <c r="E38" i="31"/>
  <c r="D38" i="31"/>
  <c r="Q37" i="31"/>
  <c r="N37" i="31"/>
  <c r="I37" i="31"/>
  <c r="Q36" i="31"/>
  <c r="N36" i="31"/>
  <c r="I36" i="31"/>
  <c r="Q35" i="31"/>
  <c r="N35" i="31"/>
  <c r="I35" i="31"/>
  <c r="F35" i="31"/>
  <c r="E35" i="31"/>
  <c r="D35" i="31"/>
  <c r="Q34" i="31"/>
  <c r="N34" i="31"/>
  <c r="I34" i="31"/>
  <c r="D34" i="31"/>
  <c r="Q33" i="31"/>
  <c r="N33" i="31"/>
  <c r="I33" i="31"/>
  <c r="Q32" i="31"/>
  <c r="N32" i="31"/>
  <c r="I32" i="31"/>
  <c r="Q31" i="31"/>
  <c r="N31" i="31"/>
  <c r="I31" i="31"/>
  <c r="Q30" i="31"/>
  <c r="N30" i="31"/>
  <c r="I30" i="31"/>
  <c r="Q29" i="31"/>
  <c r="N29" i="31"/>
  <c r="I29" i="31"/>
  <c r="Q28" i="31"/>
  <c r="N28" i="31"/>
  <c r="I28" i="31"/>
  <c r="F28" i="31"/>
  <c r="E28" i="31"/>
  <c r="D28" i="31"/>
  <c r="Q27" i="31"/>
  <c r="N27" i="31"/>
  <c r="I27" i="31"/>
  <c r="Q26" i="31"/>
  <c r="N26" i="31"/>
  <c r="L26" i="31"/>
  <c r="Q25" i="31"/>
  <c r="N25" i="31"/>
  <c r="Q24" i="31"/>
  <c r="N24" i="31"/>
  <c r="L24" i="31"/>
  <c r="Q23" i="31"/>
  <c r="N23" i="31"/>
  <c r="I23" i="31"/>
  <c r="Q22" i="31"/>
  <c r="N22" i="31"/>
  <c r="I22" i="31"/>
  <c r="E22" i="31"/>
  <c r="D22" i="31"/>
  <c r="Q21" i="31"/>
  <c r="N21" i="31"/>
  <c r="I21" i="31"/>
  <c r="E21" i="31"/>
  <c r="D21" i="31"/>
  <c r="Q20" i="31"/>
  <c r="N20" i="31"/>
  <c r="I20" i="31"/>
  <c r="E20" i="31"/>
  <c r="D20" i="31"/>
  <c r="S19" i="31"/>
  <c r="Q19" i="31"/>
  <c r="N19" i="31"/>
  <c r="I19" i="31"/>
  <c r="E19" i="31"/>
  <c r="Q18" i="31"/>
  <c r="N18" i="31"/>
  <c r="I18" i="31"/>
  <c r="E18" i="31"/>
  <c r="D18" i="31"/>
  <c r="U17" i="31"/>
  <c r="T17" i="31"/>
  <c r="S17" i="31"/>
  <c r="Q17" i="31"/>
  <c r="N17" i="31"/>
  <c r="I17" i="31"/>
  <c r="E17" i="31"/>
  <c r="Q13" i="31"/>
  <c r="O13" i="31"/>
  <c r="N13" i="31"/>
  <c r="M13" i="31"/>
  <c r="L13" i="31"/>
  <c r="I13" i="31"/>
  <c r="G13" i="31"/>
  <c r="F13" i="31"/>
  <c r="E13" i="31"/>
  <c r="D13" i="31"/>
  <c r="Q12" i="31"/>
  <c r="P12" i="31"/>
  <c r="O12" i="31"/>
  <c r="N12" i="31"/>
  <c r="M12" i="31"/>
  <c r="L12" i="31"/>
  <c r="I12" i="31"/>
  <c r="H12" i="31"/>
  <c r="G12" i="31"/>
  <c r="F12" i="31"/>
  <c r="E12" i="31"/>
  <c r="D12" i="31"/>
  <c r="D9" i="31"/>
  <c r="F8" i="31"/>
  <c r="D8" i="31"/>
  <c r="P3" i="34" s="1"/>
  <c r="L31" i="34" s="1"/>
  <c r="F6" i="31"/>
  <c r="E6" i="31"/>
  <c r="D6" i="31"/>
  <c r="F5" i="31"/>
  <c r="F7" i="31" s="1"/>
  <c r="E5" i="31"/>
  <c r="E7" i="31" s="1"/>
  <c r="D5" i="31"/>
  <c r="P4" i="34" s="1"/>
  <c r="V119" i="26"/>
  <c r="U119" i="26"/>
  <c r="S119" i="26"/>
  <c r="R119" i="26"/>
  <c r="Q119" i="26"/>
  <c r="L119" i="26"/>
  <c r="M119" i="26" s="1"/>
  <c r="J119" i="26"/>
  <c r="I119" i="26"/>
  <c r="H119" i="26"/>
  <c r="F119" i="26"/>
  <c r="E119" i="26"/>
  <c r="D119" i="26"/>
  <c r="V118" i="26"/>
  <c r="U118" i="26"/>
  <c r="T118" i="26"/>
  <c r="R118" i="26"/>
  <c r="Q118" i="26"/>
  <c r="L118" i="26"/>
  <c r="M118" i="26" s="1"/>
  <c r="J118" i="26"/>
  <c r="I118" i="26"/>
  <c r="H118" i="26"/>
  <c r="G118" i="26"/>
  <c r="E118" i="26"/>
  <c r="D118" i="26"/>
  <c r="L108" i="26"/>
  <c r="M108" i="26" s="1"/>
  <c r="J108" i="26"/>
  <c r="I108" i="26"/>
  <c r="H108" i="26"/>
  <c r="E108" i="26"/>
  <c r="L107" i="26"/>
  <c r="M107" i="26" s="1"/>
  <c r="J107" i="26"/>
  <c r="I107" i="26"/>
  <c r="H107" i="26"/>
  <c r="E107" i="26"/>
  <c r="L106" i="26"/>
  <c r="M106" i="26" s="1"/>
  <c r="K106" i="26"/>
  <c r="J106" i="26"/>
  <c r="I106" i="26"/>
  <c r="H106" i="26"/>
  <c r="E106" i="26"/>
  <c r="L105" i="26"/>
  <c r="M105" i="26" s="1"/>
  <c r="J105" i="26"/>
  <c r="I105" i="26"/>
  <c r="H105" i="26"/>
  <c r="E105" i="26"/>
  <c r="L104" i="26"/>
  <c r="K104" i="26" s="1"/>
  <c r="J104" i="26"/>
  <c r="I104" i="26"/>
  <c r="H104" i="26"/>
  <c r="E104" i="26"/>
  <c r="L103" i="26"/>
  <c r="K103" i="26" s="1"/>
  <c r="J103" i="26"/>
  <c r="I103" i="26"/>
  <c r="H103" i="26"/>
  <c r="E103" i="26"/>
  <c r="L102" i="26"/>
  <c r="M102" i="26" s="1"/>
  <c r="J102" i="26"/>
  <c r="I102" i="26"/>
  <c r="H102" i="26"/>
  <c r="E102" i="26"/>
  <c r="L101" i="26"/>
  <c r="K101" i="26" s="1"/>
  <c r="J101" i="26"/>
  <c r="I101" i="26"/>
  <c r="H101" i="26"/>
  <c r="E101" i="26"/>
  <c r="L100" i="26"/>
  <c r="K100" i="26" s="1"/>
  <c r="J100" i="26"/>
  <c r="I100" i="26"/>
  <c r="H100" i="26"/>
  <c r="E100" i="26"/>
  <c r="L99" i="26"/>
  <c r="M99" i="26" s="1"/>
  <c r="J99" i="26"/>
  <c r="I99" i="26"/>
  <c r="H99" i="26"/>
  <c r="E99" i="26"/>
  <c r="L98" i="26"/>
  <c r="M98" i="26" s="1"/>
  <c r="K98" i="26"/>
  <c r="J98" i="26"/>
  <c r="I98" i="26"/>
  <c r="H98" i="26"/>
  <c r="E98" i="26"/>
  <c r="L97" i="26"/>
  <c r="K97" i="26" s="1"/>
  <c r="J97" i="26"/>
  <c r="I97" i="26"/>
  <c r="H97" i="26"/>
  <c r="E97" i="26"/>
  <c r="L96" i="26"/>
  <c r="M96" i="26" s="1"/>
  <c r="K96" i="26"/>
  <c r="J96" i="26"/>
  <c r="I96" i="26"/>
  <c r="H96" i="26"/>
  <c r="E96" i="26"/>
  <c r="L95" i="26"/>
  <c r="M95" i="26" s="1"/>
  <c r="J95" i="26"/>
  <c r="I95" i="26"/>
  <c r="H95" i="26"/>
  <c r="E95" i="26"/>
  <c r="L94" i="26"/>
  <c r="K94" i="26" s="1"/>
  <c r="J94" i="26"/>
  <c r="I94" i="26"/>
  <c r="H94" i="26"/>
  <c r="E94" i="26"/>
  <c r="L93" i="26"/>
  <c r="M93" i="26" s="1"/>
  <c r="K93" i="26"/>
  <c r="J93" i="26"/>
  <c r="I93" i="26"/>
  <c r="H93" i="26"/>
  <c r="E93" i="26"/>
  <c r="L92" i="26"/>
  <c r="M92" i="26" s="1"/>
  <c r="J92" i="26"/>
  <c r="I92" i="26"/>
  <c r="H92" i="26"/>
  <c r="E92" i="26"/>
  <c r="L91" i="26"/>
  <c r="M91" i="26" s="1"/>
  <c r="J91" i="26"/>
  <c r="I91" i="26"/>
  <c r="H91" i="26"/>
  <c r="E91" i="26"/>
  <c r="L90" i="26"/>
  <c r="M90" i="26" s="1"/>
  <c r="K90" i="26"/>
  <c r="J90" i="26"/>
  <c r="I90" i="26"/>
  <c r="H90" i="26"/>
  <c r="E90" i="26"/>
  <c r="L89" i="26"/>
  <c r="M89" i="26" s="1"/>
  <c r="J89" i="26"/>
  <c r="I89" i="26"/>
  <c r="H89" i="26"/>
  <c r="E89" i="26"/>
  <c r="L88" i="26"/>
  <c r="K88" i="26" s="1"/>
  <c r="J88" i="26"/>
  <c r="I88" i="26"/>
  <c r="H88" i="26"/>
  <c r="E88" i="26"/>
  <c r="L87" i="26"/>
  <c r="K87" i="26" s="1"/>
  <c r="J87" i="26"/>
  <c r="I87" i="26"/>
  <c r="H87" i="26"/>
  <c r="E87" i="26"/>
  <c r="L86" i="26"/>
  <c r="M86" i="26" s="1"/>
  <c r="J86" i="26"/>
  <c r="I86" i="26"/>
  <c r="H86" i="26"/>
  <c r="E86" i="26"/>
  <c r="L85" i="26"/>
  <c r="K85" i="26" s="1"/>
  <c r="J85" i="26"/>
  <c r="I85" i="26"/>
  <c r="H85" i="26"/>
  <c r="E85" i="26"/>
  <c r="L84" i="26"/>
  <c r="K84" i="26" s="1"/>
  <c r="J84" i="26"/>
  <c r="I84" i="26"/>
  <c r="H84" i="26"/>
  <c r="E84" i="26"/>
  <c r="L83" i="26"/>
  <c r="M83" i="26" s="1"/>
  <c r="J83" i="26"/>
  <c r="I83" i="26"/>
  <c r="H83" i="26"/>
  <c r="E83" i="26"/>
  <c r="L82" i="26"/>
  <c r="M82" i="26" s="1"/>
  <c r="J82" i="26"/>
  <c r="I82" i="26"/>
  <c r="H82" i="26"/>
  <c r="E82" i="26"/>
  <c r="L81" i="26"/>
  <c r="K81" i="26" s="1"/>
  <c r="J81" i="26"/>
  <c r="I81" i="26"/>
  <c r="H81" i="26"/>
  <c r="E81" i="26"/>
  <c r="L80" i="26"/>
  <c r="M80" i="26" s="1"/>
  <c r="K80" i="26"/>
  <c r="J80" i="26"/>
  <c r="I80" i="26"/>
  <c r="H80" i="26"/>
  <c r="E80" i="26"/>
  <c r="L79" i="26"/>
  <c r="M79" i="26" s="1"/>
  <c r="J79" i="26"/>
  <c r="I79" i="26"/>
  <c r="H79" i="26"/>
  <c r="E79" i="26"/>
  <c r="L78" i="26"/>
  <c r="K78" i="26" s="1"/>
  <c r="J78" i="26"/>
  <c r="I78" i="26"/>
  <c r="H78" i="26"/>
  <c r="E78" i="26"/>
  <c r="L77" i="26"/>
  <c r="M77" i="26" s="1"/>
  <c r="K77" i="26"/>
  <c r="J77" i="26"/>
  <c r="I77" i="26"/>
  <c r="H77" i="26"/>
  <c r="E77" i="26"/>
  <c r="L76" i="26"/>
  <c r="M76" i="26" s="1"/>
  <c r="J76" i="26"/>
  <c r="I76" i="26"/>
  <c r="H76" i="26"/>
  <c r="E76" i="26"/>
  <c r="L75" i="26"/>
  <c r="M75" i="26" s="1"/>
  <c r="J75" i="26"/>
  <c r="I75" i="26"/>
  <c r="H75" i="26"/>
  <c r="E75" i="26"/>
  <c r="L74" i="26"/>
  <c r="M74" i="26" s="1"/>
  <c r="K74" i="26"/>
  <c r="J74" i="26"/>
  <c r="I74" i="26"/>
  <c r="H74" i="26"/>
  <c r="E74" i="26"/>
  <c r="L73" i="26"/>
  <c r="M73" i="26" s="1"/>
  <c r="J73" i="26"/>
  <c r="I73" i="26"/>
  <c r="H73" i="26"/>
  <c r="E73" i="26"/>
  <c r="L72" i="26"/>
  <c r="K72" i="26" s="1"/>
  <c r="J72" i="26"/>
  <c r="I72" i="26"/>
  <c r="H72" i="26"/>
  <c r="E72" i="26"/>
  <c r="L71" i="26"/>
  <c r="K71" i="26" s="1"/>
  <c r="J71" i="26"/>
  <c r="I71" i="26"/>
  <c r="H71" i="26"/>
  <c r="E71" i="26"/>
  <c r="L70" i="26"/>
  <c r="M70" i="26" s="1"/>
  <c r="J70" i="26"/>
  <c r="I70" i="26"/>
  <c r="H70" i="26"/>
  <c r="E70" i="26"/>
  <c r="L69" i="26"/>
  <c r="K69" i="26" s="1"/>
  <c r="J69" i="26"/>
  <c r="I69" i="26"/>
  <c r="H69" i="26"/>
  <c r="E69" i="26"/>
  <c r="L68" i="26"/>
  <c r="K68" i="26" s="1"/>
  <c r="J68" i="26"/>
  <c r="I68" i="26"/>
  <c r="H68" i="26"/>
  <c r="E68" i="26"/>
  <c r="L67" i="26"/>
  <c r="M67" i="26" s="1"/>
  <c r="J67" i="26"/>
  <c r="I67" i="26"/>
  <c r="H67" i="26"/>
  <c r="E67" i="26"/>
  <c r="L66" i="26"/>
  <c r="M66" i="26" s="1"/>
  <c r="J66" i="26"/>
  <c r="I66" i="26"/>
  <c r="H66" i="26"/>
  <c r="E66" i="26"/>
  <c r="L65" i="26"/>
  <c r="K65" i="26" s="1"/>
  <c r="J65" i="26"/>
  <c r="I65" i="26"/>
  <c r="H65" i="26"/>
  <c r="E65" i="26"/>
  <c r="V64" i="26"/>
  <c r="U64" i="26"/>
  <c r="R64" i="26"/>
  <c r="L64" i="26"/>
  <c r="M64" i="26" s="1"/>
  <c r="J64" i="26"/>
  <c r="I64" i="26"/>
  <c r="H64" i="26"/>
  <c r="E64" i="26"/>
  <c r="V63" i="26"/>
  <c r="U63" i="26"/>
  <c r="R63" i="26"/>
  <c r="M63" i="26"/>
  <c r="L63" i="26"/>
  <c r="K63" i="26" s="1"/>
  <c r="J63" i="26"/>
  <c r="I63" i="26"/>
  <c r="H63" i="26"/>
  <c r="E63" i="26"/>
  <c r="V62" i="26"/>
  <c r="U62" i="26"/>
  <c r="R62" i="26"/>
  <c r="L62" i="26"/>
  <c r="M62" i="26" s="1"/>
  <c r="J62" i="26"/>
  <c r="I62" i="26"/>
  <c r="H62" i="26"/>
  <c r="E62" i="26"/>
  <c r="V61" i="26"/>
  <c r="U61" i="26"/>
  <c r="R61" i="26"/>
  <c r="L61" i="26"/>
  <c r="M61" i="26" s="1"/>
  <c r="J61" i="26"/>
  <c r="I61" i="26"/>
  <c r="H61" i="26"/>
  <c r="E61" i="26"/>
  <c r="V60" i="26"/>
  <c r="U60" i="26"/>
  <c r="R60" i="26"/>
  <c r="L60" i="26"/>
  <c r="M60" i="26" s="1"/>
  <c r="K60" i="26"/>
  <c r="J60" i="26"/>
  <c r="I60" i="26"/>
  <c r="H60" i="26"/>
  <c r="E60" i="26"/>
  <c r="V59" i="26"/>
  <c r="U59" i="26"/>
  <c r="R59" i="26"/>
  <c r="L59" i="26"/>
  <c r="M59" i="26" s="1"/>
  <c r="K59" i="26"/>
  <c r="J59" i="26"/>
  <c r="I59" i="26"/>
  <c r="H59" i="26"/>
  <c r="E59" i="26"/>
  <c r="V58" i="26"/>
  <c r="U58" i="26"/>
  <c r="R58" i="26"/>
  <c r="L58" i="26"/>
  <c r="M58" i="26" s="1"/>
  <c r="J58" i="26"/>
  <c r="I58" i="26"/>
  <c r="H58" i="26"/>
  <c r="E58" i="26"/>
  <c r="V57" i="26"/>
  <c r="U57" i="26"/>
  <c r="R57" i="26"/>
  <c r="L57" i="26"/>
  <c r="K57" i="26" s="1"/>
  <c r="J57" i="26"/>
  <c r="I57" i="26"/>
  <c r="H57" i="26"/>
  <c r="E57" i="26"/>
  <c r="V56" i="26"/>
  <c r="U56" i="26"/>
  <c r="R56" i="26"/>
  <c r="L56" i="26"/>
  <c r="M56" i="26" s="1"/>
  <c r="J56" i="26"/>
  <c r="I56" i="26"/>
  <c r="H56" i="26"/>
  <c r="E56" i="26"/>
  <c r="V55" i="26"/>
  <c r="U55" i="26"/>
  <c r="R55" i="26"/>
  <c r="L55" i="26"/>
  <c r="K55" i="26" s="1"/>
  <c r="J55" i="26"/>
  <c r="I55" i="26"/>
  <c r="H55" i="26"/>
  <c r="E55" i="26"/>
  <c r="V54" i="26"/>
  <c r="U54" i="26"/>
  <c r="R54" i="26"/>
  <c r="L54" i="26"/>
  <c r="M54" i="26" s="1"/>
  <c r="J54" i="26"/>
  <c r="I54" i="26"/>
  <c r="H54" i="26"/>
  <c r="E54" i="26"/>
  <c r="V53" i="26"/>
  <c r="U53" i="26"/>
  <c r="R53" i="26"/>
  <c r="L53" i="26"/>
  <c r="M53" i="26" s="1"/>
  <c r="J53" i="26"/>
  <c r="I53" i="26"/>
  <c r="H53" i="26"/>
  <c r="E53" i="26"/>
  <c r="V52" i="26"/>
  <c r="U52" i="26"/>
  <c r="R52" i="26"/>
  <c r="L52" i="26"/>
  <c r="M52" i="26" s="1"/>
  <c r="J52" i="26"/>
  <c r="I52" i="26"/>
  <c r="H52" i="26"/>
  <c r="E52" i="26"/>
  <c r="V51" i="26"/>
  <c r="U51" i="26"/>
  <c r="R51" i="26"/>
  <c r="L51" i="26"/>
  <c r="K51" i="26" s="1"/>
  <c r="J51" i="26"/>
  <c r="I51" i="26"/>
  <c r="H51" i="26"/>
  <c r="E51" i="26"/>
  <c r="V50" i="26"/>
  <c r="U50" i="26"/>
  <c r="R50" i="26"/>
  <c r="L50" i="26"/>
  <c r="M50" i="26" s="1"/>
  <c r="K50" i="26"/>
  <c r="J50" i="26"/>
  <c r="I50" i="26"/>
  <c r="H50" i="26"/>
  <c r="E50" i="26"/>
  <c r="V49" i="26"/>
  <c r="U49" i="26"/>
  <c r="R49" i="26"/>
  <c r="L49" i="26"/>
  <c r="K49" i="26" s="1"/>
  <c r="J49" i="26"/>
  <c r="I49" i="26"/>
  <c r="H49" i="26"/>
  <c r="E49" i="26"/>
  <c r="V48" i="26"/>
  <c r="U48" i="26"/>
  <c r="R48" i="26"/>
  <c r="L48" i="26"/>
  <c r="M48" i="26" s="1"/>
  <c r="J48" i="26"/>
  <c r="I48" i="26"/>
  <c r="H48" i="26"/>
  <c r="E48" i="26"/>
  <c r="V47" i="26"/>
  <c r="U47" i="26"/>
  <c r="R47" i="26"/>
  <c r="L47" i="26"/>
  <c r="K47" i="26" s="1"/>
  <c r="J47" i="26"/>
  <c r="I47" i="26"/>
  <c r="H47" i="26"/>
  <c r="E47" i="26"/>
  <c r="V46" i="26"/>
  <c r="U46" i="26"/>
  <c r="R46" i="26"/>
  <c r="L46" i="26"/>
  <c r="M46" i="26" s="1"/>
  <c r="J46" i="26"/>
  <c r="I46" i="26"/>
  <c r="H46" i="26"/>
  <c r="E46" i="26"/>
  <c r="V45" i="26"/>
  <c r="U45" i="26"/>
  <c r="R45" i="26"/>
  <c r="L45" i="26"/>
  <c r="M45" i="26" s="1"/>
  <c r="J45" i="26"/>
  <c r="I45" i="26"/>
  <c r="H45" i="26"/>
  <c r="E45" i="26"/>
  <c r="V44" i="26"/>
  <c r="U44" i="26"/>
  <c r="R44" i="26"/>
  <c r="L44" i="26"/>
  <c r="M44" i="26" s="1"/>
  <c r="J44" i="26"/>
  <c r="I44" i="26"/>
  <c r="H44" i="26"/>
  <c r="E44" i="26"/>
  <c r="V43" i="26"/>
  <c r="U43" i="26"/>
  <c r="R43" i="26"/>
  <c r="M43" i="26"/>
  <c r="L43" i="26"/>
  <c r="K43" i="26" s="1"/>
  <c r="J43" i="26"/>
  <c r="I43" i="26"/>
  <c r="H43" i="26"/>
  <c r="E43" i="26"/>
  <c r="V42" i="26"/>
  <c r="U42" i="26"/>
  <c r="R42" i="26"/>
  <c r="M42" i="26"/>
  <c r="L42" i="26"/>
  <c r="K42" i="26" s="1"/>
  <c r="J42" i="26"/>
  <c r="I42" i="26"/>
  <c r="H42" i="26"/>
  <c r="E42" i="26"/>
  <c r="V41" i="26"/>
  <c r="U41" i="26"/>
  <c r="R41" i="26"/>
  <c r="L41" i="26"/>
  <c r="K41" i="26" s="1"/>
  <c r="J41" i="26"/>
  <c r="I41" i="26"/>
  <c r="H41" i="26"/>
  <c r="E41" i="26"/>
  <c r="V40" i="26"/>
  <c r="U40" i="26"/>
  <c r="R40" i="26"/>
  <c r="L40" i="26"/>
  <c r="M40" i="26" s="1"/>
  <c r="J40" i="26"/>
  <c r="I40" i="26"/>
  <c r="H40" i="26"/>
  <c r="E40" i="26"/>
  <c r="V39" i="26"/>
  <c r="U39" i="26"/>
  <c r="R39" i="26"/>
  <c r="L39" i="26"/>
  <c r="K39" i="26" s="1"/>
  <c r="J39" i="26"/>
  <c r="I39" i="26"/>
  <c r="H39" i="26"/>
  <c r="E39" i="26"/>
  <c r="V38" i="26"/>
  <c r="U38" i="26"/>
  <c r="R38" i="26"/>
  <c r="L38" i="26"/>
  <c r="M38" i="26" s="1"/>
  <c r="J38" i="26"/>
  <c r="I38" i="26"/>
  <c r="H38" i="26"/>
  <c r="E38" i="26"/>
  <c r="V37" i="26"/>
  <c r="U37" i="26"/>
  <c r="R37" i="26"/>
  <c r="L37" i="26"/>
  <c r="M37" i="26" s="1"/>
  <c r="J37" i="26"/>
  <c r="I37" i="26"/>
  <c r="H37" i="26"/>
  <c r="E37" i="26"/>
  <c r="V36" i="26"/>
  <c r="U36" i="26"/>
  <c r="R36" i="26"/>
  <c r="L36" i="26"/>
  <c r="M36" i="26" s="1"/>
  <c r="J36" i="26"/>
  <c r="I36" i="26"/>
  <c r="H36" i="26"/>
  <c r="E36" i="26"/>
  <c r="V35" i="26"/>
  <c r="U35" i="26"/>
  <c r="R35" i="26"/>
  <c r="L35" i="26"/>
  <c r="M35" i="26" s="1"/>
  <c r="K35" i="26"/>
  <c r="J35" i="26"/>
  <c r="I35" i="26"/>
  <c r="H35" i="26"/>
  <c r="E35" i="26"/>
  <c r="V34" i="26"/>
  <c r="U34" i="26"/>
  <c r="R34" i="26"/>
  <c r="L34" i="26"/>
  <c r="M34" i="26" s="1"/>
  <c r="K34" i="26"/>
  <c r="J34" i="26"/>
  <c r="I34" i="26"/>
  <c r="H34" i="26"/>
  <c r="V33" i="26"/>
  <c r="U33" i="26"/>
  <c r="R33" i="26"/>
  <c r="M33" i="26"/>
  <c r="L33" i="26"/>
  <c r="K33" i="26" s="1"/>
  <c r="J33" i="26"/>
  <c r="I33" i="26"/>
  <c r="H33" i="26"/>
  <c r="V32" i="26"/>
  <c r="U32" i="26"/>
  <c r="R32" i="26"/>
  <c r="L32" i="26"/>
  <c r="M32" i="26" s="1"/>
  <c r="J32" i="26"/>
  <c r="I32" i="26"/>
  <c r="H32" i="26"/>
  <c r="V31" i="26"/>
  <c r="U31" i="26"/>
  <c r="R31" i="26"/>
  <c r="L31" i="26"/>
  <c r="K31" i="26" s="1"/>
  <c r="J31" i="26"/>
  <c r="I31" i="26"/>
  <c r="H31" i="26"/>
  <c r="V30" i="26"/>
  <c r="U30" i="26"/>
  <c r="R30" i="26"/>
  <c r="L30" i="26"/>
  <c r="M30" i="26" s="1"/>
  <c r="J30" i="26"/>
  <c r="I30" i="26"/>
  <c r="H30" i="26"/>
  <c r="V29" i="26"/>
  <c r="U29" i="26"/>
  <c r="R29" i="26"/>
  <c r="L29" i="26"/>
  <c r="M29" i="26" s="1"/>
  <c r="J29" i="26"/>
  <c r="I29" i="26"/>
  <c r="H29" i="26"/>
  <c r="V28" i="26"/>
  <c r="U28" i="26"/>
  <c r="R28" i="26"/>
  <c r="L28" i="26"/>
  <c r="M28" i="26" s="1"/>
  <c r="K28" i="26"/>
  <c r="J28" i="26"/>
  <c r="I28" i="26"/>
  <c r="H28" i="26"/>
  <c r="V27" i="26"/>
  <c r="U27" i="26"/>
  <c r="R27" i="26"/>
  <c r="L27" i="26"/>
  <c r="K27" i="26" s="1"/>
  <c r="J27" i="26"/>
  <c r="I27" i="26"/>
  <c r="H27" i="26"/>
  <c r="V26" i="26"/>
  <c r="U26" i="26"/>
  <c r="R26" i="26"/>
  <c r="L26" i="26"/>
  <c r="M26" i="26" s="1"/>
  <c r="J26" i="26"/>
  <c r="I26" i="26"/>
  <c r="H26" i="26"/>
  <c r="V25" i="26"/>
  <c r="U25" i="26"/>
  <c r="S25" i="26"/>
  <c r="R25" i="26"/>
  <c r="L25" i="26"/>
  <c r="M25" i="26" s="1"/>
  <c r="J25" i="26"/>
  <c r="I25" i="26"/>
  <c r="H25" i="26"/>
  <c r="V24" i="26"/>
  <c r="U24" i="26"/>
  <c r="S24" i="26"/>
  <c r="R24" i="26"/>
  <c r="L24" i="26"/>
  <c r="M24" i="26" s="1"/>
  <c r="J24" i="26"/>
  <c r="I24" i="26"/>
  <c r="H24" i="26"/>
  <c r="V23" i="26"/>
  <c r="U23" i="26"/>
  <c r="R23" i="26"/>
  <c r="L23" i="26"/>
  <c r="K23" i="26" s="1"/>
  <c r="J23" i="26"/>
  <c r="I23" i="26"/>
  <c r="H23" i="26"/>
  <c r="V22" i="26"/>
  <c r="U22" i="26"/>
  <c r="L22" i="26"/>
  <c r="M22" i="26" s="1"/>
  <c r="J22" i="26"/>
  <c r="I22" i="26"/>
  <c r="H22" i="26"/>
  <c r="V21" i="26"/>
  <c r="U21" i="26"/>
  <c r="L21" i="26"/>
  <c r="K21" i="26" s="1"/>
  <c r="J21" i="26"/>
  <c r="I21" i="26"/>
  <c r="H21" i="26"/>
  <c r="V20" i="26"/>
  <c r="U20" i="26"/>
  <c r="L20" i="26"/>
  <c r="M20" i="26" s="1"/>
  <c r="J20" i="26"/>
  <c r="I20" i="26"/>
  <c r="H20" i="26"/>
  <c r="V19" i="26"/>
  <c r="U19" i="26"/>
  <c r="L19" i="26"/>
  <c r="K19" i="26" s="1"/>
  <c r="J19" i="26"/>
  <c r="I19" i="26"/>
  <c r="H19" i="26"/>
  <c r="V18" i="26"/>
  <c r="U18" i="26"/>
  <c r="L18" i="26"/>
  <c r="M18" i="26" s="1"/>
  <c r="J18" i="26"/>
  <c r="I18" i="26"/>
  <c r="H18" i="26"/>
  <c r="V17" i="26"/>
  <c r="U17" i="26"/>
  <c r="L17" i="26"/>
  <c r="K17" i="26" s="1"/>
  <c r="J17" i="26"/>
  <c r="I17" i="26"/>
  <c r="H17" i="26"/>
  <c r="M14" i="26"/>
  <c r="U13" i="26"/>
  <c r="T13" i="26"/>
  <c r="S13" i="26"/>
  <c r="R13" i="26"/>
  <c r="Q13" i="26"/>
  <c r="P13" i="26"/>
  <c r="J13" i="26"/>
  <c r="H13" i="26"/>
  <c r="F13" i="26"/>
  <c r="E13" i="26"/>
  <c r="D13" i="26"/>
  <c r="C13" i="26"/>
  <c r="V12" i="26"/>
  <c r="U12" i="26"/>
  <c r="T12" i="26"/>
  <c r="S12" i="26"/>
  <c r="R12" i="26"/>
  <c r="Q12" i="26"/>
  <c r="P12" i="26"/>
  <c r="J12" i="26"/>
  <c r="I12" i="26"/>
  <c r="H12" i="26"/>
  <c r="G12" i="26"/>
  <c r="F12" i="26"/>
  <c r="E12" i="26"/>
  <c r="D12" i="26"/>
  <c r="C12" i="26"/>
  <c r="I9" i="26"/>
  <c r="D9" i="26"/>
  <c r="C9" i="26"/>
  <c r="C8" i="26" s="1"/>
  <c r="I8" i="26"/>
  <c r="E8" i="26"/>
  <c r="D8" i="26"/>
  <c r="F7" i="26"/>
  <c r="E7" i="26"/>
  <c r="D7" i="26"/>
  <c r="C7" i="26"/>
  <c r="R6" i="26"/>
  <c r="Q6" i="26"/>
  <c r="F6" i="26"/>
  <c r="E6" i="26"/>
  <c r="D6" i="26"/>
  <c r="C6" i="26"/>
  <c r="P5" i="26"/>
  <c r="F5" i="26"/>
  <c r="E5" i="26"/>
  <c r="D5" i="26"/>
  <c r="C5" i="26"/>
  <c r="M29" i="35"/>
  <c r="N29" i="35" s="1"/>
  <c r="M28" i="35"/>
  <c r="N28" i="35" s="1"/>
  <c r="R27" i="35"/>
  <c r="Q27" i="35"/>
  <c r="O27" i="35"/>
  <c r="N27" i="35"/>
  <c r="M27" i="35"/>
  <c r="R26" i="35"/>
  <c r="Q26" i="35"/>
  <c r="O26" i="35"/>
  <c r="N26" i="35"/>
  <c r="M26" i="35"/>
  <c r="F26" i="35"/>
  <c r="R25" i="35"/>
  <c r="Q25" i="35"/>
  <c r="N25" i="35"/>
  <c r="M25" i="35"/>
  <c r="R24" i="35"/>
  <c r="Q24" i="35"/>
  <c r="N24" i="35"/>
  <c r="M24" i="35"/>
  <c r="R23" i="35"/>
  <c r="Q23" i="35"/>
  <c r="N23" i="35"/>
  <c r="M23" i="35"/>
  <c r="R22" i="35"/>
  <c r="Q22" i="35"/>
  <c r="N22" i="35"/>
  <c r="M22" i="35"/>
  <c r="R21" i="35"/>
  <c r="Q21" i="35"/>
  <c r="N21" i="35"/>
  <c r="M21" i="35"/>
  <c r="R20" i="35"/>
  <c r="Q20" i="35"/>
  <c r="N20" i="35"/>
  <c r="M20" i="35"/>
  <c r="R19" i="35"/>
  <c r="Q19" i="35"/>
  <c r="N19" i="35"/>
  <c r="M19" i="35"/>
  <c r="R18" i="35"/>
  <c r="Q18" i="35"/>
  <c r="N18" i="35"/>
  <c r="M18" i="35"/>
  <c r="R17" i="35"/>
  <c r="Q17" i="35"/>
  <c r="N17" i="35"/>
  <c r="M17" i="35"/>
  <c r="R16" i="35"/>
  <c r="Q16" i="35"/>
  <c r="N16" i="35"/>
  <c r="M16" i="35"/>
  <c r="R15" i="35"/>
  <c r="Q15" i="35"/>
  <c r="N15" i="35"/>
  <c r="M15" i="35"/>
  <c r="R14" i="35"/>
  <c r="Q14" i="35"/>
  <c r="O14" i="35"/>
  <c r="N14" i="35"/>
  <c r="M14" i="35"/>
  <c r="R13" i="35"/>
  <c r="Q13" i="35"/>
  <c r="O13" i="35"/>
  <c r="N13" i="35"/>
  <c r="M13" i="35"/>
  <c r="H13" i="35"/>
  <c r="F13" i="35"/>
  <c r="R12" i="35"/>
  <c r="Q12" i="35"/>
  <c r="O12" i="35"/>
  <c r="N12" i="35"/>
  <c r="M12" i="35"/>
  <c r="R11" i="35"/>
  <c r="Q11" i="35"/>
  <c r="O11" i="35"/>
  <c r="N11" i="35"/>
  <c r="M11" i="35"/>
  <c r="R10" i="35"/>
  <c r="Q10" i="35"/>
  <c r="O10" i="35"/>
  <c r="N10" i="35"/>
  <c r="M10" i="35"/>
  <c r="R9" i="35"/>
  <c r="Q9" i="35"/>
  <c r="O9" i="35"/>
  <c r="N9" i="35"/>
  <c r="M9" i="35"/>
  <c r="R8" i="35"/>
  <c r="Q8" i="35"/>
  <c r="O8" i="35"/>
  <c r="N8" i="35"/>
  <c r="M8" i="35"/>
  <c r="R7" i="35"/>
  <c r="Q7" i="35"/>
  <c r="O7" i="35"/>
  <c r="N7" i="35"/>
  <c r="M7" i="35"/>
  <c r="R6" i="35"/>
  <c r="Q6" i="35"/>
  <c r="O6" i="35"/>
  <c r="N6" i="35"/>
  <c r="M6" i="35"/>
  <c r="R5" i="35"/>
  <c r="Q5" i="35"/>
  <c r="O5" i="35"/>
  <c r="N5" i="35"/>
  <c r="M5" i="35"/>
  <c r="R4" i="35"/>
  <c r="Q4" i="35"/>
  <c r="O4" i="35"/>
  <c r="N4" i="35"/>
  <c r="M4" i="35"/>
  <c r="O2" i="35"/>
  <c r="AO132" i="10"/>
  <c r="AA132" i="10"/>
  <c r="Z132" i="10"/>
  <c r="W132" i="10"/>
  <c r="C132" i="10"/>
  <c r="R132" i="10" s="1"/>
  <c r="AO131" i="10"/>
  <c r="AA131" i="10"/>
  <c r="Z131" i="10"/>
  <c r="W131" i="10"/>
  <c r="C131" i="10"/>
  <c r="R131" i="10" s="1"/>
  <c r="AO130" i="10"/>
  <c r="AA130" i="10"/>
  <c r="Z130" i="10"/>
  <c r="W130" i="10"/>
  <c r="C130" i="10"/>
  <c r="AO129" i="10"/>
  <c r="AA129" i="10"/>
  <c r="Z129" i="10"/>
  <c r="W129" i="10"/>
  <c r="C129" i="10"/>
  <c r="AO128" i="10"/>
  <c r="AA128" i="10"/>
  <c r="Z128" i="10"/>
  <c r="W128" i="10"/>
  <c r="C128" i="10"/>
  <c r="R128" i="10" s="1"/>
  <c r="AO127" i="10"/>
  <c r="AA127" i="10"/>
  <c r="Z127" i="10"/>
  <c r="W127" i="10"/>
  <c r="C127" i="10"/>
  <c r="R127" i="10" s="1"/>
  <c r="AO126" i="10"/>
  <c r="AA126" i="10"/>
  <c r="Z126" i="10"/>
  <c r="W126" i="10"/>
  <c r="C126" i="10"/>
  <c r="AO125" i="10"/>
  <c r="AA125" i="10"/>
  <c r="Z125" i="10"/>
  <c r="W125" i="10"/>
  <c r="C125" i="10"/>
  <c r="R125" i="10" s="1"/>
  <c r="AO124" i="10"/>
  <c r="AA124" i="10"/>
  <c r="Z124" i="10"/>
  <c r="W124" i="10"/>
  <c r="C124" i="10"/>
  <c r="R124" i="10" s="1"/>
  <c r="AO123" i="10"/>
  <c r="AA123" i="10"/>
  <c r="Z123" i="10"/>
  <c r="W123" i="10"/>
  <c r="C123" i="10"/>
  <c r="AO122" i="10"/>
  <c r="AA122" i="10"/>
  <c r="Z122" i="10"/>
  <c r="W122" i="10"/>
  <c r="C122" i="10"/>
  <c r="AO121" i="10"/>
  <c r="AA121" i="10"/>
  <c r="Z121" i="10"/>
  <c r="W121" i="10"/>
  <c r="C121" i="10"/>
  <c r="AO120" i="10"/>
  <c r="AA120" i="10"/>
  <c r="Z120" i="10"/>
  <c r="W120" i="10"/>
  <c r="C120" i="10"/>
  <c r="AO119" i="10"/>
  <c r="AA119" i="10"/>
  <c r="Z119" i="10"/>
  <c r="W119" i="10"/>
  <c r="C119" i="10"/>
  <c r="R119" i="10" s="1"/>
  <c r="AO118" i="10"/>
  <c r="AA118" i="10"/>
  <c r="Z118" i="10"/>
  <c r="W118" i="10"/>
  <c r="C118" i="10"/>
  <c r="AO117" i="10"/>
  <c r="AA117" i="10"/>
  <c r="Z117" i="10"/>
  <c r="W117" i="10"/>
  <c r="C117" i="10"/>
  <c r="AO116" i="10"/>
  <c r="AA116" i="10"/>
  <c r="Z116" i="10"/>
  <c r="W116" i="10"/>
  <c r="C116" i="10"/>
  <c r="R116" i="10" s="1"/>
  <c r="AO115" i="10"/>
  <c r="AA115" i="10"/>
  <c r="Z115" i="10"/>
  <c r="W115" i="10"/>
  <c r="C115" i="10"/>
  <c r="R115" i="10" s="1"/>
  <c r="AO114" i="10"/>
  <c r="AA114" i="10"/>
  <c r="Z114" i="10"/>
  <c r="W114" i="10"/>
  <c r="C114" i="10"/>
  <c r="AO113" i="10"/>
  <c r="AA113" i="10"/>
  <c r="Z113" i="10"/>
  <c r="W113" i="10"/>
  <c r="C113" i="10"/>
  <c r="AO112" i="10"/>
  <c r="AA112" i="10"/>
  <c r="Z112" i="10"/>
  <c r="W112" i="10"/>
  <c r="C112" i="10"/>
  <c r="R112" i="10" s="1"/>
  <c r="AO111" i="10"/>
  <c r="AA111" i="10"/>
  <c r="Z111" i="10"/>
  <c r="W111" i="10"/>
  <c r="C111" i="10"/>
  <c r="R111" i="10" s="1"/>
  <c r="AO110" i="10"/>
  <c r="AA110" i="10"/>
  <c r="Z110" i="10"/>
  <c r="W110" i="10"/>
  <c r="C110" i="10"/>
  <c r="AO109" i="10"/>
  <c r="AA109" i="10"/>
  <c r="Z109" i="10"/>
  <c r="W109" i="10"/>
  <c r="C109" i="10"/>
  <c r="AO108" i="10"/>
  <c r="AA108" i="10"/>
  <c r="Z108" i="10"/>
  <c r="W108" i="10"/>
  <c r="C108" i="10"/>
  <c r="R108" i="10" s="1"/>
  <c r="AO107" i="10"/>
  <c r="AA107" i="10"/>
  <c r="Z107" i="10"/>
  <c r="W107" i="10"/>
  <c r="C107" i="10"/>
  <c r="AO106" i="10"/>
  <c r="AA106" i="10"/>
  <c r="Z106" i="10"/>
  <c r="W106" i="10"/>
  <c r="C106" i="10"/>
  <c r="AO105" i="10"/>
  <c r="AA105" i="10"/>
  <c r="Z105" i="10"/>
  <c r="W105" i="10"/>
  <c r="C105" i="10"/>
  <c r="AO104" i="10"/>
  <c r="AA104" i="10"/>
  <c r="Z104" i="10"/>
  <c r="W104" i="10"/>
  <c r="C104" i="10"/>
  <c r="AO103" i="10"/>
  <c r="AA103" i="10"/>
  <c r="Z103" i="10"/>
  <c r="W103" i="10"/>
  <c r="C103" i="10"/>
  <c r="R103" i="10" s="1"/>
  <c r="AO102" i="10"/>
  <c r="AA102" i="10"/>
  <c r="Z102" i="10"/>
  <c r="W102" i="10"/>
  <c r="C102" i="10"/>
  <c r="AO101" i="10"/>
  <c r="AA101" i="10"/>
  <c r="Z101" i="10"/>
  <c r="W101" i="10"/>
  <c r="C101" i="10"/>
  <c r="AO100" i="10"/>
  <c r="AA100" i="10"/>
  <c r="Z100" i="10"/>
  <c r="W100" i="10"/>
  <c r="C100" i="10"/>
  <c r="R100" i="10" s="1"/>
  <c r="AO99" i="10"/>
  <c r="AA99" i="10"/>
  <c r="Z99" i="10"/>
  <c r="W99" i="10"/>
  <c r="C99" i="10"/>
  <c r="R99" i="10" s="1"/>
  <c r="AO98" i="10"/>
  <c r="AA98" i="10"/>
  <c r="Z98" i="10"/>
  <c r="W98" i="10"/>
  <c r="C98" i="10"/>
  <c r="AO97" i="10"/>
  <c r="AA97" i="10"/>
  <c r="Z97" i="10"/>
  <c r="W97" i="10"/>
  <c r="C97" i="10"/>
  <c r="R97" i="10" s="1"/>
  <c r="AO96" i="10"/>
  <c r="AA96" i="10"/>
  <c r="Z96" i="10"/>
  <c r="W96" i="10"/>
  <c r="C96" i="10"/>
  <c r="R96" i="10" s="1"/>
  <c r="AO95" i="10"/>
  <c r="AA95" i="10"/>
  <c r="Z95" i="10"/>
  <c r="W95" i="10"/>
  <c r="C95" i="10"/>
  <c r="AO94" i="10"/>
  <c r="AA94" i="10"/>
  <c r="Z94" i="10"/>
  <c r="W94" i="10"/>
  <c r="C94" i="10"/>
  <c r="AO93" i="10"/>
  <c r="AA93" i="10"/>
  <c r="Z93" i="10"/>
  <c r="W93" i="10"/>
  <c r="C93" i="10"/>
  <c r="AO92" i="10"/>
  <c r="AA92" i="10"/>
  <c r="Z92" i="10"/>
  <c r="W92" i="10"/>
  <c r="C92" i="10"/>
  <c r="R92" i="10" s="1"/>
  <c r="AO91" i="10"/>
  <c r="AA91" i="10"/>
  <c r="Z91" i="10"/>
  <c r="W91" i="10"/>
  <c r="C91" i="10"/>
  <c r="AO90" i="10"/>
  <c r="AA90" i="10"/>
  <c r="Z90" i="10"/>
  <c r="W90" i="10"/>
  <c r="C90" i="10"/>
  <c r="AO89" i="10"/>
  <c r="AA89" i="10"/>
  <c r="Z89" i="10"/>
  <c r="W89" i="10"/>
  <c r="C89" i="10"/>
  <c r="AO88" i="10"/>
  <c r="AA88" i="10"/>
  <c r="Z88" i="10"/>
  <c r="W88" i="10"/>
  <c r="C88" i="10"/>
  <c r="AO87" i="10"/>
  <c r="AA87" i="10"/>
  <c r="Z87" i="10"/>
  <c r="W87" i="10"/>
  <c r="C87" i="10"/>
  <c r="R87" i="10" s="1"/>
  <c r="AO86" i="10"/>
  <c r="AA86" i="10"/>
  <c r="Z86" i="10"/>
  <c r="W86" i="10"/>
  <c r="C86" i="10"/>
  <c r="R86" i="10" s="1"/>
  <c r="AO85" i="10"/>
  <c r="AA85" i="10"/>
  <c r="Z85" i="10"/>
  <c r="W85" i="10"/>
  <c r="C85" i="10"/>
  <c r="AO84" i="10"/>
  <c r="AA84" i="10"/>
  <c r="Z84" i="10"/>
  <c r="W84" i="10"/>
  <c r="C84" i="10"/>
  <c r="AO83" i="10"/>
  <c r="AA83" i="10"/>
  <c r="Z83" i="10"/>
  <c r="W83" i="10"/>
  <c r="C83" i="10"/>
  <c r="R83" i="10" s="1"/>
  <c r="AO82" i="10"/>
  <c r="AA82" i="10"/>
  <c r="Z82" i="10"/>
  <c r="W82" i="10"/>
  <c r="C82" i="10"/>
  <c r="AO81" i="10"/>
  <c r="AA81" i="10"/>
  <c r="Z81" i="10"/>
  <c r="W81" i="10"/>
  <c r="C81" i="10"/>
  <c r="R81" i="10" s="1"/>
  <c r="AO80" i="10"/>
  <c r="AA80" i="10"/>
  <c r="Z80" i="10"/>
  <c r="W80" i="10"/>
  <c r="C80" i="10"/>
  <c r="R80" i="10" s="1"/>
  <c r="AO79" i="10"/>
  <c r="AA79" i="10"/>
  <c r="Z79" i="10"/>
  <c r="W79" i="10"/>
  <c r="C79" i="10"/>
  <c r="AO78" i="10"/>
  <c r="AA78" i="10"/>
  <c r="Z78" i="10"/>
  <c r="W78" i="10"/>
  <c r="C78" i="10"/>
  <c r="AO77" i="10"/>
  <c r="AA77" i="10"/>
  <c r="Z77" i="10"/>
  <c r="W77" i="10"/>
  <c r="C77" i="10"/>
  <c r="AA76" i="10"/>
  <c r="Z76" i="10"/>
  <c r="W76" i="10"/>
  <c r="C76" i="10"/>
  <c r="R76" i="10" s="1"/>
  <c r="AA75" i="10"/>
  <c r="Z75" i="10"/>
  <c r="W75" i="10"/>
  <c r="C75" i="10"/>
  <c r="W74" i="10"/>
  <c r="C74" i="10"/>
  <c r="BC73" i="10"/>
  <c r="AE73" i="10"/>
  <c r="AD73" i="10"/>
  <c r="AB73" i="10"/>
  <c r="AA73" i="10"/>
  <c r="Z73" i="10"/>
  <c r="X73" i="10"/>
  <c r="W73" i="10"/>
  <c r="P73" i="10"/>
  <c r="O73" i="10"/>
  <c r="H73" i="10"/>
  <c r="G73" i="10"/>
  <c r="F73" i="10"/>
  <c r="E73" i="10"/>
  <c r="D73" i="10"/>
  <c r="C73" i="10"/>
  <c r="BM72" i="10"/>
  <c r="BL72" i="10"/>
  <c r="BK72" i="10"/>
  <c r="BJ72" i="10"/>
  <c r="BI72" i="10"/>
  <c r="BH72" i="10"/>
  <c r="BG72" i="10"/>
  <c r="BF72" i="10"/>
  <c r="BE72" i="10"/>
  <c r="BD72" i="10"/>
  <c r="BC72" i="10"/>
  <c r="BB72" i="10"/>
  <c r="BA72" i="10"/>
  <c r="AZ72" i="10"/>
  <c r="AE72" i="10"/>
  <c r="AD72" i="10"/>
  <c r="AB72" i="10"/>
  <c r="AA72" i="10"/>
  <c r="Z72" i="10"/>
  <c r="X72" i="10"/>
  <c r="W72" i="10"/>
  <c r="Q72" i="10"/>
  <c r="P72" i="10"/>
  <c r="O72" i="10"/>
  <c r="N72" i="10"/>
  <c r="M72" i="10"/>
  <c r="L72" i="10"/>
  <c r="K72" i="10"/>
  <c r="H72" i="10"/>
  <c r="G72" i="10"/>
  <c r="F72" i="10"/>
  <c r="E72" i="10"/>
  <c r="D72" i="10"/>
  <c r="C72" i="10"/>
  <c r="BM71" i="10"/>
  <c r="BL71" i="10"/>
  <c r="BK71" i="10"/>
  <c r="BJ71" i="10"/>
  <c r="BI71" i="10"/>
  <c r="BH71" i="10"/>
  <c r="BG71" i="10"/>
  <c r="BF71" i="10"/>
  <c r="BE71" i="10"/>
  <c r="BD71" i="10"/>
  <c r="BC71" i="10"/>
  <c r="BB71" i="10"/>
  <c r="BA71" i="10"/>
  <c r="AZ71" i="10"/>
  <c r="AE71" i="10"/>
  <c r="AD71" i="10"/>
  <c r="AB71" i="10"/>
  <c r="AA71" i="10"/>
  <c r="Z71" i="10"/>
  <c r="X71" i="10"/>
  <c r="W71" i="10"/>
  <c r="Q71" i="10"/>
  <c r="P71" i="10"/>
  <c r="O71" i="10"/>
  <c r="N71" i="10"/>
  <c r="M71" i="10"/>
  <c r="L71" i="10"/>
  <c r="K71" i="10"/>
  <c r="H71" i="10"/>
  <c r="G71" i="10"/>
  <c r="F71" i="10"/>
  <c r="E71" i="10"/>
  <c r="D71" i="10"/>
  <c r="C71" i="10"/>
  <c r="BM70" i="10"/>
  <c r="BL70" i="10"/>
  <c r="BK70" i="10"/>
  <c r="BJ70" i="10"/>
  <c r="BI70" i="10"/>
  <c r="BH70" i="10"/>
  <c r="BG70" i="10"/>
  <c r="BF70" i="10"/>
  <c r="BE70" i="10"/>
  <c r="BD70" i="10"/>
  <c r="BC70" i="10"/>
  <c r="BB70" i="10"/>
  <c r="BA70" i="10"/>
  <c r="AZ70" i="10"/>
  <c r="AE70" i="10"/>
  <c r="AD70" i="10"/>
  <c r="AB70" i="10"/>
  <c r="AA70" i="10"/>
  <c r="Z70" i="10"/>
  <c r="X70" i="10"/>
  <c r="W70" i="10"/>
  <c r="Q70" i="10"/>
  <c r="P70" i="10"/>
  <c r="O70" i="10"/>
  <c r="N70" i="10"/>
  <c r="M70" i="10"/>
  <c r="L70" i="10"/>
  <c r="K70" i="10"/>
  <c r="H70" i="10"/>
  <c r="G70" i="10"/>
  <c r="F70" i="10"/>
  <c r="E70" i="10"/>
  <c r="D70" i="10"/>
  <c r="C70" i="10"/>
  <c r="BM69" i="10"/>
  <c r="BL69" i="10"/>
  <c r="BK69" i="10"/>
  <c r="BJ69" i="10"/>
  <c r="BI69" i="10"/>
  <c r="BH69" i="10"/>
  <c r="BG69" i="10"/>
  <c r="BF69" i="10"/>
  <c r="BE69" i="10"/>
  <c r="BD69" i="10"/>
  <c r="BC69" i="10"/>
  <c r="BB69" i="10"/>
  <c r="BA69" i="10"/>
  <c r="AZ69" i="10"/>
  <c r="AE69" i="10"/>
  <c r="AD69" i="10"/>
  <c r="AB69" i="10"/>
  <c r="AA69" i="10"/>
  <c r="Z69" i="10"/>
  <c r="X69" i="10"/>
  <c r="W69" i="10"/>
  <c r="Q69" i="10"/>
  <c r="P69" i="10"/>
  <c r="O69" i="10"/>
  <c r="N69" i="10"/>
  <c r="M69" i="10"/>
  <c r="L69" i="10"/>
  <c r="K69" i="10"/>
  <c r="H69" i="10"/>
  <c r="G69" i="10"/>
  <c r="F69" i="10"/>
  <c r="E69" i="10"/>
  <c r="D69" i="10"/>
  <c r="C69" i="10"/>
  <c r="BM68" i="10"/>
  <c r="BL68" i="10"/>
  <c r="BK68" i="10"/>
  <c r="BJ68" i="10"/>
  <c r="BI68" i="10"/>
  <c r="BH68" i="10"/>
  <c r="BG68" i="10"/>
  <c r="BF68" i="10"/>
  <c r="BE68" i="10"/>
  <c r="BD68" i="10"/>
  <c r="BC68" i="10"/>
  <c r="BB68" i="10"/>
  <c r="BA68" i="10"/>
  <c r="AZ68" i="10"/>
  <c r="AE68" i="10"/>
  <c r="AC68" i="10" s="1"/>
  <c r="AD68" i="10"/>
  <c r="AB68" i="10"/>
  <c r="AA68" i="10"/>
  <c r="Z68" i="10"/>
  <c r="X68" i="10"/>
  <c r="W68" i="10"/>
  <c r="Q68" i="10"/>
  <c r="P68" i="10"/>
  <c r="O68" i="10"/>
  <c r="N68" i="10"/>
  <c r="M68" i="10"/>
  <c r="L68" i="10"/>
  <c r="K68" i="10"/>
  <c r="H68" i="10"/>
  <c r="G68" i="10"/>
  <c r="F68" i="10"/>
  <c r="E68" i="10"/>
  <c r="D68" i="10"/>
  <c r="C68" i="10"/>
  <c r="BM67" i="10"/>
  <c r="BL67" i="10"/>
  <c r="BK67" i="10"/>
  <c r="BJ67" i="10"/>
  <c r="BI67" i="10"/>
  <c r="BH67" i="10"/>
  <c r="BG67" i="10"/>
  <c r="BF67" i="10"/>
  <c r="BE67" i="10"/>
  <c r="BD67" i="10"/>
  <c r="BC67" i="10"/>
  <c r="BB67" i="10"/>
  <c r="BA67" i="10"/>
  <c r="AZ67" i="10"/>
  <c r="AE67" i="10"/>
  <c r="AD67" i="10"/>
  <c r="AB67" i="10"/>
  <c r="AA67" i="10"/>
  <c r="Z67" i="10"/>
  <c r="X67" i="10"/>
  <c r="W67" i="10"/>
  <c r="Q67" i="10"/>
  <c r="P67" i="10"/>
  <c r="O67" i="10"/>
  <c r="N67" i="10"/>
  <c r="M67" i="10"/>
  <c r="L67" i="10"/>
  <c r="K67" i="10"/>
  <c r="H67" i="10"/>
  <c r="G67" i="10"/>
  <c r="F67" i="10"/>
  <c r="E67" i="10"/>
  <c r="D67" i="10"/>
  <c r="C67" i="10"/>
  <c r="BM66" i="10"/>
  <c r="BL66" i="10"/>
  <c r="BK66" i="10"/>
  <c r="BJ66" i="10"/>
  <c r="BI66" i="10"/>
  <c r="BH66" i="10"/>
  <c r="BG66" i="10"/>
  <c r="BF66" i="10"/>
  <c r="BE66" i="10"/>
  <c r="BD66" i="10"/>
  <c r="BC66" i="10"/>
  <c r="BB66" i="10"/>
  <c r="BA66" i="10"/>
  <c r="AZ66" i="10"/>
  <c r="AE66" i="10"/>
  <c r="AD66" i="10"/>
  <c r="AB66" i="10"/>
  <c r="AA66" i="10"/>
  <c r="Z66" i="10"/>
  <c r="X66" i="10"/>
  <c r="W66" i="10"/>
  <c r="Q66" i="10"/>
  <c r="P66" i="10"/>
  <c r="O66" i="10"/>
  <c r="N66" i="10"/>
  <c r="M66" i="10"/>
  <c r="L66" i="10"/>
  <c r="K66" i="10"/>
  <c r="H66" i="10"/>
  <c r="G66" i="10"/>
  <c r="F66" i="10"/>
  <c r="E66" i="10"/>
  <c r="D66" i="10"/>
  <c r="C66" i="10"/>
  <c r="BM65" i="10"/>
  <c r="BL65" i="10"/>
  <c r="BK65" i="10"/>
  <c r="BJ65" i="10"/>
  <c r="BI65" i="10"/>
  <c r="BH65" i="10"/>
  <c r="BG65" i="10"/>
  <c r="BF65" i="10"/>
  <c r="BE65" i="10"/>
  <c r="BD65" i="10"/>
  <c r="BC65" i="10"/>
  <c r="BB65" i="10"/>
  <c r="BA65" i="10"/>
  <c r="AZ65" i="10"/>
  <c r="AE65" i="10"/>
  <c r="AD65" i="10"/>
  <c r="AB65" i="10"/>
  <c r="AA65" i="10"/>
  <c r="Z65" i="10"/>
  <c r="X65" i="10"/>
  <c r="W65" i="10"/>
  <c r="Q65" i="10"/>
  <c r="P65" i="10"/>
  <c r="O65" i="10"/>
  <c r="N65" i="10"/>
  <c r="M65" i="10"/>
  <c r="L65" i="10"/>
  <c r="K65" i="10"/>
  <c r="H65" i="10"/>
  <c r="G65" i="10"/>
  <c r="F65" i="10"/>
  <c r="E65" i="10"/>
  <c r="D65" i="10"/>
  <c r="C65" i="10"/>
  <c r="BM64" i="10"/>
  <c r="BL64" i="10"/>
  <c r="BK64" i="10"/>
  <c r="BJ64" i="10"/>
  <c r="BI64" i="10"/>
  <c r="BH64" i="10"/>
  <c r="BG64" i="10"/>
  <c r="BF64" i="10"/>
  <c r="BE64" i="10"/>
  <c r="BD64" i="10"/>
  <c r="BC64" i="10"/>
  <c r="BB64" i="10"/>
  <c r="BA64" i="10"/>
  <c r="AZ64" i="10"/>
  <c r="AE64" i="10"/>
  <c r="AD64" i="10"/>
  <c r="AB64" i="10"/>
  <c r="AA64" i="10"/>
  <c r="Z64" i="10"/>
  <c r="X64" i="10"/>
  <c r="W64" i="10"/>
  <c r="Q64" i="10"/>
  <c r="P64" i="10"/>
  <c r="O64" i="10"/>
  <c r="N64" i="10"/>
  <c r="M64" i="10"/>
  <c r="L64" i="10"/>
  <c r="K64" i="10"/>
  <c r="H64" i="10"/>
  <c r="G64" i="10"/>
  <c r="F64" i="10"/>
  <c r="E64" i="10"/>
  <c r="D64" i="10"/>
  <c r="C64" i="10"/>
  <c r="BM63" i="10"/>
  <c r="BL63" i="10"/>
  <c r="BK63" i="10"/>
  <c r="BJ63" i="10"/>
  <c r="BI63" i="10"/>
  <c r="BH63" i="10"/>
  <c r="BG63" i="10"/>
  <c r="BF63" i="10"/>
  <c r="BE63" i="10"/>
  <c r="BD63" i="10"/>
  <c r="BC63" i="10"/>
  <c r="BB63" i="10"/>
  <c r="BA63" i="10"/>
  <c r="AZ63" i="10"/>
  <c r="AE63" i="10"/>
  <c r="AD63" i="10"/>
  <c r="AB63" i="10"/>
  <c r="AA63" i="10"/>
  <c r="Z63" i="10"/>
  <c r="X63" i="10"/>
  <c r="W63" i="10"/>
  <c r="Q63" i="10"/>
  <c r="P63" i="10"/>
  <c r="O63" i="10"/>
  <c r="N63" i="10"/>
  <c r="M63" i="10"/>
  <c r="L63" i="10"/>
  <c r="K63" i="10"/>
  <c r="H63" i="10"/>
  <c r="G63" i="10"/>
  <c r="F63" i="10"/>
  <c r="E63" i="10"/>
  <c r="D63" i="10"/>
  <c r="C63" i="10"/>
  <c r="BM62" i="10"/>
  <c r="BL62" i="10"/>
  <c r="BK62" i="10"/>
  <c r="BJ62" i="10"/>
  <c r="BI62" i="10"/>
  <c r="BH62" i="10"/>
  <c r="BG62" i="10"/>
  <c r="BF62" i="10"/>
  <c r="BE62" i="10"/>
  <c r="BD62" i="10"/>
  <c r="BC62" i="10"/>
  <c r="BB62" i="10"/>
  <c r="BA62" i="10"/>
  <c r="AZ62" i="10"/>
  <c r="AE62" i="10"/>
  <c r="AD62" i="10"/>
  <c r="AB62" i="10"/>
  <c r="AA62" i="10"/>
  <c r="Z62" i="10"/>
  <c r="X62" i="10"/>
  <c r="W62" i="10"/>
  <c r="Q62" i="10"/>
  <c r="P62" i="10"/>
  <c r="O62" i="10"/>
  <c r="N62" i="10"/>
  <c r="M62" i="10"/>
  <c r="L62" i="10"/>
  <c r="K62" i="10"/>
  <c r="H62" i="10"/>
  <c r="G62" i="10"/>
  <c r="F62" i="10"/>
  <c r="E62" i="10"/>
  <c r="D62" i="10"/>
  <c r="C62" i="10"/>
  <c r="BM61" i="10"/>
  <c r="BL61" i="10"/>
  <c r="BK61" i="10"/>
  <c r="BJ61" i="10"/>
  <c r="BI61" i="10"/>
  <c r="BH61" i="10"/>
  <c r="BG61" i="10"/>
  <c r="BF61" i="10"/>
  <c r="BE61" i="10"/>
  <c r="BD61" i="10"/>
  <c r="BC61" i="10"/>
  <c r="BB61" i="10"/>
  <c r="BA61" i="10"/>
  <c r="AZ61" i="10"/>
  <c r="AE61" i="10"/>
  <c r="AD61" i="10"/>
  <c r="AB61" i="10"/>
  <c r="AA61" i="10"/>
  <c r="Z61" i="10"/>
  <c r="X61" i="10"/>
  <c r="W61" i="10"/>
  <c r="Q61" i="10"/>
  <c r="P61" i="10"/>
  <c r="O61" i="10"/>
  <c r="N61" i="10"/>
  <c r="M61" i="10"/>
  <c r="L61" i="10"/>
  <c r="K61" i="10"/>
  <c r="H61" i="10"/>
  <c r="G61" i="10"/>
  <c r="F61" i="10"/>
  <c r="E61" i="10"/>
  <c r="D61" i="10"/>
  <c r="C61" i="10"/>
  <c r="BU60" i="10"/>
  <c r="BT60" i="10"/>
  <c r="BM60" i="10"/>
  <c r="BL60" i="10"/>
  <c r="BK60" i="10"/>
  <c r="BJ60" i="10"/>
  <c r="BI60" i="10"/>
  <c r="BH60" i="10"/>
  <c r="BG60" i="10"/>
  <c r="BF60" i="10"/>
  <c r="BE60" i="10"/>
  <c r="BD60" i="10"/>
  <c r="BC60" i="10"/>
  <c r="BB60" i="10"/>
  <c r="BA60" i="10"/>
  <c r="AZ60" i="10"/>
  <c r="AE60" i="10"/>
  <c r="AD60" i="10"/>
  <c r="AB60" i="10"/>
  <c r="AA60" i="10"/>
  <c r="Z60" i="10"/>
  <c r="X60" i="10"/>
  <c r="W60" i="10"/>
  <c r="Q60" i="10"/>
  <c r="P60" i="10"/>
  <c r="O60" i="10"/>
  <c r="N60" i="10"/>
  <c r="M60" i="10"/>
  <c r="L60" i="10"/>
  <c r="K60" i="10"/>
  <c r="H60" i="10"/>
  <c r="G60" i="10"/>
  <c r="F60" i="10"/>
  <c r="E60" i="10"/>
  <c r="D60" i="10"/>
  <c r="C60" i="10"/>
  <c r="BU59" i="10"/>
  <c r="BT59" i="10"/>
  <c r="BM59" i="10"/>
  <c r="BL59" i="10"/>
  <c r="BK59" i="10"/>
  <c r="BJ59" i="10"/>
  <c r="BI59" i="10"/>
  <c r="BH59" i="10"/>
  <c r="BG59" i="10"/>
  <c r="BF59" i="10"/>
  <c r="BE59" i="10"/>
  <c r="BD59" i="10"/>
  <c r="BC59" i="10"/>
  <c r="BB59" i="10"/>
  <c r="BA59" i="10"/>
  <c r="AZ59" i="10"/>
  <c r="AE59" i="10"/>
  <c r="AD59" i="10"/>
  <c r="AB59" i="10"/>
  <c r="AA59" i="10"/>
  <c r="Z59" i="10"/>
  <c r="X59" i="10"/>
  <c r="W59" i="10"/>
  <c r="Q59" i="10"/>
  <c r="P59" i="10"/>
  <c r="O59" i="10"/>
  <c r="N59" i="10"/>
  <c r="M59" i="10"/>
  <c r="L59" i="10"/>
  <c r="K59" i="10"/>
  <c r="H59" i="10"/>
  <c r="G59" i="10"/>
  <c r="F59" i="10"/>
  <c r="E59" i="10"/>
  <c r="D59" i="10"/>
  <c r="C59" i="10"/>
  <c r="BU58" i="10"/>
  <c r="BT58" i="10"/>
  <c r="BM58" i="10"/>
  <c r="BL58" i="10"/>
  <c r="BK58" i="10"/>
  <c r="BJ58" i="10"/>
  <c r="BI58" i="10"/>
  <c r="BH58" i="10"/>
  <c r="BG58" i="10"/>
  <c r="BF58" i="10"/>
  <c r="BE58" i="10"/>
  <c r="BD58" i="10"/>
  <c r="BC58" i="10"/>
  <c r="BB58" i="10"/>
  <c r="BA58" i="10"/>
  <c r="AZ58" i="10"/>
  <c r="AE58" i="10"/>
  <c r="AD58" i="10"/>
  <c r="AB58" i="10"/>
  <c r="AA58" i="10"/>
  <c r="Z58" i="10"/>
  <c r="X58" i="10"/>
  <c r="W58" i="10"/>
  <c r="Q58" i="10"/>
  <c r="P58" i="10"/>
  <c r="O58" i="10"/>
  <c r="N58" i="10"/>
  <c r="M58" i="10"/>
  <c r="L58" i="10"/>
  <c r="K58" i="10"/>
  <c r="H58" i="10"/>
  <c r="G58" i="10"/>
  <c r="F58" i="10"/>
  <c r="E58" i="10"/>
  <c r="D58" i="10"/>
  <c r="C58" i="10"/>
  <c r="BU57" i="10"/>
  <c r="BT57" i="10"/>
  <c r="BM57" i="10"/>
  <c r="BL57" i="10"/>
  <c r="BK57" i="10"/>
  <c r="BJ57" i="10"/>
  <c r="BI57" i="10"/>
  <c r="BH57" i="10"/>
  <c r="BG57" i="10"/>
  <c r="BF57" i="10"/>
  <c r="BE57" i="10"/>
  <c r="BD57" i="10"/>
  <c r="BC57" i="10"/>
  <c r="BB57" i="10"/>
  <c r="BA57" i="10"/>
  <c r="AZ57" i="10"/>
  <c r="AE57" i="10"/>
  <c r="AD57" i="10"/>
  <c r="AB57" i="10"/>
  <c r="AA57" i="10"/>
  <c r="Z57" i="10"/>
  <c r="X57" i="10"/>
  <c r="W57" i="10"/>
  <c r="Q57" i="10"/>
  <c r="P57" i="10"/>
  <c r="O57" i="10"/>
  <c r="N57" i="10"/>
  <c r="M57" i="10"/>
  <c r="L57" i="10"/>
  <c r="K57" i="10"/>
  <c r="B3" i="22" s="1"/>
  <c r="H57" i="10"/>
  <c r="G57" i="10"/>
  <c r="F57" i="10"/>
  <c r="E57" i="10"/>
  <c r="D57" i="10"/>
  <c r="C57" i="10"/>
  <c r="BU56" i="10"/>
  <c r="BT56" i="10"/>
  <c r="BM56" i="10"/>
  <c r="BL56" i="10"/>
  <c r="BK56" i="10"/>
  <c r="BJ56" i="10"/>
  <c r="BI56" i="10"/>
  <c r="BH56" i="10"/>
  <c r="BG56" i="10"/>
  <c r="BF56" i="10"/>
  <c r="BE56" i="10"/>
  <c r="BD56" i="10"/>
  <c r="BC56" i="10"/>
  <c r="BB56" i="10"/>
  <c r="BA56" i="10"/>
  <c r="AZ56" i="10"/>
  <c r="AE56" i="10"/>
  <c r="AD56" i="10"/>
  <c r="AB56" i="10"/>
  <c r="AA56" i="10"/>
  <c r="Z56" i="10"/>
  <c r="X56" i="10"/>
  <c r="W56" i="10"/>
  <c r="Q56" i="10"/>
  <c r="P56" i="10"/>
  <c r="O56" i="10"/>
  <c r="N56" i="10"/>
  <c r="M56" i="10"/>
  <c r="L56" i="10"/>
  <c r="K56" i="10"/>
  <c r="H56" i="10"/>
  <c r="G56" i="10"/>
  <c r="F56" i="10"/>
  <c r="E56" i="10"/>
  <c r="D56" i="10"/>
  <c r="C56" i="10"/>
  <c r="BU55" i="10"/>
  <c r="BT55" i="10"/>
  <c r="BM55" i="10"/>
  <c r="BL55" i="10"/>
  <c r="BK55" i="10"/>
  <c r="BJ55" i="10"/>
  <c r="BI55" i="10"/>
  <c r="BH55" i="10"/>
  <c r="BG55" i="10"/>
  <c r="BF55" i="10"/>
  <c r="BE55" i="10"/>
  <c r="BD55" i="10"/>
  <c r="BC55" i="10"/>
  <c r="BB55" i="10"/>
  <c r="BA55" i="10"/>
  <c r="AZ55" i="10"/>
  <c r="AE55" i="10"/>
  <c r="AD55" i="10"/>
  <c r="AB55" i="10"/>
  <c r="AA55" i="10"/>
  <c r="Z55" i="10"/>
  <c r="X55" i="10"/>
  <c r="W55" i="10"/>
  <c r="Q55" i="10"/>
  <c r="P55" i="10"/>
  <c r="O55" i="10"/>
  <c r="N55" i="10"/>
  <c r="M55" i="10"/>
  <c r="L55" i="10"/>
  <c r="K55" i="10"/>
  <c r="H55" i="10"/>
  <c r="G55" i="10"/>
  <c r="F55" i="10"/>
  <c r="E55" i="10"/>
  <c r="D55" i="10"/>
  <c r="C55" i="10"/>
  <c r="BU54" i="10"/>
  <c r="BT54" i="10"/>
  <c r="BM54" i="10"/>
  <c r="BL54" i="10"/>
  <c r="BK54" i="10"/>
  <c r="BJ54" i="10"/>
  <c r="BI54" i="10"/>
  <c r="BH54" i="10"/>
  <c r="BG54" i="10"/>
  <c r="BF54" i="10"/>
  <c r="BE54" i="10"/>
  <c r="BD54" i="10"/>
  <c r="BC54" i="10"/>
  <c r="BB54" i="10"/>
  <c r="BA54" i="10"/>
  <c r="AZ54" i="10"/>
  <c r="AE54" i="10"/>
  <c r="AD54" i="10"/>
  <c r="AB54" i="10"/>
  <c r="AA54" i="10"/>
  <c r="Z54" i="10"/>
  <c r="X54" i="10"/>
  <c r="W54" i="10"/>
  <c r="Q54" i="10"/>
  <c r="P54" i="10"/>
  <c r="O54" i="10"/>
  <c r="N54" i="10"/>
  <c r="M54" i="10"/>
  <c r="L54" i="10"/>
  <c r="K54" i="10"/>
  <c r="H54" i="10"/>
  <c r="G54" i="10"/>
  <c r="F54" i="10"/>
  <c r="E54" i="10"/>
  <c r="D54" i="10"/>
  <c r="C54" i="10"/>
  <c r="BU53" i="10"/>
  <c r="BT53" i="10"/>
  <c r="BM53" i="10"/>
  <c r="BL53" i="10"/>
  <c r="BK53" i="10"/>
  <c r="BJ53" i="10"/>
  <c r="BI53" i="10"/>
  <c r="BH53" i="10"/>
  <c r="BG53" i="10"/>
  <c r="BF53" i="10"/>
  <c r="BE53" i="10"/>
  <c r="BD53" i="10"/>
  <c r="BC53" i="10"/>
  <c r="BB53" i="10"/>
  <c r="BA53" i="10"/>
  <c r="AZ53" i="10"/>
  <c r="AE53" i="10"/>
  <c r="AD53" i="10"/>
  <c r="AB53" i="10"/>
  <c r="AA53" i="10"/>
  <c r="Z53" i="10"/>
  <c r="X53" i="10"/>
  <c r="W53" i="10"/>
  <c r="Q53" i="10"/>
  <c r="P53" i="10"/>
  <c r="O53" i="10"/>
  <c r="N53" i="10"/>
  <c r="M53" i="10"/>
  <c r="L53" i="10"/>
  <c r="K53" i="10"/>
  <c r="H53" i="10"/>
  <c r="G53" i="10"/>
  <c r="F53" i="10"/>
  <c r="E53" i="10"/>
  <c r="D53" i="10"/>
  <c r="C53" i="10"/>
  <c r="BU52" i="10"/>
  <c r="BT52" i="10"/>
  <c r="BM52" i="10"/>
  <c r="BL52" i="10"/>
  <c r="BK52" i="10"/>
  <c r="BJ52" i="10"/>
  <c r="BI52" i="10"/>
  <c r="BH52" i="10"/>
  <c r="BG52" i="10"/>
  <c r="BF52" i="10"/>
  <c r="BE52" i="10"/>
  <c r="BD52" i="10"/>
  <c r="BC52" i="10"/>
  <c r="BB52" i="10"/>
  <c r="BA52" i="10"/>
  <c r="AZ52" i="10"/>
  <c r="AE52" i="10"/>
  <c r="AD52" i="10"/>
  <c r="AB52" i="10"/>
  <c r="AA52" i="10"/>
  <c r="Z52" i="10"/>
  <c r="X52" i="10"/>
  <c r="W52" i="10"/>
  <c r="Q52" i="10"/>
  <c r="P52" i="10"/>
  <c r="O52" i="10"/>
  <c r="N52" i="10"/>
  <c r="M52" i="10"/>
  <c r="L52" i="10"/>
  <c r="K52" i="10"/>
  <c r="H52" i="10"/>
  <c r="G52" i="10"/>
  <c r="F52" i="10"/>
  <c r="E52" i="10"/>
  <c r="D52" i="10"/>
  <c r="C52" i="10"/>
  <c r="BU51" i="10"/>
  <c r="BT51" i="10"/>
  <c r="BM51" i="10"/>
  <c r="BL51" i="10"/>
  <c r="BK51" i="10"/>
  <c r="BJ51" i="10"/>
  <c r="BI51" i="10"/>
  <c r="BH51" i="10"/>
  <c r="BG51" i="10"/>
  <c r="BF51" i="10"/>
  <c r="BE51" i="10"/>
  <c r="BD51" i="10"/>
  <c r="BC51" i="10"/>
  <c r="BB51" i="10"/>
  <c r="BA51" i="10"/>
  <c r="AZ51" i="10"/>
  <c r="AE51" i="10"/>
  <c r="AD51" i="10"/>
  <c r="AB51" i="10"/>
  <c r="AA51" i="10"/>
  <c r="Z51" i="10"/>
  <c r="Q51" i="10"/>
  <c r="P51" i="10"/>
  <c r="O51" i="10"/>
  <c r="N51" i="10"/>
  <c r="M51" i="10"/>
  <c r="L51" i="10"/>
  <c r="K51" i="10"/>
  <c r="H51" i="10"/>
  <c r="G51" i="10"/>
  <c r="F51" i="10"/>
  <c r="E51" i="10"/>
  <c r="D51" i="10"/>
  <c r="C51" i="10"/>
  <c r="BU50" i="10"/>
  <c r="BT50" i="10"/>
  <c r="BM50" i="10"/>
  <c r="BL50" i="10"/>
  <c r="BK50" i="10"/>
  <c r="BJ50" i="10"/>
  <c r="BI50" i="10"/>
  <c r="BH50" i="10"/>
  <c r="BG50" i="10"/>
  <c r="BF50" i="10"/>
  <c r="BE50" i="10"/>
  <c r="BD50" i="10"/>
  <c r="BC50" i="10"/>
  <c r="BB50" i="10"/>
  <c r="BA50" i="10"/>
  <c r="AZ50" i="10"/>
  <c r="AE50" i="10"/>
  <c r="AD50" i="10"/>
  <c r="AB50" i="10"/>
  <c r="AA50" i="10"/>
  <c r="Z50" i="10"/>
  <c r="Q50" i="10"/>
  <c r="P50" i="10"/>
  <c r="O50" i="10"/>
  <c r="N50" i="10"/>
  <c r="M50" i="10"/>
  <c r="L50" i="10"/>
  <c r="K50" i="10"/>
  <c r="H50" i="10"/>
  <c r="G50" i="10"/>
  <c r="F50" i="10"/>
  <c r="E50" i="10"/>
  <c r="D50" i="10"/>
  <c r="C50" i="10"/>
  <c r="BU49" i="10"/>
  <c r="BT49" i="10"/>
  <c r="BM49" i="10"/>
  <c r="BL49" i="10"/>
  <c r="BK49" i="10"/>
  <c r="BJ49" i="10"/>
  <c r="BI49" i="10"/>
  <c r="BH49" i="10"/>
  <c r="BG49" i="10"/>
  <c r="BF49" i="10"/>
  <c r="BE49" i="10"/>
  <c r="BD49" i="10"/>
  <c r="BC49" i="10"/>
  <c r="BB49" i="10"/>
  <c r="BA49" i="10"/>
  <c r="AZ49" i="10"/>
  <c r="AE49" i="10"/>
  <c r="AD49" i="10"/>
  <c r="AC49" i="10"/>
  <c r="AB49" i="10"/>
  <c r="AA49" i="10"/>
  <c r="Z49" i="10"/>
  <c r="Q49" i="10"/>
  <c r="P49" i="10"/>
  <c r="O49" i="10"/>
  <c r="N49" i="10"/>
  <c r="M49" i="10"/>
  <c r="L49" i="10"/>
  <c r="K49" i="10"/>
  <c r="H49" i="10"/>
  <c r="G49" i="10"/>
  <c r="F49" i="10"/>
  <c r="E49" i="10"/>
  <c r="D49" i="10"/>
  <c r="AH49" i="10" s="1"/>
  <c r="AN49" i="10" s="1"/>
  <c r="C49" i="10"/>
  <c r="BU48" i="10"/>
  <c r="BT48" i="10"/>
  <c r="AX48" i="10"/>
  <c r="AW48" i="10"/>
  <c r="AV48" i="10"/>
  <c r="AU48" i="10"/>
  <c r="AT48" i="10"/>
  <c r="AS48" i="10"/>
  <c r="AR48" i="10"/>
  <c r="AQ48" i="10"/>
  <c r="AP48" i="10"/>
  <c r="AO48" i="10"/>
  <c r="AN48" i="10"/>
  <c r="AM48" i="10"/>
  <c r="AL48" i="10"/>
  <c r="AK48" i="10"/>
  <c r="AJ48" i="10"/>
  <c r="AI48" i="10"/>
  <c r="AH48" i="10"/>
  <c r="AG48" i="10"/>
  <c r="AF48" i="10"/>
  <c r="AE48" i="10"/>
  <c r="AD48" i="10"/>
  <c r="AC48" i="10"/>
  <c r="AB48" i="10"/>
  <c r="AA48" i="10"/>
  <c r="Z48" i="10"/>
  <c r="R48" i="10"/>
  <c r="Q48" i="10"/>
  <c r="P48" i="10"/>
  <c r="O48" i="10"/>
  <c r="N48" i="10"/>
  <c r="M48" i="10"/>
  <c r="L48" i="10"/>
  <c r="K48" i="10"/>
  <c r="H48" i="10"/>
  <c r="G48" i="10"/>
  <c r="F48" i="10"/>
  <c r="E48" i="10"/>
  <c r="D48" i="10"/>
  <c r="C48" i="10"/>
  <c r="BU47" i="10"/>
  <c r="BT47" i="10"/>
  <c r="BP47" i="10"/>
  <c r="AX47" i="10"/>
  <c r="AW47" i="10"/>
  <c r="AV47" i="10"/>
  <c r="AU47" i="10"/>
  <c r="AT47" i="10"/>
  <c r="AS47" i="10"/>
  <c r="AR47" i="10"/>
  <c r="AQ47" i="10"/>
  <c r="AP47" i="10"/>
  <c r="AO47" i="10"/>
  <c r="AN47" i="10"/>
  <c r="AM47" i="10"/>
  <c r="AL47" i="10"/>
  <c r="AK47" i="10"/>
  <c r="AJ47" i="10"/>
  <c r="AI47" i="10"/>
  <c r="AH47" i="10"/>
  <c r="AG47" i="10"/>
  <c r="AF47" i="10"/>
  <c r="AE47" i="10"/>
  <c r="AD47" i="10"/>
  <c r="AC47" i="10"/>
  <c r="AB47" i="10"/>
  <c r="AA47" i="10"/>
  <c r="Z47" i="10"/>
  <c r="R47" i="10"/>
  <c r="O47" i="10"/>
  <c r="N47" i="10"/>
  <c r="M47" i="10"/>
  <c r="L47" i="10"/>
  <c r="K47" i="10"/>
  <c r="G47" i="10"/>
  <c r="F47" i="10"/>
  <c r="E47" i="10"/>
  <c r="D47" i="10"/>
  <c r="C47" i="10"/>
  <c r="BU46" i="10"/>
  <c r="BT46" i="10"/>
  <c r="BP46" i="10"/>
  <c r="AX46" i="10"/>
  <c r="AW46" i="10"/>
  <c r="AV46" i="10"/>
  <c r="AU46" i="10"/>
  <c r="AT46" i="10"/>
  <c r="AS46" i="10"/>
  <c r="AR46" i="10"/>
  <c r="AQ46" i="10"/>
  <c r="AP46" i="10"/>
  <c r="AO46" i="10"/>
  <c r="AN46" i="10"/>
  <c r="AM46" i="10"/>
  <c r="AL46" i="10"/>
  <c r="AK46" i="10"/>
  <c r="AJ46" i="10"/>
  <c r="AI46" i="10"/>
  <c r="AH46" i="10"/>
  <c r="AG46" i="10"/>
  <c r="AF46" i="10"/>
  <c r="AE46" i="10"/>
  <c r="AD46" i="10"/>
  <c r="AC46" i="10"/>
  <c r="AA46" i="10"/>
  <c r="Z46" i="10"/>
  <c r="R46" i="10"/>
  <c r="O46" i="10"/>
  <c r="N46" i="10"/>
  <c r="M46" i="10"/>
  <c r="L46" i="10"/>
  <c r="K46" i="10"/>
  <c r="G46" i="10"/>
  <c r="F46" i="10"/>
  <c r="E46" i="10"/>
  <c r="D46" i="10"/>
  <c r="C46" i="10"/>
  <c r="BU45" i="10"/>
  <c r="BT45" i="10"/>
  <c r="BP45" i="10"/>
  <c r="AX45" i="10"/>
  <c r="AW45" i="10"/>
  <c r="AV45" i="10"/>
  <c r="AU45" i="10"/>
  <c r="AT45" i="10"/>
  <c r="AS45" i="10"/>
  <c r="AR45" i="10"/>
  <c r="AQ45" i="10"/>
  <c r="AP45" i="10"/>
  <c r="AO45" i="10"/>
  <c r="AN45" i="10"/>
  <c r="AM45" i="10"/>
  <c r="AL45" i="10"/>
  <c r="AK45" i="10"/>
  <c r="AJ45" i="10"/>
  <c r="AI45" i="10"/>
  <c r="AH45" i="10"/>
  <c r="AG45" i="10"/>
  <c r="AF45" i="10"/>
  <c r="AE45" i="10"/>
  <c r="AD45" i="10"/>
  <c r="AC45" i="10"/>
  <c r="AB45" i="10"/>
  <c r="AA45" i="10"/>
  <c r="Z45" i="10"/>
  <c r="R45" i="10"/>
  <c r="O45" i="10"/>
  <c r="N45" i="10"/>
  <c r="M45" i="10"/>
  <c r="L45" i="10"/>
  <c r="K45" i="10"/>
  <c r="G45" i="10"/>
  <c r="F45" i="10"/>
  <c r="E45" i="10"/>
  <c r="D45" i="10"/>
  <c r="C45" i="10"/>
  <c r="BU44" i="10"/>
  <c r="BT44" i="10"/>
  <c r="BP44" i="10"/>
  <c r="AX44" i="10"/>
  <c r="AW44" i="10"/>
  <c r="AV44" i="10"/>
  <c r="AU44" i="10"/>
  <c r="AT44" i="10"/>
  <c r="AS44" i="10"/>
  <c r="AR44" i="10"/>
  <c r="AQ44" i="10"/>
  <c r="AP44" i="10"/>
  <c r="AO44" i="10"/>
  <c r="AN44" i="10"/>
  <c r="AM44" i="10"/>
  <c r="AL44" i="10"/>
  <c r="AK44" i="10"/>
  <c r="AJ44" i="10"/>
  <c r="AI44" i="10"/>
  <c r="AH44" i="10"/>
  <c r="AG44" i="10"/>
  <c r="AF44" i="10"/>
  <c r="AE44" i="10"/>
  <c r="AD44" i="10"/>
  <c r="AC44" i="10"/>
  <c r="AB44" i="10"/>
  <c r="AA44" i="10"/>
  <c r="Z44" i="10"/>
  <c r="R44" i="10"/>
  <c r="O44" i="10"/>
  <c r="N44" i="10"/>
  <c r="M44" i="10"/>
  <c r="L44" i="10"/>
  <c r="K44" i="10"/>
  <c r="G44" i="10"/>
  <c r="F44" i="10"/>
  <c r="E44" i="10"/>
  <c r="D44" i="10"/>
  <c r="C44" i="10"/>
  <c r="BU43" i="10"/>
  <c r="BT43" i="10"/>
  <c r="BP43" i="10"/>
  <c r="AX43" i="10"/>
  <c r="AW43" i="10"/>
  <c r="AV43" i="10"/>
  <c r="AU43" i="10"/>
  <c r="AT43" i="10"/>
  <c r="AS43" i="10"/>
  <c r="AR43" i="10"/>
  <c r="AQ43" i="10"/>
  <c r="AP43" i="10"/>
  <c r="AO43" i="10"/>
  <c r="AN43" i="10"/>
  <c r="AM43" i="10"/>
  <c r="AL43" i="10"/>
  <c r="AK43" i="10"/>
  <c r="AJ43" i="10"/>
  <c r="AI43" i="10"/>
  <c r="AH43" i="10"/>
  <c r="AG43" i="10"/>
  <c r="AF43" i="10"/>
  <c r="AE43" i="10"/>
  <c r="AD43" i="10"/>
  <c r="AC43" i="10"/>
  <c r="AA43" i="10"/>
  <c r="Z43" i="10"/>
  <c r="R43" i="10"/>
  <c r="O43" i="10"/>
  <c r="N43" i="10"/>
  <c r="M43" i="10"/>
  <c r="L43" i="10"/>
  <c r="K43" i="10"/>
  <c r="G43" i="10"/>
  <c r="F43" i="10"/>
  <c r="E43" i="10"/>
  <c r="D43" i="10"/>
  <c r="C43" i="10"/>
  <c r="BU42" i="10"/>
  <c r="BT42" i="10"/>
  <c r="BP42" i="10"/>
  <c r="AX42" i="10"/>
  <c r="AW42" i="10"/>
  <c r="AV42" i="10"/>
  <c r="AU42" i="10"/>
  <c r="AT42" i="10"/>
  <c r="AS42" i="10"/>
  <c r="AR42" i="10"/>
  <c r="AQ42" i="10"/>
  <c r="AP42" i="10"/>
  <c r="AO42" i="10"/>
  <c r="AN42" i="10"/>
  <c r="AM42" i="10"/>
  <c r="AL42" i="10"/>
  <c r="AK42" i="10"/>
  <c r="AJ42" i="10"/>
  <c r="AI42" i="10"/>
  <c r="AH42" i="10"/>
  <c r="AG42" i="10"/>
  <c r="AF42" i="10"/>
  <c r="AE42" i="10"/>
  <c r="AD42" i="10"/>
  <c r="AC42" i="10"/>
  <c r="AA42" i="10"/>
  <c r="Z42" i="10"/>
  <c r="R42" i="10"/>
  <c r="O42" i="10"/>
  <c r="N42" i="10"/>
  <c r="M42" i="10"/>
  <c r="L42" i="10"/>
  <c r="K42" i="10"/>
  <c r="G42" i="10"/>
  <c r="F42" i="10"/>
  <c r="E42" i="10"/>
  <c r="D42" i="10"/>
  <c r="C42" i="10"/>
  <c r="BU41" i="10"/>
  <c r="BT41" i="10"/>
  <c r="BP41" i="10"/>
  <c r="AX41" i="10"/>
  <c r="AW41" i="10"/>
  <c r="AV41" i="10"/>
  <c r="AU41" i="10"/>
  <c r="AT41" i="10"/>
  <c r="AS41" i="10"/>
  <c r="AR41" i="10"/>
  <c r="AQ41" i="10"/>
  <c r="AP41" i="10"/>
  <c r="AO41" i="10"/>
  <c r="AN41" i="10"/>
  <c r="AM41" i="10"/>
  <c r="AL41" i="10"/>
  <c r="AK41" i="10"/>
  <c r="AJ41" i="10"/>
  <c r="AI41" i="10"/>
  <c r="AH41" i="10"/>
  <c r="AG41" i="10"/>
  <c r="AF41" i="10"/>
  <c r="AE41" i="10"/>
  <c r="AD41" i="10"/>
  <c r="AC41" i="10"/>
  <c r="AB41" i="10"/>
  <c r="AA41" i="10"/>
  <c r="Z41" i="10"/>
  <c r="R41" i="10"/>
  <c r="O41" i="10"/>
  <c r="N41" i="10"/>
  <c r="M41" i="10"/>
  <c r="L41" i="10"/>
  <c r="K41" i="10"/>
  <c r="G41" i="10"/>
  <c r="F41" i="10"/>
  <c r="E41" i="10"/>
  <c r="D41" i="10"/>
  <c r="C41" i="10"/>
  <c r="BU40" i="10"/>
  <c r="BT40" i="10"/>
  <c r="BP40" i="10"/>
  <c r="AX40" i="10"/>
  <c r="AW40" i="10"/>
  <c r="AV40" i="10"/>
  <c r="AU40" i="10"/>
  <c r="AT40" i="10"/>
  <c r="AS40" i="10"/>
  <c r="AR40" i="10"/>
  <c r="AQ40" i="10"/>
  <c r="AP40" i="10"/>
  <c r="AO40" i="10"/>
  <c r="AN40" i="10"/>
  <c r="AM40" i="10"/>
  <c r="AL40" i="10"/>
  <c r="AK40" i="10"/>
  <c r="AJ40" i="10"/>
  <c r="AI40" i="10"/>
  <c r="AH40" i="10"/>
  <c r="AG40" i="10"/>
  <c r="AF40" i="10"/>
  <c r="AE40" i="10"/>
  <c r="AD40" i="10"/>
  <c r="AC40" i="10"/>
  <c r="AB40" i="10"/>
  <c r="AA40" i="10"/>
  <c r="Z40" i="10"/>
  <c r="R40" i="10"/>
  <c r="O40" i="10"/>
  <c r="N40" i="10"/>
  <c r="M40" i="10"/>
  <c r="L40" i="10"/>
  <c r="K40" i="10"/>
  <c r="G40" i="10"/>
  <c r="F40" i="10"/>
  <c r="E40" i="10"/>
  <c r="D40" i="10"/>
  <c r="C40" i="10"/>
  <c r="BU39" i="10"/>
  <c r="BT39" i="10"/>
  <c r="BP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R39" i="10"/>
  <c r="O39" i="10"/>
  <c r="N39" i="10"/>
  <c r="M39" i="10"/>
  <c r="L39" i="10"/>
  <c r="K39" i="10"/>
  <c r="G39" i="10"/>
  <c r="F39" i="10"/>
  <c r="E39" i="10"/>
  <c r="D39" i="10"/>
  <c r="C39" i="10"/>
  <c r="BU38" i="10"/>
  <c r="BT38" i="10"/>
  <c r="BP38" i="10"/>
  <c r="AX38" i="10"/>
  <c r="AW38" i="10"/>
  <c r="AV38" i="10"/>
  <c r="AU38" i="10"/>
  <c r="AT38" i="10"/>
  <c r="AS38" i="10"/>
  <c r="AR38" i="10"/>
  <c r="AQ38" i="10"/>
  <c r="AP38" i="10"/>
  <c r="AO38" i="10"/>
  <c r="AN38" i="10"/>
  <c r="AM38" i="10"/>
  <c r="AL38" i="10"/>
  <c r="AK38" i="10"/>
  <c r="AJ38" i="10"/>
  <c r="AI38" i="10"/>
  <c r="AH38" i="10"/>
  <c r="AG38" i="10"/>
  <c r="AF38" i="10"/>
  <c r="AE38" i="10"/>
  <c r="AD38" i="10"/>
  <c r="AC38" i="10"/>
  <c r="AA38" i="10"/>
  <c r="Z38" i="10"/>
  <c r="R38" i="10"/>
  <c r="O38" i="10"/>
  <c r="N38" i="10"/>
  <c r="M38" i="10"/>
  <c r="L38" i="10"/>
  <c r="K38" i="10"/>
  <c r="G38" i="10"/>
  <c r="F38" i="10"/>
  <c r="E38" i="10"/>
  <c r="D38" i="10"/>
  <c r="C38" i="10"/>
  <c r="BU37" i="10"/>
  <c r="BT37" i="10"/>
  <c r="BP37" i="10"/>
  <c r="AX37" i="10"/>
  <c r="AW37" i="10"/>
  <c r="AV37" i="10"/>
  <c r="AU37" i="10"/>
  <c r="AT37" i="10"/>
  <c r="AS37" i="10"/>
  <c r="AR37" i="10"/>
  <c r="AQ37" i="10"/>
  <c r="AP37" i="10"/>
  <c r="AO37" i="10"/>
  <c r="AN37" i="10"/>
  <c r="AM37" i="10"/>
  <c r="AL37" i="10"/>
  <c r="AK37" i="10"/>
  <c r="AJ37" i="10"/>
  <c r="AI37" i="10"/>
  <c r="AH37" i="10"/>
  <c r="AG37" i="10"/>
  <c r="AF37" i="10"/>
  <c r="AE37" i="10"/>
  <c r="AD37" i="10"/>
  <c r="AC37" i="10"/>
  <c r="AA37" i="10"/>
  <c r="Z37" i="10"/>
  <c r="R37" i="10"/>
  <c r="O37" i="10"/>
  <c r="N37" i="10"/>
  <c r="M37" i="10"/>
  <c r="L37" i="10"/>
  <c r="K37" i="10"/>
  <c r="G37" i="10"/>
  <c r="F37" i="10"/>
  <c r="E37" i="10"/>
  <c r="D37" i="10"/>
  <c r="C37" i="10"/>
  <c r="BU36" i="10"/>
  <c r="BT36" i="10"/>
  <c r="BP36" i="10"/>
  <c r="AX36" i="10"/>
  <c r="AW36" i="10"/>
  <c r="AV36" i="10"/>
  <c r="AU36" i="10"/>
  <c r="AT36" i="10"/>
  <c r="AS36" i="10"/>
  <c r="AR36" i="10"/>
  <c r="AQ36" i="10"/>
  <c r="AP36" i="10"/>
  <c r="AO36" i="10"/>
  <c r="AN36" i="10"/>
  <c r="AM36" i="10"/>
  <c r="AL36" i="10"/>
  <c r="AK36" i="10"/>
  <c r="AJ36" i="10"/>
  <c r="AI36" i="10"/>
  <c r="AH36" i="10"/>
  <c r="AG36" i="10"/>
  <c r="AF36" i="10"/>
  <c r="AE36" i="10"/>
  <c r="AD36" i="10"/>
  <c r="AC36" i="10"/>
  <c r="AB36" i="10"/>
  <c r="AA36" i="10"/>
  <c r="Z36" i="10"/>
  <c r="R36" i="10"/>
  <c r="O36" i="10"/>
  <c r="N36" i="10"/>
  <c r="M36" i="10"/>
  <c r="L36" i="10"/>
  <c r="K36" i="10"/>
  <c r="G36" i="10"/>
  <c r="F36" i="10"/>
  <c r="E36" i="10"/>
  <c r="D36" i="10"/>
  <c r="C36" i="10"/>
  <c r="BU35" i="10"/>
  <c r="BT35" i="10"/>
  <c r="BP35" i="10"/>
  <c r="AX35" i="10"/>
  <c r="AW35" i="10"/>
  <c r="AV35" i="10"/>
  <c r="AU35" i="10"/>
  <c r="AT35" i="10"/>
  <c r="AS35" i="10"/>
  <c r="AR35" i="10"/>
  <c r="AQ35" i="10"/>
  <c r="AP35" i="10"/>
  <c r="AO35" i="10"/>
  <c r="AN35" i="10"/>
  <c r="AM35" i="10"/>
  <c r="AL35" i="10"/>
  <c r="AK35" i="10"/>
  <c r="AJ35" i="10"/>
  <c r="AI35" i="10"/>
  <c r="AH35" i="10"/>
  <c r="AG35" i="10"/>
  <c r="AF35" i="10"/>
  <c r="AE35" i="10"/>
  <c r="AD35" i="10"/>
  <c r="AC35" i="10"/>
  <c r="AA35" i="10"/>
  <c r="Z35" i="10"/>
  <c r="R35" i="10"/>
  <c r="O35" i="10"/>
  <c r="N35" i="10"/>
  <c r="M35" i="10"/>
  <c r="L35" i="10"/>
  <c r="K35" i="10"/>
  <c r="G35" i="10"/>
  <c r="F35" i="10"/>
  <c r="E35" i="10"/>
  <c r="D35" i="10"/>
  <c r="C35" i="10"/>
  <c r="BU34" i="10"/>
  <c r="BT34" i="10"/>
  <c r="BP34" i="10"/>
  <c r="AX34" i="10"/>
  <c r="AW34" i="10"/>
  <c r="AV34" i="10"/>
  <c r="AU34" i="10"/>
  <c r="AT34" i="10"/>
  <c r="AS34" i="10"/>
  <c r="AR34" i="10"/>
  <c r="AQ34" i="10"/>
  <c r="AP34" i="10"/>
  <c r="AO34" i="10"/>
  <c r="AN34" i="10"/>
  <c r="AM34" i="10"/>
  <c r="AL34" i="10"/>
  <c r="AK34" i="10"/>
  <c r="AJ34" i="10"/>
  <c r="AI34" i="10"/>
  <c r="AH34" i="10"/>
  <c r="AG34" i="10"/>
  <c r="AF34" i="10"/>
  <c r="AE34" i="10"/>
  <c r="AD34" i="10"/>
  <c r="AC34" i="10"/>
  <c r="AA34" i="10"/>
  <c r="Z34" i="10"/>
  <c r="R34" i="10"/>
  <c r="O34" i="10"/>
  <c r="N34" i="10"/>
  <c r="M34" i="10"/>
  <c r="L34" i="10"/>
  <c r="K34" i="10"/>
  <c r="G34" i="10"/>
  <c r="F34" i="10"/>
  <c r="E34" i="10"/>
  <c r="D34" i="10"/>
  <c r="C34" i="10"/>
  <c r="BU33" i="10"/>
  <c r="BT33" i="10"/>
  <c r="BP33" i="10"/>
  <c r="AX33" i="10"/>
  <c r="AW33" i="10"/>
  <c r="AV33" i="10"/>
  <c r="AU33" i="10"/>
  <c r="AT33" i="10"/>
  <c r="AS33" i="10"/>
  <c r="AR33" i="10"/>
  <c r="AQ33" i="10"/>
  <c r="AP33" i="10"/>
  <c r="AO33" i="10"/>
  <c r="AN33" i="10"/>
  <c r="AM33" i="10"/>
  <c r="AL33" i="10"/>
  <c r="AK33" i="10"/>
  <c r="AJ33" i="10"/>
  <c r="AI33" i="10"/>
  <c r="AH33" i="10"/>
  <c r="AG33" i="10"/>
  <c r="AF33" i="10"/>
  <c r="AE33" i="10"/>
  <c r="AD33" i="10"/>
  <c r="AC33" i="10"/>
  <c r="AA33" i="10"/>
  <c r="Z33" i="10"/>
  <c r="R33" i="10"/>
  <c r="O33" i="10"/>
  <c r="N33" i="10"/>
  <c r="M33" i="10"/>
  <c r="L33" i="10"/>
  <c r="K33" i="10"/>
  <c r="G33" i="10"/>
  <c r="F33" i="10"/>
  <c r="E33" i="10"/>
  <c r="D33" i="10"/>
  <c r="C33" i="10"/>
  <c r="BU32" i="10"/>
  <c r="BT32" i="10"/>
  <c r="BP32" i="10"/>
  <c r="AX32" i="10"/>
  <c r="AW32" i="10"/>
  <c r="AV32" i="10"/>
  <c r="AU32" i="10"/>
  <c r="AT32" i="10"/>
  <c r="AS32" i="10"/>
  <c r="AR32" i="10"/>
  <c r="AQ32" i="10"/>
  <c r="AP32" i="10"/>
  <c r="AO32" i="10"/>
  <c r="AN32" i="10"/>
  <c r="AM32" i="10"/>
  <c r="AL32" i="10"/>
  <c r="AK32" i="10"/>
  <c r="AJ32" i="10"/>
  <c r="AI32" i="10"/>
  <c r="AH32" i="10"/>
  <c r="AG32" i="10"/>
  <c r="AF32" i="10"/>
  <c r="AE32" i="10"/>
  <c r="AD32" i="10"/>
  <c r="AC32" i="10"/>
  <c r="AB32" i="10"/>
  <c r="AA32" i="10"/>
  <c r="Z32" i="10"/>
  <c r="R32" i="10"/>
  <c r="O32" i="10"/>
  <c r="N32" i="10"/>
  <c r="M32" i="10"/>
  <c r="L32" i="10"/>
  <c r="K32" i="10"/>
  <c r="G32" i="10"/>
  <c r="F32" i="10"/>
  <c r="E32" i="10"/>
  <c r="D32" i="10"/>
  <c r="C32" i="10"/>
  <c r="BU31" i="10"/>
  <c r="BT31" i="10"/>
  <c r="BP31" i="10"/>
  <c r="AX31" i="10"/>
  <c r="AW31" i="10"/>
  <c r="AV31" i="10"/>
  <c r="AU31" i="10"/>
  <c r="AT31" i="10"/>
  <c r="AS31" i="10"/>
  <c r="AR31" i="10"/>
  <c r="AQ31" i="10"/>
  <c r="AP31" i="10"/>
  <c r="AO31" i="10"/>
  <c r="AN31" i="10"/>
  <c r="AM31" i="10"/>
  <c r="AL31" i="10"/>
  <c r="AK31" i="10"/>
  <c r="AJ31" i="10"/>
  <c r="AI31" i="10"/>
  <c r="AH31" i="10"/>
  <c r="AG31" i="10"/>
  <c r="AF31" i="10"/>
  <c r="AE31" i="10"/>
  <c r="AD31" i="10"/>
  <c r="AC31" i="10"/>
  <c r="AB31" i="10"/>
  <c r="AA31" i="10"/>
  <c r="Z31" i="10"/>
  <c r="R31" i="10"/>
  <c r="O31" i="10"/>
  <c r="N31" i="10"/>
  <c r="M31" i="10"/>
  <c r="L31" i="10"/>
  <c r="K31" i="10"/>
  <c r="G31" i="10"/>
  <c r="F31" i="10"/>
  <c r="E31" i="10"/>
  <c r="D31" i="10"/>
  <c r="C31" i="10"/>
  <c r="BU30" i="10"/>
  <c r="BT30" i="10"/>
  <c r="BP30" i="10"/>
  <c r="AX30" i="10"/>
  <c r="AW30" i="10"/>
  <c r="AV30" i="10"/>
  <c r="AU30" i="10"/>
  <c r="AT30" i="10"/>
  <c r="AS30" i="10"/>
  <c r="AR30" i="10"/>
  <c r="AQ30" i="10"/>
  <c r="AP30" i="10"/>
  <c r="AO30" i="10"/>
  <c r="AN30" i="10"/>
  <c r="AM30" i="10"/>
  <c r="AL30" i="10"/>
  <c r="AK30" i="10"/>
  <c r="AJ30" i="10"/>
  <c r="AI30" i="10"/>
  <c r="AH30" i="10"/>
  <c r="AG30" i="10"/>
  <c r="AF30" i="10"/>
  <c r="AE30" i="10"/>
  <c r="AD30" i="10"/>
  <c r="AC30" i="10"/>
  <c r="AB30" i="10"/>
  <c r="AA30" i="10"/>
  <c r="Z30" i="10"/>
  <c r="R30" i="10"/>
  <c r="O30" i="10"/>
  <c r="N30" i="10"/>
  <c r="M30" i="10"/>
  <c r="L30" i="10"/>
  <c r="K30" i="10"/>
  <c r="G30" i="10"/>
  <c r="F30" i="10"/>
  <c r="E30" i="10"/>
  <c r="D30" i="10"/>
  <c r="C30" i="10"/>
  <c r="BU29" i="10"/>
  <c r="BT29" i="10"/>
  <c r="BP29" i="10"/>
  <c r="AX29" i="10"/>
  <c r="AW29" i="10"/>
  <c r="AV29" i="10"/>
  <c r="AU29" i="10"/>
  <c r="AT29" i="10"/>
  <c r="AS29" i="10"/>
  <c r="AR29" i="10"/>
  <c r="AQ29" i="10"/>
  <c r="AP29" i="10"/>
  <c r="AO29" i="10"/>
  <c r="AN29" i="10"/>
  <c r="AM29" i="10"/>
  <c r="AL29" i="10"/>
  <c r="AK29" i="10"/>
  <c r="AJ29" i="10"/>
  <c r="AI29" i="10"/>
  <c r="AH29" i="10"/>
  <c r="AG29" i="10"/>
  <c r="AF29" i="10"/>
  <c r="AE29" i="10"/>
  <c r="AD29" i="10"/>
  <c r="AC29" i="10"/>
  <c r="AB29" i="10"/>
  <c r="AA29" i="10"/>
  <c r="Z29" i="10"/>
  <c r="R29" i="10"/>
  <c r="O29" i="10"/>
  <c r="N29" i="10"/>
  <c r="M29" i="10"/>
  <c r="L29" i="10"/>
  <c r="K29" i="10"/>
  <c r="G29" i="10"/>
  <c r="F29" i="10"/>
  <c r="E29" i="10"/>
  <c r="D29" i="10"/>
  <c r="C29" i="10"/>
  <c r="BU28" i="10"/>
  <c r="BT28" i="10"/>
  <c r="BP28" i="10"/>
  <c r="AX28" i="10"/>
  <c r="AW28" i="10"/>
  <c r="AV28" i="10"/>
  <c r="AU28" i="10"/>
  <c r="AT28" i="10"/>
  <c r="AS28" i="10"/>
  <c r="AR28" i="10"/>
  <c r="AQ28" i="10"/>
  <c r="AP28" i="10"/>
  <c r="AO28" i="10"/>
  <c r="AN28" i="10"/>
  <c r="AM28" i="10"/>
  <c r="AL28" i="10"/>
  <c r="AK28" i="10"/>
  <c r="AJ28" i="10"/>
  <c r="AI28" i="10"/>
  <c r="AH28" i="10"/>
  <c r="AG28" i="10"/>
  <c r="AF28" i="10"/>
  <c r="AE28" i="10"/>
  <c r="AD28" i="10"/>
  <c r="AC28" i="10"/>
  <c r="AB28" i="10"/>
  <c r="AA28" i="10"/>
  <c r="Z28" i="10"/>
  <c r="R28" i="10"/>
  <c r="O28" i="10"/>
  <c r="N28" i="10"/>
  <c r="M28" i="10"/>
  <c r="L28" i="10"/>
  <c r="K28" i="10"/>
  <c r="G28" i="10"/>
  <c r="F28" i="10"/>
  <c r="E28" i="10"/>
  <c r="D28" i="10"/>
  <c r="C28" i="10"/>
  <c r="BU27" i="10"/>
  <c r="BT27" i="10"/>
  <c r="BP27" i="10"/>
  <c r="AX27" i="10"/>
  <c r="AW27" i="10"/>
  <c r="AV27" i="10"/>
  <c r="AU27" i="10"/>
  <c r="AT27" i="10"/>
  <c r="AS27" i="10"/>
  <c r="AR27" i="10"/>
  <c r="AQ27" i="10"/>
  <c r="AP27" i="10"/>
  <c r="AO27" i="10"/>
  <c r="AN27" i="10"/>
  <c r="AM27" i="10"/>
  <c r="AL27" i="10"/>
  <c r="AK27" i="10"/>
  <c r="AJ27" i="10"/>
  <c r="AI27" i="10"/>
  <c r="AH27" i="10"/>
  <c r="AG27" i="10"/>
  <c r="AF27" i="10"/>
  <c r="AE27" i="10"/>
  <c r="AD27" i="10"/>
  <c r="AC27" i="10"/>
  <c r="AB27" i="10"/>
  <c r="AA27" i="10"/>
  <c r="Z27" i="10"/>
  <c r="R27" i="10"/>
  <c r="O27" i="10"/>
  <c r="N27" i="10"/>
  <c r="M27" i="10"/>
  <c r="L27" i="10"/>
  <c r="K27" i="10"/>
  <c r="G27" i="10"/>
  <c r="F27" i="10"/>
  <c r="E27" i="10"/>
  <c r="D27" i="10"/>
  <c r="C27" i="10"/>
  <c r="BU26" i="10"/>
  <c r="BT26" i="10"/>
  <c r="BP26" i="10"/>
  <c r="AX26" i="10"/>
  <c r="AW26" i="10"/>
  <c r="AV26" i="10"/>
  <c r="AU26" i="10"/>
  <c r="AT26" i="10"/>
  <c r="AS26" i="10"/>
  <c r="AR26" i="10"/>
  <c r="AQ26" i="10"/>
  <c r="AP26" i="10"/>
  <c r="AO26" i="10"/>
  <c r="AN26" i="10"/>
  <c r="AM26" i="10"/>
  <c r="AL26" i="10"/>
  <c r="AK26" i="10"/>
  <c r="AJ26" i="10"/>
  <c r="AI26" i="10"/>
  <c r="AH26" i="10"/>
  <c r="AG26" i="10"/>
  <c r="AF26" i="10"/>
  <c r="AE26" i="10"/>
  <c r="AD26" i="10"/>
  <c r="AC26" i="10"/>
  <c r="AB26" i="10"/>
  <c r="AA26" i="10"/>
  <c r="Z26" i="10"/>
  <c r="R26" i="10"/>
  <c r="O26" i="10"/>
  <c r="N26" i="10"/>
  <c r="M26" i="10"/>
  <c r="L26" i="10"/>
  <c r="K26" i="10"/>
  <c r="G26" i="10"/>
  <c r="F26" i="10"/>
  <c r="E26" i="10"/>
  <c r="D26" i="10"/>
  <c r="C26" i="10"/>
  <c r="BU25" i="10"/>
  <c r="BT25" i="10"/>
  <c r="BP25" i="10"/>
  <c r="AX25"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R25" i="10"/>
  <c r="O25" i="10"/>
  <c r="N25" i="10"/>
  <c r="M25" i="10"/>
  <c r="L25" i="10"/>
  <c r="K25" i="10"/>
  <c r="G25" i="10"/>
  <c r="F25" i="10"/>
  <c r="E25" i="10"/>
  <c r="D25" i="10"/>
  <c r="C25" i="10"/>
  <c r="BU24" i="10"/>
  <c r="BT24" i="10"/>
  <c r="BP24" i="10"/>
  <c r="AX24"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Z24" i="10"/>
  <c r="R24" i="10"/>
  <c r="O24" i="10"/>
  <c r="N24" i="10"/>
  <c r="M24" i="10"/>
  <c r="L24" i="10"/>
  <c r="K24" i="10"/>
  <c r="G24" i="10"/>
  <c r="F24" i="10"/>
  <c r="E24" i="10"/>
  <c r="D24" i="10"/>
  <c r="C24" i="10"/>
  <c r="BU23" i="10"/>
  <c r="BT23" i="10"/>
  <c r="BP23" i="10"/>
  <c r="AX23" i="10"/>
  <c r="AW23" i="10"/>
  <c r="AV23" i="10"/>
  <c r="AU23" i="10"/>
  <c r="AT23" i="10"/>
  <c r="AS23" i="10"/>
  <c r="AR23" i="10"/>
  <c r="AQ23" i="10"/>
  <c r="AP23" i="10"/>
  <c r="AO23" i="10"/>
  <c r="AN23" i="10"/>
  <c r="AM23" i="10"/>
  <c r="AL23" i="10"/>
  <c r="AK23" i="10"/>
  <c r="AJ23" i="10"/>
  <c r="AI23" i="10"/>
  <c r="AH23" i="10"/>
  <c r="AG23" i="10"/>
  <c r="AF23" i="10"/>
  <c r="AE23" i="10"/>
  <c r="AD23" i="10"/>
  <c r="AC23" i="10"/>
  <c r="AB23" i="10"/>
  <c r="AA23" i="10"/>
  <c r="Z23" i="10"/>
  <c r="R23" i="10"/>
  <c r="O23" i="10"/>
  <c r="N23" i="10"/>
  <c r="M23" i="10"/>
  <c r="L23" i="10"/>
  <c r="K23" i="10"/>
  <c r="G23" i="10"/>
  <c r="F23" i="10"/>
  <c r="E23" i="10"/>
  <c r="D23" i="10"/>
  <c r="C23" i="10"/>
  <c r="BU22" i="10"/>
  <c r="BT22" i="10"/>
  <c r="BP22" i="10"/>
  <c r="AX22" i="10"/>
  <c r="AW22" i="10"/>
  <c r="AV22" i="10"/>
  <c r="AU22" i="10"/>
  <c r="AT22" i="10"/>
  <c r="AS22" i="10"/>
  <c r="AR22" i="10"/>
  <c r="AQ22" i="10"/>
  <c r="AP22" i="10"/>
  <c r="AO22" i="10"/>
  <c r="AN22" i="10"/>
  <c r="AM22" i="10"/>
  <c r="AL22" i="10"/>
  <c r="AK22" i="10"/>
  <c r="AJ22" i="10"/>
  <c r="AI22" i="10"/>
  <c r="AH22" i="10"/>
  <c r="AG22" i="10"/>
  <c r="AF22" i="10"/>
  <c r="AE22" i="10"/>
  <c r="AD22" i="10"/>
  <c r="AC22" i="10"/>
  <c r="AB22" i="10"/>
  <c r="AA22" i="10"/>
  <c r="Z22" i="10"/>
  <c r="R22" i="10"/>
  <c r="O22" i="10"/>
  <c r="N22" i="10"/>
  <c r="M22" i="10"/>
  <c r="L22" i="10"/>
  <c r="K22" i="10"/>
  <c r="G22" i="10"/>
  <c r="F22" i="10"/>
  <c r="E22" i="10"/>
  <c r="D22" i="10"/>
  <c r="C22" i="10"/>
  <c r="BU21" i="10"/>
  <c r="BT21" i="10"/>
  <c r="BP21" i="10"/>
  <c r="AX21" i="10"/>
  <c r="AW21" i="10"/>
  <c r="AV21" i="10"/>
  <c r="AU21" i="10"/>
  <c r="AT21" i="10"/>
  <c r="AS21" i="10"/>
  <c r="AR21" i="10"/>
  <c r="AQ21" i="10"/>
  <c r="AP21" i="10"/>
  <c r="AO21" i="10"/>
  <c r="AN21" i="10"/>
  <c r="AM21" i="10"/>
  <c r="AL21" i="10"/>
  <c r="AK21" i="10"/>
  <c r="AJ21" i="10"/>
  <c r="AI21" i="10"/>
  <c r="AH21" i="10"/>
  <c r="AG21" i="10"/>
  <c r="AF21" i="10"/>
  <c r="AE21" i="10"/>
  <c r="AD21" i="10"/>
  <c r="AC21" i="10"/>
  <c r="AB21" i="10"/>
  <c r="AA21" i="10"/>
  <c r="Z21" i="10"/>
  <c r="R21" i="10"/>
  <c r="O21" i="10"/>
  <c r="N21" i="10"/>
  <c r="M21" i="10"/>
  <c r="L21" i="10"/>
  <c r="K21" i="10"/>
  <c r="G21" i="10"/>
  <c r="F21" i="10"/>
  <c r="E21" i="10"/>
  <c r="D21" i="10"/>
  <c r="C21" i="10"/>
  <c r="BP20" i="10"/>
  <c r="AX20"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R20" i="10"/>
  <c r="O20" i="10"/>
  <c r="N20" i="10"/>
  <c r="M20" i="10"/>
  <c r="L20" i="10"/>
  <c r="K20" i="10"/>
  <c r="G20" i="10"/>
  <c r="F20" i="10"/>
  <c r="E20" i="10"/>
  <c r="D20" i="10"/>
  <c r="C20" i="10"/>
  <c r="BP19" i="10"/>
  <c r="AX19" i="10"/>
  <c r="AW19" i="10"/>
  <c r="AV19" i="10"/>
  <c r="AU19" i="10"/>
  <c r="AT19" i="10"/>
  <c r="AS19" i="10"/>
  <c r="AR19" i="10"/>
  <c r="AQ19" i="10"/>
  <c r="AP19" i="10"/>
  <c r="AO19" i="10"/>
  <c r="AN19" i="10"/>
  <c r="AM19" i="10"/>
  <c r="AL19" i="10"/>
  <c r="AK19" i="10"/>
  <c r="AJ19" i="10"/>
  <c r="AI19" i="10"/>
  <c r="AH19" i="10"/>
  <c r="AG19" i="10"/>
  <c r="AF19" i="10"/>
  <c r="AE19" i="10"/>
  <c r="AD19" i="10"/>
  <c r="AC19" i="10"/>
  <c r="AB19" i="10"/>
  <c r="AA19" i="10"/>
  <c r="Z19" i="10"/>
  <c r="R19" i="10"/>
  <c r="O19" i="10"/>
  <c r="N19" i="10"/>
  <c r="M19" i="10"/>
  <c r="L19" i="10"/>
  <c r="K19" i="10"/>
  <c r="G19" i="10"/>
  <c r="F19" i="10"/>
  <c r="E19" i="10"/>
  <c r="D19" i="10"/>
  <c r="C19" i="10"/>
  <c r="BP18" i="10"/>
  <c r="AX18"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R18" i="10"/>
  <c r="O18" i="10"/>
  <c r="N18" i="10"/>
  <c r="L18" i="10"/>
  <c r="K18" i="10"/>
  <c r="F18" i="10"/>
  <c r="E18" i="10"/>
  <c r="D18" i="10"/>
  <c r="C18" i="10"/>
  <c r="BP17" i="10"/>
  <c r="AX17" i="10"/>
  <c r="AW17" i="10"/>
  <c r="AV17" i="10"/>
  <c r="AU17" i="10"/>
  <c r="AT17" i="10"/>
  <c r="AS17" i="10"/>
  <c r="AR17" i="10"/>
  <c r="AQ17" i="10"/>
  <c r="AP17" i="10"/>
  <c r="AO17" i="10"/>
  <c r="AN17" i="10"/>
  <c r="AM17" i="10"/>
  <c r="AL17" i="10"/>
  <c r="AK17" i="10"/>
  <c r="AJ17" i="10"/>
  <c r="AI17" i="10"/>
  <c r="AH17" i="10"/>
  <c r="AG17" i="10"/>
  <c r="AF17" i="10"/>
  <c r="AE17" i="10"/>
  <c r="AD17" i="10"/>
  <c r="AC17" i="10"/>
  <c r="AB17" i="10"/>
  <c r="AA17" i="10"/>
  <c r="Z17" i="10"/>
  <c r="R17" i="10"/>
  <c r="O17" i="10"/>
  <c r="N17" i="10"/>
  <c r="L17" i="10"/>
  <c r="K17" i="10"/>
  <c r="F17" i="10"/>
  <c r="E17" i="10"/>
  <c r="D17" i="10"/>
  <c r="C17" i="10"/>
  <c r="BP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R16" i="10"/>
  <c r="O16" i="10"/>
  <c r="N16" i="10"/>
  <c r="L16" i="10"/>
  <c r="K16" i="10"/>
  <c r="F16" i="10"/>
  <c r="E16" i="10"/>
  <c r="D16" i="10"/>
  <c r="C16" i="10"/>
  <c r="BP15" i="10"/>
  <c r="AX15" i="10"/>
  <c r="AW15" i="10"/>
  <c r="AV15" i="10"/>
  <c r="AU15" i="10"/>
  <c r="AT15" i="10"/>
  <c r="AS15" i="10"/>
  <c r="AR15" i="10"/>
  <c r="AQ15" i="10"/>
  <c r="AP15" i="10"/>
  <c r="AO15" i="10"/>
  <c r="AN15" i="10"/>
  <c r="AM15" i="10"/>
  <c r="AL15" i="10"/>
  <c r="AK15" i="10"/>
  <c r="AJ15" i="10"/>
  <c r="AI15" i="10"/>
  <c r="AH15" i="10"/>
  <c r="AG15" i="10"/>
  <c r="AF15" i="10"/>
  <c r="AE15" i="10"/>
  <c r="AD15" i="10"/>
  <c r="AC15" i="10"/>
  <c r="AB15" i="10"/>
  <c r="AA15" i="10"/>
  <c r="Z15" i="10"/>
  <c r="R15" i="10"/>
  <c r="N15" i="10"/>
  <c r="L15" i="10"/>
  <c r="K15" i="10"/>
  <c r="F15" i="10"/>
  <c r="E15" i="10"/>
  <c r="D15" i="10"/>
  <c r="C15" i="10"/>
  <c r="BP14" i="10"/>
  <c r="AX14" i="10"/>
  <c r="AW14" i="10"/>
  <c r="AV14" i="10"/>
  <c r="AU14" i="10"/>
  <c r="AT14" i="10"/>
  <c r="AS14" i="10"/>
  <c r="AR14" i="10"/>
  <c r="AQ14" i="10"/>
  <c r="AP14" i="10"/>
  <c r="AO14" i="10"/>
  <c r="AN14" i="10"/>
  <c r="AM14" i="10"/>
  <c r="AL14" i="10"/>
  <c r="AK14" i="10"/>
  <c r="AJ14" i="10"/>
  <c r="AI14" i="10"/>
  <c r="AH14" i="10"/>
  <c r="AG14" i="10"/>
  <c r="AF14" i="10"/>
  <c r="AE14" i="10"/>
  <c r="AD14" i="10"/>
  <c r="AC14" i="10"/>
  <c r="AB14" i="10"/>
  <c r="AA14" i="10"/>
  <c r="Z14" i="10"/>
  <c r="R14" i="10"/>
  <c r="N14" i="10"/>
  <c r="L14" i="10"/>
  <c r="K14" i="10"/>
  <c r="F14" i="10"/>
  <c r="E14" i="10"/>
  <c r="D14" i="10"/>
  <c r="C14" i="10"/>
  <c r="BP13" i="10"/>
  <c r="AX13" i="10"/>
  <c r="AW13" i="10"/>
  <c r="AV13" i="10"/>
  <c r="AU13" i="10"/>
  <c r="AT13" i="10"/>
  <c r="AS13" i="10"/>
  <c r="AR13" i="10"/>
  <c r="AQ13" i="10"/>
  <c r="AP13" i="10"/>
  <c r="AO13" i="10"/>
  <c r="AN13" i="10"/>
  <c r="AM13" i="10"/>
  <c r="AL13" i="10"/>
  <c r="AK13" i="10"/>
  <c r="AJ13" i="10"/>
  <c r="AI13" i="10"/>
  <c r="AH13" i="10"/>
  <c r="AG13" i="10"/>
  <c r="AF13" i="10"/>
  <c r="AE13" i="10"/>
  <c r="AD13" i="10"/>
  <c r="AC13" i="10"/>
  <c r="AB13" i="10"/>
  <c r="AA13" i="10"/>
  <c r="Z13" i="10"/>
  <c r="R13" i="10"/>
  <c r="N13" i="10"/>
  <c r="L13" i="10"/>
  <c r="K13" i="10"/>
  <c r="F13" i="10"/>
  <c r="E13" i="10"/>
  <c r="D13" i="10"/>
  <c r="C13" i="10"/>
  <c r="BP12" i="10"/>
  <c r="AX12" i="10"/>
  <c r="AW12" i="10"/>
  <c r="AV12" i="10"/>
  <c r="AU12" i="10"/>
  <c r="AT12" i="10"/>
  <c r="AS12" i="10"/>
  <c r="AR12" i="10"/>
  <c r="AQ12" i="10"/>
  <c r="AP12" i="10"/>
  <c r="AO12" i="10"/>
  <c r="AN12" i="10"/>
  <c r="AM12" i="10"/>
  <c r="AL12" i="10"/>
  <c r="AK12" i="10"/>
  <c r="AJ12" i="10"/>
  <c r="AI12" i="10"/>
  <c r="AH12" i="10"/>
  <c r="AG12" i="10"/>
  <c r="AF12" i="10"/>
  <c r="AE12" i="10"/>
  <c r="AD12" i="10"/>
  <c r="AC12" i="10"/>
  <c r="AB12" i="10"/>
  <c r="AA12" i="10"/>
  <c r="Z12" i="10"/>
  <c r="R12" i="10"/>
  <c r="N12" i="10"/>
  <c r="L12" i="10"/>
  <c r="K12" i="10"/>
  <c r="F12" i="10"/>
  <c r="E12" i="10"/>
  <c r="D12" i="10"/>
  <c r="C12" i="10"/>
  <c r="BP11" i="10"/>
  <c r="AX11" i="10"/>
  <c r="AW11" i="10"/>
  <c r="AV11" i="10"/>
  <c r="AU11" i="10"/>
  <c r="AT11" i="10"/>
  <c r="AS11" i="10"/>
  <c r="AR11" i="10"/>
  <c r="AQ11" i="10"/>
  <c r="AP11" i="10"/>
  <c r="AO11" i="10"/>
  <c r="AN11" i="10"/>
  <c r="AM11" i="10"/>
  <c r="AL11" i="10"/>
  <c r="AK11" i="10"/>
  <c r="AJ11" i="10"/>
  <c r="AI11" i="10"/>
  <c r="AH11" i="10"/>
  <c r="AG11" i="10"/>
  <c r="AF11" i="10"/>
  <c r="AE11" i="10"/>
  <c r="AD11" i="10"/>
  <c r="AC11" i="10"/>
  <c r="AB11" i="10"/>
  <c r="AA11" i="10"/>
  <c r="Z11" i="10"/>
  <c r="R11" i="10"/>
  <c r="N11" i="10"/>
  <c r="L11" i="10"/>
  <c r="K11" i="10"/>
  <c r="F11" i="10"/>
  <c r="E11" i="10"/>
  <c r="D11" i="10"/>
  <c r="C11" i="10"/>
  <c r="BP10" i="10"/>
  <c r="AX10" i="10"/>
  <c r="AW10" i="10"/>
  <c r="AV10" i="10"/>
  <c r="AU10" i="10"/>
  <c r="AT10" i="10"/>
  <c r="AS10" i="10"/>
  <c r="AR10" i="10"/>
  <c r="AQ10" i="10"/>
  <c r="AP10" i="10"/>
  <c r="AO10" i="10"/>
  <c r="AN10" i="10"/>
  <c r="AM10" i="10"/>
  <c r="AL10" i="10"/>
  <c r="AK10" i="10"/>
  <c r="AJ10" i="10"/>
  <c r="AI10" i="10"/>
  <c r="AH10" i="10"/>
  <c r="AG10" i="10"/>
  <c r="AF10" i="10"/>
  <c r="AE10" i="10"/>
  <c r="AD10" i="10"/>
  <c r="AC10" i="10"/>
  <c r="AB10" i="10"/>
  <c r="AA10" i="10"/>
  <c r="Z10" i="10"/>
  <c r="R10" i="10"/>
  <c r="N10" i="10"/>
  <c r="L10" i="10"/>
  <c r="K10" i="10"/>
  <c r="F10" i="10"/>
  <c r="E10" i="10"/>
  <c r="D10" i="10"/>
  <c r="C10" i="10"/>
  <c r="BP9" i="10"/>
  <c r="AX9" i="10"/>
  <c r="AW9" i="10"/>
  <c r="AV9" i="10"/>
  <c r="AU9" i="10"/>
  <c r="AT9" i="10"/>
  <c r="AS9" i="10"/>
  <c r="AR9" i="10"/>
  <c r="AQ9" i="10"/>
  <c r="AP9" i="10"/>
  <c r="AO9" i="10"/>
  <c r="AN9" i="10"/>
  <c r="AM9" i="10"/>
  <c r="AL9" i="10"/>
  <c r="AK9" i="10"/>
  <c r="AJ9" i="10"/>
  <c r="AI9" i="10"/>
  <c r="AH9" i="10"/>
  <c r="AG9" i="10"/>
  <c r="AF9" i="10"/>
  <c r="AE9" i="10"/>
  <c r="AD9" i="10"/>
  <c r="AC9" i="10"/>
  <c r="AB9" i="10"/>
  <c r="AA9" i="10"/>
  <c r="Z9" i="10"/>
  <c r="R9" i="10"/>
  <c r="N9" i="10"/>
  <c r="L9" i="10"/>
  <c r="K9" i="10"/>
  <c r="F9" i="10"/>
  <c r="E9" i="10"/>
  <c r="D9" i="10"/>
  <c r="C9" i="10"/>
  <c r="BP8" i="10"/>
  <c r="AX8" i="10"/>
  <c r="AW8" i="10"/>
  <c r="AV8" i="10"/>
  <c r="AU8" i="10"/>
  <c r="AT8" i="10"/>
  <c r="AS8" i="10"/>
  <c r="AR8" i="10"/>
  <c r="AQ8" i="10"/>
  <c r="AP8" i="10"/>
  <c r="AO8" i="10"/>
  <c r="AN8" i="10"/>
  <c r="AM8" i="10"/>
  <c r="AL8" i="10"/>
  <c r="AK8" i="10"/>
  <c r="AJ8" i="10"/>
  <c r="AI8" i="10"/>
  <c r="AH8" i="10"/>
  <c r="AG8" i="10"/>
  <c r="AF8" i="10"/>
  <c r="AE8" i="10"/>
  <c r="AD8" i="10"/>
  <c r="AC8" i="10"/>
  <c r="AB8" i="10"/>
  <c r="AA8" i="10"/>
  <c r="Z8" i="10"/>
  <c r="R8" i="10"/>
  <c r="N8" i="10"/>
  <c r="L8" i="10"/>
  <c r="K8" i="10"/>
  <c r="F8" i="10"/>
  <c r="E8" i="10"/>
  <c r="D8" i="10"/>
  <c r="C8" i="10"/>
  <c r="BP7" i="10"/>
  <c r="AX7" i="10"/>
  <c r="AW7" i="10"/>
  <c r="AV7" i="10"/>
  <c r="AU7" i="10"/>
  <c r="AT7" i="10"/>
  <c r="AS7" i="10"/>
  <c r="AR7" i="10"/>
  <c r="AQ7" i="10"/>
  <c r="AP7" i="10"/>
  <c r="AO7" i="10"/>
  <c r="AN7" i="10"/>
  <c r="AM7" i="10"/>
  <c r="AL7" i="10"/>
  <c r="AK7" i="10"/>
  <c r="AJ7" i="10"/>
  <c r="AI7" i="10"/>
  <c r="AH7" i="10"/>
  <c r="AG7" i="10"/>
  <c r="AF7" i="10"/>
  <c r="AE7" i="10"/>
  <c r="AD7" i="10"/>
  <c r="AC7" i="10"/>
  <c r="AB7" i="10"/>
  <c r="AA7" i="10"/>
  <c r="Z7" i="10"/>
  <c r="R7" i="10"/>
  <c r="N7" i="10"/>
  <c r="L7" i="10"/>
  <c r="K7" i="10"/>
  <c r="F7" i="10"/>
  <c r="E7" i="10"/>
  <c r="D7" i="10"/>
  <c r="C7" i="10"/>
  <c r="BP6" i="10"/>
  <c r="AX6" i="10"/>
  <c r="AW6" i="10"/>
  <c r="AV6" i="10"/>
  <c r="AU6" i="10"/>
  <c r="AT6" i="10"/>
  <c r="AS6" i="10"/>
  <c r="AR6" i="10"/>
  <c r="AL6" i="10"/>
  <c r="AK6" i="10"/>
  <c r="AJ6" i="10"/>
  <c r="AI6" i="10"/>
  <c r="AH6" i="10"/>
  <c r="AG6" i="10"/>
  <c r="AF6" i="10"/>
  <c r="AE6" i="10"/>
  <c r="AD6" i="10"/>
  <c r="AC6" i="10"/>
  <c r="AB6" i="10"/>
  <c r="AA6" i="10"/>
  <c r="Z6" i="10"/>
  <c r="R6" i="10"/>
  <c r="N6" i="10"/>
  <c r="L6" i="10"/>
  <c r="K6" i="10"/>
  <c r="F6" i="10"/>
  <c r="E6" i="10"/>
  <c r="D6" i="10"/>
  <c r="C6" i="10"/>
  <c r="BP5" i="10"/>
  <c r="AW5" i="10"/>
  <c r="AU5" i="10"/>
  <c r="AR5" i="10"/>
  <c r="AG5" i="10"/>
  <c r="AF5" i="10"/>
  <c r="AE5" i="10"/>
  <c r="AD5" i="10"/>
  <c r="AC5" i="10"/>
  <c r="AB5" i="10"/>
  <c r="AA5" i="10"/>
  <c r="Z5" i="10"/>
  <c r="N5" i="10"/>
  <c r="L5" i="10"/>
  <c r="K5" i="10"/>
  <c r="F5" i="10"/>
  <c r="E5" i="10"/>
  <c r="D5" i="10"/>
  <c r="C5" i="10"/>
  <c r="X1834" i="1"/>
  <c r="W1834" i="1"/>
  <c r="V1834" i="1"/>
  <c r="U1834" i="1"/>
  <c r="T1834" i="1"/>
  <c r="S1834" i="1"/>
  <c r="Q1834" i="1"/>
  <c r="V1833" i="1"/>
  <c r="U1833" i="1"/>
  <c r="T1833" i="1"/>
  <c r="S1833" i="1"/>
  <c r="Q1833" i="1"/>
  <c r="V1832" i="1"/>
  <c r="U1832" i="1"/>
  <c r="T1832" i="1"/>
  <c r="S1832" i="1"/>
  <c r="Q1832" i="1"/>
  <c r="C1832" i="1"/>
  <c r="Q1831" i="1"/>
  <c r="F1831" i="1"/>
  <c r="Q1830" i="1"/>
  <c r="F1830" i="1"/>
  <c r="Q1829" i="1"/>
  <c r="F1829" i="1"/>
  <c r="Q1828" i="1"/>
  <c r="I1828" i="1"/>
  <c r="F1828" i="1"/>
  <c r="Q1827" i="1"/>
  <c r="I1827" i="1"/>
  <c r="F1827" i="1"/>
  <c r="Q1826" i="1"/>
  <c r="I1826" i="1"/>
  <c r="F1826" i="1"/>
  <c r="Q1825" i="1"/>
  <c r="F1825" i="1"/>
  <c r="Q1824" i="1"/>
  <c r="F1824" i="1"/>
  <c r="Q1823" i="1"/>
  <c r="F1823" i="1"/>
  <c r="Q1822" i="1"/>
  <c r="F1822" i="1"/>
  <c r="Q1821" i="1"/>
  <c r="Q1820" i="1"/>
  <c r="X1817" i="1"/>
  <c r="W1817" i="1"/>
  <c r="V1817" i="1"/>
  <c r="U1817" i="1"/>
  <c r="T1817" i="1"/>
  <c r="S1817" i="1"/>
  <c r="Q1817" i="1"/>
  <c r="V1816" i="1"/>
  <c r="U1816" i="1"/>
  <c r="T1816" i="1"/>
  <c r="S1816" i="1"/>
  <c r="Q1816" i="1"/>
  <c r="V1815" i="1"/>
  <c r="U1815" i="1"/>
  <c r="T1815" i="1"/>
  <c r="S1815" i="1"/>
  <c r="Q1815" i="1"/>
  <c r="C1815" i="1"/>
  <c r="Q1814" i="1"/>
  <c r="F1814" i="1"/>
  <c r="Q1813" i="1"/>
  <c r="F1813" i="1"/>
  <c r="Q1812" i="1"/>
  <c r="F1812" i="1"/>
  <c r="Q1811" i="1"/>
  <c r="I1811" i="1"/>
  <c r="F1811" i="1"/>
  <c r="Q1810" i="1"/>
  <c r="I1810" i="1"/>
  <c r="F1810" i="1"/>
  <c r="Q1809" i="1"/>
  <c r="I1809" i="1"/>
  <c r="F1809" i="1"/>
  <c r="Q1808" i="1"/>
  <c r="F1808" i="1"/>
  <c r="Q1807" i="1"/>
  <c r="F1807" i="1"/>
  <c r="Q1806" i="1"/>
  <c r="F1806" i="1"/>
  <c r="Q1805" i="1"/>
  <c r="F1805" i="1"/>
  <c r="Q1804" i="1"/>
  <c r="Q1803" i="1"/>
  <c r="X1800" i="1"/>
  <c r="W1800" i="1"/>
  <c r="V1800" i="1"/>
  <c r="U1800" i="1"/>
  <c r="T1800" i="1"/>
  <c r="S1800" i="1"/>
  <c r="Q1800" i="1"/>
  <c r="V1799" i="1"/>
  <c r="U1799" i="1"/>
  <c r="T1799" i="1"/>
  <c r="S1799" i="1"/>
  <c r="Q1799" i="1"/>
  <c r="V1798" i="1"/>
  <c r="U1798" i="1"/>
  <c r="T1798" i="1"/>
  <c r="S1798" i="1"/>
  <c r="Q1798" i="1"/>
  <c r="C1798" i="1"/>
  <c r="Q1797" i="1"/>
  <c r="F1797" i="1"/>
  <c r="Q1796" i="1"/>
  <c r="F1796" i="1"/>
  <c r="Q1795" i="1"/>
  <c r="F1795" i="1"/>
  <c r="Q1794" i="1"/>
  <c r="I1794" i="1"/>
  <c r="F1794" i="1"/>
  <c r="Q1793" i="1"/>
  <c r="I1793" i="1"/>
  <c r="F1793" i="1"/>
  <c r="Q1792" i="1"/>
  <c r="I1792" i="1"/>
  <c r="F1792" i="1"/>
  <c r="Q1791" i="1"/>
  <c r="F1791" i="1"/>
  <c r="Q1790" i="1"/>
  <c r="F1790" i="1"/>
  <c r="Q1789" i="1"/>
  <c r="F1789" i="1"/>
  <c r="Q1788" i="1"/>
  <c r="F1788" i="1"/>
  <c r="Q1787" i="1"/>
  <c r="Q1786" i="1"/>
  <c r="X1783" i="1"/>
  <c r="W1783" i="1"/>
  <c r="V1783" i="1"/>
  <c r="U1783" i="1"/>
  <c r="T1783" i="1"/>
  <c r="S1783" i="1"/>
  <c r="Q1783" i="1"/>
  <c r="V1782" i="1"/>
  <c r="U1782" i="1"/>
  <c r="T1782" i="1"/>
  <c r="S1782" i="1"/>
  <c r="Q1782" i="1"/>
  <c r="V1781" i="1"/>
  <c r="U1781" i="1"/>
  <c r="T1781" i="1"/>
  <c r="S1781" i="1"/>
  <c r="Q1781" i="1"/>
  <c r="C1781" i="1"/>
  <c r="Q1780" i="1"/>
  <c r="F1780" i="1"/>
  <c r="Q1779" i="1"/>
  <c r="F1779" i="1"/>
  <c r="Q1778" i="1"/>
  <c r="F1778" i="1"/>
  <c r="Q1777" i="1"/>
  <c r="I1777" i="1"/>
  <c r="F1777" i="1"/>
  <c r="Q1776" i="1"/>
  <c r="I1776" i="1"/>
  <c r="F1776" i="1"/>
  <c r="Q1775" i="1"/>
  <c r="I1775" i="1"/>
  <c r="F1775" i="1"/>
  <c r="Q1774" i="1"/>
  <c r="F1774" i="1"/>
  <c r="Q1773" i="1"/>
  <c r="F1773" i="1"/>
  <c r="Q1772" i="1"/>
  <c r="F1772" i="1"/>
  <c r="Q1771" i="1"/>
  <c r="F1771" i="1"/>
  <c r="Q1770" i="1"/>
  <c r="Q1769" i="1"/>
  <c r="X1766" i="1"/>
  <c r="W1766" i="1"/>
  <c r="V1766" i="1"/>
  <c r="U1766" i="1"/>
  <c r="T1766" i="1"/>
  <c r="S1766" i="1"/>
  <c r="Q1766" i="1"/>
  <c r="V1765" i="1"/>
  <c r="U1765" i="1"/>
  <c r="T1765" i="1"/>
  <c r="S1765" i="1"/>
  <c r="Q1765" i="1"/>
  <c r="V1764" i="1"/>
  <c r="U1764" i="1"/>
  <c r="T1764" i="1"/>
  <c r="S1764" i="1"/>
  <c r="Q1764" i="1"/>
  <c r="C1764" i="1"/>
  <c r="Q1763" i="1"/>
  <c r="F1763" i="1"/>
  <c r="Q1762" i="1"/>
  <c r="F1762" i="1"/>
  <c r="Q1761" i="1"/>
  <c r="F1761" i="1"/>
  <c r="Q1760" i="1"/>
  <c r="I1760" i="1"/>
  <c r="F1760" i="1"/>
  <c r="Q1759" i="1"/>
  <c r="I1759" i="1"/>
  <c r="F1759" i="1"/>
  <c r="Q1758" i="1"/>
  <c r="I1758" i="1"/>
  <c r="F1758" i="1"/>
  <c r="Q1757" i="1"/>
  <c r="F1757" i="1"/>
  <c r="Q1756" i="1"/>
  <c r="F1756" i="1"/>
  <c r="Q1755" i="1"/>
  <c r="F1755" i="1"/>
  <c r="Q1754" i="1"/>
  <c r="F1754" i="1"/>
  <c r="Q1753" i="1"/>
  <c r="Q1752" i="1"/>
  <c r="X1749" i="1"/>
  <c r="W1749" i="1"/>
  <c r="V1749" i="1"/>
  <c r="U1749" i="1"/>
  <c r="T1749" i="1"/>
  <c r="S1749" i="1"/>
  <c r="Q1749" i="1"/>
  <c r="V1748" i="1"/>
  <c r="U1748" i="1"/>
  <c r="T1748" i="1"/>
  <c r="S1748" i="1"/>
  <c r="Q1748" i="1"/>
  <c r="V1747" i="1"/>
  <c r="U1747" i="1"/>
  <c r="T1747" i="1"/>
  <c r="S1747" i="1"/>
  <c r="Q1747" i="1"/>
  <c r="C1747" i="1"/>
  <c r="Q1746" i="1"/>
  <c r="F1746" i="1"/>
  <c r="Q1745" i="1"/>
  <c r="F1745" i="1"/>
  <c r="Q1744" i="1"/>
  <c r="F1744" i="1"/>
  <c r="Q1743" i="1"/>
  <c r="I1743" i="1"/>
  <c r="F1743" i="1"/>
  <c r="Q1742" i="1"/>
  <c r="I1742" i="1"/>
  <c r="F1742" i="1"/>
  <c r="Q1741" i="1"/>
  <c r="I1741" i="1"/>
  <c r="F1741" i="1"/>
  <c r="Q1740" i="1"/>
  <c r="F1740" i="1"/>
  <c r="Q1739" i="1"/>
  <c r="F1739" i="1"/>
  <c r="Q1738" i="1"/>
  <c r="F1738" i="1"/>
  <c r="Q1737" i="1"/>
  <c r="F1737" i="1"/>
  <c r="Q1736" i="1"/>
  <c r="Q1735" i="1"/>
  <c r="X1732" i="1"/>
  <c r="W1732" i="1"/>
  <c r="V1732" i="1"/>
  <c r="U1732" i="1"/>
  <c r="T1732" i="1"/>
  <c r="S1732" i="1"/>
  <c r="Q1732" i="1"/>
  <c r="V1731" i="1"/>
  <c r="U1731" i="1"/>
  <c r="T1731" i="1"/>
  <c r="S1731" i="1"/>
  <c r="Q1731" i="1"/>
  <c r="V1730" i="1"/>
  <c r="U1730" i="1"/>
  <c r="T1730" i="1"/>
  <c r="S1730" i="1"/>
  <c r="Q1730" i="1"/>
  <c r="C1730" i="1"/>
  <c r="Q1729" i="1"/>
  <c r="F1729" i="1"/>
  <c r="Q1728" i="1"/>
  <c r="F1728" i="1"/>
  <c r="Q1727" i="1"/>
  <c r="F1727" i="1"/>
  <c r="Q1726" i="1"/>
  <c r="I1726" i="1"/>
  <c r="F1726" i="1"/>
  <c r="Q1725" i="1"/>
  <c r="I1725" i="1"/>
  <c r="F1725" i="1"/>
  <c r="Q1724" i="1"/>
  <c r="I1724" i="1"/>
  <c r="F1724" i="1"/>
  <c r="Q1723" i="1"/>
  <c r="F1723" i="1"/>
  <c r="Q1722" i="1"/>
  <c r="F1722" i="1"/>
  <c r="Q1721" i="1"/>
  <c r="F1721" i="1"/>
  <c r="Q1720" i="1"/>
  <c r="F1720" i="1"/>
  <c r="Q1719" i="1"/>
  <c r="Q1718" i="1"/>
  <c r="X1715" i="1"/>
  <c r="W1715" i="1"/>
  <c r="V1715" i="1"/>
  <c r="U1715" i="1"/>
  <c r="T1715" i="1"/>
  <c r="S1715" i="1"/>
  <c r="Q1715" i="1"/>
  <c r="V1714" i="1"/>
  <c r="U1714" i="1"/>
  <c r="T1714" i="1"/>
  <c r="S1714" i="1"/>
  <c r="Q1714" i="1"/>
  <c r="V1713" i="1"/>
  <c r="U1713" i="1"/>
  <c r="T1713" i="1"/>
  <c r="S1713" i="1"/>
  <c r="Q1713" i="1"/>
  <c r="C1713" i="1"/>
  <c r="Q1712" i="1"/>
  <c r="F1712" i="1"/>
  <c r="Q1711" i="1"/>
  <c r="F1711" i="1"/>
  <c r="Q1710" i="1"/>
  <c r="F1710" i="1"/>
  <c r="Q1709" i="1"/>
  <c r="I1709" i="1"/>
  <c r="F1709" i="1"/>
  <c r="Q1708" i="1"/>
  <c r="I1708" i="1"/>
  <c r="F1708" i="1"/>
  <c r="Q1707" i="1"/>
  <c r="I1707" i="1"/>
  <c r="F1707" i="1"/>
  <c r="Q1706" i="1"/>
  <c r="F1706" i="1"/>
  <c r="Q1705" i="1"/>
  <c r="F1705" i="1"/>
  <c r="Q1704" i="1"/>
  <c r="F1704" i="1"/>
  <c r="Q1703" i="1"/>
  <c r="F1703" i="1"/>
  <c r="Q1702" i="1"/>
  <c r="Q1701" i="1"/>
  <c r="X1698" i="1"/>
  <c r="W1698" i="1"/>
  <c r="V1698" i="1"/>
  <c r="U1698" i="1"/>
  <c r="T1698" i="1"/>
  <c r="S1698" i="1"/>
  <c r="Q1698" i="1"/>
  <c r="V1697" i="1"/>
  <c r="U1697" i="1"/>
  <c r="T1697" i="1"/>
  <c r="S1697" i="1"/>
  <c r="Q1697" i="1"/>
  <c r="V1696" i="1"/>
  <c r="U1696" i="1"/>
  <c r="T1696" i="1"/>
  <c r="S1696" i="1"/>
  <c r="Q1696" i="1"/>
  <c r="C1696" i="1"/>
  <c r="Q1695" i="1"/>
  <c r="F1695" i="1"/>
  <c r="Q1694" i="1"/>
  <c r="F1694" i="1"/>
  <c r="Q1693" i="1"/>
  <c r="F1693" i="1"/>
  <c r="Q1692" i="1"/>
  <c r="I1692" i="1"/>
  <c r="F1692" i="1"/>
  <c r="Q1691" i="1"/>
  <c r="I1691" i="1"/>
  <c r="F1691" i="1"/>
  <c r="Q1690" i="1"/>
  <c r="I1690" i="1"/>
  <c r="F1690" i="1"/>
  <c r="Q1689" i="1"/>
  <c r="F1689" i="1"/>
  <c r="Q1688" i="1"/>
  <c r="F1688" i="1"/>
  <c r="Q1687" i="1"/>
  <c r="F1687" i="1"/>
  <c r="Q1686" i="1"/>
  <c r="F1686" i="1"/>
  <c r="Q1685" i="1"/>
  <c r="Q1684" i="1"/>
  <c r="X1681" i="1"/>
  <c r="W1681" i="1"/>
  <c r="V1681" i="1"/>
  <c r="U1681" i="1"/>
  <c r="T1681" i="1"/>
  <c r="S1681" i="1"/>
  <c r="Q1681" i="1"/>
  <c r="V1680" i="1"/>
  <c r="U1680" i="1"/>
  <c r="T1680" i="1"/>
  <c r="S1680" i="1"/>
  <c r="Q1680" i="1"/>
  <c r="V1679" i="1"/>
  <c r="U1679" i="1"/>
  <c r="T1679" i="1"/>
  <c r="S1679" i="1"/>
  <c r="Q1679" i="1"/>
  <c r="C1679" i="1"/>
  <c r="Q1678" i="1"/>
  <c r="F1678" i="1"/>
  <c r="Q1677" i="1"/>
  <c r="F1677" i="1"/>
  <c r="Q1676" i="1"/>
  <c r="F1676" i="1"/>
  <c r="Q1675" i="1"/>
  <c r="F1675" i="1"/>
  <c r="Q1674" i="1"/>
  <c r="F1674" i="1"/>
  <c r="Q1673" i="1"/>
  <c r="F1673" i="1"/>
  <c r="Q1672" i="1"/>
  <c r="F1672" i="1"/>
  <c r="Q1671" i="1"/>
  <c r="F1671" i="1"/>
  <c r="Q1670" i="1"/>
  <c r="F1670" i="1"/>
  <c r="Q1669" i="1"/>
  <c r="F1669" i="1"/>
  <c r="Q1668" i="1"/>
  <c r="Q1667" i="1"/>
  <c r="X1664" i="1"/>
  <c r="W1664" i="1"/>
  <c r="V1664" i="1"/>
  <c r="U1664" i="1"/>
  <c r="T1664" i="1"/>
  <c r="S1664" i="1"/>
  <c r="Q1664" i="1"/>
  <c r="V1663" i="1"/>
  <c r="U1663" i="1"/>
  <c r="T1663" i="1"/>
  <c r="S1663" i="1"/>
  <c r="Q1663" i="1"/>
  <c r="V1662" i="1"/>
  <c r="U1662" i="1"/>
  <c r="T1662" i="1"/>
  <c r="S1662" i="1"/>
  <c r="Q1662" i="1"/>
  <c r="C1662" i="1"/>
  <c r="Q1661" i="1"/>
  <c r="F1661" i="1"/>
  <c r="Q1660" i="1"/>
  <c r="F1660" i="1"/>
  <c r="Q1659" i="1"/>
  <c r="F1659" i="1"/>
  <c r="Q1658" i="1"/>
  <c r="F1658" i="1"/>
  <c r="Q1657" i="1"/>
  <c r="F1657" i="1"/>
  <c r="Q1656" i="1"/>
  <c r="F1656" i="1"/>
  <c r="Q1655" i="1"/>
  <c r="F1655" i="1"/>
  <c r="Q1654" i="1"/>
  <c r="F1654" i="1"/>
  <c r="Q1653" i="1"/>
  <c r="F1653" i="1"/>
  <c r="Q1652" i="1"/>
  <c r="F1652" i="1"/>
  <c r="Q1651" i="1"/>
  <c r="Q1650" i="1"/>
  <c r="X1647" i="1"/>
  <c r="W1647" i="1"/>
  <c r="V1647" i="1"/>
  <c r="U1647" i="1"/>
  <c r="T1647" i="1"/>
  <c r="S1647" i="1"/>
  <c r="Q1647" i="1"/>
  <c r="V1646" i="1"/>
  <c r="U1646" i="1"/>
  <c r="T1646" i="1"/>
  <c r="S1646" i="1"/>
  <c r="Q1646" i="1"/>
  <c r="V1645" i="1"/>
  <c r="U1645" i="1"/>
  <c r="T1645" i="1"/>
  <c r="S1645" i="1"/>
  <c r="Q1645" i="1"/>
  <c r="C1645" i="1"/>
  <c r="Q1644" i="1"/>
  <c r="F1644" i="1"/>
  <c r="Q1643" i="1"/>
  <c r="F1643" i="1"/>
  <c r="Q1642" i="1"/>
  <c r="F1642" i="1"/>
  <c r="Q1641" i="1"/>
  <c r="F1641" i="1"/>
  <c r="Q1640" i="1"/>
  <c r="F1640" i="1"/>
  <c r="Q1639" i="1"/>
  <c r="F1639" i="1"/>
  <c r="Q1638" i="1"/>
  <c r="F1638" i="1"/>
  <c r="Q1637" i="1"/>
  <c r="F1637" i="1"/>
  <c r="Q1636" i="1"/>
  <c r="F1636" i="1"/>
  <c r="Q1635" i="1"/>
  <c r="F1635" i="1"/>
  <c r="Q1634" i="1"/>
  <c r="Q1633" i="1"/>
  <c r="X1630" i="1"/>
  <c r="W1630" i="1"/>
  <c r="V1630" i="1"/>
  <c r="U1630" i="1"/>
  <c r="T1630" i="1"/>
  <c r="S1630" i="1"/>
  <c r="Q1630" i="1"/>
  <c r="V1629" i="1"/>
  <c r="U1629" i="1"/>
  <c r="T1629" i="1"/>
  <c r="S1629" i="1"/>
  <c r="Q1629" i="1"/>
  <c r="V1628" i="1"/>
  <c r="U1628" i="1"/>
  <c r="T1628" i="1"/>
  <c r="S1628" i="1"/>
  <c r="Q1628" i="1"/>
  <c r="C1628" i="1"/>
  <c r="Q1627" i="1"/>
  <c r="F1627" i="1"/>
  <c r="Q1626" i="1"/>
  <c r="F1626" i="1"/>
  <c r="Q1625" i="1"/>
  <c r="F1625" i="1"/>
  <c r="Q1624" i="1"/>
  <c r="I1624" i="1"/>
  <c r="F1624" i="1"/>
  <c r="Q1623" i="1"/>
  <c r="I1623" i="1"/>
  <c r="F1623" i="1"/>
  <c r="Q1622" i="1"/>
  <c r="I1622" i="1"/>
  <c r="F1622" i="1"/>
  <c r="Q1621" i="1"/>
  <c r="F1621" i="1"/>
  <c r="Q1620" i="1"/>
  <c r="F1620" i="1"/>
  <c r="Q1619" i="1"/>
  <c r="F1619" i="1"/>
  <c r="Q1618" i="1"/>
  <c r="F1618" i="1"/>
  <c r="Q1617" i="1"/>
  <c r="Q1616" i="1"/>
  <c r="X1613" i="1"/>
  <c r="W1613" i="1"/>
  <c r="V1613" i="1"/>
  <c r="U1613" i="1"/>
  <c r="T1613" i="1"/>
  <c r="S1613" i="1"/>
  <c r="Q1613" i="1"/>
  <c r="V1612" i="1"/>
  <c r="U1612" i="1"/>
  <c r="T1612" i="1"/>
  <c r="S1612" i="1"/>
  <c r="Q1612" i="1"/>
  <c r="V1611" i="1"/>
  <c r="U1611" i="1"/>
  <c r="T1611" i="1"/>
  <c r="S1611" i="1"/>
  <c r="Q1611" i="1"/>
  <c r="C1611" i="1"/>
  <c r="Q1610" i="1"/>
  <c r="F1610" i="1"/>
  <c r="Q1609" i="1"/>
  <c r="F1609" i="1"/>
  <c r="Q1608" i="1"/>
  <c r="F1608" i="1"/>
  <c r="Q1607" i="1"/>
  <c r="I1607" i="1"/>
  <c r="F1607" i="1"/>
  <c r="Q1606" i="1"/>
  <c r="I1606" i="1"/>
  <c r="F1606" i="1"/>
  <c r="Q1605" i="1"/>
  <c r="I1605" i="1"/>
  <c r="F1605" i="1"/>
  <c r="Q1604" i="1"/>
  <c r="F1604" i="1"/>
  <c r="Q1603" i="1"/>
  <c r="F1603" i="1"/>
  <c r="Q1602" i="1"/>
  <c r="F1602" i="1"/>
  <c r="Q1601" i="1"/>
  <c r="F1601" i="1"/>
  <c r="Q1600" i="1"/>
  <c r="Q1599" i="1"/>
  <c r="X1596" i="1"/>
  <c r="W1596" i="1"/>
  <c r="V1596" i="1"/>
  <c r="U1596" i="1"/>
  <c r="T1596" i="1"/>
  <c r="S1596" i="1"/>
  <c r="Q1596" i="1"/>
  <c r="V1595" i="1"/>
  <c r="U1595" i="1"/>
  <c r="T1595" i="1"/>
  <c r="S1595" i="1"/>
  <c r="Q1595" i="1"/>
  <c r="V1594" i="1"/>
  <c r="U1594" i="1"/>
  <c r="T1594" i="1"/>
  <c r="S1594" i="1"/>
  <c r="Q1594" i="1"/>
  <c r="C1594" i="1"/>
  <c r="Q1593" i="1"/>
  <c r="F1593" i="1"/>
  <c r="Q1592" i="1"/>
  <c r="F1592" i="1"/>
  <c r="Q1591" i="1"/>
  <c r="F1591" i="1"/>
  <c r="Q1590" i="1"/>
  <c r="I1590" i="1"/>
  <c r="F1590" i="1"/>
  <c r="Q1589" i="1"/>
  <c r="I1589" i="1"/>
  <c r="F1589" i="1"/>
  <c r="Q1588" i="1"/>
  <c r="I1588" i="1"/>
  <c r="F1588" i="1"/>
  <c r="Q1587" i="1"/>
  <c r="F1587" i="1"/>
  <c r="Q1586" i="1"/>
  <c r="F1586" i="1"/>
  <c r="Q1585" i="1"/>
  <c r="F1585" i="1"/>
  <c r="Q1584" i="1"/>
  <c r="F1584" i="1"/>
  <c r="Q1583" i="1"/>
  <c r="Q1582" i="1"/>
  <c r="X1579" i="1"/>
  <c r="W1579" i="1"/>
  <c r="V1579" i="1"/>
  <c r="U1579" i="1"/>
  <c r="T1579" i="1"/>
  <c r="S1579" i="1"/>
  <c r="Q1579" i="1"/>
  <c r="V1578" i="1"/>
  <c r="U1578" i="1"/>
  <c r="T1578" i="1"/>
  <c r="S1578" i="1"/>
  <c r="Q1578" i="1"/>
  <c r="V1577" i="1"/>
  <c r="U1577" i="1"/>
  <c r="T1577" i="1"/>
  <c r="S1577" i="1"/>
  <c r="Q1577" i="1"/>
  <c r="C1577" i="1"/>
  <c r="Q1576" i="1"/>
  <c r="F1576" i="1"/>
  <c r="Q1575" i="1"/>
  <c r="F1575" i="1"/>
  <c r="Q1574" i="1"/>
  <c r="F1574" i="1"/>
  <c r="Q1573" i="1"/>
  <c r="I1573" i="1"/>
  <c r="F1573" i="1"/>
  <c r="Q1572" i="1"/>
  <c r="I1572" i="1"/>
  <c r="F1572" i="1"/>
  <c r="Q1571" i="1"/>
  <c r="I1571" i="1"/>
  <c r="F1571" i="1"/>
  <c r="Q1570" i="1"/>
  <c r="F1570" i="1"/>
  <c r="Q1569" i="1"/>
  <c r="F1569" i="1"/>
  <c r="Q1568" i="1"/>
  <c r="F1568" i="1"/>
  <c r="Q1567" i="1"/>
  <c r="F1567" i="1"/>
  <c r="Q1566" i="1"/>
  <c r="Q1565" i="1"/>
  <c r="X1562" i="1"/>
  <c r="W1562" i="1"/>
  <c r="V1562" i="1"/>
  <c r="U1562" i="1"/>
  <c r="T1562" i="1"/>
  <c r="S1562" i="1"/>
  <c r="Q1562" i="1"/>
  <c r="V1561" i="1"/>
  <c r="U1561" i="1"/>
  <c r="T1561" i="1"/>
  <c r="S1561" i="1"/>
  <c r="Q1561" i="1"/>
  <c r="V1560" i="1"/>
  <c r="U1560" i="1"/>
  <c r="T1560" i="1"/>
  <c r="S1560" i="1"/>
  <c r="Q1560" i="1"/>
  <c r="C1560" i="1"/>
  <c r="Q1559" i="1"/>
  <c r="F1559" i="1"/>
  <c r="Q1558" i="1"/>
  <c r="F1558" i="1"/>
  <c r="Q1557" i="1"/>
  <c r="F1557" i="1"/>
  <c r="Q1556" i="1"/>
  <c r="I1556" i="1"/>
  <c r="F1556" i="1"/>
  <c r="Q1555" i="1"/>
  <c r="I1555" i="1"/>
  <c r="F1555" i="1"/>
  <c r="Q1554" i="1"/>
  <c r="I1554" i="1"/>
  <c r="F1554" i="1"/>
  <c r="Q1553" i="1"/>
  <c r="F1553" i="1"/>
  <c r="Q1552" i="1"/>
  <c r="F1552" i="1"/>
  <c r="Q1551" i="1"/>
  <c r="F1551" i="1"/>
  <c r="Q1550" i="1"/>
  <c r="F1550" i="1"/>
  <c r="Q1549" i="1"/>
  <c r="Q1548" i="1"/>
  <c r="X1545" i="1"/>
  <c r="W1545" i="1"/>
  <c r="V1545" i="1"/>
  <c r="U1545" i="1"/>
  <c r="T1545" i="1"/>
  <c r="S1545" i="1"/>
  <c r="Q1545" i="1"/>
  <c r="V1544" i="1"/>
  <c r="U1544" i="1"/>
  <c r="T1544" i="1"/>
  <c r="S1544" i="1"/>
  <c r="Q1544" i="1"/>
  <c r="V1543" i="1"/>
  <c r="U1543" i="1"/>
  <c r="T1543" i="1"/>
  <c r="S1543" i="1"/>
  <c r="Q1543" i="1"/>
  <c r="C1543" i="1"/>
  <c r="Q1542" i="1"/>
  <c r="F1542" i="1"/>
  <c r="Q1541" i="1"/>
  <c r="F1541" i="1"/>
  <c r="Q1540" i="1"/>
  <c r="F1540" i="1"/>
  <c r="Q1539" i="1"/>
  <c r="I1539" i="1"/>
  <c r="F1539" i="1"/>
  <c r="Q1538" i="1"/>
  <c r="I1538" i="1"/>
  <c r="F1538" i="1"/>
  <c r="Q1537" i="1"/>
  <c r="I1537" i="1"/>
  <c r="F1537" i="1"/>
  <c r="Q1536" i="1"/>
  <c r="F1536" i="1"/>
  <c r="Q1535" i="1"/>
  <c r="F1535" i="1"/>
  <c r="Q1534" i="1"/>
  <c r="F1534" i="1"/>
  <c r="Q1533" i="1"/>
  <c r="F1533" i="1"/>
  <c r="Q1532" i="1"/>
  <c r="Q1531" i="1"/>
  <c r="X1528" i="1"/>
  <c r="W1528" i="1"/>
  <c r="V1528" i="1"/>
  <c r="U1528" i="1"/>
  <c r="T1528" i="1"/>
  <c r="S1528" i="1"/>
  <c r="Q1528" i="1"/>
  <c r="V1527" i="1"/>
  <c r="U1527" i="1"/>
  <c r="T1527" i="1"/>
  <c r="S1527" i="1"/>
  <c r="Q1527" i="1"/>
  <c r="V1526" i="1"/>
  <c r="U1526" i="1"/>
  <c r="T1526" i="1"/>
  <c r="S1526" i="1"/>
  <c r="Q1526" i="1"/>
  <c r="C1526" i="1"/>
  <c r="Q1525" i="1"/>
  <c r="F1525" i="1"/>
  <c r="Q1524" i="1"/>
  <c r="F1524" i="1"/>
  <c r="Q1523" i="1"/>
  <c r="F1523" i="1"/>
  <c r="Q1522" i="1"/>
  <c r="I1522" i="1"/>
  <c r="F1522" i="1"/>
  <c r="Q1521" i="1"/>
  <c r="I1521" i="1"/>
  <c r="F1521" i="1"/>
  <c r="Q1520" i="1"/>
  <c r="I1520" i="1"/>
  <c r="F1520" i="1"/>
  <c r="Q1519" i="1"/>
  <c r="F1519" i="1"/>
  <c r="Q1518" i="1"/>
  <c r="F1518" i="1"/>
  <c r="Q1517" i="1"/>
  <c r="F1517" i="1"/>
  <c r="Q1516" i="1"/>
  <c r="F1516" i="1"/>
  <c r="Q1515" i="1"/>
  <c r="Q1514" i="1"/>
  <c r="X1511" i="1"/>
  <c r="W1511" i="1"/>
  <c r="V1511" i="1"/>
  <c r="U1511" i="1"/>
  <c r="T1511" i="1"/>
  <c r="S1511" i="1"/>
  <c r="Q1511" i="1"/>
  <c r="V1510" i="1"/>
  <c r="U1510" i="1"/>
  <c r="T1510" i="1"/>
  <c r="S1510" i="1"/>
  <c r="Q1510" i="1"/>
  <c r="V1509" i="1"/>
  <c r="U1509" i="1"/>
  <c r="T1509" i="1"/>
  <c r="S1509" i="1"/>
  <c r="Q1509" i="1"/>
  <c r="C1509" i="1"/>
  <c r="Q1508" i="1"/>
  <c r="F1508" i="1"/>
  <c r="Q1507" i="1"/>
  <c r="F1507" i="1"/>
  <c r="Q1506" i="1"/>
  <c r="F1506" i="1"/>
  <c r="Q1505" i="1"/>
  <c r="I1505" i="1"/>
  <c r="F1505" i="1"/>
  <c r="Q1504" i="1"/>
  <c r="I1504" i="1"/>
  <c r="F1504" i="1"/>
  <c r="Q1503" i="1"/>
  <c r="I1503" i="1"/>
  <c r="F1503" i="1"/>
  <c r="Q1502" i="1"/>
  <c r="F1502" i="1"/>
  <c r="Q1501" i="1"/>
  <c r="F1501" i="1"/>
  <c r="Q1500" i="1"/>
  <c r="F1500" i="1"/>
  <c r="Q1499" i="1"/>
  <c r="F1499" i="1"/>
  <c r="Q1498" i="1"/>
  <c r="Q1497" i="1"/>
  <c r="X1494" i="1"/>
  <c r="W1494" i="1"/>
  <c r="V1494" i="1"/>
  <c r="U1494" i="1"/>
  <c r="T1494" i="1"/>
  <c r="S1494" i="1"/>
  <c r="Q1494" i="1"/>
  <c r="V1493" i="1"/>
  <c r="U1493" i="1"/>
  <c r="T1493" i="1"/>
  <c r="S1493" i="1"/>
  <c r="Q1493" i="1"/>
  <c r="V1492" i="1"/>
  <c r="U1492" i="1"/>
  <c r="T1492" i="1"/>
  <c r="S1492" i="1"/>
  <c r="Q1492" i="1"/>
  <c r="C1492" i="1"/>
  <c r="Q1491" i="1"/>
  <c r="F1491" i="1"/>
  <c r="Q1490" i="1"/>
  <c r="F1490" i="1"/>
  <c r="Q1489" i="1"/>
  <c r="F1489" i="1"/>
  <c r="Q1488" i="1"/>
  <c r="I1488" i="1"/>
  <c r="F1488" i="1"/>
  <c r="Q1487" i="1"/>
  <c r="I1487" i="1"/>
  <c r="F1487" i="1"/>
  <c r="Q1486" i="1"/>
  <c r="I1486" i="1"/>
  <c r="F1486" i="1"/>
  <c r="Q1485" i="1"/>
  <c r="F1485" i="1"/>
  <c r="Q1484" i="1"/>
  <c r="F1484" i="1"/>
  <c r="Q1483" i="1"/>
  <c r="F1483" i="1"/>
  <c r="Q1482" i="1"/>
  <c r="F1482" i="1"/>
  <c r="Q1481" i="1"/>
  <c r="Q1480" i="1"/>
  <c r="X1477" i="1"/>
  <c r="W1477" i="1"/>
  <c r="V1477" i="1"/>
  <c r="U1477" i="1"/>
  <c r="T1477" i="1"/>
  <c r="S1477" i="1"/>
  <c r="Q1477" i="1"/>
  <c r="V1476" i="1"/>
  <c r="U1476" i="1"/>
  <c r="T1476" i="1"/>
  <c r="S1476" i="1"/>
  <c r="Q1476" i="1"/>
  <c r="V1475" i="1"/>
  <c r="U1475" i="1"/>
  <c r="T1475" i="1"/>
  <c r="S1475" i="1"/>
  <c r="Q1475" i="1"/>
  <c r="C1475" i="1"/>
  <c r="Q1474" i="1"/>
  <c r="F1474" i="1"/>
  <c r="Q1473" i="1"/>
  <c r="F1473" i="1"/>
  <c r="Q1472" i="1"/>
  <c r="F1472" i="1"/>
  <c r="Q1471" i="1"/>
  <c r="F1471" i="1"/>
  <c r="Q1470" i="1"/>
  <c r="F1470" i="1"/>
  <c r="Q1469" i="1"/>
  <c r="F1469" i="1"/>
  <c r="Q1468" i="1"/>
  <c r="F1468" i="1"/>
  <c r="Q1467" i="1"/>
  <c r="F1467" i="1"/>
  <c r="Q1466" i="1"/>
  <c r="F1466" i="1"/>
  <c r="Q1465" i="1"/>
  <c r="F1465" i="1"/>
  <c r="Q1464" i="1"/>
  <c r="Q1463" i="1"/>
  <c r="X1460" i="1"/>
  <c r="W1460" i="1"/>
  <c r="V1460" i="1"/>
  <c r="U1460" i="1"/>
  <c r="T1460" i="1"/>
  <c r="S1460" i="1"/>
  <c r="Q1460" i="1"/>
  <c r="V1459" i="1"/>
  <c r="U1459" i="1"/>
  <c r="T1459" i="1"/>
  <c r="S1459" i="1"/>
  <c r="Q1459" i="1"/>
  <c r="V1458" i="1"/>
  <c r="U1458" i="1"/>
  <c r="T1458" i="1"/>
  <c r="S1458" i="1"/>
  <c r="Q1458" i="1"/>
  <c r="C1458" i="1"/>
  <c r="Q1457" i="1"/>
  <c r="F1457" i="1"/>
  <c r="Q1456" i="1"/>
  <c r="F1456" i="1"/>
  <c r="Q1455" i="1"/>
  <c r="F1455" i="1"/>
  <c r="Q1454" i="1"/>
  <c r="F1454" i="1"/>
  <c r="Q1453" i="1"/>
  <c r="F1453" i="1"/>
  <c r="Q1452" i="1"/>
  <c r="F1452" i="1"/>
  <c r="Q1451" i="1"/>
  <c r="F1451" i="1"/>
  <c r="Q1450" i="1"/>
  <c r="F1450" i="1"/>
  <c r="Q1449" i="1"/>
  <c r="F1449" i="1"/>
  <c r="Q1448" i="1"/>
  <c r="F1448" i="1"/>
  <c r="Q1447" i="1"/>
  <c r="Q1446" i="1"/>
  <c r="X1443" i="1"/>
  <c r="W1443" i="1"/>
  <c r="V1443" i="1"/>
  <c r="U1443" i="1"/>
  <c r="T1443" i="1"/>
  <c r="S1443" i="1"/>
  <c r="Q1443" i="1"/>
  <c r="V1442" i="1"/>
  <c r="U1442" i="1"/>
  <c r="T1442" i="1"/>
  <c r="S1442" i="1"/>
  <c r="Q1442" i="1"/>
  <c r="V1441" i="1"/>
  <c r="U1441" i="1"/>
  <c r="T1441" i="1"/>
  <c r="S1441" i="1"/>
  <c r="Q1441" i="1"/>
  <c r="C1441" i="1"/>
  <c r="Q1440" i="1"/>
  <c r="F1440" i="1"/>
  <c r="Q1439" i="1"/>
  <c r="F1439" i="1"/>
  <c r="Q1438" i="1"/>
  <c r="F1438" i="1"/>
  <c r="Q1437" i="1"/>
  <c r="F1437" i="1"/>
  <c r="Q1436" i="1"/>
  <c r="F1436" i="1"/>
  <c r="Q1435" i="1"/>
  <c r="F1435" i="1"/>
  <c r="Q1434" i="1"/>
  <c r="F1434" i="1"/>
  <c r="Q1433" i="1"/>
  <c r="F1433" i="1"/>
  <c r="Q1432" i="1"/>
  <c r="F1432" i="1"/>
  <c r="Q1431" i="1"/>
  <c r="F1431" i="1"/>
  <c r="Q1430" i="1"/>
  <c r="Q1429" i="1"/>
  <c r="X1426" i="1"/>
  <c r="W1426" i="1"/>
  <c r="V1426" i="1"/>
  <c r="U1426" i="1"/>
  <c r="T1426" i="1"/>
  <c r="S1426" i="1"/>
  <c r="Q1426" i="1"/>
  <c r="V1425" i="1"/>
  <c r="U1425" i="1"/>
  <c r="T1425" i="1"/>
  <c r="S1425" i="1"/>
  <c r="Q1425" i="1"/>
  <c r="V1424" i="1"/>
  <c r="U1424" i="1"/>
  <c r="T1424" i="1"/>
  <c r="S1424" i="1"/>
  <c r="Q1424" i="1"/>
  <c r="C1424" i="1"/>
  <c r="Q1423" i="1"/>
  <c r="F1423" i="1"/>
  <c r="Q1422" i="1"/>
  <c r="F1422" i="1"/>
  <c r="Q1421" i="1"/>
  <c r="F1421" i="1"/>
  <c r="Q1420" i="1"/>
  <c r="I1420" i="1"/>
  <c r="F1420" i="1"/>
  <c r="Q1419" i="1"/>
  <c r="I1419" i="1"/>
  <c r="F1419" i="1"/>
  <c r="Q1418" i="1"/>
  <c r="I1418" i="1"/>
  <c r="F1418" i="1"/>
  <c r="Q1417" i="1"/>
  <c r="F1417" i="1"/>
  <c r="Q1416" i="1"/>
  <c r="F1416" i="1"/>
  <c r="Q1415" i="1"/>
  <c r="F1415" i="1"/>
  <c r="Q1414" i="1"/>
  <c r="F1414" i="1"/>
  <c r="Q1413" i="1"/>
  <c r="Q1412" i="1"/>
  <c r="X1409" i="1"/>
  <c r="W1409" i="1"/>
  <c r="V1409" i="1"/>
  <c r="U1409" i="1"/>
  <c r="T1409" i="1"/>
  <c r="S1409" i="1"/>
  <c r="Q1409" i="1"/>
  <c r="V1408" i="1"/>
  <c r="U1408" i="1"/>
  <c r="T1408" i="1"/>
  <c r="S1408" i="1"/>
  <c r="Q1408" i="1"/>
  <c r="V1407" i="1"/>
  <c r="U1407" i="1"/>
  <c r="T1407" i="1"/>
  <c r="S1407" i="1"/>
  <c r="Q1407" i="1"/>
  <c r="C1407" i="1"/>
  <c r="Q1406" i="1"/>
  <c r="F1406" i="1"/>
  <c r="Q1405" i="1"/>
  <c r="F1405" i="1"/>
  <c r="Q1404" i="1"/>
  <c r="F1404" i="1"/>
  <c r="Q1403" i="1"/>
  <c r="I1403" i="1"/>
  <c r="F1403" i="1"/>
  <c r="Q1402" i="1"/>
  <c r="I1402" i="1"/>
  <c r="F1402" i="1"/>
  <c r="Q1401" i="1"/>
  <c r="I1401" i="1"/>
  <c r="F1401" i="1"/>
  <c r="Q1400" i="1"/>
  <c r="F1400" i="1"/>
  <c r="Q1399" i="1"/>
  <c r="F1399" i="1"/>
  <c r="Q1398" i="1"/>
  <c r="F1398" i="1"/>
  <c r="Q1397" i="1"/>
  <c r="F1397" i="1"/>
  <c r="Q1396" i="1"/>
  <c r="Q1395" i="1"/>
  <c r="X1392" i="1"/>
  <c r="W1392" i="1"/>
  <c r="V1392" i="1"/>
  <c r="U1392" i="1"/>
  <c r="T1392" i="1"/>
  <c r="S1392" i="1"/>
  <c r="Q1392" i="1"/>
  <c r="V1391" i="1"/>
  <c r="U1391" i="1"/>
  <c r="T1391" i="1"/>
  <c r="S1391" i="1"/>
  <c r="Q1391" i="1"/>
  <c r="V1390" i="1"/>
  <c r="U1390" i="1"/>
  <c r="T1390" i="1"/>
  <c r="S1390" i="1"/>
  <c r="Q1390" i="1"/>
  <c r="C1390" i="1"/>
  <c r="Q1389" i="1"/>
  <c r="F1389" i="1"/>
  <c r="Q1388" i="1"/>
  <c r="F1388" i="1"/>
  <c r="Q1387" i="1"/>
  <c r="F1387" i="1"/>
  <c r="Q1386" i="1"/>
  <c r="I1386" i="1"/>
  <c r="F1386" i="1"/>
  <c r="Q1385" i="1"/>
  <c r="I1385" i="1"/>
  <c r="F1385" i="1"/>
  <c r="Q1384" i="1"/>
  <c r="I1384" i="1"/>
  <c r="F1384" i="1"/>
  <c r="Q1383" i="1"/>
  <c r="F1383" i="1"/>
  <c r="Q1382" i="1"/>
  <c r="F1382" i="1"/>
  <c r="Q1381" i="1"/>
  <c r="F1381" i="1"/>
  <c r="Q1380" i="1"/>
  <c r="F1380" i="1"/>
  <c r="Q1379" i="1"/>
  <c r="Q1378" i="1"/>
  <c r="X1375" i="1"/>
  <c r="W1375" i="1"/>
  <c r="V1375" i="1"/>
  <c r="U1375" i="1"/>
  <c r="T1375" i="1"/>
  <c r="S1375" i="1"/>
  <c r="Q1375" i="1"/>
  <c r="V1374" i="1"/>
  <c r="U1374" i="1"/>
  <c r="T1374" i="1"/>
  <c r="S1374" i="1"/>
  <c r="Q1374" i="1"/>
  <c r="V1373" i="1"/>
  <c r="U1373" i="1"/>
  <c r="T1373" i="1"/>
  <c r="S1373" i="1"/>
  <c r="Q1373" i="1"/>
  <c r="C1373" i="1"/>
  <c r="Q1372" i="1"/>
  <c r="F1372" i="1"/>
  <c r="Q1371" i="1"/>
  <c r="F1371" i="1"/>
  <c r="Q1370" i="1"/>
  <c r="F1370" i="1"/>
  <c r="Q1369" i="1"/>
  <c r="I1369" i="1"/>
  <c r="F1369" i="1"/>
  <c r="Q1368" i="1"/>
  <c r="I1368" i="1"/>
  <c r="F1368" i="1"/>
  <c r="Q1367" i="1"/>
  <c r="I1367" i="1"/>
  <c r="F1367" i="1"/>
  <c r="Q1366" i="1"/>
  <c r="F1366" i="1"/>
  <c r="Q1365" i="1"/>
  <c r="F1365" i="1"/>
  <c r="Q1364" i="1"/>
  <c r="F1364" i="1"/>
  <c r="Q1363" i="1"/>
  <c r="F1363" i="1"/>
  <c r="Q1362" i="1"/>
  <c r="Q1361" i="1"/>
  <c r="X1358" i="1"/>
  <c r="W1358" i="1"/>
  <c r="V1358" i="1"/>
  <c r="U1358" i="1"/>
  <c r="T1358" i="1"/>
  <c r="S1358" i="1"/>
  <c r="Q1358" i="1"/>
  <c r="V1357" i="1"/>
  <c r="U1357" i="1"/>
  <c r="T1357" i="1"/>
  <c r="S1357" i="1"/>
  <c r="Q1357" i="1"/>
  <c r="V1356" i="1"/>
  <c r="U1356" i="1"/>
  <c r="T1356" i="1"/>
  <c r="S1356" i="1"/>
  <c r="Q1356" i="1"/>
  <c r="C1356" i="1"/>
  <c r="Q1355" i="1"/>
  <c r="F1355" i="1"/>
  <c r="Q1354" i="1"/>
  <c r="F1354" i="1"/>
  <c r="Q1353" i="1"/>
  <c r="F1353" i="1"/>
  <c r="Q1352" i="1"/>
  <c r="I1352" i="1"/>
  <c r="F1352" i="1"/>
  <c r="Q1351" i="1"/>
  <c r="I1351" i="1"/>
  <c r="F1351" i="1"/>
  <c r="Q1350" i="1"/>
  <c r="I1350" i="1"/>
  <c r="F1350" i="1"/>
  <c r="Q1349" i="1"/>
  <c r="F1349" i="1"/>
  <c r="Q1348" i="1"/>
  <c r="F1348" i="1"/>
  <c r="Q1347" i="1"/>
  <c r="F1347" i="1"/>
  <c r="Q1346" i="1"/>
  <c r="F1346" i="1"/>
  <c r="Q1345" i="1"/>
  <c r="Q1344" i="1"/>
  <c r="X1341" i="1"/>
  <c r="W1341" i="1"/>
  <c r="V1341" i="1"/>
  <c r="U1341" i="1"/>
  <c r="T1341" i="1"/>
  <c r="S1341" i="1"/>
  <c r="Q1341" i="1"/>
  <c r="V1340" i="1"/>
  <c r="U1340" i="1"/>
  <c r="T1340" i="1"/>
  <c r="S1340" i="1"/>
  <c r="Q1340" i="1"/>
  <c r="V1339" i="1"/>
  <c r="U1339" i="1"/>
  <c r="T1339" i="1"/>
  <c r="S1339" i="1"/>
  <c r="Q1339" i="1"/>
  <c r="C1339" i="1"/>
  <c r="Q1338" i="1"/>
  <c r="F1338" i="1"/>
  <c r="Q1337" i="1"/>
  <c r="F1337" i="1"/>
  <c r="Q1336" i="1"/>
  <c r="F1336" i="1"/>
  <c r="Q1335" i="1"/>
  <c r="I1335" i="1"/>
  <c r="F1335" i="1"/>
  <c r="Q1334" i="1"/>
  <c r="I1334" i="1"/>
  <c r="F1334" i="1"/>
  <c r="Q1333" i="1"/>
  <c r="I1333" i="1"/>
  <c r="F1333" i="1"/>
  <c r="Q1332" i="1"/>
  <c r="F1332" i="1"/>
  <c r="Q1331" i="1"/>
  <c r="F1331" i="1"/>
  <c r="Q1330" i="1"/>
  <c r="F1330" i="1"/>
  <c r="Q1329" i="1"/>
  <c r="F1329" i="1"/>
  <c r="Q1328" i="1"/>
  <c r="Q1327" i="1"/>
  <c r="X1324" i="1"/>
  <c r="W1324" i="1"/>
  <c r="V1324" i="1"/>
  <c r="U1324" i="1"/>
  <c r="T1324" i="1"/>
  <c r="S1324" i="1"/>
  <c r="Q1324" i="1"/>
  <c r="V1323" i="1"/>
  <c r="U1323" i="1"/>
  <c r="T1323" i="1"/>
  <c r="S1323" i="1"/>
  <c r="Q1323" i="1"/>
  <c r="V1322" i="1"/>
  <c r="U1322" i="1"/>
  <c r="T1322" i="1"/>
  <c r="S1322" i="1"/>
  <c r="Q1322" i="1"/>
  <c r="C1322" i="1"/>
  <c r="Q1321" i="1"/>
  <c r="F1321" i="1"/>
  <c r="Q1320" i="1"/>
  <c r="F1320" i="1"/>
  <c r="Q1319" i="1"/>
  <c r="F1319" i="1"/>
  <c r="Q1318" i="1"/>
  <c r="I1318" i="1"/>
  <c r="F1318" i="1"/>
  <c r="Q1317" i="1"/>
  <c r="I1317" i="1"/>
  <c r="F1317" i="1"/>
  <c r="Q1316" i="1"/>
  <c r="I1316" i="1"/>
  <c r="F1316" i="1"/>
  <c r="Q1315" i="1"/>
  <c r="F1315" i="1"/>
  <c r="Q1314" i="1"/>
  <c r="F1314" i="1"/>
  <c r="Q1313" i="1"/>
  <c r="F1313" i="1"/>
  <c r="Q1312" i="1"/>
  <c r="F1312" i="1"/>
  <c r="Q1311" i="1"/>
  <c r="Q1310" i="1"/>
  <c r="X1307" i="1"/>
  <c r="W1307" i="1"/>
  <c r="V1307" i="1"/>
  <c r="U1307" i="1"/>
  <c r="T1307" i="1"/>
  <c r="S1307" i="1"/>
  <c r="Q1307" i="1"/>
  <c r="V1306" i="1"/>
  <c r="U1306" i="1"/>
  <c r="T1306" i="1"/>
  <c r="S1306" i="1"/>
  <c r="Q1306" i="1"/>
  <c r="V1305" i="1"/>
  <c r="U1305" i="1"/>
  <c r="T1305" i="1"/>
  <c r="S1305" i="1"/>
  <c r="Q1305" i="1"/>
  <c r="C1305" i="1"/>
  <c r="Q1304" i="1"/>
  <c r="F1304" i="1"/>
  <c r="Q1303" i="1"/>
  <c r="F1303" i="1"/>
  <c r="Q1302" i="1"/>
  <c r="F1302" i="1"/>
  <c r="Q1301" i="1"/>
  <c r="I1301" i="1"/>
  <c r="F1301" i="1"/>
  <c r="Q1300" i="1"/>
  <c r="I1300" i="1"/>
  <c r="F1300" i="1"/>
  <c r="Q1299" i="1"/>
  <c r="I1299" i="1"/>
  <c r="F1299" i="1"/>
  <c r="Q1298" i="1"/>
  <c r="F1298" i="1"/>
  <c r="Q1297" i="1"/>
  <c r="F1297" i="1"/>
  <c r="Q1296" i="1"/>
  <c r="F1296" i="1"/>
  <c r="Q1295" i="1"/>
  <c r="F1295" i="1"/>
  <c r="Q1294" i="1"/>
  <c r="Q1293" i="1"/>
  <c r="X1290" i="1"/>
  <c r="W1290" i="1"/>
  <c r="V1290" i="1"/>
  <c r="U1290" i="1"/>
  <c r="T1290" i="1"/>
  <c r="S1290" i="1"/>
  <c r="Q1290" i="1"/>
  <c r="V1289" i="1"/>
  <c r="U1289" i="1"/>
  <c r="T1289" i="1"/>
  <c r="S1289" i="1"/>
  <c r="Q1289" i="1"/>
  <c r="V1288" i="1"/>
  <c r="U1288" i="1"/>
  <c r="T1288" i="1"/>
  <c r="S1288" i="1"/>
  <c r="Q1288" i="1"/>
  <c r="C1288" i="1"/>
  <c r="Q1287" i="1"/>
  <c r="F1287" i="1"/>
  <c r="Q1286" i="1"/>
  <c r="F1286" i="1"/>
  <c r="Q1285" i="1"/>
  <c r="F1285" i="1"/>
  <c r="Q1284" i="1"/>
  <c r="I1284" i="1"/>
  <c r="F1284" i="1"/>
  <c r="Q1283" i="1"/>
  <c r="I1283" i="1"/>
  <c r="F1283" i="1"/>
  <c r="Q1282" i="1"/>
  <c r="I1282" i="1"/>
  <c r="F1282" i="1"/>
  <c r="Q1281" i="1"/>
  <c r="F1281" i="1"/>
  <c r="Q1280" i="1"/>
  <c r="F1280" i="1"/>
  <c r="Q1279" i="1"/>
  <c r="F1279" i="1"/>
  <c r="Q1278" i="1"/>
  <c r="F1278" i="1"/>
  <c r="Q1277" i="1"/>
  <c r="Q1276" i="1"/>
  <c r="X1273" i="1"/>
  <c r="W1273" i="1"/>
  <c r="V1273" i="1"/>
  <c r="U1273" i="1"/>
  <c r="T1273" i="1"/>
  <c r="S1273" i="1"/>
  <c r="Q1273" i="1"/>
  <c r="V1272" i="1"/>
  <c r="U1272" i="1"/>
  <c r="T1272" i="1"/>
  <c r="S1272" i="1"/>
  <c r="Q1272" i="1"/>
  <c r="V1271" i="1"/>
  <c r="U1271" i="1"/>
  <c r="T1271" i="1"/>
  <c r="S1271" i="1"/>
  <c r="Q1271" i="1"/>
  <c r="C1271" i="1"/>
  <c r="Q1270" i="1"/>
  <c r="F1270" i="1"/>
  <c r="Q1269" i="1"/>
  <c r="F1269" i="1"/>
  <c r="Q1268" i="1"/>
  <c r="F1268" i="1"/>
  <c r="Q1267" i="1"/>
  <c r="F1267" i="1"/>
  <c r="Q1266" i="1"/>
  <c r="F1266" i="1"/>
  <c r="Q1265" i="1"/>
  <c r="F1265" i="1"/>
  <c r="Q1264" i="1"/>
  <c r="F1264" i="1"/>
  <c r="Q1263" i="1"/>
  <c r="F1263" i="1"/>
  <c r="Q1262" i="1"/>
  <c r="F1262" i="1"/>
  <c r="Q1261" i="1"/>
  <c r="F1261" i="1"/>
  <c r="Q1260" i="1"/>
  <c r="Q1259" i="1"/>
  <c r="X1256" i="1"/>
  <c r="W1256" i="1"/>
  <c r="V1256" i="1"/>
  <c r="U1256" i="1"/>
  <c r="T1256" i="1"/>
  <c r="S1256" i="1"/>
  <c r="Q1256" i="1"/>
  <c r="V1255" i="1"/>
  <c r="U1255" i="1"/>
  <c r="T1255" i="1"/>
  <c r="S1255" i="1"/>
  <c r="Q1255" i="1"/>
  <c r="V1254" i="1"/>
  <c r="U1254" i="1"/>
  <c r="T1254" i="1"/>
  <c r="S1254" i="1"/>
  <c r="Q1254" i="1"/>
  <c r="C1254" i="1"/>
  <c r="Q1253" i="1"/>
  <c r="F1253" i="1"/>
  <c r="Q1252" i="1"/>
  <c r="F1252" i="1"/>
  <c r="Q1251" i="1"/>
  <c r="F1251" i="1"/>
  <c r="Q1250" i="1"/>
  <c r="F1250" i="1"/>
  <c r="Q1249" i="1"/>
  <c r="F1249" i="1"/>
  <c r="Q1248" i="1"/>
  <c r="F1248" i="1"/>
  <c r="Q1247" i="1"/>
  <c r="F1247" i="1"/>
  <c r="Q1246" i="1"/>
  <c r="F1246" i="1"/>
  <c r="Q1245" i="1"/>
  <c r="F1245" i="1"/>
  <c r="Q1244" i="1"/>
  <c r="F1244" i="1"/>
  <c r="Q1243" i="1"/>
  <c r="Q1242" i="1"/>
  <c r="X1239" i="1"/>
  <c r="W1239" i="1"/>
  <c r="V1239" i="1"/>
  <c r="U1239" i="1"/>
  <c r="T1239" i="1"/>
  <c r="S1239" i="1"/>
  <c r="Q1239" i="1"/>
  <c r="V1238" i="1"/>
  <c r="U1238" i="1"/>
  <c r="T1238" i="1"/>
  <c r="S1238" i="1"/>
  <c r="Q1238" i="1"/>
  <c r="V1237" i="1"/>
  <c r="U1237" i="1"/>
  <c r="T1237" i="1"/>
  <c r="S1237" i="1"/>
  <c r="Q1237" i="1"/>
  <c r="C1237" i="1"/>
  <c r="Q1236" i="1"/>
  <c r="F1236" i="1"/>
  <c r="Q1235" i="1"/>
  <c r="F1235" i="1"/>
  <c r="Q1234" i="1"/>
  <c r="F1234" i="1"/>
  <c r="Q1233" i="1"/>
  <c r="F1233" i="1"/>
  <c r="Q1232" i="1"/>
  <c r="F1232" i="1"/>
  <c r="Q1231" i="1"/>
  <c r="F1231" i="1"/>
  <c r="Q1230" i="1"/>
  <c r="F1230" i="1"/>
  <c r="Q1229" i="1"/>
  <c r="F1229" i="1"/>
  <c r="Q1228" i="1"/>
  <c r="F1228" i="1"/>
  <c r="Q1227" i="1"/>
  <c r="F1227" i="1"/>
  <c r="Q1226" i="1"/>
  <c r="Q1225" i="1"/>
  <c r="X1222" i="1"/>
  <c r="W1222" i="1"/>
  <c r="V1222" i="1"/>
  <c r="U1222" i="1"/>
  <c r="T1222" i="1"/>
  <c r="S1222" i="1"/>
  <c r="Q1222" i="1"/>
  <c r="V1221" i="1"/>
  <c r="U1221" i="1"/>
  <c r="T1221" i="1"/>
  <c r="S1221" i="1"/>
  <c r="Q1221" i="1"/>
  <c r="V1220" i="1"/>
  <c r="U1220" i="1"/>
  <c r="T1220" i="1"/>
  <c r="S1220" i="1"/>
  <c r="Q1220" i="1"/>
  <c r="C1220" i="1"/>
  <c r="Q1219" i="1"/>
  <c r="F1219" i="1"/>
  <c r="Q1218" i="1"/>
  <c r="F1218" i="1"/>
  <c r="Q1217" i="1"/>
  <c r="F1217" i="1"/>
  <c r="Q1216" i="1"/>
  <c r="I1216" i="1"/>
  <c r="F1216" i="1"/>
  <c r="Q1215" i="1"/>
  <c r="I1215" i="1"/>
  <c r="F1215" i="1"/>
  <c r="Q1214" i="1"/>
  <c r="I1214" i="1"/>
  <c r="F1214" i="1"/>
  <c r="Q1213" i="1"/>
  <c r="F1213" i="1"/>
  <c r="Q1212" i="1"/>
  <c r="F1212" i="1"/>
  <c r="Q1211" i="1"/>
  <c r="F1211" i="1"/>
  <c r="Q1210" i="1"/>
  <c r="F1210" i="1"/>
  <c r="Q1209" i="1"/>
  <c r="Q1208" i="1"/>
  <c r="X1205" i="1"/>
  <c r="W1205" i="1"/>
  <c r="V1205" i="1"/>
  <c r="U1205" i="1"/>
  <c r="T1205" i="1"/>
  <c r="S1205" i="1"/>
  <c r="Q1205" i="1"/>
  <c r="V1204" i="1"/>
  <c r="U1204" i="1"/>
  <c r="T1204" i="1"/>
  <c r="S1204" i="1"/>
  <c r="Q1204" i="1"/>
  <c r="V1203" i="1"/>
  <c r="U1203" i="1"/>
  <c r="T1203" i="1"/>
  <c r="S1203" i="1"/>
  <c r="Q1203" i="1"/>
  <c r="C1203" i="1"/>
  <c r="Q1202" i="1"/>
  <c r="F1202" i="1"/>
  <c r="Q1201" i="1"/>
  <c r="F1201" i="1"/>
  <c r="Q1200" i="1"/>
  <c r="F1200" i="1"/>
  <c r="Q1199" i="1"/>
  <c r="I1199" i="1"/>
  <c r="F1199" i="1"/>
  <c r="Q1198" i="1"/>
  <c r="I1198" i="1"/>
  <c r="F1198" i="1"/>
  <c r="Q1197" i="1"/>
  <c r="I1197" i="1"/>
  <c r="F1197" i="1"/>
  <c r="Q1196" i="1"/>
  <c r="F1196" i="1"/>
  <c r="Q1195" i="1"/>
  <c r="F1195" i="1"/>
  <c r="Q1194" i="1"/>
  <c r="F1194" i="1"/>
  <c r="Q1193" i="1"/>
  <c r="F1193" i="1"/>
  <c r="Q1192" i="1"/>
  <c r="Q1191" i="1"/>
  <c r="X1188" i="1"/>
  <c r="W1188" i="1"/>
  <c r="V1188" i="1"/>
  <c r="U1188" i="1"/>
  <c r="T1188" i="1"/>
  <c r="S1188" i="1"/>
  <c r="Q1188" i="1"/>
  <c r="V1187" i="1"/>
  <c r="U1187" i="1"/>
  <c r="T1187" i="1"/>
  <c r="S1187" i="1"/>
  <c r="Q1187" i="1"/>
  <c r="V1186" i="1"/>
  <c r="U1186" i="1"/>
  <c r="T1186" i="1"/>
  <c r="S1186" i="1"/>
  <c r="Q1186" i="1"/>
  <c r="C1186" i="1"/>
  <c r="Q1185" i="1"/>
  <c r="F1185" i="1"/>
  <c r="Q1184" i="1"/>
  <c r="F1184" i="1"/>
  <c r="Q1183" i="1"/>
  <c r="F1183" i="1"/>
  <c r="Q1182" i="1"/>
  <c r="I1182" i="1"/>
  <c r="F1182" i="1"/>
  <c r="Q1181" i="1"/>
  <c r="I1181" i="1"/>
  <c r="F1181" i="1"/>
  <c r="Q1180" i="1"/>
  <c r="I1180" i="1"/>
  <c r="F1180" i="1"/>
  <c r="Q1179" i="1"/>
  <c r="F1179" i="1"/>
  <c r="Q1178" i="1"/>
  <c r="F1178" i="1"/>
  <c r="Q1177" i="1"/>
  <c r="F1177" i="1"/>
  <c r="Q1176" i="1"/>
  <c r="F1176" i="1"/>
  <c r="Q1175" i="1"/>
  <c r="Q1174" i="1"/>
  <c r="X1171" i="1"/>
  <c r="W1171" i="1"/>
  <c r="V1171" i="1"/>
  <c r="U1171" i="1"/>
  <c r="T1171" i="1"/>
  <c r="S1171" i="1"/>
  <c r="Q1171" i="1"/>
  <c r="V1170" i="1"/>
  <c r="U1170" i="1"/>
  <c r="T1170" i="1"/>
  <c r="S1170" i="1"/>
  <c r="Q1170" i="1"/>
  <c r="V1169" i="1"/>
  <c r="U1169" i="1"/>
  <c r="T1169" i="1"/>
  <c r="S1169" i="1"/>
  <c r="Q1169" i="1"/>
  <c r="C1169" i="1"/>
  <c r="Q1168" i="1"/>
  <c r="F1168" i="1"/>
  <c r="Q1167" i="1"/>
  <c r="F1167" i="1"/>
  <c r="Q1166" i="1"/>
  <c r="F1166" i="1"/>
  <c r="Q1165" i="1"/>
  <c r="I1165" i="1"/>
  <c r="F1165" i="1"/>
  <c r="Q1164" i="1"/>
  <c r="I1164" i="1"/>
  <c r="F1164" i="1"/>
  <c r="Q1163" i="1"/>
  <c r="I1163" i="1"/>
  <c r="F1163" i="1"/>
  <c r="Q1162" i="1"/>
  <c r="F1162" i="1"/>
  <c r="Q1161" i="1"/>
  <c r="F1161" i="1"/>
  <c r="Q1160" i="1"/>
  <c r="F1160" i="1"/>
  <c r="Q1159" i="1"/>
  <c r="F1159" i="1"/>
  <c r="Q1158" i="1"/>
  <c r="Q1157" i="1"/>
  <c r="X1154" i="1"/>
  <c r="W1154" i="1"/>
  <c r="V1154" i="1"/>
  <c r="U1154" i="1"/>
  <c r="T1154" i="1"/>
  <c r="S1154" i="1"/>
  <c r="Q1154" i="1"/>
  <c r="V1153" i="1"/>
  <c r="U1153" i="1"/>
  <c r="T1153" i="1"/>
  <c r="S1153" i="1"/>
  <c r="Q1153" i="1"/>
  <c r="V1152" i="1"/>
  <c r="U1152" i="1"/>
  <c r="T1152" i="1"/>
  <c r="S1152" i="1"/>
  <c r="Q1152" i="1"/>
  <c r="C1152" i="1"/>
  <c r="Q1151" i="1"/>
  <c r="F1151" i="1"/>
  <c r="Q1150" i="1"/>
  <c r="F1150" i="1"/>
  <c r="Q1149" i="1"/>
  <c r="F1149" i="1"/>
  <c r="Q1148" i="1"/>
  <c r="I1148" i="1"/>
  <c r="F1148" i="1"/>
  <c r="Q1147" i="1"/>
  <c r="I1147" i="1"/>
  <c r="F1147" i="1"/>
  <c r="Q1146" i="1"/>
  <c r="I1146" i="1"/>
  <c r="F1146" i="1"/>
  <c r="Q1145" i="1"/>
  <c r="F1145" i="1"/>
  <c r="Q1144" i="1"/>
  <c r="F1144" i="1"/>
  <c r="Q1143" i="1"/>
  <c r="F1143" i="1"/>
  <c r="Q1142" i="1"/>
  <c r="F1142" i="1"/>
  <c r="Q1141" i="1"/>
  <c r="Q1140" i="1"/>
  <c r="X1137" i="1"/>
  <c r="W1137" i="1"/>
  <c r="V1137" i="1"/>
  <c r="U1137" i="1"/>
  <c r="T1137" i="1"/>
  <c r="S1137" i="1"/>
  <c r="Q1137" i="1"/>
  <c r="V1136" i="1"/>
  <c r="U1136" i="1"/>
  <c r="T1136" i="1"/>
  <c r="S1136" i="1"/>
  <c r="Q1136" i="1"/>
  <c r="V1135" i="1"/>
  <c r="U1135" i="1"/>
  <c r="T1135" i="1"/>
  <c r="S1135" i="1"/>
  <c r="Q1135" i="1"/>
  <c r="C1135" i="1"/>
  <c r="Q1134" i="1"/>
  <c r="F1134" i="1"/>
  <c r="Q1133" i="1"/>
  <c r="F1133" i="1"/>
  <c r="Q1132" i="1"/>
  <c r="F1132" i="1"/>
  <c r="Q1131" i="1"/>
  <c r="I1131" i="1"/>
  <c r="F1131" i="1"/>
  <c r="Q1130" i="1"/>
  <c r="I1130" i="1"/>
  <c r="F1130" i="1"/>
  <c r="Q1129" i="1"/>
  <c r="I1129" i="1"/>
  <c r="F1129" i="1"/>
  <c r="Q1128" i="1"/>
  <c r="F1128" i="1"/>
  <c r="Q1127" i="1"/>
  <c r="F1127" i="1"/>
  <c r="Q1126" i="1"/>
  <c r="F1126" i="1"/>
  <c r="Q1125" i="1"/>
  <c r="F1125" i="1"/>
  <c r="Q1124" i="1"/>
  <c r="Q1123" i="1"/>
  <c r="X1120" i="1"/>
  <c r="W1120" i="1"/>
  <c r="V1120" i="1"/>
  <c r="U1120" i="1"/>
  <c r="T1120" i="1"/>
  <c r="S1120" i="1"/>
  <c r="Q1120" i="1"/>
  <c r="V1119" i="1"/>
  <c r="U1119" i="1"/>
  <c r="T1119" i="1"/>
  <c r="S1119" i="1"/>
  <c r="Q1119" i="1"/>
  <c r="V1118" i="1"/>
  <c r="U1118" i="1"/>
  <c r="T1118" i="1"/>
  <c r="S1118" i="1"/>
  <c r="Q1118" i="1"/>
  <c r="C1118" i="1"/>
  <c r="Q1117" i="1"/>
  <c r="F1117" i="1"/>
  <c r="Q1116" i="1"/>
  <c r="F1116" i="1"/>
  <c r="Q1115" i="1"/>
  <c r="F1115" i="1"/>
  <c r="Q1114" i="1"/>
  <c r="I1114" i="1"/>
  <c r="F1114" i="1"/>
  <c r="Q1113" i="1"/>
  <c r="I1113" i="1"/>
  <c r="F1113" i="1"/>
  <c r="Q1112" i="1"/>
  <c r="I1112" i="1"/>
  <c r="F1112" i="1"/>
  <c r="Q1111" i="1"/>
  <c r="F1111" i="1"/>
  <c r="Q1110" i="1"/>
  <c r="F1110" i="1"/>
  <c r="Q1109" i="1"/>
  <c r="F1109" i="1"/>
  <c r="Q1108" i="1"/>
  <c r="F1108" i="1"/>
  <c r="Q1107" i="1"/>
  <c r="Q1106" i="1"/>
  <c r="X1103" i="1"/>
  <c r="W1103" i="1"/>
  <c r="V1103" i="1"/>
  <c r="U1103" i="1"/>
  <c r="T1103" i="1"/>
  <c r="S1103" i="1"/>
  <c r="Q1103" i="1"/>
  <c r="V1102" i="1"/>
  <c r="U1102" i="1"/>
  <c r="T1102" i="1"/>
  <c r="S1102" i="1"/>
  <c r="Q1102" i="1"/>
  <c r="V1101" i="1"/>
  <c r="U1101" i="1"/>
  <c r="T1101" i="1"/>
  <c r="S1101" i="1"/>
  <c r="Q1101" i="1"/>
  <c r="C1101" i="1"/>
  <c r="Q1100" i="1"/>
  <c r="F1100" i="1"/>
  <c r="Q1099" i="1"/>
  <c r="F1099" i="1"/>
  <c r="Q1098" i="1"/>
  <c r="F1098" i="1"/>
  <c r="Q1097" i="1"/>
  <c r="I1097" i="1"/>
  <c r="F1097" i="1"/>
  <c r="Q1096" i="1"/>
  <c r="I1096" i="1"/>
  <c r="F1096" i="1"/>
  <c r="Q1095" i="1"/>
  <c r="I1095" i="1"/>
  <c r="F1095" i="1"/>
  <c r="Q1094" i="1"/>
  <c r="F1094" i="1"/>
  <c r="Q1093" i="1"/>
  <c r="F1093" i="1"/>
  <c r="Q1092" i="1"/>
  <c r="F1092" i="1"/>
  <c r="Q1091" i="1"/>
  <c r="F1091" i="1"/>
  <c r="Q1090" i="1"/>
  <c r="Q1089" i="1"/>
  <c r="X1086" i="1"/>
  <c r="W1086" i="1"/>
  <c r="V1086" i="1"/>
  <c r="U1086" i="1"/>
  <c r="T1086" i="1"/>
  <c r="S1086" i="1"/>
  <c r="Q1086" i="1"/>
  <c r="V1085" i="1"/>
  <c r="U1085" i="1"/>
  <c r="T1085" i="1"/>
  <c r="S1085" i="1"/>
  <c r="Q1085" i="1"/>
  <c r="V1084" i="1"/>
  <c r="U1084" i="1"/>
  <c r="T1084" i="1"/>
  <c r="S1084" i="1"/>
  <c r="Q1084" i="1"/>
  <c r="C1084" i="1"/>
  <c r="Q1083" i="1"/>
  <c r="F1083" i="1"/>
  <c r="Q1082" i="1"/>
  <c r="F1082" i="1"/>
  <c r="Q1081" i="1"/>
  <c r="F1081" i="1"/>
  <c r="Q1080" i="1"/>
  <c r="I1080" i="1"/>
  <c r="F1080" i="1"/>
  <c r="Q1079" i="1"/>
  <c r="I1079" i="1"/>
  <c r="F1079" i="1"/>
  <c r="Q1078" i="1"/>
  <c r="I1078" i="1"/>
  <c r="F1078" i="1"/>
  <c r="Q1077" i="1"/>
  <c r="F1077" i="1"/>
  <c r="Q1076" i="1"/>
  <c r="F1076" i="1"/>
  <c r="Q1075" i="1"/>
  <c r="F1075" i="1"/>
  <c r="Q1074" i="1"/>
  <c r="F1074" i="1"/>
  <c r="Q1073" i="1"/>
  <c r="Q1072" i="1"/>
  <c r="X1069" i="1"/>
  <c r="W1069" i="1"/>
  <c r="V1069" i="1"/>
  <c r="U1069" i="1"/>
  <c r="T1069" i="1"/>
  <c r="S1069" i="1"/>
  <c r="Q1069" i="1"/>
  <c r="V1068" i="1"/>
  <c r="U1068" i="1"/>
  <c r="T1068" i="1"/>
  <c r="S1068" i="1"/>
  <c r="Q1068" i="1"/>
  <c r="V1067" i="1"/>
  <c r="U1067" i="1"/>
  <c r="T1067" i="1"/>
  <c r="S1067" i="1"/>
  <c r="Q1067" i="1"/>
  <c r="C1067" i="1"/>
  <c r="Q1066" i="1"/>
  <c r="F1066" i="1"/>
  <c r="Q1065" i="1"/>
  <c r="F1065" i="1"/>
  <c r="Q1064" i="1"/>
  <c r="F1064" i="1"/>
  <c r="Q1063" i="1"/>
  <c r="F1063" i="1"/>
  <c r="Q1062" i="1"/>
  <c r="F1062" i="1"/>
  <c r="Q1061" i="1"/>
  <c r="F1061" i="1"/>
  <c r="Q1060" i="1"/>
  <c r="F1060" i="1"/>
  <c r="Q1059" i="1"/>
  <c r="F1059" i="1"/>
  <c r="Q1058" i="1"/>
  <c r="F1058" i="1"/>
  <c r="Q1057" i="1"/>
  <c r="F1057" i="1"/>
  <c r="Q1056" i="1"/>
  <c r="Q1055" i="1"/>
  <c r="X1052" i="1"/>
  <c r="W1052" i="1"/>
  <c r="V1052" i="1"/>
  <c r="U1052" i="1"/>
  <c r="T1052" i="1"/>
  <c r="S1052" i="1"/>
  <c r="Q1052" i="1"/>
  <c r="V1051" i="1"/>
  <c r="U1051" i="1"/>
  <c r="T1051" i="1"/>
  <c r="S1051" i="1"/>
  <c r="Q1051" i="1"/>
  <c r="V1050" i="1"/>
  <c r="U1050" i="1"/>
  <c r="T1050" i="1"/>
  <c r="S1050" i="1"/>
  <c r="Q1050" i="1"/>
  <c r="C1050" i="1"/>
  <c r="Q1049" i="1"/>
  <c r="F1049" i="1"/>
  <c r="Q1048" i="1"/>
  <c r="F1048" i="1"/>
  <c r="Q1047" i="1"/>
  <c r="F1047" i="1"/>
  <c r="Q1046" i="1"/>
  <c r="F1046" i="1"/>
  <c r="Q1045" i="1"/>
  <c r="F1045" i="1"/>
  <c r="Q1044" i="1"/>
  <c r="F1044" i="1"/>
  <c r="Q1043" i="1"/>
  <c r="F1043" i="1"/>
  <c r="Q1042" i="1"/>
  <c r="F1042" i="1"/>
  <c r="Q1041" i="1"/>
  <c r="F1041" i="1"/>
  <c r="Q1040" i="1"/>
  <c r="F1040" i="1"/>
  <c r="Q1039" i="1"/>
  <c r="Q1038" i="1"/>
  <c r="X1035" i="1"/>
  <c r="W1035" i="1"/>
  <c r="V1035" i="1"/>
  <c r="U1035" i="1"/>
  <c r="T1035" i="1"/>
  <c r="S1035" i="1"/>
  <c r="Q1035" i="1"/>
  <c r="V1034" i="1"/>
  <c r="U1034" i="1"/>
  <c r="T1034" i="1"/>
  <c r="S1034" i="1"/>
  <c r="Q1034" i="1"/>
  <c r="V1033" i="1"/>
  <c r="U1033" i="1"/>
  <c r="T1033" i="1"/>
  <c r="S1033" i="1"/>
  <c r="Q1033" i="1"/>
  <c r="C1033" i="1"/>
  <c r="Q1032" i="1"/>
  <c r="F1032" i="1"/>
  <c r="Q1031" i="1"/>
  <c r="F1031" i="1"/>
  <c r="Q1030" i="1"/>
  <c r="F1030" i="1"/>
  <c r="Q1029" i="1"/>
  <c r="F1029" i="1"/>
  <c r="Q1028" i="1"/>
  <c r="F1028" i="1"/>
  <c r="Q1027" i="1"/>
  <c r="F1027" i="1"/>
  <c r="Q1026" i="1"/>
  <c r="F1026" i="1"/>
  <c r="Q1025" i="1"/>
  <c r="F1025" i="1"/>
  <c r="Q1024" i="1"/>
  <c r="F1024" i="1"/>
  <c r="Q1023" i="1"/>
  <c r="F1023" i="1"/>
  <c r="Q1022" i="1"/>
  <c r="Q1021" i="1"/>
  <c r="X1018" i="1"/>
  <c r="W1018" i="1"/>
  <c r="V1018" i="1"/>
  <c r="U1018" i="1"/>
  <c r="T1018" i="1"/>
  <c r="S1018" i="1"/>
  <c r="Q1018" i="1"/>
  <c r="V1017" i="1"/>
  <c r="U1017" i="1"/>
  <c r="T1017" i="1"/>
  <c r="S1017" i="1"/>
  <c r="Q1017" i="1"/>
  <c r="V1016" i="1"/>
  <c r="U1016" i="1"/>
  <c r="T1016" i="1"/>
  <c r="S1016" i="1"/>
  <c r="Q1016" i="1"/>
  <c r="C1016" i="1"/>
  <c r="Q1015" i="1"/>
  <c r="F1015" i="1"/>
  <c r="Q1014" i="1"/>
  <c r="F1014" i="1"/>
  <c r="Q1013" i="1"/>
  <c r="F1013" i="1"/>
  <c r="Q1012" i="1"/>
  <c r="I1012" i="1"/>
  <c r="F1012" i="1"/>
  <c r="Q1011" i="1"/>
  <c r="I1011" i="1"/>
  <c r="F1011" i="1"/>
  <c r="Q1010" i="1"/>
  <c r="I1010" i="1"/>
  <c r="F1010" i="1"/>
  <c r="Q1009" i="1"/>
  <c r="F1009" i="1"/>
  <c r="Q1008" i="1"/>
  <c r="F1008" i="1"/>
  <c r="Q1007" i="1"/>
  <c r="F1007" i="1"/>
  <c r="Q1006" i="1"/>
  <c r="F1006" i="1"/>
  <c r="Q1005" i="1"/>
  <c r="Q1004" i="1"/>
  <c r="X1001" i="1"/>
  <c r="W1001" i="1"/>
  <c r="V1001" i="1"/>
  <c r="U1001" i="1"/>
  <c r="T1001" i="1"/>
  <c r="S1001" i="1"/>
  <c r="Q1001" i="1"/>
  <c r="V1000" i="1"/>
  <c r="U1000" i="1"/>
  <c r="T1000" i="1"/>
  <c r="S1000" i="1"/>
  <c r="Q1000" i="1"/>
  <c r="V999" i="1"/>
  <c r="U999" i="1"/>
  <c r="T999" i="1"/>
  <c r="S999" i="1"/>
  <c r="Q999" i="1"/>
  <c r="C999" i="1"/>
  <c r="Q998" i="1"/>
  <c r="F998" i="1"/>
  <c r="Q997" i="1"/>
  <c r="F997" i="1"/>
  <c r="Q996" i="1"/>
  <c r="F996" i="1"/>
  <c r="Q995" i="1"/>
  <c r="I995" i="1"/>
  <c r="F995" i="1"/>
  <c r="Q994" i="1"/>
  <c r="I994" i="1"/>
  <c r="F994" i="1"/>
  <c r="Q993" i="1"/>
  <c r="I993" i="1"/>
  <c r="F993" i="1"/>
  <c r="Q992" i="1"/>
  <c r="F992" i="1"/>
  <c r="Q991" i="1"/>
  <c r="F991" i="1"/>
  <c r="Q990" i="1"/>
  <c r="F990" i="1"/>
  <c r="Q989" i="1"/>
  <c r="F989" i="1"/>
  <c r="Q988" i="1"/>
  <c r="Q987" i="1"/>
  <c r="X984" i="1"/>
  <c r="W984" i="1"/>
  <c r="V984" i="1"/>
  <c r="U984" i="1"/>
  <c r="T984" i="1"/>
  <c r="S984" i="1"/>
  <c r="Q984" i="1"/>
  <c r="V983" i="1"/>
  <c r="U983" i="1"/>
  <c r="T983" i="1"/>
  <c r="S983" i="1"/>
  <c r="Q983" i="1"/>
  <c r="V982" i="1"/>
  <c r="U982" i="1"/>
  <c r="T982" i="1"/>
  <c r="S982" i="1"/>
  <c r="Q982" i="1"/>
  <c r="C982" i="1"/>
  <c r="Q981" i="1"/>
  <c r="F981" i="1"/>
  <c r="Q980" i="1"/>
  <c r="F980" i="1"/>
  <c r="Q979" i="1"/>
  <c r="F979" i="1"/>
  <c r="Q978" i="1"/>
  <c r="I978" i="1"/>
  <c r="F978" i="1"/>
  <c r="Q977" i="1"/>
  <c r="I977" i="1"/>
  <c r="F977" i="1"/>
  <c r="Q976" i="1"/>
  <c r="I976" i="1"/>
  <c r="F976" i="1"/>
  <c r="Q975" i="1"/>
  <c r="F975" i="1"/>
  <c r="Q974" i="1"/>
  <c r="F974" i="1"/>
  <c r="Q973" i="1"/>
  <c r="F973" i="1"/>
  <c r="Q972" i="1"/>
  <c r="F972" i="1"/>
  <c r="Q971" i="1"/>
  <c r="Q970" i="1"/>
  <c r="X967" i="1"/>
  <c r="W967" i="1"/>
  <c r="V967" i="1"/>
  <c r="U967" i="1"/>
  <c r="T967" i="1"/>
  <c r="S967" i="1"/>
  <c r="Q967" i="1"/>
  <c r="V966" i="1"/>
  <c r="U966" i="1"/>
  <c r="T966" i="1"/>
  <c r="S966" i="1"/>
  <c r="Q966" i="1"/>
  <c r="V965" i="1"/>
  <c r="U965" i="1"/>
  <c r="T965" i="1"/>
  <c r="S965" i="1"/>
  <c r="Q965" i="1"/>
  <c r="C965" i="1"/>
  <c r="Q964" i="1"/>
  <c r="F964" i="1"/>
  <c r="Q963" i="1"/>
  <c r="F963" i="1"/>
  <c r="Q962" i="1"/>
  <c r="F962" i="1"/>
  <c r="Q961" i="1"/>
  <c r="I961" i="1"/>
  <c r="F961" i="1"/>
  <c r="Q960" i="1"/>
  <c r="I960" i="1"/>
  <c r="F960" i="1"/>
  <c r="Q959" i="1"/>
  <c r="I959" i="1"/>
  <c r="F959" i="1"/>
  <c r="Q958" i="1"/>
  <c r="F958" i="1"/>
  <c r="Q957" i="1"/>
  <c r="F957" i="1"/>
  <c r="Q956" i="1"/>
  <c r="F956" i="1"/>
  <c r="Q955" i="1"/>
  <c r="F955" i="1"/>
  <c r="Q954" i="1"/>
  <c r="Q953" i="1"/>
  <c r="X950" i="1"/>
  <c r="W950" i="1"/>
  <c r="V950" i="1"/>
  <c r="U950" i="1"/>
  <c r="T950" i="1"/>
  <c r="S950" i="1"/>
  <c r="Q950" i="1"/>
  <c r="V949" i="1"/>
  <c r="U949" i="1"/>
  <c r="T949" i="1"/>
  <c r="S949" i="1"/>
  <c r="Q949" i="1"/>
  <c r="V948" i="1"/>
  <c r="U948" i="1"/>
  <c r="T948" i="1"/>
  <c r="S948" i="1"/>
  <c r="Q948" i="1"/>
  <c r="C948" i="1"/>
  <c r="Q947" i="1"/>
  <c r="F947" i="1"/>
  <c r="Q946" i="1"/>
  <c r="F946" i="1"/>
  <c r="Q945" i="1"/>
  <c r="F945" i="1"/>
  <c r="Q944" i="1"/>
  <c r="I944" i="1"/>
  <c r="F944" i="1"/>
  <c r="Q943" i="1"/>
  <c r="I943" i="1"/>
  <c r="F943" i="1"/>
  <c r="Q942" i="1"/>
  <c r="I942" i="1"/>
  <c r="F942" i="1"/>
  <c r="Q941" i="1"/>
  <c r="F941" i="1"/>
  <c r="Q940" i="1"/>
  <c r="F940" i="1"/>
  <c r="Q939" i="1"/>
  <c r="F939" i="1"/>
  <c r="Q938" i="1"/>
  <c r="F938" i="1"/>
  <c r="Q937" i="1"/>
  <c r="Q936" i="1"/>
  <c r="X933" i="1"/>
  <c r="W933" i="1"/>
  <c r="V933" i="1"/>
  <c r="U933" i="1"/>
  <c r="T933" i="1"/>
  <c r="S933" i="1"/>
  <c r="Q933" i="1"/>
  <c r="V932" i="1"/>
  <c r="U932" i="1"/>
  <c r="T932" i="1"/>
  <c r="S932" i="1"/>
  <c r="Q932" i="1"/>
  <c r="V931" i="1"/>
  <c r="U931" i="1"/>
  <c r="T931" i="1"/>
  <c r="S931" i="1"/>
  <c r="Q931" i="1"/>
  <c r="C931" i="1"/>
  <c r="Q930" i="1"/>
  <c r="F930" i="1"/>
  <c r="Q929" i="1"/>
  <c r="F929" i="1"/>
  <c r="Q928" i="1"/>
  <c r="F928" i="1"/>
  <c r="Q927" i="1"/>
  <c r="I927" i="1"/>
  <c r="F927" i="1"/>
  <c r="Q926" i="1"/>
  <c r="I926" i="1"/>
  <c r="F926" i="1"/>
  <c r="Q925" i="1"/>
  <c r="I925" i="1"/>
  <c r="F925" i="1"/>
  <c r="Q924" i="1"/>
  <c r="F924" i="1"/>
  <c r="Q923" i="1"/>
  <c r="F923" i="1"/>
  <c r="Q922" i="1"/>
  <c r="F922" i="1"/>
  <c r="Q921" i="1"/>
  <c r="F921" i="1"/>
  <c r="Q920" i="1"/>
  <c r="Q919" i="1"/>
  <c r="X916" i="1"/>
  <c r="W916" i="1"/>
  <c r="V916" i="1"/>
  <c r="U916" i="1"/>
  <c r="T916" i="1"/>
  <c r="S916" i="1"/>
  <c r="Q916" i="1"/>
  <c r="V915" i="1"/>
  <c r="U915" i="1"/>
  <c r="T915" i="1"/>
  <c r="S915" i="1"/>
  <c r="Q915" i="1"/>
  <c r="V914" i="1"/>
  <c r="U914" i="1"/>
  <c r="T914" i="1"/>
  <c r="S914" i="1"/>
  <c r="Q914" i="1"/>
  <c r="C914" i="1"/>
  <c r="Q913" i="1"/>
  <c r="F913" i="1"/>
  <c r="Q912" i="1"/>
  <c r="F912" i="1"/>
  <c r="Q911" i="1"/>
  <c r="F911" i="1"/>
  <c r="Q910" i="1"/>
  <c r="I910" i="1"/>
  <c r="F910" i="1"/>
  <c r="Q909" i="1"/>
  <c r="I909" i="1"/>
  <c r="F909" i="1"/>
  <c r="Q908" i="1"/>
  <c r="I908" i="1"/>
  <c r="F908" i="1"/>
  <c r="Q907" i="1"/>
  <c r="F907" i="1"/>
  <c r="Q906" i="1"/>
  <c r="F906" i="1"/>
  <c r="Q905" i="1"/>
  <c r="F905" i="1"/>
  <c r="Q904" i="1"/>
  <c r="F904" i="1"/>
  <c r="Q903" i="1"/>
  <c r="Q902" i="1"/>
  <c r="X899" i="1"/>
  <c r="W899" i="1"/>
  <c r="V899" i="1"/>
  <c r="U899" i="1"/>
  <c r="T899" i="1"/>
  <c r="S899" i="1"/>
  <c r="Q899" i="1"/>
  <c r="V898" i="1"/>
  <c r="U898" i="1"/>
  <c r="T898" i="1"/>
  <c r="S898" i="1"/>
  <c r="Q898" i="1"/>
  <c r="V897" i="1"/>
  <c r="U897" i="1"/>
  <c r="T897" i="1"/>
  <c r="S897" i="1"/>
  <c r="Q897" i="1"/>
  <c r="C897" i="1"/>
  <c r="Q896" i="1"/>
  <c r="F896" i="1"/>
  <c r="Q895" i="1"/>
  <c r="F895" i="1"/>
  <c r="Q894" i="1"/>
  <c r="F894" i="1"/>
  <c r="Q893" i="1"/>
  <c r="I893" i="1"/>
  <c r="F893" i="1"/>
  <c r="Q892" i="1"/>
  <c r="I892" i="1"/>
  <c r="F892" i="1"/>
  <c r="Q891" i="1"/>
  <c r="I891" i="1"/>
  <c r="F891" i="1"/>
  <c r="Q890" i="1"/>
  <c r="F890" i="1"/>
  <c r="Q889" i="1"/>
  <c r="F889" i="1"/>
  <c r="Q888" i="1"/>
  <c r="F888" i="1"/>
  <c r="Q887" i="1"/>
  <c r="N887" i="1"/>
  <c r="P898" i="1" s="1"/>
  <c r="P899" i="1" s="1"/>
  <c r="F887" i="1"/>
  <c r="Q886" i="1"/>
  <c r="Q885" i="1"/>
  <c r="X882" i="1"/>
  <c r="W882" i="1"/>
  <c r="V882" i="1"/>
  <c r="U882" i="1"/>
  <c r="T882" i="1"/>
  <c r="S882" i="1"/>
  <c r="Q882" i="1"/>
  <c r="V881" i="1"/>
  <c r="U881" i="1"/>
  <c r="T881" i="1"/>
  <c r="S881" i="1"/>
  <c r="Q881" i="1"/>
  <c r="P881" i="1"/>
  <c r="P882" i="1" s="1"/>
  <c r="V880" i="1"/>
  <c r="U880" i="1"/>
  <c r="T880" i="1"/>
  <c r="S880" i="1"/>
  <c r="Q880" i="1"/>
  <c r="C880" i="1"/>
  <c r="Q879" i="1"/>
  <c r="F879" i="1"/>
  <c r="Q878" i="1"/>
  <c r="F878" i="1"/>
  <c r="Q877" i="1"/>
  <c r="F877" i="1"/>
  <c r="Q876" i="1"/>
  <c r="I876" i="1"/>
  <c r="F876" i="1"/>
  <c r="Q875" i="1"/>
  <c r="P875" i="1"/>
  <c r="P876" i="1" s="1"/>
  <c r="I875" i="1"/>
  <c r="F875" i="1"/>
  <c r="Q874" i="1"/>
  <c r="I874" i="1"/>
  <c r="F874" i="1"/>
  <c r="Q873" i="1"/>
  <c r="F873" i="1"/>
  <c r="Q872" i="1"/>
  <c r="F872" i="1"/>
  <c r="Q871" i="1"/>
  <c r="F871" i="1"/>
  <c r="Q870" i="1"/>
  <c r="N870" i="1"/>
  <c r="M870" i="1"/>
  <c r="M887" i="1" s="1"/>
  <c r="L870" i="1"/>
  <c r="L887" i="1" s="1"/>
  <c r="F870" i="1"/>
  <c r="Q869" i="1"/>
  <c r="Q868" i="1"/>
  <c r="X865" i="1"/>
  <c r="W865" i="1"/>
  <c r="V865" i="1"/>
  <c r="U865" i="1"/>
  <c r="T865" i="1"/>
  <c r="S865" i="1"/>
  <c r="P865" i="1"/>
  <c r="V864" i="1"/>
  <c r="U864" i="1"/>
  <c r="T864" i="1"/>
  <c r="S864" i="1"/>
  <c r="P864" i="1"/>
  <c r="V863" i="1"/>
  <c r="U863" i="1"/>
  <c r="T863" i="1"/>
  <c r="S863" i="1"/>
  <c r="Q863" i="1"/>
  <c r="C863" i="1"/>
  <c r="Q861" i="1"/>
  <c r="Q862" i="1" s="1"/>
  <c r="P861" i="1"/>
  <c r="P862" i="1" s="1"/>
  <c r="Q860" i="1"/>
  <c r="P858" i="1"/>
  <c r="Q857" i="1"/>
  <c r="I873" i="1"/>
  <c r="I890" i="1" s="1"/>
  <c r="I907" i="1" s="1"/>
  <c r="I924" i="1" s="1"/>
  <c r="I941" i="1" s="1"/>
  <c r="I958" i="1" s="1"/>
  <c r="I975" i="1" s="1"/>
  <c r="I992" i="1" s="1"/>
  <c r="I1009" i="1" s="1"/>
  <c r="I1026" i="1" s="1"/>
  <c r="I1043" i="1" s="1"/>
  <c r="I1060" i="1" s="1"/>
  <c r="I1077" i="1" s="1"/>
  <c r="I1094" i="1" s="1"/>
  <c r="I1111" i="1" s="1"/>
  <c r="I1128" i="1" s="1"/>
  <c r="I1145" i="1" s="1"/>
  <c r="I1162" i="1" s="1"/>
  <c r="I1179" i="1" s="1"/>
  <c r="I1196" i="1" s="1"/>
  <c r="I1213" i="1" s="1"/>
  <c r="I1230" i="1" s="1"/>
  <c r="I1247" i="1" s="1"/>
  <c r="I1264" i="1" s="1"/>
  <c r="I1281" i="1" s="1"/>
  <c r="I1298" i="1" s="1"/>
  <c r="I1315" i="1" s="1"/>
  <c r="I1332" i="1" s="1"/>
  <c r="I1349" i="1" s="1"/>
  <c r="I1366" i="1" s="1"/>
  <c r="I1383" i="1" s="1"/>
  <c r="I1400" i="1" s="1"/>
  <c r="I1417" i="1" s="1"/>
  <c r="I1434" i="1" s="1"/>
  <c r="I1451" i="1" s="1"/>
  <c r="I1468" i="1" s="1"/>
  <c r="I1485" i="1" s="1"/>
  <c r="I1502" i="1" s="1"/>
  <c r="I1519" i="1" s="1"/>
  <c r="I1536" i="1" s="1"/>
  <c r="I1553" i="1" s="1"/>
  <c r="I1570" i="1" s="1"/>
  <c r="I1587" i="1" s="1"/>
  <c r="I1604" i="1" s="1"/>
  <c r="I1621" i="1" s="1"/>
  <c r="I1638" i="1" s="1"/>
  <c r="I1655" i="1" s="1"/>
  <c r="I1672" i="1" s="1"/>
  <c r="I1689" i="1" s="1"/>
  <c r="I1706" i="1" s="1"/>
  <c r="I1723" i="1" s="1"/>
  <c r="I1740" i="1" s="1"/>
  <c r="I1757" i="1" s="1"/>
  <c r="I1774" i="1" s="1"/>
  <c r="I1791" i="1" s="1"/>
  <c r="I1808" i="1" s="1"/>
  <c r="I1825" i="1" s="1"/>
  <c r="I872" i="1"/>
  <c r="I889" i="1" s="1"/>
  <c r="I906" i="1" s="1"/>
  <c r="I923" i="1" s="1"/>
  <c r="I940" i="1" s="1"/>
  <c r="I957" i="1" s="1"/>
  <c r="I974" i="1" s="1"/>
  <c r="I991" i="1" s="1"/>
  <c r="I1008" i="1" s="1"/>
  <c r="I1025" i="1" s="1"/>
  <c r="I1042" i="1" s="1"/>
  <c r="I1059" i="1" s="1"/>
  <c r="I1076" i="1" s="1"/>
  <c r="I1093" i="1" s="1"/>
  <c r="I1110" i="1" s="1"/>
  <c r="I1127" i="1" s="1"/>
  <c r="I1144" i="1" s="1"/>
  <c r="I1161" i="1" s="1"/>
  <c r="I1178" i="1" s="1"/>
  <c r="I1195" i="1" s="1"/>
  <c r="I1212" i="1" s="1"/>
  <c r="I1229" i="1" s="1"/>
  <c r="I1246" i="1" s="1"/>
  <c r="I1263" i="1" s="1"/>
  <c r="I1280" i="1" s="1"/>
  <c r="I1297" i="1" s="1"/>
  <c r="I1314" i="1" s="1"/>
  <c r="I1331" i="1" s="1"/>
  <c r="I1348" i="1" s="1"/>
  <c r="I1365" i="1" s="1"/>
  <c r="I1382" i="1" s="1"/>
  <c r="I1399" i="1" s="1"/>
  <c r="I1416" i="1" s="1"/>
  <c r="I1433" i="1" s="1"/>
  <c r="I1450" i="1" s="1"/>
  <c r="I1467" i="1" s="1"/>
  <c r="I1484" i="1" s="1"/>
  <c r="I1501" i="1" s="1"/>
  <c r="I1518" i="1" s="1"/>
  <c r="I1535" i="1" s="1"/>
  <c r="I1552" i="1" s="1"/>
  <c r="I1569" i="1" s="1"/>
  <c r="I1586" i="1" s="1"/>
  <c r="I1603" i="1" s="1"/>
  <c r="I1620" i="1" s="1"/>
  <c r="I1637" i="1" s="1"/>
  <c r="I1654" i="1" s="1"/>
  <c r="I1671" i="1" s="1"/>
  <c r="I1688" i="1" s="1"/>
  <c r="I1705" i="1" s="1"/>
  <c r="I1722" i="1" s="1"/>
  <c r="I1739" i="1" s="1"/>
  <c r="I1756" i="1" s="1"/>
  <c r="I1773" i="1" s="1"/>
  <c r="I1790" i="1" s="1"/>
  <c r="I1807" i="1" s="1"/>
  <c r="I1824" i="1" s="1"/>
  <c r="Q854" i="1"/>
  <c r="I871" i="1"/>
  <c r="I888" i="1" s="1"/>
  <c r="I905" i="1" s="1"/>
  <c r="I922" i="1" s="1"/>
  <c r="I939" i="1" s="1"/>
  <c r="I956" i="1" s="1"/>
  <c r="I973" i="1" s="1"/>
  <c r="I990" i="1" s="1"/>
  <c r="I1007" i="1" s="1"/>
  <c r="I1024" i="1" s="1"/>
  <c r="I1041" i="1" s="1"/>
  <c r="I1058" i="1" s="1"/>
  <c r="I1075" i="1" s="1"/>
  <c r="I1092" i="1" s="1"/>
  <c r="I1109" i="1" s="1"/>
  <c r="I1126" i="1" s="1"/>
  <c r="I1143" i="1" s="1"/>
  <c r="I1160" i="1" s="1"/>
  <c r="I1177" i="1" s="1"/>
  <c r="I1194" i="1" s="1"/>
  <c r="I1211" i="1" s="1"/>
  <c r="I1228" i="1" s="1"/>
  <c r="I1245" i="1" s="1"/>
  <c r="I1262" i="1" s="1"/>
  <c r="I1279" i="1" s="1"/>
  <c r="I1296" i="1" s="1"/>
  <c r="I1313" i="1" s="1"/>
  <c r="I1330" i="1" s="1"/>
  <c r="I1347" i="1" s="1"/>
  <c r="I1364" i="1" s="1"/>
  <c r="I1381" i="1" s="1"/>
  <c r="I1398" i="1" s="1"/>
  <c r="I1415" i="1" s="1"/>
  <c r="I1432" i="1" s="1"/>
  <c r="I1449" i="1" s="1"/>
  <c r="I1466" i="1" s="1"/>
  <c r="I1483" i="1" s="1"/>
  <c r="I1500" i="1" s="1"/>
  <c r="I1517" i="1" s="1"/>
  <c r="I1534" i="1" s="1"/>
  <c r="I1551" i="1" s="1"/>
  <c r="I1568" i="1" s="1"/>
  <c r="I1585" i="1" s="1"/>
  <c r="I1602" i="1" s="1"/>
  <c r="I1619" i="1" s="1"/>
  <c r="I1636" i="1" s="1"/>
  <c r="I1653" i="1" s="1"/>
  <c r="I1670" i="1" s="1"/>
  <c r="I1687" i="1" s="1"/>
  <c r="I1704" i="1" s="1"/>
  <c r="I1721" i="1" s="1"/>
  <c r="I1738" i="1" s="1"/>
  <c r="I1755" i="1" s="1"/>
  <c r="I1772" i="1" s="1"/>
  <c r="I1789" i="1" s="1"/>
  <c r="I1806" i="1" s="1"/>
  <c r="I1823" i="1" s="1"/>
  <c r="Q851" i="1"/>
  <c r="A849" i="1"/>
  <c r="P847" i="1"/>
  <c r="P846" i="1" s="1"/>
  <c r="P844" i="1"/>
  <c r="P845" i="1" s="1"/>
  <c r="Q843" i="1"/>
  <c r="N74" i="10" s="1"/>
  <c r="P842" i="1"/>
  <c r="P841" i="1"/>
  <c r="P840" i="1" s="1"/>
  <c r="G74" i="10" s="1"/>
  <c r="Q840" i="1"/>
  <c r="Q837" i="1"/>
  <c r="Q855" i="1" s="1"/>
  <c r="Q856" i="1" s="1"/>
  <c r="P835" i="1"/>
  <c r="P837" i="1" s="1"/>
  <c r="P831" i="1"/>
  <c r="BE73" i="10"/>
  <c r="BD73" i="10"/>
  <c r="Q830" i="1"/>
  <c r="Q831" i="1" s="1"/>
  <c r="P830" i="1"/>
  <c r="Q829" i="1"/>
  <c r="Q73" i="10" s="1"/>
  <c r="P829" i="1"/>
  <c r="F829" i="1"/>
  <c r="P828" i="1"/>
  <c r="P827" i="1"/>
  <c r="I827" i="1"/>
  <c r="Q826" i="1"/>
  <c r="P826" i="1"/>
  <c r="P825" i="1"/>
  <c r="P824" i="1"/>
  <c r="I824" i="1"/>
  <c r="Q823" i="1"/>
  <c r="Q824" i="1" s="1"/>
  <c r="Q825" i="1" s="1"/>
  <c r="P823" i="1"/>
  <c r="I823" i="1"/>
  <c r="P822" i="1"/>
  <c r="P821" i="1"/>
  <c r="Q820" i="1"/>
  <c r="L73" i="10" s="1"/>
  <c r="P820" i="1"/>
  <c r="F820" i="1"/>
  <c r="P819" i="1"/>
  <c r="F819" i="1"/>
  <c r="P818" i="1"/>
  <c r="P817" i="1"/>
  <c r="X814" i="1"/>
  <c r="W814" i="1"/>
  <c r="Q814" i="1"/>
  <c r="P814" i="1"/>
  <c r="Q813" i="1"/>
  <c r="P813" i="1"/>
  <c r="Q812" i="1"/>
  <c r="P812" i="1"/>
  <c r="I812" i="1"/>
  <c r="Q811" i="1"/>
  <c r="P811" i="1"/>
  <c r="X810" i="1"/>
  <c r="Q810" i="1"/>
  <c r="P810" i="1"/>
  <c r="I810" i="1"/>
  <c r="Q809" i="1"/>
  <c r="P809" i="1"/>
  <c r="Q808" i="1"/>
  <c r="P808" i="1"/>
  <c r="Q807" i="1"/>
  <c r="P807" i="1"/>
  <c r="N807" i="1"/>
  <c r="Z806" i="1"/>
  <c r="Q806" i="1"/>
  <c r="P806" i="1"/>
  <c r="N806" i="1"/>
  <c r="I806" i="1"/>
  <c r="Q805" i="1"/>
  <c r="P805" i="1"/>
  <c r="N805" i="1"/>
  <c r="F805" i="1"/>
  <c r="X804" i="1"/>
  <c r="Q804" i="1"/>
  <c r="P804" i="1"/>
  <c r="N804" i="1"/>
  <c r="Q803" i="1"/>
  <c r="P803" i="1"/>
  <c r="N803" i="1"/>
  <c r="F803" i="1"/>
  <c r="Q802" i="1"/>
  <c r="P802" i="1"/>
  <c r="N802" i="1"/>
  <c r="F802" i="1"/>
  <c r="Q801" i="1"/>
  <c r="P801" i="1"/>
  <c r="Q800" i="1"/>
  <c r="P800" i="1"/>
  <c r="Q797" i="1"/>
  <c r="P797" i="1"/>
  <c r="Q796" i="1"/>
  <c r="P796" i="1"/>
  <c r="Q795" i="1"/>
  <c r="P795" i="1"/>
  <c r="Q794" i="1"/>
  <c r="P794" i="1"/>
  <c r="Q793" i="1"/>
  <c r="P793" i="1"/>
  <c r="Q792" i="1"/>
  <c r="P792" i="1"/>
  <c r="I792" i="1"/>
  <c r="Q791" i="1"/>
  <c r="P791" i="1"/>
  <c r="Q790" i="1"/>
  <c r="P790" i="1"/>
  <c r="Q789" i="1"/>
  <c r="P789" i="1"/>
  <c r="Q788" i="1"/>
  <c r="P788" i="1"/>
  <c r="Q787" i="1"/>
  <c r="P787" i="1"/>
  <c r="N787" i="1"/>
  <c r="Q786" i="1"/>
  <c r="P786" i="1"/>
  <c r="N786" i="1"/>
  <c r="Q785" i="1"/>
  <c r="P785" i="1"/>
  <c r="N785" i="1"/>
  <c r="F785" i="1"/>
  <c r="Q784" i="1"/>
  <c r="P784" i="1"/>
  <c r="Q783" i="1"/>
  <c r="P783" i="1"/>
  <c r="Q780" i="1"/>
  <c r="P780" i="1"/>
  <c r="Q779" i="1"/>
  <c r="P779" i="1"/>
  <c r="Q778" i="1"/>
  <c r="P778" i="1"/>
  <c r="Q777" i="1"/>
  <c r="P777" i="1"/>
  <c r="Q776" i="1"/>
  <c r="P776" i="1"/>
  <c r="I776" i="1"/>
  <c r="Q775" i="1"/>
  <c r="P775" i="1"/>
  <c r="Q774" i="1"/>
  <c r="P774" i="1"/>
  <c r="N774" i="1"/>
  <c r="Q773" i="1"/>
  <c r="P773" i="1"/>
  <c r="N773" i="1"/>
  <c r="F773" i="1"/>
  <c r="Z772" i="1"/>
  <c r="Q772" i="1"/>
  <c r="P772" i="1"/>
  <c r="N772" i="1"/>
  <c r="Q771" i="1"/>
  <c r="P771" i="1"/>
  <c r="Q770" i="1"/>
  <c r="P770" i="1"/>
  <c r="Q769" i="1"/>
  <c r="P769" i="1"/>
  <c r="N769" i="1"/>
  <c r="F769" i="1"/>
  <c r="Q768" i="1"/>
  <c r="P768" i="1"/>
  <c r="F768" i="1"/>
  <c r="Q767" i="1"/>
  <c r="P767" i="1"/>
  <c r="Q766" i="1"/>
  <c r="P766" i="1"/>
  <c r="X763" i="1"/>
  <c r="W763" i="1"/>
  <c r="Q763" i="1"/>
  <c r="P763" i="1"/>
  <c r="Q762" i="1"/>
  <c r="P762" i="1"/>
  <c r="Q761" i="1"/>
  <c r="P761" i="1"/>
  <c r="Q760" i="1"/>
  <c r="P760" i="1"/>
  <c r="Q759" i="1"/>
  <c r="P759" i="1"/>
  <c r="I759" i="1"/>
  <c r="Q758" i="1"/>
  <c r="P758" i="1"/>
  <c r="I758" i="1"/>
  <c r="Q757" i="1"/>
  <c r="P757" i="1"/>
  <c r="Q756" i="1"/>
  <c r="P756" i="1"/>
  <c r="Z755" i="1"/>
  <c r="Q755" i="1"/>
  <c r="P755" i="1"/>
  <c r="Q754" i="1"/>
  <c r="P754" i="1"/>
  <c r="N754" i="1"/>
  <c r="Q753" i="1"/>
  <c r="P753" i="1"/>
  <c r="N753" i="1"/>
  <c r="Q752" i="1"/>
  <c r="P752" i="1"/>
  <c r="F752" i="1"/>
  <c r="Q751" i="1"/>
  <c r="P751" i="1"/>
  <c r="F751" i="1"/>
  <c r="Q750" i="1"/>
  <c r="P750" i="1"/>
  <c r="Q749" i="1"/>
  <c r="P749" i="1"/>
  <c r="Q746" i="1"/>
  <c r="P746" i="1"/>
  <c r="Q745" i="1"/>
  <c r="P745" i="1"/>
  <c r="Q744" i="1"/>
  <c r="P744" i="1"/>
  <c r="Q743" i="1"/>
  <c r="P743" i="1"/>
  <c r="Q742" i="1"/>
  <c r="P742" i="1"/>
  <c r="I742" i="1"/>
  <c r="Q741" i="1"/>
  <c r="P741" i="1"/>
  <c r="N741" i="1"/>
  <c r="Q740" i="1"/>
  <c r="P740" i="1"/>
  <c r="Q739" i="1"/>
  <c r="P739" i="1"/>
  <c r="Z738" i="1"/>
  <c r="Q738" i="1"/>
  <c r="P738" i="1"/>
  <c r="Q737" i="1"/>
  <c r="P737" i="1"/>
  <c r="C737" i="1"/>
  <c r="Q736" i="1"/>
  <c r="P736" i="1"/>
  <c r="Q735" i="1"/>
  <c r="P735" i="1"/>
  <c r="F735" i="1"/>
  <c r="Q734" i="1"/>
  <c r="P734" i="1"/>
  <c r="F734" i="1"/>
  <c r="Q733" i="1"/>
  <c r="P733" i="1"/>
  <c r="Q732" i="1"/>
  <c r="P732" i="1"/>
  <c r="Q729" i="1"/>
  <c r="P729" i="1"/>
  <c r="Q728" i="1"/>
  <c r="P728" i="1"/>
  <c r="Q727" i="1"/>
  <c r="P727" i="1"/>
  <c r="Q726" i="1"/>
  <c r="P726" i="1"/>
  <c r="Z725" i="1"/>
  <c r="Q725" i="1"/>
  <c r="P725" i="1"/>
  <c r="Q724" i="1"/>
  <c r="P724" i="1"/>
  <c r="Q723" i="1"/>
  <c r="P723" i="1"/>
  <c r="I723" i="1"/>
  <c r="Q722" i="1"/>
  <c r="P722" i="1"/>
  <c r="I722" i="1"/>
  <c r="Z721" i="1"/>
  <c r="Q721" i="1"/>
  <c r="P721" i="1"/>
  <c r="N721" i="1"/>
  <c r="Q720" i="1"/>
  <c r="P720" i="1"/>
  <c r="Q719" i="1"/>
  <c r="P719" i="1"/>
  <c r="Q718" i="1"/>
  <c r="P718" i="1"/>
  <c r="F718" i="1"/>
  <c r="C718" i="1"/>
  <c r="Q717" i="1"/>
  <c r="P717" i="1"/>
  <c r="F717" i="1"/>
  <c r="Q716" i="1"/>
  <c r="P716" i="1"/>
  <c r="Q715" i="1"/>
  <c r="P715" i="1"/>
  <c r="Q712" i="1"/>
  <c r="P712" i="1"/>
  <c r="Q711" i="1"/>
  <c r="P711" i="1"/>
  <c r="Q710" i="1"/>
  <c r="P710" i="1"/>
  <c r="Q709" i="1"/>
  <c r="P709" i="1"/>
  <c r="X708" i="1"/>
  <c r="Q708" i="1"/>
  <c r="P708" i="1"/>
  <c r="Q707" i="1"/>
  <c r="P707" i="1"/>
  <c r="Q706" i="1"/>
  <c r="P706" i="1"/>
  <c r="Q705" i="1"/>
  <c r="P705" i="1"/>
  <c r="I705" i="1"/>
  <c r="Q704" i="1"/>
  <c r="P704" i="1"/>
  <c r="I704" i="1"/>
  <c r="Q703" i="1"/>
  <c r="P703" i="1"/>
  <c r="Q702" i="1"/>
  <c r="P702" i="1"/>
  <c r="C702" i="1"/>
  <c r="Q701" i="1"/>
  <c r="P701" i="1"/>
  <c r="F701" i="1"/>
  <c r="C701" i="1"/>
  <c r="Q700" i="1"/>
  <c r="P700" i="1"/>
  <c r="F700" i="1"/>
  <c r="Q699" i="1"/>
  <c r="P699" i="1"/>
  <c r="Q698" i="1"/>
  <c r="P698" i="1"/>
  <c r="Q695" i="1"/>
  <c r="P695" i="1"/>
  <c r="Q694" i="1"/>
  <c r="P694" i="1"/>
  <c r="AB693" i="1"/>
  <c r="AA693" i="1"/>
  <c r="Q693" i="1"/>
  <c r="P693" i="1"/>
  <c r="AB692" i="1"/>
  <c r="AA692" i="1"/>
  <c r="Q692" i="1"/>
  <c r="P692" i="1"/>
  <c r="Q691" i="1"/>
  <c r="P691" i="1"/>
  <c r="Q690" i="1"/>
  <c r="P690" i="1"/>
  <c r="Q689" i="1"/>
  <c r="P689" i="1"/>
  <c r="I689" i="1"/>
  <c r="Q688" i="1"/>
  <c r="P688" i="1"/>
  <c r="I688" i="1"/>
  <c r="Z687" i="1"/>
  <c r="Q687" i="1"/>
  <c r="P687" i="1"/>
  <c r="Q686" i="1"/>
  <c r="P686" i="1"/>
  <c r="Q685" i="1"/>
  <c r="P685" i="1"/>
  <c r="N685" i="1"/>
  <c r="Q684" i="1"/>
  <c r="P684" i="1"/>
  <c r="F684" i="1"/>
  <c r="C684" i="1"/>
  <c r="Q683" i="1"/>
  <c r="P683" i="1"/>
  <c r="F683" i="1"/>
  <c r="Q682" i="1"/>
  <c r="P682" i="1"/>
  <c r="Q681" i="1"/>
  <c r="P681" i="1"/>
  <c r="Q678" i="1"/>
  <c r="P678" i="1"/>
  <c r="Q677" i="1"/>
  <c r="P677" i="1"/>
  <c r="Q676" i="1"/>
  <c r="P676" i="1"/>
  <c r="Q675" i="1"/>
  <c r="P675" i="1"/>
  <c r="Q674" i="1"/>
  <c r="P674" i="1"/>
  <c r="Q673" i="1"/>
  <c r="P673" i="1"/>
  <c r="F673" i="1"/>
  <c r="Q672" i="1"/>
  <c r="P672" i="1"/>
  <c r="I672" i="1"/>
  <c r="Q671" i="1"/>
  <c r="P671" i="1"/>
  <c r="Z670" i="1"/>
  <c r="Q670" i="1"/>
  <c r="P670" i="1"/>
  <c r="Q669" i="1"/>
  <c r="P669" i="1"/>
  <c r="F669" i="1"/>
  <c r="Z668" i="1"/>
  <c r="Q668" i="1"/>
  <c r="P668" i="1"/>
  <c r="Q667" i="1"/>
  <c r="P667" i="1"/>
  <c r="F667" i="1"/>
  <c r="C667" i="1"/>
  <c r="Q666" i="1"/>
  <c r="P666" i="1"/>
  <c r="F666" i="1"/>
  <c r="Q665" i="1"/>
  <c r="P665" i="1"/>
  <c r="Q664" i="1"/>
  <c r="P664" i="1"/>
  <c r="Q661" i="1"/>
  <c r="P661" i="1"/>
  <c r="Q660" i="1"/>
  <c r="P660" i="1"/>
  <c r="Q659" i="1"/>
  <c r="P659" i="1"/>
  <c r="Q658" i="1"/>
  <c r="P658" i="1"/>
  <c r="Q657" i="1"/>
  <c r="P657" i="1"/>
  <c r="Q656" i="1"/>
  <c r="P656" i="1"/>
  <c r="Q655" i="1"/>
  <c r="P655" i="1"/>
  <c r="Q654" i="1"/>
  <c r="P654" i="1"/>
  <c r="I654" i="1"/>
  <c r="Q653" i="1"/>
  <c r="P653" i="1"/>
  <c r="Q652" i="1"/>
  <c r="P652" i="1"/>
  <c r="I652" i="1"/>
  <c r="F652" i="1"/>
  <c r="Q651" i="1"/>
  <c r="P651" i="1"/>
  <c r="C651" i="1"/>
  <c r="Q650" i="1"/>
  <c r="P650" i="1"/>
  <c r="F650" i="1"/>
  <c r="C650" i="1"/>
  <c r="Q649" i="1"/>
  <c r="P649" i="1"/>
  <c r="F649" i="1"/>
  <c r="Z648" i="1"/>
  <c r="Q648" i="1"/>
  <c r="P648" i="1"/>
  <c r="Q647" i="1"/>
  <c r="P647" i="1"/>
  <c r="Q644" i="1"/>
  <c r="P644" i="1"/>
  <c r="Q643" i="1"/>
  <c r="P643" i="1"/>
  <c r="Q642" i="1"/>
  <c r="P642" i="1"/>
  <c r="Q641" i="1"/>
  <c r="P641" i="1"/>
  <c r="Q640" i="1"/>
  <c r="P640" i="1"/>
  <c r="I640" i="1"/>
  <c r="Q639" i="1"/>
  <c r="P639" i="1"/>
  <c r="I639" i="1"/>
  <c r="Q638" i="1"/>
  <c r="P638" i="1"/>
  <c r="I638" i="1"/>
  <c r="Q637" i="1"/>
  <c r="P637" i="1"/>
  <c r="Q636" i="1"/>
  <c r="P636" i="1"/>
  <c r="Q635" i="1"/>
  <c r="P635" i="1"/>
  <c r="I635" i="1"/>
  <c r="C635" i="1"/>
  <c r="Q634" i="1"/>
  <c r="P634" i="1"/>
  <c r="Q633" i="1"/>
  <c r="P633" i="1"/>
  <c r="F633" i="1"/>
  <c r="C633" i="1"/>
  <c r="Q632" i="1"/>
  <c r="P632" i="1"/>
  <c r="F632" i="1"/>
  <c r="Z631" i="1"/>
  <c r="Q631" i="1"/>
  <c r="P631" i="1"/>
  <c r="Q630" i="1"/>
  <c r="P630" i="1"/>
  <c r="Q627" i="1"/>
  <c r="P627" i="1"/>
  <c r="Q626" i="1"/>
  <c r="P626" i="1"/>
  <c r="Q625" i="1"/>
  <c r="P625" i="1"/>
  <c r="Q624" i="1"/>
  <c r="P624" i="1"/>
  <c r="Q623" i="1"/>
  <c r="P623" i="1"/>
  <c r="Q622" i="1"/>
  <c r="P622" i="1"/>
  <c r="I622" i="1"/>
  <c r="Q621" i="1"/>
  <c r="P621" i="1"/>
  <c r="Q620" i="1"/>
  <c r="P620" i="1"/>
  <c r="Q619" i="1"/>
  <c r="P619" i="1"/>
  <c r="I619" i="1"/>
  <c r="Q618" i="1"/>
  <c r="P618" i="1"/>
  <c r="Q617" i="1"/>
  <c r="P617" i="1"/>
  <c r="F617" i="1"/>
  <c r="Q616" i="1"/>
  <c r="P616" i="1"/>
  <c r="F616" i="1"/>
  <c r="C616" i="1"/>
  <c r="Q615" i="1"/>
  <c r="P615" i="1"/>
  <c r="F615" i="1"/>
  <c r="Z614" i="1"/>
  <c r="Q614" i="1"/>
  <c r="P614" i="1"/>
  <c r="Q613" i="1"/>
  <c r="P613" i="1"/>
  <c r="X610" i="1"/>
  <c r="W610" i="1"/>
  <c r="V610" i="1"/>
  <c r="U610" i="1"/>
  <c r="T610" i="1"/>
  <c r="S610" i="1"/>
  <c r="Q610" i="1"/>
  <c r="P610" i="1"/>
  <c r="V609" i="1"/>
  <c r="U609" i="1"/>
  <c r="T609" i="1"/>
  <c r="S609" i="1"/>
  <c r="Q609" i="1"/>
  <c r="P609" i="1"/>
  <c r="V608" i="1"/>
  <c r="U608" i="1"/>
  <c r="T608" i="1"/>
  <c r="S608" i="1"/>
  <c r="Q608" i="1"/>
  <c r="P608" i="1"/>
  <c r="Q607" i="1"/>
  <c r="P607" i="1"/>
  <c r="X606" i="1"/>
  <c r="Q606" i="1"/>
  <c r="P606" i="1"/>
  <c r="I606" i="1"/>
  <c r="Q605" i="1"/>
  <c r="P605" i="1"/>
  <c r="Q604" i="1"/>
  <c r="P604" i="1"/>
  <c r="I604" i="1"/>
  <c r="F604" i="1"/>
  <c r="Q603" i="1"/>
  <c r="P603" i="1"/>
  <c r="Z602" i="1"/>
  <c r="Q602" i="1"/>
  <c r="P602" i="1"/>
  <c r="F602" i="1"/>
  <c r="Q601" i="1"/>
  <c r="P601" i="1"/>
  <c r="Q600" i="1"/>
  <c r="P600" i="1"/>
  <c r="Q599" i="1"/>
  <c r="P599" i="1"/>
  <c r="F599" i="1"/>
  <c r="C599" i="1"/>
  <c r="Q598" i="1"/>
  <c r="P598" i="1"/>
  <c r="N598" i="1"/>
  <c r="F598" i="1"/>
  <c r="C598" i="1"/>
  <c r="Z597" i="1"/>
  <c r="Q597" i="1"/>
  <c r="P597" i="1"/>
  <c r="Q596" i="1"/>
  <c r="P596" i="1"/>
  <c r="X593" i="1"/>
  <c r="W593" i="1"/>
  <c r="V593" i="1"/>
  <c r="U593" i="1"/>
  <c r="T593" i="1"/>
  <c r="S593" i="1"/>
  <c r="Q593" i="1"/>
  <c r="P593" i="1"/>
  <c r="V592" i="1"/>
  <c r="U592" i="1"/>
  <c r="T592" i="1"/>
  <c r="S592" i="1"/>
  <c r="Q592" i="1"/>
  <c r="P592" i="1"/>
  <c r="V591" i="1"/>
  <c r="U591" i="1"/>
  <c r="T591" i="1"/>
  <c r="S591" i="1"/>
  <c r="Q591" i="1"/>
  <c r="P591" i="1"/>
  <c r="Q590" i="1"/>
  <c r="P590" i="1"/>
  <c r="Q589" i="1"/>
  <c r="P589" i="1"/>
  <c r="Q588" i="1"/>
  <c r="P588" i="1"/>
  <c r="Q587" i="1"/>
  <c r="P587" i="1"/>
  <c r="Q586" i="1"/>
  <c r="P586" i="1"/>
  <c r="Z585" i="1"/>
  <c r="Q585" i="1"/>
  <c r="P585" i="1"/>
  <c r="I585" i="1"/>
  <c r="Q584" i="1"/>
  <c r="P584" i="1"/>
  <c r="Q583" i="1"/>
  <c r="P583" i="1"/>
  <c r="Q582" i="1"/>
  <c r="P582" i="1"/>
  <c r="F582" i="1"/>
  <c r="C582" i="1"/>
  <c r="Q581" i="1"/>
  <c r="P581" i="1"/>
  <c r="N581" i="1"/>
  <c r="F581" i="1"/>
  <c r="Q580" i="1"/>
  <c r="P580" i="1"/>
  <c r="Q579" i="1"/>
  <c r="P579" i="1"/>
  <c r="Q576" i="1"/>
  <c r="P576" i="1"/>
  <c r="Q575" i="1"/>
  <c r="P575" i="1"/>
  <c r="Q574" i="1"/>
  <c r="P574" i="1"/>
  <c r="Q573" i="1"/>
  <c r="P573" i="1"/>
  <c r="Q572" i="1"/>
  <c r="P572" i="1"/>
  <c r="Q571" i="1"/>
  <c r="P571" i="1"/>
  <c r="F571" i="1"/>
  <c r="Q570" i="1"/>
  <c r="P570" i="1"/>
  <c r="I570" i="1"/>
  <c r="Q569" i="1"/>
  <c r="P569" i="1"/>
  <c r="I569" i="1"/>
  <c r="Z568" i="1"/>
  <c r="X568" i="1"/>
  <c r="Q568" i="1"/>
  <c r="P568" i="1"/>
  <c r="F568" i="1"/>
  <c r="Q567" i="1"/>
  <c r="P567" i="1"/>
  <c r="F567" i="1"/>
  <c r="C567" i="1"/>
  <c r="Q566" i="1"/>
  <c r="P566" i="1"/>
  <c r="Q565" i="1"/>
  <c r="P565" i="1"/>
  <c r="F565" i="1"/>
  <c r="C565" i="1"/>
  <c r="Q564" i="1"/>
  <c r="P564" i="1"/>
  <c r="N564" i="1"/>
  <c r="F564" i="1"/>
  <c r="C564" i="1"/>
  <c r="Q563" i="1"/>
  <c r="P563" i="1"/>
  <c r="Q562" i="1"/>
  <c r="P562" i="1"/>
  <c r="X559" i="1"/>
  <c r="W559" i="1"/>
  <c r="V559" i="1"/>
  <c r="U559" i="1"/>
  <c r="T559" i="1"/>
  <c r="S559" i="1"/>
  <c r="Q559" i="1"/>
  <c r="P559" i="1"/>
  <c r="V558" i="1"/>
  <c r="U558" i="1"/>
  <c r="T558" i="1"/>
  <c r="S558" i="1"/>
  <c r="Q558" i="1"/>
  <c r="P558" i="1"/>
  <c r="V557" i="1"/>
  <c r="U557" i="1"/>
  <c r="T557" i="1"/>
  <c r="S557" i="1"/>
  <c r="Q557" i="1"/>
  <c r="P557" i="1"/>
  <c r="Q556" i="1"/>
  <c r="P556" i="1"/>
  <c r="Q555" i="1"/>
  <c r="P555" i="1"/>
  <c r="Q554" i="1"/>
  <c r="P554" i="1"/>
  <c r="Q553" i="1"/>
  <c r="P553" i="1"/>
  <c r="I553" i="1"/>
  <c r="Q552" i="1"/>
  <c r="P552" i="1"/>
  <c r="I552" i="1"/>
  <c r="F552" i="1"/>
  <c r="Z551" i="1"/>
  <c r="Q551" i="1"/>
  <c r="P551" i="1"/>
  <c r="F551" i="1"/>
  <c r="Q550" i="1"/>
  <c r="P550" i="1"/>
  <c r="F550" i="1"/>
  <c r="Q549" i="1"/>
  <c r="P549" i="1"/>
  <c r="F549" i="1"/>
  <c r="Q548" i="1"/>
  <c r="P548" i="1"/>
  <c r="F548" i="1"/>
  <c r="C548" i="1"/>
  <c r="Q547" i="1"/>
  <c r="P547" i="1"/>
  <c r="N547" i="1"/>
  <c r="F547" i="1"/>
  <c r="Q546" i="1"/>
  <c r="P546" i="1"/>
  <c r="Q545" i="1"/>
  <c r="P545" i="1"/>
  <c r="Q542" i="1"/>
  <c r="P542" i="1"/>
  <c r="Q541" i="1"/>
  <c r="P541" i="1"/>
  <c r="Q540" i="1"/>
  <c r="P540" i="1"/>
  <c r="Q539" i="1"/>
  <c r="P539" i="1"/>
  <c r="Q538" i="1"/>
  <c r="P538" i="1"/>
  <c r="Q537" i="1"/>
  <c r="P537" i="1"/>
  <c r="I537" i="1"/>
  <c r="F537" i="1"/>
  <c r="Q536" i="1"/>
  <c r="P536" i="1"/>
  <c r="I536" i="1"/>
  <c r="Q535" i="1"/>
  <c r="P535" i="1"/>
  <c r="F535" i="1"/>
  <c r="Z534" i="1"/>
  <c r="Q534" i="1"/>
  <c r="P534" i="1"/>
  <c r="I534" i="1"/>
  <c r="Q533" i="1"/>
  <c r="P533" i="1"/>
  <c r="F533" i="1"/>
  <c r="Q532" i="1"/>
  <c r="P532" i="1"/>
  <c r="Q531" i="1"/>
  <c r="P531" i="1"/>
  <c r="N531" i="1"/>
  <c r="F531" i="1"/>
  <c r="Q530" i="1"/>
  <c r="P530" i="1"/>
  <c r="N530" i="1"/>
  <c r="F530" i="1"/>
  <c r="Q529" i="1"/>
  <c r="P529" i="1"/>
  <c r="Q528" i="1"/>
  <c r="P528" i="1"/>
  <c r="X525" i="1"/>
  <c r="W525" i="1"/>
  <c r="V525" i="1"/>
  <c r="U525" i="1"/>
  <c r="T525" i="1"/>
  <c r="S525" i="1"/>
  <c r="Q525" i="1"/>
  <c r="P525" i="1"/>
  <c r="V524" i="1"/>
  <c r="U524" i="1"/>
  <c r="T524" i="1"/>
  <c r="S524" i="1"/>
  <c r="Q524" i="1"/>
  <c r="P524" i="1"/>
  <c r="V523" i="1"/>
  <c r="U523" i="1"/>
  <c r="T523" i="1"/>
  <c r="S523" i="1"/>
  <c r="Q523" i="1"/>
  <c r="P523" i="1"/>
  <c r="Q522" i="1"/>
  <c r="P522" i="1"/>
  <c r="X521" i="1"/>
  <c r="Q521" i="1"/>
  <c r="P521" i="1"/>
  <c r="I521" i="1"/>
  <c r="Q520" i="1"/>
  <c r="P520" i="1"/>
  <c r="Q519" i="1"/>
  <c r="P519" i="1"/>
  <c r="I519" i="1"/>
  <c r="Q518" i="1"/>
  <c r="P518" i="1"/>
  <c r="F518" i="1"/>
  <c r="Z517" i="1"/>
  <c r="Q517" i="1"/>
  <c r="P517" i="1"/>
  <c r="I517" i="1"/>
  <c r="Q516" i="1"/>
  <c r="P516" i="1"/>
  <c r="I516" i="1"/>
  <c r="F516" i="1"/>
  <c r="X515" i="1"/>
  <c r="Q515" i="1"/>
  <c r="P515" i="1"/>
  <c r="Q514" i="1"/>
  <c r="P514" i="1"/>
  <c r="F514" i="1"/>
  <c r="C514" i="1"/>
  <c r="Q513" i="1"/>
  <c r="P513" i="1"/>
  <c r="F513" i="1"/>
  <c r="Q512" i="1"/>
  <c r="P512" i="1"/>
  <c r="Q511" i="1"/>
  <c r="P511" i="1"/>
  <c r="X508" i="1"/>
  <c r="W508" i="1"/>
  <c r="V508" i="1"/>
  <c r="U508" i="1"/>
  <c r="T508" i="1"/>
  <c r="S508" i="1"/>
  <c r="Q508" i="1"/>
  <c r="P508" i="1"/>
  <c r="V507" i="1"/>
  <c r="U507" i="1"/>
  <c r="T507" i="1"/>
  <c r="S507" i="1"/>
  <c r="Q507" i="1"/>
  <c r="P507" i="1"/>
  <c r="X506" i="1"/>
  <c r="V506" i="1"/>
  <c r="U506" i="1"/>
  <c r="T506" i="1"/>
  <c r="S506" i="1"/>
  <c r="Q506" i="1"/>
  <c r="P506" i="1"/>
  <c r="X505" i="1"/>
  <c r="Q505" i="1"/>
  <c r="P505" i="1"/>
  <c r="Q504" i="1"/>
  <c r="P504" i="1"/>
  <c r="I504" i="1"/>
  <c r="Q503" i="1"/>
  <c r="P503" i="1"/>
  <c r="I503" i="1"/>
  <c r="Q502" i="1"/>
  <c r="P502" i="1"/>
  <c r="I502" i="1"/>
  <c r="Q501" i="1"/>
  <c r="P501" i="1"/>
  <c r="I501" i="1"/>
  <c r="F501" i="1"/>
  <c r="Q500" i="1"/>
  <c r="P500" i="1"/>
  <c r="Q499" i="1"/>
  <c r="P499" i="1"/>
  <c r="Q498" i="1"/>
  <c r="P498" i="1"/>
  <c r="C498" i="1"/>
  <c r="Q497" i="1"/>
  <c r="P497" i="1"/>
  <c r="N497" i="1"/>
  <c r="F497" i="1"/>
  <c r="C497" i="1"/>
  <c r="Q496" i="1"/>
  <c r="P496" i="1"/>
  <c r="N496" i="1"/>
  <c r="F496" i="1"/>
  <c r="Q495" i="1"/>
  <c r="P495" i="1"/>
  <c r="Q494" i="1"/>
  <c r="P494" i="1"/>
  <c r="X491" i="1"/>
  <c r="W491" i="1"/>
  <c r="V491" i="1"/>
  <c r="U491" i="1"/>
  <c r="T491" i="1"/>
  <c r="S491" i="1"/>
  <c r="Q491" i="1"/>
  <c r="P491" i="1"/>
  <c r="V490" i="1"/>
  <c r="U490" i="1"/>
  <c r="T490" i="1"/>
  <c r="S490" i="1"/>
  <c r="Q490" i="1"/>
  <c r="P490" i="1"/>
  <c r="V489" i="1"/>
  <c r="U489" i="1"/>
  <c r="T489" i="1"/>
  <c r="S489" i="1"/>
  <c r="Q489" i="1"/>
  <c r="P489" i="1"/>
  <c r="Q488" i="1"/>
  <c r="P488" i="1"/>
  <c r="I488" i="1"/>
  <c r="Z487" i="1"/>
  <c r="X487" i="1"/>
  <c r="Q487" i="1"/>
  <c r="P487" i="1"/>
  <c r="I487" i="1"/>
  <c r="Z486" i="1"/>
  <c r="Q486" i="1"/>
  <c r="P486" i="1"/>
  <c r="I486" i="1"/>
  <c r="Q485" i="1"/>
  <c r="P485" i="1"/>
  <c r="Q484" i="1"/>
  <c r="P484" i="1"/>
  <c r="I484" i="1"/>
  <c r="Q483" i="1"/>
  <c r="P483" i="1"/>
  <c r="Q482" i="1"/>
  <c r="P482" i="1"/>
  <c r="Q481" i="1"/>
  <c r="P481" i="1"/>
  <c r="Q480" i="1"/>
  <c r="P480" i="1"/>
  <c r="F480" i="1"/>
  <c r="C480" i="1"/>
  <c r="Q479" i="1"/>
  <c r="P479" i="1"/>
  <c r="N479" i="1"/>
  <c r="F479" i="1"/>
  <c r="Q478" i="1"/>
  <c r="P478" i="1"/>
  <c r="Q477" i="1"/>
  <c r="P477" i="1"/>
  <c r="Q474" i="1"/>
  <c r="P474" i="1"/>
  <c r="Q473" i="1"/>
  <c r="P473" i="1"/>
  <c r="Q472" i="1"/>
  <c r="P472" i="1"/>
  <c r="Q471" i="1"/>
  <c r="P471" i="1"/>
  <c r="I471" i="1"/>
  <c r="Q470" i="1"/>
  <c r="P470" i="1"/>
  <c r="Q469" i="1"/>
  <c r="P469" i="1"/>
  <c r="F469" i="1"/>
  <c r="Q468" i="1"/>
  <c r="P468" i="1"/>
  <c r="I468" i="1"/>
  <c r="F468" i="1"/>
  <c r="Q467" i="1"/>
  <c r="P467" i="1"/>
  <c r="I467" i="1"/>
  <c r="Z466" i="1"/>
  <c r="Q466" i="1"/>
  <c r="P466" i="1"/>
  <c r="Q465" i="1"/>
  <c r="P465" i="1"/>
  <c r="Q464" i="1"/>
  <c r="P464" i="1"/>
  <c r="Q463" i="1"/>
  <c r="P463" i="1"/>
  <c r="F463" i="1"/>
  <c r="C463" i="1"/>
  <c r="Q462" i="1"/>
  <c r="P462" i="1"/>
  <c r="N462" i="1"/>
  <c r="F462" i="1"/>
  <c r="Z461" i="1"/>
  <c r="Q461" i="1"/>
  <c r="P461" i="1"/>
  <c r="Q460" i="1"/>
  <c r="P460" i="1"/>
  <c r="Q457" i="1"/>
  <c r="P457" i="1"/>
  <c r="Q456" i="1"/>
  <c r="P456" i="1"/>
  <c r="Q455" i="1"/>
  <c r="P455" i="1"/>
  <c r="Q454" i="1"/>
  <c r="P454" i="1"/>
  <c r="Q453" i="1"/>
  <c r="P453" i="1"/>
  <c r="I453" i="1"/>
  <c r="Q452" i="1"/>
  <c r="P452" i="1"/>
  <c r="I452" i="1"/>
  <c r="Q451" i="1"/>
  <c r="P451" i="1"/>
  <c r="Q450" i="1"/>
  <c r="P450" i="1"/>
  <c r="F450" i="1"/>
  <c r="Z449" i="1"/>
  <c r="Q449" i="1"/>
  <c r="P449" i="1"/>
  <c r="Q448" i="1"/>
  <c r="P448" i="1"/>
  <c r="Q447" i="1"/>
  <c r="P447" i="1"/>
  <c r="Q446" i="1"/>
  <c r="P446" i="1"/>
  <c r="F446" i="1"/>
  <c r="C446" i="1"/>
  <c r="Q445" i="1"/>
  <c r="P445" i="1"/>
  <c r="F445" i="1"/>
  <c r="Q444" i="1"/>
  <c r="P444" i="1"/>
  <c r="Q443" i="1"/>
  <c r="P443" i="1"/>
  <c r="X440" i="1"/>
  <c r="W440" i="1"/>
  <c r="V440" i="1"/>
  <c r="U440" i="1"/>
  <c r="T440" i="1"/>
  <c r="S440" i="1"/>
  <c r="Q440" i="1"/>
  <c r="P440" i="1"/>
  <c r="V439" i="1"/>
  <c r="U439" i="1"/>
  <c r="T439" i="1"/>
  <c r="S439" i="1"/>
  <c r="Q439" i="1"/>
  <c r="P439" i="1"/>
  <c r="V438" i="1"/>
  <c r="U438" i="1"/>
  <c r="T438" i="1"/>
  <c r="S438" i="1"/>
  <c r="Q438" i="1"/>
  <c r="P438" i="1"/>
  <c r="Q437" i="1"/>
  <c r="P437" i="1"/>
  <c r="Q436" i="1"/>
  <c r="P436" i="1"/>
  <c r="Q435" i="1"/>
  <c r="P435" i="1"/>
  <c r="Q434" i="1"/>
  <c r="P434" i="1"/>
  <c r="I434" i="1"/>
  <c r="Q433" i="1"/>
  <c r="P433" i="1"/>
  <c r="F433" i="1"/>
  <c r="Q432" i="1"/>
  <c r="P432" i="1"/>
  <c r="I432" i="1"/>
  <c r="Q431" i="1"/>
  <c r="P431" i="1"/>
  <c r="X430" i="1"/>
  <c r="Q430" i="1"/>
  <c r="P430" i="1"/>
  <c r="Q429" i="1"/>
  <c r="P429" i="1"/>
  <c r="I429" i="1"/>
  <c r="F429" i="1"/>
  <c r="Q428" i="1"/>
  <c r="P428" i="1"/>
  <c r="F428" i="1"/>
  <c r="Q427" i="1"/>
  <c r="P427" i="1"/>
  <c r="Q426" i="1"/>
  <c r="P426" i="1"/>
  <c r="X423" i="1"/>
  <c r="W423" i="1"/>
  <c r="V423" i="1"/>
  <c r="U423" i="1"/>
  <c r="T423" i="1"/>
  <c r="S423" i="1"/>
  <c r="Q423" i="1"/>
  <c r="P423" i="1"/>
  <c r="V422" i="1"/>
  <c r="U422" i="1"/>
  <c r="T422" i="1"/>
  <c r="S422" i="1"/>
  <c r="Q422" i="1"/>
  <c r="P422" i="1"/>
  <c r="M422" i="1"/>
  <c r="C422" i="1"/>
  <c r="V421" i="1"/>
  <c r="U421" i="1"/>
  <c r="T421" i="1"/>
  <c r="S421" i="1"/>
  <c r="Q421" i="1"/>
  <c r="P421" i="1"/>
  <c r="Q420" i="1"/>
  <c r="P420" i="1"/>
  <c r="Q419" i="1"/>
  <c r="P419" i="1"/>
  <c r="I419" i="1"/>
  <c r="Q418" i="1"/>
  <c r="P418" i="1"/>
  <c r="Q417" i="1"/>
  <c r="P417" i="1"/>
  <c r="I417" i="1"/>
  <c r="F417" i="1"/>
  <c r="Q416" i="1"/>
  <c r="P416" i="1"/>
  <c r="I416" i="1"/>
  <c r="Z415" i="1"/>
  <c r="U415" i="1"/>
  <c r="S415" i="1"/>
  <c r="Q415" i="1"/>
  <c r="P415" i="1"/>
  <c r="I415" i="1"/>
  <c r="U414" i="1"/>
  <c r="S414" i="1"/>
  <c r="Q414" i="1"/>
  <c r="P414" i="1"/>
  <c r="X413" i="1"/>
  <c r="Q413" i="1"/>
  <c r="P413" i="1"/>
  <c r="I413" i="1"/>
  <c r="Q412" i="1"/>
  <c r="P412" i="1"/>
  <c r="F412" i="1"/>
  <c r="Q411" i="1"/>
  <c r="P411" i="1"/>
  <c r="F411" i="1"/>
  <c r="Q410" i="1"/>
  <c r="P410" i="1"/>
  <c r="Q409" i="1"/>
  <c r="P409" i="1"/>
  <c r="X406" i="1"/>
  <c r="W406" i="1"/>
  <c r="U406" i="1"/>
  <c r="Q406" i="1"/>
  <c r="P406" i="1"/>
  <c r="O406" i="1"/>
  <c r="X405" i="1"/>
  <c r="U405" i="1"/>
  <c r="Q405" i="1"/>
  <c r="O405" i="1"/>
  <c r="C405" i="1"/>
  <c r="AB404" i="1"/>
  <c r="X404" i="1"/>
  <c r="W404" i="1"/>
  <c r="U404" i="1"/>
  <c r="Q404" i="1"/>
  <c r="P404" i="1"/>
  <c r="O404" i="1"/>
  <c r="I404" i="1"/>
  <c r="AB403" i="1"/>
  <c r="X403" i="1"/>
  <c r="W403" i="1"/>
  <c r="U403" i="1"/>
  <c r="Q403" i="1"/>
  <c r="P403" i="1"/>
  <c r="O403" i="1"/>
  <c r="N403" i="1"/>
  <c r="X402" i="1"/>
  <c r="W402" i="1"/>
  <c r="U402" i="1"/>
  <c r="Q402" i="1"/>
  <c r="P402" i="1"/>
  <c r="O402" i="1"/>
  <c r="F402" i="1"/>
  <c r="I401" i="1"/>
  <c r="I400" i="1"/>
  <c r="C400" i="1"/>
  <c r="I398" i="1"/>
  <c r="F398" i="1"/>
  <c r="I397" i="1"/>
  <c r="F397" i="1"/>
  <c r="X395" i="1"/>
  <c r="W395" i="1"/>
  <c r="U395" i="1"/>
  <c r="Q395" i="1"/>
  <c r="P395" i="1"/>
  <c r="O395" i="1"/>
  <c r="X394" i="1"/>
  <c r="W394" i="1"/>
  <c r="U394" i="1"/>
  <c r="Q394" i="1"/>
  <c r="P394" i="1"/>
  <c r="O394" i="1"/>
  <c r="X393" i="1"/>
  <c r="W393" i="1"/>
  <c r="U393" i="1"/>
  <c r="Q393" i="1"/>
  <c r="P393" i="1"/>
  <c r="O393" i="1"/>
  <c r="AB392" i="1"/>
  <c r="X392" i="1"/>
  <c r="W392" i="1"/>
  <c r="U392" i="1"/>
  <c r="Q392" i="1"/>
  <c r="P392" i="1"/>
  <c r="O392" i="1"/>
  <c r="I390" i="1"/>
  <c r="F387" i="1"/>
  <c r="I386" i="1"/>
  <c r="F386" i="1"/>
  <c r="X384" i="1"/>
  <c r="W384" i="1"/>
  <c r="U384" i="1"/>
  <c r="Q384" i="1"/>
  <c r="P384" i="1"/>
  <c r="O384" i="1"/>
  <c r="X383" i="1"/>
  <c r="W383" i="1"/>
  <c r="U383" i="1"/>
  <c r="Q383" i="1"/>
  <c r="P383" i="1"/>
  <c r="O383" i="1"/>
  <c r="X382" i="1"/>
  <c r="W382" i="1"/>
  <c r="U382" i="1"/>
  <c r="Q382" i="1"/>
  <c r="P382" i="1"/>
  <c r="O382" i="1"/>
  <c r="AB381" i="1"/>
  <c r="X381" i="1"/>
  <c r="W381" i="1"/>
  <c r="U381" i="1"/>
  <c r="Q381" i="1"/>
  <c r="P381" i="1"/>
  <c r="O381" i="1"/>
  <c r="F380" i="1"/>
  <c r="F378" i="1"/>
  <c r="I377" i="1"/>
  <c r="F377" i="1"/>
  <c r="X375" i="1"/>
  <c r="W375" i="1"/>
  <c r="U375" i="1"/>
  <c r="Q375" i="1"/>
  <c r="P375" i="1"/>
  <c r="O375" i="1"/>
  <c r="X374" i="1"/>
  <c r="W374" i="1"/>
  <c r="U374" i="1"/>
  <c r="Q374" i="1"/>
  <c r="P374" i="1"/>
  <c r="O374" i="1"/>
  <c r="X373" i="1"/>
  <c r="W373" i="1"/>
  <c r="U373" i="1"/>
  <c r="Q373" i="1"/>
  <c r="P373" i="1"/>
  <c r="O373" i="1"/>
  <c r="X372" i="1"/>
  <c r="W372" i="1"/>
  <c r="U372" i="1"/>
  <c r="Q372" i="1"/>
  <c r="P372" i="1"/>
  <c r="O372" i="1"/>
  <c r="I371" i="1"/>
  <c r="I369" i="1"/>
  <c r="F369" i="1"/>
  <c r="F368" i="1"/>
  <c r="X366" i="1"/>
  <c r="W366" i="1"/>
  <c r="U366" i="1"/>
  <c r="Q366" i="1"/>
  <c r="P366" i="1"/>
  <c r="O366" i="1"/>
  <c r="X365" i="1"/>
  <c r="W365" i="1"/>
  <c r="U365" i="1"/>
  <c r="Q365" i="1"/>
  <c r="P365" i="1"/>
  <c r="O365" i="1"/>
  <c r="I365" i="1"/>
  <c r="X364" i="1"/>
  <c r="W364" i="1"/>
  <c r="U364" i="1"/>
  <c r="Q364" i="1"/>
  <c r="P364" i="1"/>
  <c r="O364" i="1"/>
  <c r="X363" i="1"/>
  <c r="W363" i="1"/>
  <c r="U363" i="1"/>
  <c r="Q363" i="1"/>
  <c r="P363" i="1"/>
  <c r="O363" i="1"/>
  <c r="I362" i="1"/>
  <c r="F362" i="1"/>
  <c r="F361" i="1"/>
  <c r="X359" i="1"/>
  <c r="W359" i="1"/>
  <c r="U359" i="1"/>
  <c r="Q359" i="1"/>
  <c r="P359" i="1"/>
  <c r="O359" i="1"/>
  <c r="X358" i="1"/>
  <c r="W358" i="1"/>
  <c r="U358" i="1"/>
  <c r="Q358" i="1"/>
  <c r="P358" i="1"/>
  <c r="O358" i="1"/>
  <c r="X357" i="1"/>
  <c r="W357" i="1"/>
  <c r="U357" i="1"/>
  <c r="Q357" i="1"/>
  <c r="P357" i="1"/>
  <c r="O357" i="1"/>
  <c r="X356" i="1"/>
  <c r="W356" i="1"/>
  <c r="U356" i="1"/>
  <c r="Q356" i="1"/>
  <c r="P356" i="1"/>
  <c r="O356" i="1"/>
  <c r="I356" i="1"/>
  <c r="I354" i="1"/>
  <c r="F354" i="1"/>
  <c r="C354" i="1"/>
  <c r="F353" i="1"/>
  <c r="X351" i="1"/>
  <c r="W351" i="1"/>
  <c r="U351" i="1"/>
  <c r="Q351" i="1"/>
  <c r="P351" i="1"/>
  <c r="O351" i="1"/>
  <c r="X350" i="1"/>
  <c r="W350" i="1"/>
  <c r="U350" i="1"/>
  <c r="Q350" i="1"/>
  <c r="P350" i="1"/>
  <c r="O350" i="1"/>
  <c r="X349" i="1"/>
  <c r="W349" i="1"/>
  <c r="U349" i="1"/>
  <c r="Q349" i="1"/>
  <c r="P349" i="1"/>
  <c r="O349" i="1"/>
  <c r="C349" i="1"/>
  <c r="X348" i="1"/>
  <c r="W348" i="1"/>
  <c r="U348" i="1"/>
  <c r="Q348" i="1"/>
  <c r="P348" i="1"/>
  <c r="O348" i="1"/>
  <c r="I348" i="1"/>
  <c r="C348" i="1"/>
  <c r="I347" i="1"/>
  <c r="F347" i="1"/>
  <c r="F346" i="1"/>
  <c r="X344" i="1"/>
  <c r="W344" i="1"/>
  <c r="U344" i="1"/>
  <c r="Q344" i="1"/>
  <c r="P344" i="1"/>
  <c r="O344" i="1"/>
  <c r="X343" i="1"/>
  <c r="W343" i="1"/>
  <c r="U343" i="1"/>
  <c r="Q343" i="1"/>
  <c r="P343" i="1"/>
  <c r="O343" i="1"/>
  <c r="X342" i="1"/>
  <c r="W342" i="1"/>
  <c r="U342" i="1"/>
  <c r="Q342" i="1"/>
  <c r="P342" i="1"/>
  <c r="O342" i="1"/>
  <c r="X341" i="1"/>
  <c r="W341" i="1"/>
  <c r="U341" i="1"/>
  <c r="Q341" i="1"/>
  <c r="P341" i="1"/>
  <c r="O341" i="1"/>
  <c r="I341" i="1"/>
  <c r="I340" i="1"/>
  <c r="F340" i="1"/>
  <c r="F339" i="1"/>
  <c r="X337" i="1"/>
  <c r="W337" i="1"/>
  <c r="U337" i="1"/>
  <c r="Q337" i="1"/>
  <c r="P337" i="1"/>
  <c r="O337" i="1"/>
  <c r="X336" i="1"/>
  <c r="W336" i="1"/>
  <c r="U336" i="1"/>
  <c r="Q336" i="1"/>
  <c r="P336" i="1"/>
  <c r="O336" i="1"/>
  <c r="X335" i="1"/>
  <c r="W335" i="1"/>
  <c r="U335" i="1"/>
  <c r="Q335" i="1"/>
  <c r="P335" i="1"/>
  <c r="O335" i="1"/>
  <c r="X334" i="1"/>
  <c r="W334" i="1"/>
  <c r="U334" i="1"/>
  <c r="Q334" i="1"/>
  <c r="P334" i="1"/>
  <c r="O334" i="1"/>
  <c r="I333" i="1"/>
  <c r="I332" i="1"/>
  <c r="F332" i="1"/>
  <c r="F331" i="1"/>
  <c r="X329" i="1"/>
  <c r="W329" i="1"/>
  <c r="U329" i="1"/>
  <c r="Q329" i="1"/>
  <c r="P329" i="1"/>
  <c r="O329" i="1"/>
  <c r="X328" i="1"/>
  <c r="W328" i="1"/>
  <c r="U328" i="1"/>
  <c r="Q328" i="1"/>
  <c r="P328" i="1"/>
  <c r="O328" i="1"/>
  <c r="X327" i="1"/>
  <c r="W327" i="1"/>
  <c r="U327" i="1"/>
  <c r="Q327" i="1"/>
  <c r="P327" i="1"/>
  <c r="O327" i="1"/>
  <c r="AB326" i="1"/>
  <c r="X326" i="1"/>
  <c r="W326" i="1"/>
  <c r="U326" i="1"/>
  <c r="Q326" i="1"/>
  <c r="P326" i="1"/>
  <c r="O326" i="1"/>
  <c r="I323" i="1"/>
  <c r="F323" i="1"/>
  <c r="F322" i="1"/>
  <c r="X320" i="1"/>
  <c r="W320" i="1"/>
  <c r="U320" i="1"/>
  <c r="Q320" i="1"/>
  <c r="P320" i="1"/>
  <c r="O320" i="1"/>
  <c r="X319" i="1"/>
  <c r="W319" i="1"/>
  <c r="U319" i="1"/>
  <c r="Q319" i="1"/>
  <c r="P319" i="1"/>
  <c r="O319" i="1"/>
  <c r="I319" i="1"/>
  <c r="X318" i="1"/>
  <c r="W318" i="1"/>
  <c r="U318" i="1"/>
  <c r="Q318" i="1"/>
  <c r="P318" i="1"/>
  <c r="O318" i="1"/>
  <c r="AB317" i="1"/>
  <c r="Z317" i="1"/>
  <c r="X317" i="1"/>
  <c r="W317" i="1"/>
  <c r="U317" i="1"/>
  <c r="Q317" i="1"/>
  <c r="P317" i="1"/>
  <c r="O317" i="1"/>
  <c r="I316" i="1"/>
  <c r="F315" i="1"/>
  <c r="F314" i="1"/>
  <c r="X312" i="1"/>
  <c r="W312" i="1"/>
  <c r="U312" i="1"/>
  <c r="Q312" i="1"/>
  <c r="P312" i="1"/>
  <c r="O312" i="1"/>
  <c r="X311" i="1"/>
  <c r="W311" i="1"/>
  <c r="U311" i="1"/>
  <c r="Q311" i="1"/>
  <c r="P311" i="1"/>
  <c r="O311" i="1"/>
  <c r="AB310" i="1"/>
  <c r="X310" i="1"/>
  <c r="W310" i="1"/>
  <c r="U310" i="1"/>
  <c r="Q310" i="1"/>
  <c r="P310" i="1"/>
  <c r="O310" i="1"/>
  <c r="I310" i="1"/>
  <c r="Z309" i="1"/>
  <c r="X309" i="1"/>
  <c r="W309" i="1"/>
  <c r="U309" i="1"/>
  <c r="Q309" i="1"/>
  <c r="P309" i="1"/>
  <c r="O309" i="1"/>
  <c r="F304" i="1"/>
  <c r="F303" i="1"/>
  <c r="X301" i="1"/>
  <c r="W301" i="1"/>
  <c r="U301" i="1"/>
  <c r="Q301" i="1"/>
  <c r="P301" i="1"/>
  <c r="O301" i="1"/>
  <c r="X300" i="1"/>
  <c r="W300" i="1"/>
  <c r="U300" i="1"/>
  <c r="Q300" i="1"/>
  <c r="P300" i="1"/>
  <c r="O300" i="1"/>
  <c r="F300" i="1"/>
  <c r="X299" i="1"/>
  <c r="W299" i="1"/>
  <c r="U299" i="1"/>
  <c r="Q299" i="1"/>
  <c r="P299" i="1"/>
  <c r="O299" i="1"/>
  <c r="Z298" i="1"/>
  <c r="X298" i="1"/>
  <c r="W298" i="1"/>
  <c r="U298" i="1"/>
  <c r="Q298" i="1"/>
  <c r="P298" i="1"/>
  <c r="O298" i="1"/>
  <c r="I298" i="1"/>
  <c r="I296" i="1"/>
  <c r="I294" i="1"/>
  <c r="I293" i="1"/>
  <c r="F292" i="1"/>
  <c r="F291" i="1"/>
  <c r="X289" i="1"/>
  <c r="W289" i="1"/>
  <c r="U289" i="1"/>
  <c r="Q289" i="1"/>
  <c r="P289" i="1"/>
  <c r="O289" i="1"/>
  <c r="X288" i="1"/>
  <c r="W288" i="1"/>
  <c r="U288" i="1"/>
  <c r="Q288" i="1"/>
  <c r="P288" i="1"/>
  <c r="O288" i="1"/>
  <c r="X287" i="1"/>
  <c r="W287" i="1"/>
  <c r="U287" i="1"/>
  <c r="Q287" i="1"/>
  <c r="P287" i="1"/>
  <c r="O287" i="1"/>
  <c r="Z286" i="1"/>
  <c r="X286" i="1"/>
  <c r="W286" i="1"/>
  <c r="U286" i="1"/>
  <c r="Q286" i="1"/>
  <c r="P286" i="1"/>
  <c r="O286" i="1"/>
  <c r="I286" i="1"/>
  <c r="F285" i="1"/>
  <c r="I283" i="1"/>
  <c r="I281" i="1"/>
  <c r="F280" i="1"/>
  <c r="F279" i="1"/>
  <c r="X277" i="1"/>
  <c r="W277" i="1"/>
  <c r="U277" i="1"/>
  <c r="Q277" i="1"/>
  <c r="P277" i="1"/>
  <c r="O277" i="1"/>
  <c r="X276" i="1"/>
  <c r="W276" i="1"/>
  <c r="U276" i="1"/>
  <c r="Q276" i="1"/>
  <c r="P276" i="1"/>
  <c r="O276" i="1"/>
  <c r="X275" i="1"/>
  <c r="W275" i="1"/>
  <c r="U275" i="1"/>
  <c r="Q275" i="1"/>
  <c r="P275" i="1"/>
  <c r="O275" i="1"/>
  <c r="Z274" i="1"/>
  <c r="X274" i="1"/>
  <c r="W274" i="1"/>
  <c r="U274" i="1"/>
  <c r="Q274" i="1"/>
  <c r="P274" i="1"/>
  <c r="O274" i="1"/>
  <c r="I274" i="1"/>
  <c r="F269" i="1"/>
  <c r="F268" i="1"/>
  <c r="X266" i="1"/>
  <c r="W266" i="1"/>
  <c r="U266" i="1"/>
  <c r="Q266" i="1"/>
  <c r="P266" i="1"/>
  <c r="O266" i="1"/>
  <c r="X265" i="1"/>
  <c r="W265" i="1"/>
  <c r="U265" i="1"/>
  <c r="Q265" i="1"/>
  <c r="P265" i="1"/>
  <c r="O265" i="1"/>
  <c r="X264" i="1"/>
  <c r="W264" i="1"/>
  <c r="U264" i="1"/>
  <c r="Q264" i="1"/>
  <c r="P264" i="1"/>
  <c r="O264" i="1"/>
  <c r="X263" i="1"/>
  <c r="W263" i="1"/>
  <c r="U263" i="1"/>
  <c r="Q263" i="1"/>
  <c r="P263" i="1"/>
  <c r="O263" i="1"/>
  <c r="I262" i="1"/>
  <c r="F260" i="1"/>
  <c r="I259" i="1"/>
  <c r="F259" i="1"/>
  <c r="X257" i="1"/>
  <c r="W257" i="1"/>
  <c r="U257" i="1"/>
  <c r="Q257" i="1"/>
  <c r="P257" i="1"/>
  <c r="O257" i="1"/>
  <c r="X256" i="1"/>
  <c r="W256" i="1"/>
  <c r="U256" i="1"/>
  <c r="Q256" i="1"/>
  <c r="P256" i="1"/>
  <c r="O256" i="1"/>
  <c r="I256" i="1"/>
  <c r="X255" i="1"/>
  <c r="W255" i="1"/>
  <c r="U255" i="1"/>
  <c r="Q255" i="1"/>
  <c r="P255" i="1"/>
  <c r="O255" i="1"/>
  <c r="X254" i="1"/>
  <c r="W254" i="1"/>
  <c r="U254" i="1"/>
  <c r="Q254" i="1"/>
  <c r="P254" i="1"/>
  <c r="O254" i="1"/>
  <c r="F254" i="1"/>
  <c r="I251" i="1"/>
  <c r="I250" i="1"/>
  <c r="F249" i="1"/>
  <c r="F248" i="1"/>
  <c r="F247" i="1"/>
  <c r="X245" i="1"/>
  <c r="W245" i="1"/>
  <c r="U245" i="1"/>
  <c r="Q245" i="1"/>
  <c r="P245" i="1"/>
  <c r="O245" i="1"/>
  <c r="X244" i="1"/>
  <c r="W244" i="1"/>
  <c r="U244" i="1"/>
  <c r="Q244" i="1"/>
  <c r="P244" i="1"/>
  <c r="O244" i="1"/>
  <c r="X243" i="1"/>
  <c r="W243" i="1"/>
  <c r="U243" i="1"/>
  <c r="Q243" i="1"/>
  <c r="P243" i="1"/>
  <c r="O243" i="1"/>
  <c r="X242" i="1"/>
  <c r="W242" i="1"/>
  <c r="U242" i="1"/>
  <c r="Q242" i="1"/>
  <c r="P242" i="1"/>
  <c r="O242" i="1"/>
  <c r="F238" i="1"/>
  <c r="I237" i="1"/>
  <c r="F236" i="1"/>
  <c r="I235" i="1"/>
  <c r="F235" i="1"/>
  <c r="X233" i="1"/>
  <c r="W233" i="1"/>
  <c r="U233" i="1"/>
  <c r="Q233" i="1"/>
  <c r="P233" i="1"/>
  <c r="O233" i="1"/>
  <c r="X232" i="1"/>
  <c r="W232" i="1"/>
  <c r="U232" i="1"/>
  <c r="Q232" i="1"/>
  <c r="P232" i="1"/>
  <c r="O232" i="1"/>
  <c r="X231" i="1"/>
  <c r="W231" i="1"/>
  <c r="U231" i="1"/>
  <c r="Q231" i="1"/>
  <c r="P231" i="1"/>
  <c r="O231" i="1"/>
  <c r="Z230" i="1"/>
  <c r="X230" i="1"/>
  <c r="W230" i="1"/>
  <c r="U230" i="1"/>
  <c r="Q230" i="1"/>
  <c r="P230" i="1"/>
  <c r="O230" i="1"/>
  <c r="F229" i="1"/>
  <c r="I228" i="1"/>
  <c r="F228" i="1"/>
  <c r="I227" i="1"/>
  <c r="F227" i="1"/>
  <c r="X225" i="1"/>
  <c r="W225" i="1"/>
  <c r="U225" i="1"/>
  <c r="Q225" i="1"/>
  <c r="P225" i="1"/>
  <c r="O225" i="1"/>
  <c r="X224" i="1"/>
  <c r="W224" i="1"/>
  <c r="U224" i="1"/>
  <c r="Q224" i="1"/>
  <c r="P224" i="1"/>
  <c r="O224" i="1"/>
  <c r="X223" i="1"/>
  <c r="W223" i="1"/>
  <c r="U223" i="1"/>
  <c r="Q223" i="1"/>
  <c r="P223" i="1"/>
  <c r="O223" i="1"/>
  <c r="I223" i="1"/>
  <c r="X222" i="1"/>
  <c r="W222" i="1"/>
  <c r="U222" i="1"/>
  <c r="Q222" i="1"/>
  <c r="P222" i="1"/>
  <c r="O222" i="1"/>
  <c r="F220" i="1"/>
  <c r="I218" i="1"/>
  <c r="F218" i="1"/>
  <c r="I216" i="1"/>
  <c r="F216" i="1"/>
  <c r="I215" i="1"/>
  <c r="F215" i="1"/>
  <c r="X213" i="1"/>
  <c r="W213" i="1"/>
  <c r="U213" i="1"/>
  <c r="Q213" i="1"/>
  <c r="P213" i="1"/>
  <c r="O213" i="1"/>
  <c r="X212" i="1"/>
  <c r="W212" i="1"/>
  <c r="U212" i="1"/>
  <c r="Q212" i="1"/>
  <c r="P212" i="1"/>
  <c r="O212" i="1"/>
  <c r="X211" i="1"/>
  <c r="W211" i="1"/>
  <c r="U211" i="1"/>
  <c r="Q211" i="1"/>
  <c r="P211" i="1"/>
  <c r="O211" i="1"/>
  <c r="X210" i="1"/>
  <c r="W210" i="1"/>
  <c r="U210" i="1"/>
  <c r="Q210" i="1"/>
  <c r="P210" i="1"/>
  <c r="O210" i="1"/>
  <c r="F208" i="1"/>
  <c r="I206" i="1"/>
  <c r="F206" i="1"/>
  <c r="I205" i="1"/>
  <c r="F205" i="1"/>
  <c r="I204" i="1"/>
  <c r="F204" i="1"/>
  <c r="X202" i="1"/>
  <c r="W202" i="1"/>
  <c r="U202" i="1"/>
  <c r="Q202" i="1"/>
  <c r="P202" i="1"/>
  <c r="O202" i="1"/>
  <c r="X201" i="1"/>
  <c r="W201" i="1"/>
  <c r="U201" i="1"/>
  <c r="Q201" i="1"/>
  <c r="P201" i="1"/>
  <c r="O201" i="1"/>
  <c r="I201" i="1"/>
  <c r="X200" i="1"/>
  <c r="W200" i="1"/>
  <c r="U200" i="1"/>
  <c r="Q200" i="1"/>
  <c r="P200" i="1"/>
  <c r="O200" i="1"/>
  <c r="I200" i="1"/>
  <c r="Z199" i="1"/>
  <c r="X199" i="1"/>
  <c r="W199" i="1"/>
  <c r="U199" i="1"/>
  <c r="Q199" i="1"/>
  <c r="P199" i="1"/>
  <c r="O199" i="1"/>
  <c r="I198" i="1"/>
  <c r="I196" i="1"/>
  <c r="F196" i="1"/>
  <c r="F195" i="1"/>
  <c r="I194" i="1"/>
  <c r="F194" i="1"/>
  <c r="X192" i="1"/>
  <c r="W192" i="1"/>
  <c r="U192" i="1"/>
  <c r="Q192" i="1"/>
  <c r="P192" i="1"/>
  <c r="O192" i="1"/>
  <c r="AB191" i="1"/>
  <c r="X191" i="1"/>
  <c r="W191" i="1"/>
  <c r="U191" i="1"/>
  <c r="Q191" i="1"/>
  <c r="P191" i="1"/>
  <c r="O191" i="1"/>
  <c r="AB190" i="1"/>
  <c r="X190" i="1"/>
  <c r="W190" i="1"/>
  <c r="U190" i="1"/>
  <c r="Q190" i="1"/>
  <c r="P190" i="1"/>
  <c r="O190" i="1"/>
  <c r="AB189" i="1"/>
  <c r="X189" i="1"/>
  <c r="W189" i="1"/>
  <c r="U189" i="1"/>
  <c r="Q189" i="1"/>
  <c r="P189" i="1"/>
  <c r="O189" i="1"/>
  <c r="I189" i="1"/>
  <c r="F186" i="1"/>
  <c r="I185" i="1"/>
  <c r="F185" i="1"/>
  <c r="X183" i="1"/>
  <c r="W183" i="1"/>
  <c r="U183" i="1"/>
  <c r="Q183" i="1"/>
  <c r="P183" i="1"/>
  <c r="O183" i="1"/>
  <c r="AB182" i="1"/>
  <c r="X182" i="1"/>
  <c r="W182" i="1"/>
  <c r="U182" i="1"/>
  <c r="Q182" i="1"/>
  <c r="P182" i="1"/>
  <c r="O182" i="1"/>
  <c r="AB181" i="1"/>
  <c r="X181" i="1"/>
  <c r="W181" i="1"/>
  <c r="U181" i="1"/>
  <c r="Q181" i="1"/>
  <c r="P181" i="1"/>
  <c r="O181" i="1"/>
  <c r="AB180" i="1"/>
  <c r="X180" i="1"/>
  <c r="W180" i="1"/>
  <c r="U180" i="1"/>
  <c r="Q180" i="1"/>
  <c r="P180" i="1"/>
  <c r="O180" i="1"/>
  <c r="F177" i="1"/>
  <c r="I176" i="1"/>
  <c r="F175" i="1"/>
  <c r="F174" i="1"/>
  <c r="X172" i="1"/>
  <c r="W172" i="1"/>
  <c r="U172" i="1"/>
  <c r="Q172" i="1"/>
  <c r="P172" i="1"/>
  <c r="O172" i="1"/>
  <c r="X171" i="1"/>
  <c r="W171" i="1"/>
  <c r="U171" i="1"/>
  <c r="Q171" i="1"/>
  <c r="P171" i="1"/>
  <c r="O171" i="1"/>
  <c r="X170" i="1"/>
  <c r="W170" i="1"/>
  <c r="U170" i="1"/>
  <c r="Q170" i="1"/>
  <c r="P170" i="1"/>
  <c r="O170" i="1"/>
  <c r="F170" i="1"/>
  <c r="X169" i="1"/>
  <c r="W169" i="1"/>
  <c r="U169" i="1"/>
  <c r="Q169" i="1"/>
  <c r="P169" i="1"/>
  <c r="O169" i="1"/>
  <c r="I166" i="1"/>
  <c r="F166" i="1"/>
  <c r="I165" i="1"/>
  <c r="F165" i="1"/>
  <c r="F164" i="1"/>
  <c r="I163" i="1"/>
  <c r="F163" i="1"/>
  <c r="X161" i="1"/>
  <c r="W161" i="1"/>
  <c r="U161" i="1"/>
  <c r="Q161" i="1"/>
  <c r="P161" i="1"/>
  <c r="O161" i="1"/>
  <c r="X160" i="1"/>
  <c r="W160" i="1"/>
  <c r="U160" i="1"/>
  <c r="Q160" i="1"/>
  <c r="P160" i="1"/>
  <c r="O160" i="1"/>
  <c r="X159" i="1"/>
  <c r="W159" i="1"/>
  <c r="U159" i="1"/>
  <c r="Q159" i="1"/>
  <c r="P159" i="1"/>
  <c r="O159" i="1"/>
  <c r="X158" i="1"/>
  <c r="W158" i="1"/>
  <c r="U158" i="1"/>
  <c r="Q158" i="1"/>
  <c r="P158" i="1"/>
  <c r="O158" i="1"/>
  <c r="I157" i="1"/>
  <c r="I156" i="1"/>
  <c r="F156" i="1"/>
  <c r="F155" i="1"/>
  <c r="I154" i="1"/>
  <c r="F154" i="1"/>
  <c r="I153" i="1"/>
  <c r="F153" i="1"/>
  <c r="X151" i="1"/>
  <c r="W151" i="1"/>
  <c r="U151" i="1"/>
  <c r="Q151" i="1"/>
  <c r="P151" i="1"/>
  <c r="O151" i="1"/>
  <c r="AB150" i="1"/>
  <c r="X150" i="1"/>
  <c r="W150" i="1"/>
  <c r="U150" i="1"/>
  <c r="Q150" i="1"/>
  <c r="P150" i="1"/>
  <c r="O150" i="1"/>
  <c r="AB149" i="1"/>
  <c r="X149" i="1"/>
  <c r="W149" i="1"/>
  <c r="U149" i="1"/>
  <c r="Q149" i="1"/>
  <c r="P149" i="1"/>
  <c r="O149" i="1"/>
  <c r="X148" i="1"/>
  <c r="W148" i="1"/>
  <c r="U148" i="1"/>
  <c r="Q148" i="1"/>
  <c r="P148" i="1"/>
  <c r="O148" i="1"/>
  <c r="I148" i="1"/>
  <c r="I147" i="1"/>
  <c r="I145" i="1"/>
  <c r="F145" i="1"/>
  <c r="I144" i="1"/>
  <c r="F144" i="1"/>
  <c r="X142" i="1"/>
  <c r="W142" i="1"/>
  <c r="U142" i="1"/>
  <c r="Q142" i="1"/>
  <c r="P142" i="1"/>
  <c r="O142" i="1"/>
  <c r="AB141" i="1"/>
  <c r="X141" i="1"/>
  <c r="W141" i="1"/>
  <c r="U141" i="1"/>
  <c r="Q141" i="1"/>
  <c r="P141" i="1"/>
  <c r="O141" i="1"/>
  <c r="AB140" i="1"/>
  <c r="X140" i="1"/>
  <c r="W140" i="1"/>
  <c r="U140" i="1"/>
  <c r="Q140" i="1"/>
  <c r="P140" i="1"/>
  <c r="O140" i="1"/>
  <c r="X139" i="1"/>
  <c r="W139" i="1"/>
  <c r="U139" i="1"/>
  <c r="Q139" i="1"/>
  <c r="P139" i="1"/>
  <c r="O139" i="1"/>
  <c r="F138" i="1"/>
  <c r="I137" i="1"/>
  <c r="F137" i="1"/>
  <c r="X135" i="1"/>
  <c r="W135" i="1"/>
  <c r="U135" i="1"/>
  <c r="Q135" i="1"/>
  <c r="P135" i="1"/>
  <c r="O135" i="1"/>
  <c r="X134" i="1"/>
  <c r="W134" i="1"/>
  <c r="U134" i="1"/>
  <c r="Q134" i="1"/>
  <c r="P134" i="1"/>
  <c r="O134" i="1"/>
  <c r="X133" i="1"/>
  <c r="W133" i="1"/>
  <c r="U133" i="1"/>
  <c r="Q133" i="1"/>
  <c r="P133" i="1"/>
  <c r="O133" i="1"/>
  <c r="X132" i="1"/>
  <c r="W132" i="1"/>
  <c r="U132" i="1"/>
  <c r="Q132" i="1"/>
  <c r="P132" i="1"/>
  <c r="O132" i="1"/>
  <c r="F130" i="1"/>
  <c r="I129" i="1"/>
  <c r="F129" i="1"/>
  <c r="I128" i="1"/>
  <c r="F128" i="1"/>
  <c r="X126" i="1"/>
  <c r="W126" i="1"/>
  <c r="U126" i="1"/>
  <c r="Q126" i="1"/>
  <c r="P126" i="1"/>
  <c r="O126" i="1"/>
  <c r="X125" i="1"/>
  <c r="W125" i="1"/>
  <c r="U125" i="1"/>
  <c r="Q125" i="1"/>
  <c r="P125" i="1"/>
  <c r="O125" i="1"/>
  <c r="X124" i="1"/>
  <c r="W124" i="1"/>
  <c r="U124" i="1"/>
  <c r="Q124" i="1"/>
  <c r="P124" i="1"/>
  <c r="O124" i="1"/>
  <c r="X123" i="1"/>
  <c r="W123" i="1"/>
  <c r="U123" i="1"/>
  <c r="Q123" i="1"/>
  <c r="P123" i="1"/>
  <c r="O123" i="1"/>
  <c r="I123" i="1"/>
  <c r="F123" i="1"/>
  <c r="F122" i="1"/>
  <c r="I121" i="1"/>
  <c r="F121" i="1"/>
  <c r="X119" i="1"/>
  <c r="W119" i="1"/>
  <c r="U119" i="1"/>
  <c r="Q119" i="1"/>
  <c r="P119" i="1"/>
  <c r="O119" i="1"/>
  <c r="X118" i="1"/>
  <c r="W118" i="1"/>
  <c r="U118" i="1"/>
  <c r="Q118" i="1"/>
  <c r="P118" i="1"/>
  <c r="O118" i="1"/>
  <c r="X117" i="1"/>
  <c r="W117" i="1"/>
  <c r="U117" i="1"/>
  <c r="Q117" i="1"/>
  <c r="P117" i="1"/>
  <c r="O117" i="1"/>
  <c r="I117" i="1"/>
  <c r="F114" i="1"/>
  <c r="F113" i="1"/>
  <c r="I112" i="1"/>
  <c r="F112" i="1"/>
  <c r="X110" i="1"/>
  <c r="W110" i="1"/>
  <c r="U110" i="1"/>
  <c r="Q110" i="1"/>
  <c r="P110" i="1"/>
  <c r="O110" i="1"/>
  <c r="X109" i="1"/>
  <c r="W109" i="1"/>
  <c r="U109" i="1"/>
  <c r="Q109" i="1"/>
  <c r="P109" i="1"/>
  <c r="O109" i="1"/>
  <c r="X108" i="1"/>
  <c r="W108" i="1"/>
  <c r="U108" i="1"/>
  <c r="Q108" i="1"/>
  <c r="P108" i="1"/>
  <c r="O108" i="1"/>
  <c r="F106" i="1"/>
  <c r="F103" i="1"/>
  <c r="C103" i="1"/>
  <c r="I102" i="1"/>
  <c r="F102" i="1"/>
  <c r="X100" i="1"/>
  <c r="W100" i="1"/>
  <c r="U100" i="1"/>
  <c r="Q100" i="1"/>
  <c r="P100" i="1"/>
  <c r="O100" i="1"/>
  <c r="X99" i="1"/>
  <c r="W99" i="1"/>
  <c r="U99" i="1"/>
  <c r="Q99" i="1"/>
  <c r="P99" i="1"/>
  <c r="O99" i="1"/>
  <c r="X98" i="1"/>
  <c r="W98" i="1"/>
  <c r="U98" i="1"/>
  <c r="Q98" i="1"/>
  <c r="P98" i="1"/>
  <c r="O98" i="1"/>
  <c r="I98" i="1"/>
  <c r="F94" i="1"/>
  <c r="F93" i="1"/>
  <c r="X91" i="1"/>
  <c r="W91" i="1"/>
  <c r="U91" i="1"/>
  <c r="Q91" i="1"/>
  <c r="P91" i="1"/>
  <c r="O91" i="1"/>
  <c r="X90" i="1"/>
  <c r="W90" i="1"/>
  <c r="U90" i="1"/>
  <c r="Q90" i="1"/>
  <c r="P90" i="1"/>
  <c r="O90" i="1"/>
  <c r="X89" i="1"/>
  <c r="W89" i="1"/>
  <c r="U89" i="1"/>
  <c r="Q89" i="1"/>
  <c r="P89" i="1"/>
  <c r="O89" i="1"/>
  <c r="I85" i="1"/>
  <c r="F85" i="1"/>
  <c r="F84" i="1"/>
  <c r="X82" i="1"/>
  <c r="W82" i="1"/>
  <c r="U82" i="1"/>
  <c r="Q82" i="1"/>
  <c r="P82" i="1"/>
  <c r="O82" i="1"/>
  <c r="X81" i="1"/>
  <c r="W81" i="1"/>
  <c r="U81" i="1"/>
  <c r="Q81" i="1"/>
  <c r="P81" i="1"/>
  <c r="O81" i="1"/>
  <c r="X80" i="1"/>
  <c r="W80" i="1"/>
  <c r="U80" i="1"/>
  <c r="Q80" i="1"/>
  <c r="P80" i="1"/>
  <c r="O80" i="1"/>
  <c r="F77" i="1"/>
  <c r="I76" i="1"/>
  <c r="F76" i="1"/>
  <c r="X74" i="1"/>
  <c r="W74" i="1"/>
  <c r="U74" i="1"/>
  <c r="Q74" i="1"/>
  <c r="P74" i="1"/>
  <c r="O74" i="1"/>
  <c r="X73" i="1"/>
  <c r="W73" i="1"/>
  <c r="U73" i="1"/>
  <c r="Q73" i="1"/>
  <c r="P73" i="1"/>
  <c r="O73" i="1"/>
  <c r="X72" i="1"/>
  <c r="W72" i="1"/>
  <c r="U72" i="1"/>
  <c r="Q72" i="1"/>
  <c r="P72" i="1"/>
  <c r="O72" i="1"/>
  <c r="I68" i="1"/>
  <c r="F68" i="1"/>
  <c r="X66" i="1"/>
  <c r="W66" i="1"/>
  <c r="U66" i="1"/>
  <c r="Q66" i="1"/>
  <c r="P66" i="1"/>
  <c r="O66" i="1"/>
  <c r="X65" i="1"/>
  <c r="W65" i="1"/>
  <c r="U65" i="1"/>
  <c r="Q65" i="1"/>
  <c r="P65" i="1"/>
  <c r="O65" i="1"/>
  <c r="AB64" i="1"/>
  <c r="Z64" i="1"/>
  <c r="X64" i="1"/>
  <c r="W64" i="1"/>
  <c r="U64" i="1"/>
  <c r="Q64" i="1"/>
  <c r="P64" i="1"/>
  <c r="O64" i="1"/>
  <c r="F63" i="1"/>
  <c r="F62" i="1"/>
  <c r="F58" i="1"/>
  <c r="I57" i="1"/>
  <c r="F57" i="1"/>
  <c r="X55" i="1"/>
  <c r="W55" i="1"/>
  <c r="U55" i="1"/>
  <c r="Q55" i="1"/>
  <c r="P55" i="1"/>
  <c r="O55" i="1"/>
  <c r="X54" i="1"/>
  <c r="W54" i="1"/>
  <c r="U54" i="1"/>
  <c r="Q54" i="1"/>
  <c r="P54" i="1"/>
  <c r="O54" i="1"/>
  <c r="X53" i="1"/>
  <c r="W53" i="1"/>
  <c r="U53" i="1"/>
  <c r="Q53" i="1"/>
  <c r="P53" i="1"/>
  <c r="O53" i="1"/>
  <c r="F51" i="1"/>
  <c r="I50" i="1"/>
  <c r="F50" i="1"/>
  <c r="X48" i="1"/>
  <c r="W48" i="1"/>
  <c r="U48" i="1"/>
  <c r="Q48" i="1"/>
  <c r="P48" i="1"/>
  <c r="O48" i="1"/>
  <c r="X47" i="1"/>
  <c r="W47" i="1"/>
  <c r="U47" i="1"/>
  <c r="Q47" i="1"/>
  <c r="P47" i="1"/>
  <c r="O47" i="1"/>
  <c r="X46" i="1"/>
  <c r="W46" i="1"/>
  <c r="U46" i="1"/>
  <c r="Q46" i="1"/>
  <c r="P46" i="1"/>
  <c r="O46" i="1"/>
  <c r="C44" i="1"/>
  <c r="F41" i="1"/>
  <c r="I40" i="1"/>
  <c r="F40" i="1"/>
  <c r="X38" i="1"/>
  <c r="W38" i="1"/>
  <c r="U38" i="1"/>
  <c r="Q38" i="1"/>
  <c r="P38" i="1"/>
  <c r="O38" i="1"/>
  <c r="X37" i="1"/>
  <c r="W37" i="1"/>
  <c r="U37" i="1"/>
  <c r="Q37" i="1"/>
  <c r="P37" i="1"/>
  <c r="O37" i="1"/>
  <c r="X36" i="1"/>
  <c r="W36" i="1"/>
  <c r="U36" i="1"/>
  <c r="Q36" i="1"/>
  <c r="P36" i="1"/>
  <c r="O36" i="1"/>
  <c r="C32" i="1"/>
  <c r="F31" i="1"/>
  <c r="I30" i="1"/>
  <c r="F30" i="1"/>
  <c r="X28" i="1"/>
  <c r="W28" i="1"/>
  <c r="U28" i="1"/>
  <c r="Q28" i="1"/>
  <c r="P28" i="1"/>
  <c r="O28" i="1"/>
  <c r="X27" i="1"/>
  <c r="W27" i="1"/>
  <c r="U27" i="1"/>
  <c r="Q27" i="1"/>
  <c r="P27" i="1"/>
  <c r="O27" i="1"/>
  <c r="X26" i="1"/>
  <c r="W26" i="1"/>
  <c r="U26" i="1"/>
  <c r="Q26" i="1"/>
  <c r="P26" i="1"/>
  <c r="O26" i="1"/>
  <c r="C26" i="1"/>
  <c r="F23" i="1"/>
  <c r="I22" i="1"/>
  <c r="F22" i="1"/>
  <c r="X20" i="1"/>
  <c r="W20" i="1"/>
  <c r="U20" i="1"/>
  <c r="Q20" i="1"/>
  <c r="P20" i="1"/>
  <c r="O20" i="1"/>
  <c r="Z19" i="1"/>
  <c r="X19" i="1"/>
  <c r="W19" i="1"/>
  <c r="U19" i="1"/>
  <c r="Q19" i="1"/>
  <c r="P19" i="1"/>
  <c r="O19" i="1"/>
  <c r="X18" i="1"/>
  <c r="W18" i="1"/>
  <c r="U18" i="1"/>
  <c r="Q18" i="1"/>
  <c r="P18" i="1"/>
  <c r="O18" i="1"/>
  <c r="F17" i="1"/>
  <c r="I16" i="1"/>
  <c r="F16" i="1"/>
  <c r="C16" i="1"/>
  <c r="X14" i="1"/>
  <c r="W14" i="1"/>
  <c r="U14" i="1"/>
  <c r="Q14" i="1"/>
  <c r="P14" i="1"/>
  <c r="O14" i="1"/>
  <c r="Z13" i="1"/>
  <c r="X13" i="1"/>
  <c r="W13" i="1"/>
  <c r="U13" i="1"/>
  <c r="Q13" i="1"/>
  <c r="X12" i="1"/>
  <c r="W12" i="1"/>
  <c r="U12" i="1"/>
  <c r="Q12" i="1"/>
  <c r="F11" i="1"/>
  <c r="C11" i="1"/>
  <c r="I10" i="1"/>
  <c r="F10" i="1"/>
  <c r="U8" i="1"/>
  <c r="Q8" i="1"/>
  <c r="U7" i="1"/>
  <c r="Q7" i="1"/>
  <c r="U6" i="1"/>
  <c r="Q6" i="1"/>
  <c r="AF3" i="22"/>
  <c r="AE3" i="22"/>
  <c r="AD3" i="22"/>
  <c r="AC3" i="22"/>
  <c r="AA2" i="22"/>
  <c r="Y2" i="22"/>
  <c r="W2" i="22"/>
  <c r="I6" i="31" l="1"/>
  <c r="K58" i="26"/>
  <c r="K66" i="26"/>
  <c r="K99" i="26"/>
  <c r="K102" i="26"/>
  <c r="M47" i="26"/>
  <c r="K67" i="26"/>
  <c r="K70" i="26"/>
  <c r="K82" i="26"/>
  <c r="K119" i="26"/>
  <c r="M94" i="26"/>
  <c r="K24" i="26"/>
  <c r="K44" i="26"/>
  <c r="K83" i="26"/>
  <c r="K86" i="26"/>
  <c r="AF49" i="10"/>
  <c r="AG49" i="10" s="1"/>
  <c r="AC64" i="10"/>
  <c r="AC72" i="10"/>
  <c r="S835" i="1"/>
  <c r="P74" i="10" s="1"/>
  <c r="D7" i="31"/>
  <c r="I5" i="31" s="1"/>
  <c r="J6" i="31"/>
  <c r="L3" i="34"/>
  <c r="L7" i="34"/>
  <c r="L24" i="34" s="1"/>
  <c r="L32" i="34"/>
  <c r="L18" i="34"/>
  <c r="L6" i="34"/>
  <c r="I7" i="31"/>
  <c r="J7" i="31" s="1"/>
  <c r="S836" i="1"/>
  <c r="S840" i="1" s="1"/>
  <c r="S847" i="1" s="1"/>
  <c r="E9" i="31"/>
  <c r="J5" i="31"/>
  <c r="M31" i="26"/>
  <c r="M21" i="26"/>
  <c r="M51" i="26"/>
  <c r="M72" i="26"/>
  <c r="M88" i="26"/>
  <c r="M104" i="26"/>
  <c r="M19" i="26"/>
  <c r="M55" i="26"/>
  <c r="K52" i="26"/>
  <c r="M41" i="26"/>
  <c r="M78" i="26"/>
  <c r="M87" i="26"/>
  <c r="M17" i="26"/>
  <c r="K36" i="26"/>
  <c r="M65" i="26"/>
  <c r="M81" i="26"/>
  <c r="M97" i="26"/>
  <c r="M103" i="26"/>
  <c r="M23" i="26"/>
  <c r="M69" i="26"/>
  <c r="M101" i="26"/>
  <c r="M39" i="26"/>
  <c r="M49" i="26"/>
  <c r="M68" i="26"/>
  <c r="M84" i="26"/>
  <c r="M100" i="26"/>
  <c r="M71" i="26"/>
  <c r="M27" i="26"/>
  <c r="M57" i="26"/>
  <c r="M85" i="26"/>
  <c r="AC51" i="10"/>
  <c r="AC54" i="10"/>
  <c r="AC63" i="10"/>
  <c r="AC66" i="10"/>
  <c r="AC52" i="10"/>
  <c r="AC56" i="10"/>
  <c r="AC60" i="10"/>
  <c r="AC53" i="10"/>
  <c r="AC57" i="10"/>
  <c r="AC61" i="10"/>
  <c r="AC70" i="10"/>
  <c r="AC58" i="10"/>
  <c r="R29" i="35"/>
  <c r="Q29" i="35"/>
  <c r="R28" i="35"/>
  <c r="Q28" i="35"/>
  <c r="N2" i="35"/>
  <c r="P2" i="35" s="1"/>
  <c r="T76" i="12"/>
  <c r="Z5" i="12"/>
  <c r="W5" i="12"/>
  <c r="Y3" i="12"/>
  <c r="H76" i="12"/>
  <c r="Z3" i="12"/>
  <c r="W3" i="12"/>
  <c r="I78" i="12"/>
  <c r="M78" i="12"/>
  <c r="I77" i="12"/>
  <c r="H77" i="12" s="1"/>
  <c r="J75" i="12"/>
  <c r="S76" i="12"/>
  <c r="R76" i="12" s="1"/>
  <c r="S77" i="12"/>
  <c r="K76" i="12"/>
  <c r="X75" i="10"/>
  <c r="Y75" i="10" s="1"/>
  <c r="P855" i="1"/>
  <c r="P856" i="1" s="1"/>
  <c r="P852" i="1"/>
  <c r="P853" i="1" s="1"/>
  <c r="I870" i="1"/>
  <c r="H74" i="10"/>
  <c r="P863" i="1"/>
  <c r="P848" i="1"/>
  <c r="P843" i="1"/>
  <c r="P838" i="1"/>
  <c r="P839" i="1" s="1"/>
  <c r="P892" i="1"/>
  <c r="L904" i="1"/>
  <c r="M904" i="1"/>
  <c r="P895" i="1"/>
  <c r="P896" i="1" s="1"/>
  <c r="P857" i="1"/>
  <c r="P878" i="1"/>
  <c r="P879" i="1" s="1"/>
  <c r="N904" i="1"/>
  <c r="P859" i="1"/>
  <c r="Q5" i="26"/>
  <c r="R5" i="26" s="1"/>
  <c r="I5" i="26"/>
  <c r="U835" i="1"/>
  <c r="H5" i="26"/>
  <c r="H6" i="26"/>
  <c r="I6" i="26" s="1"/>
  <c r="Q3" i="34"/>
  <c r="Q7" i="26"/>
  <c r="K30" i="26"/>
  <c r="K40" i="26"/>
  <c r="K48" i="26"/>
  <c r="K56" i="26"/>
  <c r="K64" i="26"/>
  <c r="K75" i="26"/>
  <c r="K91" i="26"/>
  <c r="K107" i="26"/>
  <c r="K118" i="26"/>
  <c r="K25" i="26"/>
  <c r="K32" i="26"/>
  <c r="K37" i="26"/>
  <c r="K45" i="26"/>
  <c r="K53" i="26"/>
  <c r="K61" i="26"/>
  <c r="K73" i="26"/>
  <c r="K89" i="26"/>
  <c r="K105" i="26"/>
  <c r="L13" i="26"/>
  <c r="M13" i="26" s="1"/>
  <c r="L12" i="26"/>
  <c r="K18" i="26"/>
  <c r="K20" i="26"/>
  <c r="K22" i="26"/>
  <c r="K29" i="26"/>
  <c r="K76" i="26"/>
  <c r="K92" i="26"/>
  <c r="K108" i="26"/>
  <c r="K26" i="26"/>
  <c r="K38" i="26"/>
  <c r="K46" i="26"/>
  <c r="K54" i="26"/>
  <c r="K62" i="26"/>
  <c r="K79" i="26"/>
  <c r="K95" i="26"/>
  <c r="L74" i="10"/>
  <c r="AF74" i="10"/>
  <c r="AG74" i="10" s="1"/>
  <c r="AF57" i="10"/>
  <c r="AG57" i="10" s="1"/>
  <c r="F3" i="22" s="1"/>
  <c r="Y58" i="10"/>
  <c r="Y63" i="10"/>
  <c r="Y71" i="10"/>
  <c r="AF62" i="10"/>
  <c r="AG62" i="10" s="1"/>
  <c r="AF70" i="10"/>
  <c r="AG70" i="10" s="1"/>
  <c r="AH60" i="10"/>
  <c r="Q821" i="1"/>
  <c r="Q822" i="1" s="1"/>
  <c r="AF53" i="10"/>
  <c r="AG53" i="10" s="1"/>
  <c r="Y54" i="10"/>
  <c r="X74" i="10"/>
  <c r="Y74" i="10" s="1"/>
  <c r="Q817" i="1"/>
  <c r="AM111" i="10"/>
  <c r="N73" i="10"/>
  <c r="AH61" i="10"/>
  <c r="AM126" i="10"/>
  <c r="BJ73" i="10"/>
  <c r="BK73" i="10"/>
  <c r="P834" i="1"/>
  <c r="D74" i="10" s="1"/>
  <c r="AH74" i="10" s="1"/>
  <c r="E74" i="10"/>
  <c r="BI73" i="10"/>
  <c r="BH73" i="10"/>
  <c r="AH57" i="10"/>
  <c r="AF60" i="10"/>
  <c r="AG60" i="10" s="1"/>
  <c r="Y61" i="10"/>
  <c r="AZ73" i="10"/>
  <c r="BA73" i="10"/>
  <c r="Q844" i="1"/>
  <c r="Q845" i="1" s="1"/>
  <c r="BB73" i="10"/>
  <c r="R60" i="10"/>
  <c r="AI60" i="10" s="1"/>
  <c r="AF68" i="10"/>
  <c r="AG68" i="10" s="1"/>
  <c r="M73" i="10"/>
  <c r="P836" i="1"/>
  <c r="AH56" i="10"/>
  <c r="BF73" i="10"/>
  <c r="Q827" i="1"/>
  <c r="Q828" i="1" s="1"/>
  <c r="BG73" i="10"/>
  <c r="Q841" i="1"/>
  <c r="Q842" i="1" s="1"/>
  <c r="AF50" i="10"/>
  <c r="AG50" i="10" s="1"/>
  <c r="AR53" i="10"/>
  <c r="AW53" i="10" s="1"/>
  <c r="AH51" i="10"/>
  <c r="AF69" i="10"/>
  <c r="AG69" i="10" s="1"/>
  <c r="AH71" i="10"/>
  <c r="AJ51" i="10"/>
  <c r="T846" i="1"/>
  <c r="Q858" i="1"/>
  <c r="Q859" i="1" s="1"/>
  <c r="AH65" i="10"/>
  <c r="AH73" i="10"/>
  <c r="Q838" i="1"/>
  <c r="Q839" i="1" s="1"/>
  <c r="AF64" i="10"/>
  <c r="AG64" i="10" s="1"/>
  <c r="AF72" i="10"/>
  <c r="AG72" i="10" s="1"/>
  <c r="U846" i="1"/>
  <c r="V846" i="1" s="1"/>
  <c r="Y62" i="10"/>
  <c r="AC55" i="10"/>
  <c r="AF58" i="10"/>
  <c r="AG58" i="10" s="1"/>
  <c r="F2" i="22" s="1"/>
  <c r="Y59" i="10"/>
  <c r="AF55" i="10"/>
  <c r="AG55" i="10" s="1"/>
  <c r="Y56" i="10"/>
  <c r="Y64" i="10"/>
  <c r="Y72" i="10"/>
  <c r="AF52" i="10"/>
  <c r="AG52" i="10" s="1"/>
  <c r="Y53" i="10"/>
  <c r="AC62" i="10"/>
  <c r="Y60" i="10"/>
  <c r="R94" i="10"/>
  <c r="AF56" i="10"/>
  <c r="AG56" i="10" s="1"/>
  <c r="Y57" i="10"/>
  <c r="AJ69" i="10"/>
  <c r="AJ59" i="10"/>
  <c r="AJ71" i="10"/>
  <c r="AM82" i="10"/>
  <c r="R110" i="10"/>
  <c r="AH54" i="10"/>
  <c r="AM76" i="10"/>
  <c r="AF54" i="10"/>
  <c r="AG54" i="10" s="1"/>
  <c r="Y55" i="10"/>
  <c r="R65" i="10"/>
  <c r="AI65" i="10" s="1"/>
  <c r="R79" i="10"/>
  <c r="Y69" i="10"/>
  <c r="R109" i="10"/>
  <c r="AR50" i="10"/>
  <c r="AW50" i="10" s="1"/>
  <c r="AR57" i="10"/>
  <c r="AW57" i="10" s="1"/>
  <c r="AH58" i="10"/>
  <c r="AF61" i="10"/>
  <c r="AG61" i="10" s="1"/>
  <c r="AH52" i="10"/>
  <c r="R130" i="10"/>
  <c r="R67" i="10"/>
  <c r="AI67" i="10" s="1"/>
  <c r="AC59" i="10"/>
  <c r="AR61" i="10"/>
  <c r="AW61" i="10" s="1"/>
  <c r="R50" i="10"/>
  <c r="AI50" i="10" s="1"/>
  <c r="AH50" i="10"/>
  <c r="AN50" i="10" s="1"/>
  <c r="AJ52" i="10"/>
  <c r="AH53" i="10"/>
  <c r="AF59" i="10"/>
  <c r="AG59" i="10" s="1"/>
  <c r="AJ67" i="10"/>
  <c r="AM92" i="10"/>
  <c r="R118" i="10"/>
  <c r="R78" i="10"/>
  <c r="AM86" i="10"/>
  <c r="AJ50" i="10"/>
  <c r="AH59" i="10"/>
  <c r="R63" i="10"/>
  <c r="AI63" i="10" s="1"/>
  <c r="AR63" i="10"/>
  <c r="AU63" i="10" s="1"/>
  <c r="R69" i="10"/>
  <c r="AI69" i="10" s="1"/>
  <c r="R84" i="10"/>
  <c r="R90" i="10"/>
  <c r="AM109" i="10"/>
  <c r="AM124" i="10"/>
  <c r="Y65" i="10"/>
  <c r="Y73" i="10"/>
  <c r="AM98" i="10"/>
  <c r="R77" i="10"/>
  <c r="R89" i="10"/>
  <c r="R95" i="10"/>
  <c r="R106" i="10"/>
  <c r="R122" i="10"/>
  <c r="R51" i="10"/>
  <c r="AI51" i="10" s="1"/>
  <c r="AF51" i="10"/>
  <c r="AG51" i="10" s="1"/>
  <c r="R56" i="10"/>
  <c r="AI56" i="10" s="1"/>
  <c r="AF63" i="10"/>
  <c r="AG63" i="10" s="1"/>
  <c r="Y66" i="10"/>
  <c r="AF71" i="10"/>
  <c r="AG71" i="10" s="1"/>
  <c r="R71" i="10"/>
  <c r="AI71" i="10" s="1"/>
  <c r="Y52" i="10"/>
  <c r="AJ63" i="10"/>
  <c r="Y67" i="10"/>
  <c r="R82" i="10"/>
  <c r="R105" i="10"/>
  <c r="AF65" i="10"/>
  <c r="AG65" i="10" s="1"/>
  <c r="AH67" i="10"/>
  <c r="Y68" i="10"/>
  <c r="AF73" i="10"/>
  <c r="AG73" i="10" s="1"/>
  <c r="R93" i="10"/>
  <c r="AM127" i="10"/>
  <c r="AF66" i="10"/>
  <c r="AG66" i="10" s="1"/>
  <c r="AJ65" i="10"/>
  <c r="R98" i="10"/>
  <c r="R114" i="10"/>
  <c r="AJ49" i="10"/>
  <c r="AT49" i="10" s="1"/>
  <c r="AH55" i="10"/>
  <c r="AH62" i="10"/>
  <c r="AF67" i="10"/>
  <c r="AG67" i="10" s="1"/>
  <c r="AH69" i="10"/>
  <c r="Y70" i="10"/>
  <c r="AM106" i="10"/>
  <c r="AM117" i="10"/>
  <c r="AM122" i="10"/>
  <c r="AM105" i="10"/>
  <c r="AM110" i="10"/>
  <c r="AM121" i="10"/>
  <c r="AR54" i="10"/>
  <c r="AJ54" i="10"/>
  <c r="R55" i="10"/>
  <c r="AI55" i="10" s="1"/>
  <c r="AM130" i="10"/>
  <c r="AM78" i="10"/>
  <c r="AM114" i="10"/>
  <c r="AC50" i="10"/>
  <c r="AJ55" i="10"/>
  <c r="AM89" i="10"/>
  <c r="AM91" i="10"/>
  <c r="AM85" i="10"/>
  <c r="AM102" i="10"/>
  <c r="AM118" i="10"/>
  <c r="AM94" i="10"/>
  <c r="AM107" i="10"/>
  <c r="AM123" i="10"/>
  <c r="B2" i="22"/>
  <c r="AR58" i="10"/>
  <c r="AJ58" i="10"/>
  <c r="R59" i="10"/>
  <c r="AI59" i="10" s="1"/>
  <c r="AM90" i="10"/>
  <c r="AJ62" i="10"/>
  <c r="AH64" i="10"/>
  <c r="AH66" i="10"/>
  <c r="AH68" i="10"/>
  <c r="AH70" i="10"/>
  <c r="AH72" i="10"/>
  <c r="AM79" i="10"/>
  <c r="AM84" i="10"/>
  <c r="AM95" i="10"/>
  <c r="R113" i="10"/>
  <c r="R129" i="10"/>
  <c r="R49" i="10"/>
  <c r="AI49" i="10" s="1"/>
  <c r="R126" i="10"/>
  <c r="AM129" i="10"/>
  <c r="AR52" i="10"/>
  <c r="AR56" i="10"/>
  <c r="AR60" i="10"/>
  <c r="R62" i="10"/>
  <c r="AI62" i="10" s="1"/>
  <c r="AJ64" i="10"/>
  <c r="AR65" i="10"/>
  <c r="AJ66" i="10"/>
  <c r="AR67" i="10"/>
  <c r="AJ68" i="10"/>
  <c r="AR69" i="10"/>
  <c r="AJ70" i="10"/>
  <c r="AR71" i="10"/>
  <c r="AJ72" i="10"/>
  <c r="R91" i="10"/>
  <c r="R107" i="10"/>
  <c r="R123" i="10"/>
  <c r="AC65" i="10"/>
  <c r="AC67" i="10"/>
  <c r="AC69" i="10"/>
  <c r="AC71" i="10"/>
  <c r="AC73" i="10"/>
  <c r="R88" i="10"/>
  <c r="R104" i="10"/>
  <c r="R120" i="10"/>
  <c r="AR49" i="10"/>
  <c r="R54" i="10"/>
  <c r="AI54" i="10" s="1"/>
  <c r="R58" i="10"/>
  <c r="R64" i="10"/>
  <c r="AI64" i="10" s="1"/>
  <c r="R66" i="10"/>
  <c r="AI66" i="10" s="1"/>
  <c r="R68" i="10"/>
  <c r="AI68" i="10" s="1"/>
  <c r="R70" i="10"/>
  <c r="AI70" i="10" s="1"/>
  <c r="R72" i="10"/>
  <c r="AI72" i="10" s="1"/>
  <c r="R85" i="10"/>
  <c r="R101" i="10"/>
  <c r="R117" i="10"/>
  <c r="AM120" i="10"/>
  <c r="AR51" i="10"/>
  <c r="AJ53" i="10"/>
  <c r="AR55" i="10"/>
  <c r="AJ57" i="10"/>
  <c r="AR59" i="10"/>
  <c r="AJ61" i="10"/>
  <c r="AH63" i="10"/>
  <c r="R53" i="10"/>
  <c r="AI53" i="10" s="1"/>
  <c r="R57" i="10"/>
  <c r="R61" i="10"/>
  <c r="AI61" i="10" s="1"/>
  <c r="AR62" i="10"/>
  <c r="R121" i="10"/>
  <c r="R102" i="10"/>
  <c r="AJ56" i="10"/>
  <c r="AJ60" i="10"/>
  <c r="AR64" i="10"/>
  <c r="AR66" i="10"/>
  <c r="AR68" i="10"/>
  <c r="AR70" i="10"/>
  <c r="AR72" i="10"/>
  <c r="R52" i="10"/>
  <c r="AI52" i="10" s="1"/>
  <c r="S839" i="1" l="1"/>
  <c r="M12" i="26"/>
  <c r="T847" i="1"/>
  <c r="S848" i="1"/>
  <c r="L23" i="34"/>
  <c r="L25" i="34"/>
  <c r="S845" i="1"/>
  <c r="U841" i="1" s="1"/>
  <c r="S420" i="1"/>
  <c r="Q8" i="26"/>
  <c r="P6" i="26" s="1"/>
  <c r="P7" i="26" s="1"/>
  <c r="L15" i="34"/>
  <c r="L20" i="34"/>
  <c r="L17" i="34"/>
  <c r="M9" i="34" s="1"/>
  <c r="L5" i="34"/>
  <c r="K12" i="26"/>
  <c r="P854" i="1"/>
  <c r="Q2" i="35"/>
  <c r="R2" i="35" s="1"/>
  <c r="M79" i="12"/>
  <c r="I79" i="12"/>
  <c r="L76" i="12"/>
  <c r="K77" i="12" s="1"/>
  <c r="T77" i="12"/>
  <c r="S78" i="12" s="1"/>
  <c r="H78" i="12"/>
  <c r="J76" i="12"/>
  <c r="R77" i="12"/>
  <c r="T78" i="12"/>
  <c r="L77" i="12"/>
  <c r="D75" i="12"/>
  <c r="F76" i="12"/>
  <c r="P869" i="1"/>
  <c r="P870" i="1" s="1"/>
  <c r="X76" i="10"/>
  <c r="Y76" i="10" s="1"/>
  <c r="I887" i="1"/>
  <c r="P872" i="1"/>
  <c r="P873" i="1" s="1"/>
  <c r="P860" i="1"/>
  <c r="F75" i="10" s="1"/>
  <c r="F74" i="10"/>
  <c r="H75" i="10"/>
  <c r="P880" i="1"/>
  <c r="P915" i="1"/>
  <c r="P916" i="1" s="1"/>
  <c r="N921" i="1"/>
  <c r="P874" i="1"/>
  <c r="G75" i="10"/>
  <c r="M921" i="1"/>
  <c r="P912" i="1"/>
  <c r="P913" i="1" s="1"/>
  <c r="P909" i="1"/>
  <c r="L921" i="1"/>
  <c r="P893" i="1"/>
  <c r="P889" i="1"/>
  <c r="P890" i="1" s="1"/>
  <c r="P8" i="26"/>
  <c r="R7" i="26"/>
  <c r="M25" i="34"/>
  <c r="M31" i="34"/>
  <c r="M32" i="34" s="1"/>
  <c r="M20" i="34"/>
  <c r="Q2" i="26"/>
  <c r="H7" i="26"/>
  <c r="I7" i="26" s="1"/>
  <c r="U847" i="1"/>
  <c r="V847" i="1" s="1"/>
  <c r="Q846" i="1"/>
  <c r="O74" i="10"/>
  <c r="AN72" i="10"/>
  <c r="AO67" i="10"/>
  <c r="AN61" i="10"/>
  <c r="AW63" i="10"/>
  <c r="AT65" i="10"/>
  <c r="AN63" i="10"/>
  <c r="AM53" i="10"/>
  <c r="AN57" i="10"/>
  <c r="AX53" i="10"/>
  <c r="AN66" i="10"/>
  <c r="AM108" i="10"/>
  <c r="AM81" i="10"/>
  <c r="AK53" i="10"/>
  <c r="AM75" i="10"/>
  <c r="AX74" i="10"/>
  <c r="AN58" i="10"/>
  <c r="AU53" i="10"/>
  <c r="AM63" i="10"/>
  <c r="AM77" i="10"/>
  <c r="AN54" i="10"/>
  <c r="AK57" i="10"/>
  <c r="AT69" i="10"/>
  <c r="AT51" i="10"/>
  <c r="K73" i="10"/>
  <c r="Q818" i="1"/>
  <c r="Q819" i="1" s="1"/>
  <c r="AN74" i="10"/>
  <c r="AK74" i="10"/>
  <c r="AL51" i="10"/>
  <c r="AN52" i="10"/>
  <c r="AO52" i="10"/>
  <c r="AL63" i="10"/>
  <c r="AN51" i="10"/>
  <c r="AT71" i="10"/>
  <c r="AT59" i="10"/>
  <c r="BL73" i="10"/>
  <c r="BM73" i="10"/>
  <c r="AO50" i="10"/>
  <c r="AQ50" i="10" s="1"/>
  <c r="AU50" i="10"/>
  <c r="AX57" i="10"/>
  <c r="AK67" i="10"/>
  <c r="AK55" i="10"/>
  <c r="AM101" i="10"/>
  <c r="AN53" i="10"/>
  <c r="AO59" i="10"/>
  <c r="AM62" i="10"/>
  <c r="AM70" i="10"/>
  <c r="AM65" i="10"/>
  <c r="AX69" i="10"/>
  <c r="AX65" i="10"/>
  <c r="AU57" i="10"/>
  <c r="AX62" i="10"/>
  <c r="AK65" i="10"/>
  <c r="AL65" i="10"/>
  <c r="AX58" i="10"/>
  <c r="AT67" i="10"/>
  <c r="AK58" i="10"/>
  <c r="AX67" i="10"/>
  <c r="AM58" i="10"/>
  <c r="AX61" i="10"/>
  <c r="AT50" i="10"/>
  <c r="AO51" i="10"/>
  <c r="AK61" i="10"/>
  <c r="AN70" i="10"/>
  <c r="AN68" i="10"/>
  <c r="AU61" i="10"/>
  <c r="T848" i="1"/>
  <c r="AO65" i="10"/>
  <c r="AK69" i="10"/>
  <c r="AK62" i="10"/>
  <c r="AK64" i="10"/>
  <c r="AN62" i="10"/>
  <c r="AN59" i="10"/>
  <c r="U848" i="1"/>
  <c r="W848" i="1" s="1"/>
  <c r="X848" i="1" s="1"/>
  <c r="AM64" i="10"/>
  <c r="AS63" i="10"/>
  <c r="AV63" i="10" s="1"/>
  <c r="AN55" i="10"/>
  <c r="AM125" i="10"/>
  <c r="AS65" i="10"/>
  <c r="AV65" i="10" s="1"/>
  <c r="AN60" i="10"/>
  <c r="AT52" i="10"/>
  <c r="AK51" i="10"/>
  <c r="AX51" i="10"/>
  <c r="AS51" i="10"/>
  <c r="AV51" i="10" s="1"/>
  <c r="AL69" i="10"/>
  <c r="AS69" i="10"/>
  <c r="AV69" i="10" s="1"/>
  <c r="AM67" i="10"/>
  <c r="AM66" i="10"/>
  <c r="AX55" i="10"/>
  <c r="AN56" i="10"/>
  <c r="AX70" i="10"/>
  <c r="AO49" i="10"/>
  <c r="AQ49" i="10" s="1"/>
  <c r="AN69" i="10"/>
  <c r="AN67" i="10"/>
  <c r="AM93" i="10"/>
  <c r="AS64" i="10"/>
  <c r="AV64" i="10" s="1"/>
  <c r="AL64" i="10"/>
  <c r="AL52" i="10"/>
  <c r="AS52" i="10"/>
  <c r="AV52" i="10" s="1"/>
  <c r="AS70" i="10"/>
  <c r="AV70" i="10" s="1"/>
  <c r="AL70" i="10"/>
  <c r="AS62" i="10"/>
  <c r="AV62" i="10" s="1"/>
  <c r="AL62" i="10"/>
  <c r="AS68" i="10"/>
  <c r="AV68" i="10" s="1"/>
  <c r="AL68" i="10"/>
  <c r="AS66" i="10"/>
  <c r="AV66" i="10" s="1"/>
  <c r="AL66" i="10"/>
  <c r="AL49" i="10"/>
  <c r="AS49" i="10"/>
  <c r="AV49" i="10" s="1"/>
  <c r="AW64" i="10"/>
  <c r="AU64" i="10"/>
  <c r="AS53" i="10"/>
  <c r="AL53" i="10"/>
  <c r="AM132" i="10"/>
  <c r="AT72" i="10"/>
  <c r="AO72" i="10"/>
  <c r="AM112" i="10"/>
  <c r="AM131" i="10"/>
  <c r="AT62" i="10"/>
  <c r="AO62" i="10"/>
  <c r="AL56" i="10"/>
  <c r="AS56" i="10"/>
  <c r="AV56" i="10" s="1"/>
  <c r="AS55" i="10"/>
  <c r="AV55" i="10" s="1"/>
  <c r="AL55" i="10"/>
  <c r="AW71" i="10"/>
  <c r="AU71" i="10"/>
  <c r="AT54" i="10"/>
  <c r="AO54" i="10"/>
  <c r="AW69" i="10"/>
  <c r="AU69" i="10"/>
  <c r="AM96" i="10"/>
  <c r="AM115" i="10"/>
  <c r="AK70" i="10"/>
  <c r="AK73" i="10"/>
  <c r="AX73" i="10"/>
  <c r="AM73" i="10"/>
  <c r="AM103" i="10"/>
  <c r="AT68" i="10"/>
  <c r="AO68" i="10"/>
  <c r="AM68" i="10"/>
  <c r="AK68" i="10"/>
  <c r="AX68" i="10"/>
  <c r="AK71" i="10"/>
  <c r="AX71" i="10"/>
  <c r="AM71" i="10"/>
  <c r="AW67" i="10"/>
  <c r="AU67" i="10"/>
  <c r="AM116" i="10"/>
  <c r="AM113" i="10"/>
  <c r="AT55" i="10"/>
  <c r="AO55" i="10"/>
  <c r="AT63" i="10"/>
  <c r="AM104" i="10"/>
  <c r="AM87" i="10"/>
  <c r="AM99" i="10"/>
  <c r="AO63" i="10"/>
  <c r="AN71" i="10"/>
  <c r="AT66" i="10"/>
  <c r="AO66" i="10"/>
  <c r="AM60" i="10"/>
  <c r="AK60" i="10"/>
  <c r="AX60" i="10"/>
  <c r="AW65" i="10"/>
  <c r="AU65" i="10"/>
  <c r="AM80" i="10"/>
  <c r="AM54" i="10"/>
  <c r="AK54" i="10"/>
  <c r="AX54" i="10"/>
  <c r="AM97" i="10"/>
  <c r="AM69" i="10"/>
  <c r="AK56" i="10"/>
  <c r="AX56" i="10"/>
  <c r="AM56" i="10"/>
  <c r="AS72" i="10"/>
  <c r="AV72" i="10" s="1"/>
  <c r="AL72" i="10"/>
  <c r="AT64" i="10"/>
  <c r="AO64" i="10"/>
  <c r="AK59" i="10"/>
  <c r="AX59" i="10"/>
  <c r="AM59" i="10"/>
  <c r="AX72" i="10"/>
  <c r="AM57" i="10"/>
  <c r="AT70" i="10"/>
  <c r="AO70" i="10"/>
  <c r="AM49" i="10"/>
  <c r="AP49" i="10" s="1"/>
  <c r="AX49" i="10"/>
  <c r="AK49" i="10"/>
  <c r="AK52" i="10"/>
  <c r="AX52" i="10"/>
  <c r="AM52" i="10"/>
  <c r="AM83" i="10"/>
  <c r="AS59" i="10"/>
  <c r="AV59" i="10" s="1"/>
  <c r="AL59" i="10"/>
  <c r="AM50" i="10"/>
  <c r="AP50" i="10" s="1"/>
  <c r="AK50" i="10"/>
  <c r="AX50" i="10"/>
  <c r="AK72" i="10"/>
  <c r="AW60" i="10"/>
  <c r="AU60" i="10"/>
  <c r="D2" i="22"/>
  <c r="AT58" i="10"/>
  <c r="AO58" i="10"/>
  <c r="AS50" i="10"/>
  <c r="AL50" i="10"/>
  <c r="AM72" i="10"/>
  <c r="AW59" i="10"/>
  <c r="AU59" i="10"/>
  <c r="AW56" i="10"/>
  <c r="AU56" i="10"/>
  <c r="AW58" i="10"/>
  <c r="AU58" i="10"/>
  <c r="AM100" i="10"/>
  <c r="AM74" i="10"/>
  <c r="AN73" i="10"/>
  <c r="AS60" i="10"/>
  <c r="AV60" i="10" s="1"/>
  <c r="AO60" i="10"/>
  <c r="AT60" i="10"/>
  <c r="AW54" i="10"/>
  <c r="AU54" i="10"/>
  <c r="AW72" i="10"/>
  <c r="AU72" i="10"/>
  <c r="AO57" i="10"/>
  <c r="D3" i="22"/>
  <c r="AT57" i="10"/>
  <c r="AW52" i="10"/>
  <c r="AU52" i="10"/>
  <c r="AL67" i="10"/>
  <c r="AS67" i="10"/>
  <c r="AV67" i="10" s="1"/>
  <c r="AN65" i="10"/>
  <c r="AO69" i="10"/>
  <c r="AL60" i="10"/>
  <c r="AW70" i="10"/>
  <c r="AU70" i="10"/>
  <c r="AU62" i="10"/>
  <c r="AW62" i="10"/>
  <c r="AW55" i="10"/>
  <c r="AU55" i="10"/>
  <c r="AI58" i="10"/>
  <c r="H2" i="22"/>
  <c r="AM128" i="10"/>
  <c r="AM51" i="10"/>
  <c r="AO71" i="10"/>
  <c r="AX63" i="10"/>
  <c r="AX64" i="10"/>
  <c r="AM55" i="10"/>
  <c r="AO56" i="10"/>
  <c r="AT56" i="10"/>
  <c r="AW68" i="10"/>
  <c r="AU68" i="10"/>
  <c r="AS61" i="10"/>
  <c r="AL61" i="10"/>
  <c r="AO53" i="10"/>
  <c r="AT53" i="10"/>
  <c r="AS54" i="10"/>
  <c r="AV54" i="10" s="1"/>
  <c r="AL54" i="10"/>
  <c r="AX66" i="10"/>
  <c r="AK63" i="10"/>
  <c r="AM88" i="10"/>
  <c r="AM119" i="10"/>
  <c r="AO61" i="10"/>
  <c r="AT61" i="10"/>
  <c r="AW66" i="10"/>
  <c r="AU66" i="10"/>
  <c r="H3" i="22"/>
  <c r="AI57" i="10"/>
  <c r="AW51" i="10"/>
  <c r="AU51" i="10"/>
  <c r="AW49" i="10"/>
  <c r="AU49" i="10"/>
  <c r="AN64" i="10"/>
  <c r="AM61" i="10"/>
  <c r="AK66" i="10"/>
  <c r="AL71" i="10"/>
  <c r="AS71" i="10"/>
  <c r="AV71" i="10" s="1"/>
  <c r="P877" i="1" l="1"/>
  <c r="P851" i="1"/>
  <c r="D75" i="10" s="1"/>
  <c r="E75" i="10"/>
  <c r="P871" i="1"/>
  <c r="M17" i="34"/>
  <c r="M13" i="34"/>
  <c r="M8" i="34" s="1"/>
  <c r="M18" i="34" s="1"/>
  <c r="L27" i="34"/>
  <c r="L9" i="34"/>
  <c r="L13" i="34" s="1"/>
  <c r="L8" i="34" s="1"/>
  <c r="U416" i="1"/>
  <c r="S416" i="1"/>
  <c r="U844" i="1"/>
  <c r="U842" i="1"/>
  <c r="L29" i="34"/>
  <c r="L21" i="34"/>
  <c r="S841" i="1"/>
  <c r="BP65" i="10"/>
  <c r="BP64" i="10"/>
  <c r="BP67" i="10"/>
  <c r="BP66" i="10"/>
  <c r="BP69" i="10"/>
  <c r="BP71" i="10"/>
  <c r="BP68" i="10"/>
  <c r="BP70" i="10"/>
  <c r="AQ54" i="10"/>
  <c r="BP63" i="10"/>
  <c r="H79" i="12"/>
  <c r="I80" i="12"/>
  <c r="M80" i="12"/>
  <c r="L78" i="12"/>
  <c r="K78" i="12"/>
  <c r="J77" i="12"/>
  <c r="T79" i="12"/>
  <c r="S79" i="12"/>
  <c r="R78" i="12"/>
  <c r="E76" i="12"/>
  <c r="D76" i="12" s="1"/>
  <c r="P886" i="1"/>
  <c r="P887" i="1" s="1"/>
  <c r="X77" i="10"/>
  <c r="Y77" i="10" s="1"/>
  <c r="I904" i="1"/>
  <c r="H76" i="10"/>
  <c r="P897" i="1"/>
  <c r="H77" i="10" s="1"/>
  <c r="L938" i="1"/>
  <c r="P926" i="1"/>
  <c r="P910" i="1"/>
  <c r="P906" i="1"/>
  <c r="P907" i="1" s="1"/>
  <c r="M938" i="1"/>
  <c r="P929" i="1"/>
  <c r="P930" i="1" s="1"/>
  <c r="P894" i="1"/>
  <c r="F76" i="10"/>
  <c r="AP53" i="10"/>
  <c r="G76" i="10"/>
  <c r="P891" i="1"/>
  <c r="P932" i="1"/>
  <c r="P933" i="1" s="1"/>
  <c r="N938" i="1"/>
  <c r="AP57" i="10"/>
  <c r="AP72" i="10"/>
  <c r="AQ72" i="10"/>
  <c r="Q864" i="1"/>
  <c r="Q865" i="1" s="1"/>
  <c r="Q74" i="10"/>
  <c r="Q847" i="1"/>
  <c r="Q848" i="1" s="1"/>
  <c r="Q834" i="1"/>
  <c r="AQ61" i="10"/>
  <c r="M27" i="34"/>
  <c r="M16" i="34"/>
  <c r="M15" i="34"/>
  <c r="M19" i="34" s="1"/>
  <c r="M21" i="34"/>
  <c r="M29" i="34"/>
  <c r="AP61" i="10"/>
  <c r="AP66" i="10"/>
  <c r="AP74" i="10"/>
  <c r="AO76" i="10"/>
  <c r="AQ66" i="10"/>
  <c r="AQ57" i="10"/>
  <c r="AQ63" i="10"/>
  <c r="AQ52" i="10"/>
  <c r="AP63" i="10"/>
  <c r="AQ58" i="10"/>
  <c r="AQ51" i="10"/>
  <c r="BP48" i="10"/>
  <c r="AP51" i="10"/>
  <c r="AQ70" i="10"/>
  <c r="AQ60" i="10"/>
  <c r="AP55" i="10"/>
  <c r="BP51" i="10"/>
  <c r="AP54" i="10"/>
  <c r="AQ55" i="10"/>
  <c r="AP58" i="10"/>
  <c r="AP59" i="10"/>
  <c r="AP52" i="10"/>
  <c r="AQ53" i="10"/>
  <c r="AP62" i="10"/>
  <c r="AQ59" i="10"/>
  <c r="AJ73" i="10"/>
  <c r="AR73" i="10"/>
  <c r="R73" i="10"/>
  <c r="AI73" i="10" s="1"/>
  <c r="AP65" i="10"/>
  <c r="AQ62" i="10"/>
  <c r="AP70" i="10"/>
  <c r="BP55" i="10"/>
  <c r="BP50" i="10"/>
  <c r="AP68" i="10"/>
  <c r="P868" i="1"/>
  <c r="D76" i="10" s="1"/>
  <c r="E76" i="10"/>
  <c r="P888" i="1"/>
  <c r="AQ56" i="10"/>
  <c r="BP54" i="10"/>
  <c r="AP56" i="10"/>
  <c r="AQ68" i="10"/>
  <c r="BP62" i="10"/>
  <c r="V848" i="1"/>
  <c r="U843" i="1"/>
  <c r="BP59" i="10"/>
  <c r="AP60" i="10"/>
  <c r="AP64" i="10"/>
  <c r="AQ71" i="10"/>
  <c r="BP61" i="10"/>
  <c r="AP67" i="10"/>
  <c r="AQ65" i="10"/>
  <c r="AP69" i="10"/>
  <c r="AQ69" i="10"/>
  <c r="AQ67" i="10"/>
  <c r="AV61" i="10"/>
  <c r="BP60" i="10"/>
  <c r="BP53" i="10"/>
  <c r="AS57" i="10"/>
  <c r="AL57" i="10"/>
  <c r="AV50" i="10"/>
  <c r="BP49" i="10"/>
  <c r="AP71" i="10"/>
  <c r="AS58" i="10"/>
  <c r="AL58" i="10"/>
  <c r="AP73" i="10"/>
  <c r="BP58" i="10"/>
  <c r="AQ64" i="10"/>
  <c r="AV53" i="10"/>
  <c r="BP52" i="10"/>
  <c r="L19" i="34" l="1"/>
  <c r="S844" i="1"/>
  <c r="S842" i="1"/>
  <c r="S417" i="1"/>
  <c r="S418" i="1" s="1"/>
  <c r="S419" i="1"/>
  <c r="U419" i="1"/>
  <c r="U417" i="1"/>
  <c r="U418" i="1" s="1"/>
  <c r="L16" i="34"/>
  <c r="P914" i="1"/>
  <c r="M81" i="12"/>
  <c r="I81" i="12"/>
  <c r="H81" i="12"/>
  <c r="H80" i="12"/>
  <c r="R79" i="12"/>
  <c r="S80" i="12"/>
  <c r="T80" i="12"/>
  <c r="J78" i="12"/>
  <c r="L79" i="12"/>
  <c r="K79" i="12"/>
  <c r="F77" i="12"/>
  <c r="X78" i="10"/>
  <c r="Y78" i="10" s="1"/>
  <c r="I921" i="1"/>
  <c r="P903" i="1"/>
  <c r="P904" i="1" s="1"/>
  <c r="H78" i="10"/>
  <c r="P931" i="1"/>
  <c r="P949" i="1"/>
  <c r="P950" i="1" s="1"/>
  <c r="N955" i="1"/>
  <c r="P908" i="1"/>
  <c r="G77" i="10"/>
  <c r="P911" i="1"/>
  <c r="F77" i="10"/>
  <c r="M955" i="1"/>
  <c r="P946" i="1"/>
  <c r="P947" i="1" s="1"/>
  <c r="P927" i="1"/>
  <c r="P923" i="1"/>
  <c r="P924" i="1" s="1"/>
  <c r="L955" i="1"/>
  <c r="P943" i="1"/>
  <c r="Q835" i="1"/>
  <c r="Q836" i="1" s="1"/>
  <c r="K74" i="10"/>
  <c r="Q852" i="1"/>
  <c r="Q853" i="1" s="1"/>
  <c r="AL73" i="10"/>
  <c r="AS73" i="10"/>
  <c r="AV73" i="10" s="1"/>
  <c r="AU73" i="10"/>
  <c r="AW73" i="10"/>
  <c r="AO73" i="10"/>
  <c r="AQ73" i="10" s="1"/>
  <c r="AT73" i="10"/>
  <c r="AN76" i="10"/>
  <c r="AN75" i="10"/>
  <c r="P885" i="1"/>
  <c r="D77" i="10" s="1"/>
  <c r="P905" i="1"/>
  <c r="E77" i="10"/>
  <c r="AV57" i="10"/>
  <c r="BP56" i="10"/>
  <c r="AV58" i="10"/>
  <c r="BP57" i="10"/>
  <c r="BP72" i="10" l="1"/>
  <c r="J79" i="12"/>
  <c r="I82" i="12"/>
  <c r="H82" i="12" s="1"/>
  <c r="M82" i="12"/>
  <c r="K80" i="12"/>
  <c r="L80" i="12"/>
  <c r="T81" i="12"/>
  <c r="S81" i="12"/>
  <c r="R80" i="12"/>
  <c r="E77" i="12"/>
  <c r="D77" i="12" s="1"/>
  <c r="I938" i="1"/>
  <c r="X79" i="10"/>
  <c r="Y79" i="10" s="1"/>
  <c r="P920" i="1"/>
  <c r="P921" i="1" s="1"/>
  <c r="L972" i="1"/>
  <c r="P960" i="1"/>
  <c r="M972" i="1"/>
  <c r="P963" i="1"/>
  <c r="P964" i="1" s="1"/>
  <c r="G78" i="10"/>
  <c r="P925" i="1"/>
  <c r="N972" i="1"/>
  <c r="P966" i="1"/>
  <c r="P967" i="1" s="1"/>
  <c r="P944" i="1"/>
  <c r="P940" i="1"/>
  <c r="P941" i="1" s="1"/>
  <c r="P928" i="1"/>
  <c r="F78" i="10"/>
  <c r="P948" i="1"/>
  <c r="H79" i="10"/>
  <c r="AR74" i="10"/>
  <c r="R74" i="10"/>
  <c r="AI74" i="10" s="1"/>
  <c r="AJ74" i="10"/>
  <c r="R75" i="10"/>
  <c r="E78" i="10"/>
  <c r="P902" i="1"/>
  <c r="D78" i="10" s="1"/>
  <c r="P922" i="1"/>
  <c r="AN77" i="10"/>
  <c r="AP75" i="10"/>
  <c r="AQ76" i="10"/>
  <c r="AP76" i="10"/>
  <c r="I83" i="12" l="1"/>
  <c r="M83" i="12"/>
  <c r="T82" i="12"/>
  <c r="S82" i="12"/>
  <c r="R81" i="12"/>
  <c r="L81" i="12"/>
  <c r="K81" i="12"/>
  <c r="J80" i="12"/>
  <c r="F78" i="12"/>
  <c r="X80" i="10"/>
  <c r="Y80" i="10" s="1"/>
  <c r="I955" i="1"/>
  <c r="P937" i="1"/>
  <c r="P938" i="1" s="1"/>
  <c r="P945" i="1"/>
  <c r="F79" i="10"/>
  <c r="N989" i="1"/>
  <c r="P983" i="1"/>
  <c r="P984" i="1" s="1"/>
  <c r="G79" i="10"/>
  <c r="P942" i="1"/>
  <c r="M989" i="1"/>
  <c r="P980" i="1"/>
  <c r="P981" i="1" s="1"/>
  <c r="P961" i="1"/>
  <c r="P957" i="1"/>
  <c r="P958" i="1" s="1"/>
  <c r="H80" i="10"/>
  <c r="P965" i="1"/>
  <c r="L989" i="1"/>
  <c r="P977" i="1"/>
  <c r="AO75" i="10"/>
  <c r="AQ75" i="10" s="1"/>
  <c r="AT74" i="10"/>
  <c r="AO74" i="10"/>
  <c r="AQ74" i="10" s="1"/>
  <c r="AL74" i="10"/>
  <c r="AS74" i="10"/>
  <c r="AV74" i="10" s="1"/>
  <c r="AU74" i="10"/>
  <c r="AW74" i="10"/>
  <c r="AQ77" i="10"/>
  <c r="AP77" i="10"/>
  <c r="AN78" i="10"/>
  <c r="E79" i="10"/>
  <c r="P919" i="1"/>
  <c r="D79" i="10" s="1"/>
  <c r="P939" i="1"/>
  <c r="BP73" i="10" l="1"/>
  <c r="M84" i="12"/>
  <c r="I84" i="12"/>
  <c r="H84" i="12"/>
  <c r="H83" i="12"/>
  <c r="K82" i="12"/>
  <c r="L82" i="12"/>
  <c r="J81" i="12"/>
  <c r="R82" i="12"/>
  <c r="T83" i="12"/>
  <c r="S83" i="12"/>
  <c r="E78" i="12"/>
  <c r="D78" i="12" s="1"/>
  <c r="I972" i="1"/>
  <c r="P954" i="1"/>
  <c r="P955" i="1" s="1"/>
  <c r="X81" i="10"/>
  <c r="Y81" i="10" s="1"/>
  <c r="H81" i="10"/>
  <c r="P982" i="1"/>
  <c r="M1006" i="1"/>
  <c r="P997" i="1"/>
  <c r="P998" i="1" s="1"/>
  <c r="L1006" i="1"/>
  <c r="P994" i="1"/>
  <c r="N1006" i="1"/>
  <c r="P1000" i="1"/>
  <c r="P1001" i="1" s="1"/>
  <c r="P978" i="1"/>
  <c r="P974" i="1"/>
  <c r="P975" i="1" s="1"/>
  <c r="G80" i="10"/>
  <c r="P959" i="1"/>
  <c r="F80" i="10"/>
  <c r="P962" i="1"/>
  <c r="P936" i="1"/>
  <c r="D80" i="10" s="1"/>
  <c r="P956" i="1"/>
  <c r="E80" i="10"/>
  <c r="AP78" i="10"/>
  <c r="AQ78" i="10"/>
  <c r="AN79" i="10"/>
  <c r="F79" i="12" l="1"/>
  <c r="E79" i="12" s="1"/>
  <c r="F80" i="12" s="1"/>
  <c r="M85" i="12"/>
  <c r="I85" i="12"/>
  <c r="H85" i="12" s="1"/>
  <c r="T84" i="12"/>
  <c r="S84" i="12"/>
  <c r="R83" i="12"/>
  <c r="L83" i="12"/>
  <c r="K83" i="12"/>
  <c r="J82" i="12"/>
  <c r="I989" i="1"/>
  <c r="X82" i="10"/>
  <c r="Y82" i="10" s="1"/>
  <c r="P971" i="1"/>
  <c r="P972" i="1" s="1"/>
  <c r="P976" i="1"/>
  <c r="G81" i="10"/>
  <c r="M1023" i="1"/>
  <c r="P1014" i="1"/>
  <c r="P1015" i="1" s="1"/>
  <c r="P979" i="1"/>
  <c r="F81" i="10"/>
  <c r="N1023" i="1"/>
  <c r="P1017" i="1"/>
  <c r="P1018" i="1" s="1"/>
  <c r="P995" i="1"/>
  <c r="P991" i="1"/>
  <c r="P992" i="1" s="1"/>
  <c r="L1023" i="1"/>
  <c r="P1011" i="1"/>
  <c r="H82" i="10"/>
  <c r="P999" i="1"/>
  <c r="P953" i="1"/>
  <c r="D81" i="10" s="1"/>
  <c r="E81" i="10"/>
  <c r="AQ79" i="10"/>
  <c r="AP79" i="10"/>
  <c r="AN80" i="10"/>
  <c r="R84" i="12" l="1"/>
  <c r="I86" i="12"/>
  <c r="H86" i="12" s="1"/>
  <c r="M86" i="12"/>
  <c r="D79" i="12"/>
  <c r="L84" i="12"/>
  <c r="K84" i="12"/>
  <c r="J83" i="12"/>
  <c r="S85" i="12"/>
  <c r="T85" i="12"/>
  <c r="E80" i="12"/>
  <c r="F81" i="12" s="1"/>
  <c r="P973" i="1"/>
  <c r="P970" i="1" s="1"/>
  <c r="D82" i="10" s="1"/>
  <c r="X83" i="10"/>
  <c r="Y83" i="10" s="1"/>
  <c r="I1006" i="1"/>
  <c r="P988" i="1"/>
  <c r="P989" i="1" s="1"/>
  <c r="H83" i="10"/>
  <c r="P1016" i="1"/>
  <c r="P1012" i="1"/>
  <c r="P1008" i="1"/>
  <c r="P1009" i="1" s="1"/>
  <c r="F82" i="10"/>
  <c r="P996" i="1"/>
  <c r="P1028" i="1"/>
  <c r="L1040" i="1"/>
  <c r="M1040" i="1"/>
  <c r="P1031" i="1"/>
  <c r="P1032" i="1" s="1"/>
  <c r="N1040" i="1"/>
  <c r="P1034" i="1"/>
  <c r="P1035" i="1" s="1"/>
  <c r="G82" i="10"/>
  <c r="P993" i="1"/>
  <c r="AQ80" i="10"/>
  <c r="AP80" i="10"/>
  <c r="AN81" i="10"/>
  <c r="P990" i="1" l="1"/>
  <c r="P1007" i="1" s="1"/>
  <c r="E82" i="10"/>
  <c r="J84" i="12"/>
  <c r="I87" i="12"/>
  <c r="H87" i="12" s="1"/>
  <c r="M87" i="12"/>
  <c r="T86" i="12"/>
  <c r="S86" i="12"/>
  <c r="R85" i="12"/>
  <c r="K85" i="12"/>
  <c r="L85" i="12"/>
  <c r="E81" i="12"/>
  <c r="F82" i="12" s="1"/>
  <c r="D80" i="12"/>
  <c r="I1023" i="1"/>
  <c r="P1005" i="1"/>
  <c r="P1006" i="1" s="1"/>
  <c r="X84" i="10"/>
  <c r="Y84" i="10" s="1"/>
  <c r="P1045" i="1"/>
  <c r="L1057" i="1"/>
  <c r="P1025" i="1"/>
  <c r="P1026" i="1" s="1"/>
  <c r="P1029" i="1"/>
  <c r="P1013" i="1"/>
  <c r="F83" i="10"/>
  <c r="P1033" i="1"/>
  <c r="H84" i="10"/>
  <c r="P1010" i="1"/>
  <c r="G83" i="10"/>
  <c r="P1051" i="1"/>
  <c r="P1052" i="1" s="1"/>
  <c r="N1057" i="1"/>
  <c r="M1057" i="1"/>
  <c r="P1048" i="1"/>
  <c r="P1049" i="1" s="1"/>
  <c r="AN82" i="10"/>
  <c r="AQ81" i="10"/>
  <c r="AP81" i="10"/>
  <c r="P987" i="1"/>
  <c r="D83" i="10" s="1"/>
  <c r="E83" i="10" l="1"/>
  <c r="D81" i="12"/>
  <c r="I88" i="12"/>
  <c r="M88" i="12"/>
  <c r="J85" i="12"/>
  <c r="R86" i="12"/>
  <c r="L86" i="12"/>
  <c r="K86" i="12"/>
  <c r="T87" i="12"/>
  <c r="S87" i="12"/>
  <c r="E82" i="12"/>
  <c r="F83" i="12" s="1"/>
  <c r="X85" i="10"/>
  <c r="Y85" i="10" s="1"/>
  <c r="I1040" i="1"/>
  <c r="P1022" i="1"/>
  <c r="P1023" i="1" s="1"/>
  <c r="M1074" i="1"/>
  <c r="P1065" i="1"/>
  <c r="P1066" i="1" s="1"/>
  <c r="P1068" i="1"/>
  <c r="P1069" i="1" s="1"/>
  <c r="N1074" i="1"/>
  <c r="F84" i="10"/>
  <c r="P1030" i="1"/>
  <c r="P1027" i="1"/>
  <c r="G84" i="10"/>
  <c r="H85" i="10"/>
  <c r="P1050" i="1"/>
  <c r="L1074" i="1"/>
  <c r="P1062" i="1"/>
  <c r="P1046" i="1"/>
  <c r="P1042" i="1"/>
  <c r="P1043" i="1" s="1"/>
  <c r="E84" i="10"/>
  <c r="P1004" i="1"/>
  <c r="D84" i="10" s="1"/>
  <c r="AQ82" i="10"/>
  <c r="AP82" i="10"/>
  <c r="J86" i="12" l="1"/>
  <c r="I89" i="12"/>
  <c r="M89" i="12"/>
  <c r="H89" i="12"/>
  <c r="H88" i="12"/>
  <c r="D82" i="12"/>
  <c r="T88" i="12"/>
  <c r="S88" i="12"/>
  <c r="R87" i="12"/>
  <c r="K87" i="12"/>
  <c r="L87" i="12"/>
  <c r="E83" i="12"/>
  <c r="F84" i="12" s="1"/>
  <c r="P1024" i="1"/>
  <c r="P1041" i="1" s="1"/>
  <c r="X86" i="10"/>
  <c r="Y86" i="10" s="1"/>
  <c r="I1057" i="1"/>
  <c r="P1039" i="1"/>
  <c r="P1040" i="1" s="1"/>
  <c r="G85" i="10"/>
  <c r="P1044" i="1"/>
  <c r="N1091" i="1"/>
  <c r="P1085" i="1"/>
  <c r="P1086" i="1" s="1"/>
  <c r="P1059" i="1"/>
  <c r="P1060" i="1" s="1"/>
  <c r="P1063" i="1"/>
  <c r="P1067" i="1"/>
  <c r="H86" i="10"/>
  <c r="F85" i="10"/>
  <c r="P1047" i="1"/>
  <c r="L1091" i="1"/>
  <c r="P1079" i="1"/>
  <c r="M1091" i="1"/>
  <c r="P1082" i="1"/>
  <c r="P1083" i="1" s="1"/>
  <c r="AN84" i="10"/>
  <c r="AN83" i="10"/>
  <c r="P1021" i="1" l="1"/>
  <c r="D85" i="10" s="1"/>
  <c r="E85" i="10"/>
  <c r="J87" i="12"/>
  <c r="M90" i="12"/>
  <c r="I90" i="12"/>
  <c r="H90" i="12" s="1"/>
  <c r="R88" i="12"/>
  <c r="D83" i="12"/>
  <c r="L88" i="12"/>
  <c r="K88" i="12"/>
  <c r="T89" i="12"/>
  <c r="S89" i="12"/>
  <c r="E84" i="12"/>
  <c r="F85" i="12" s="1"/>
  <c r="X87" i="10"/>
  <c r="Y87" i="10" s="1"/>
  <c r="I1074" i="1"/>
  <c r="P1056" i="1"/>
  <c r="P1057" i="1" s="1"/>
  <c r="M1108" i="1"/>
  <c r="P1099" i="1"/>
  <c r="P1100" i="1" s="1"/>
  <c r="H87" i="10"/>
  <c r="P1084" i="1"/>
  <c r="P1064" i="1"/>
  <c r="F86" i="10"/>
  <c r="N1108" i="1"/>
  <c r="P1102" i="1"/>
  <c r="P1103" i="1" s="1"/>
  <c r="P1080" i="1"/>
  <c r="P1076" i="1"/>
  <c r="P1077" i="1" s="1"/>
  <c r="P1061" i="1"/>
  <c r="G86" i="10"/>
  <c r="L1108" i="1"/>
  <c r="P1096" i="1"/>
  <c r="AN85" i="10"/>
  <c r="E86" i="10"/>
  <c r="P1038" i="1"/>
  <c r="D86" i="10" s="1"/>
  <c r="AQ83" i="10"/>
  <c r="AP83" i="10"/>
  <c r="AP84" i="10"/>
  <c r="AQ84" i="10"/>
  <c r="J88" i="12" l="1"/>
  <c r="D84" i="12"/>
  <c r="M91" i="12"/>
  <c r="I91" i="12"/>
  <c r="H91" i="12" s="1"/>
  <c r="R89" i="12"/>
  <c r="K89" i="12"/>
  <c r="L89" i="12"/>
  <c r="T90" i="12"/>
  <c r="S90" i="12"/>
  <c r="R90" i="12" s="1"/>
  <c r="E85" i="12"/>
  <c r="D85" i="12" s="1"/>
  <c r="P1058" i="1"/>
  <c r="E87" i="10" s="1"/>
  <c r="X88" i="10"/>
  <c r="Y88" i="10" s="1"/>
  <c r="I1091" i="1"/>
  <c r="P1073" i="1"/>
  <c r="P1074" i="1" s="1"/>
  <c r="L1125" i="1"/>
  <c r="P1113" i="1"/>
  <c r="P1081" i="1"/>
  <c r="F87" i="10"/>
  <c r="H88" i="10"/>
  <c r="P1101" i="1"/>
  <c r="P1097" i="1"/>
  <c r="P1093" i="1"/>
  <c r="P1094" i="1" s="1"/>
  <c r="G87" i="10"/>
  <c r="P1078" i="1"/>
  <c r="N1125" i="1"/>
  <c r="P1119" i="1"/>
  <c r="P1120" i="1" s="1"/>
  <c r="M1125" i="1"/>
  <c r="P1116" i="1"/>
  <c r="P1117" i="1" s="1"/>
  <c r="AN86" i="10"/>
  <c r="AQ85" i="10"/>
  <c r="AP85" i="10"/>
  <c r="P1075" i="1" l="1"/>
  <c r="P1055" i="1"/>
  <c r="D87" i="10" s="1"/>
  <c r="F86" i="12"/>
  <c r="J89" i="12"/>
  <c r="I92" i="12"/>
  <c r="M92" i="12"/>
  <c r="T91" i="12"/>
  <c r="S91" i="12"/>
  <c r="L90" i="12"/>
  <c r="K90" i="12"/>
  <c r="E86" i="12"/>
  <c r="F87" i="12" s="1"/>
  <c r="I1108" i="1"/>
  <c r="P1090" i="1"/>
  <c r="P1091" i="1" s="1"/>
  <c r="X89" i="10"/>
  <c r="Y89" i="10" s="1"/>
  <c r="M1142" i="1"/>
  <c r="P1133" i="1"/>
  <c r="P1134" i="1" s="1"/>
  <c r="N1142" i="1"/>
  <c r="P1136" i="1"/>
  <c r="P1137" i="1" s="1"/>
  <c r="P1098" i="1"/>
  <c r="F88" i="10"/>
  <c r="H89" i="10"/>
  <c r="P1118" i="1"/>
  <c r="P1114" i="1"/>
  <c r="P1110" i="1"/>
  <c r="P1111" i="1" s="1"/>
  <c r="P1095" i="1"/>
  <c r="G88" i="10"/>
  <c r="L1142" i="1"/>
  <c r="P1130" i="1"/>
  <c r="AN87" i="10"/>
  <c r="AQ86" i="10"/>
  <c r="AP86" i="10"/>
  <c r="P1072" i="1"/>
  <c r="D88" i="10" s="1"/>
  <c r="P1092" i="1"/>
  <c r="E88" i="10"/>
  <c r="D86" i="12" l="1"/>
  <c r="J90" i="12"/>
  <c r="R91" i="12"/>
  <c r="I93" i="12"/>
  <c r="M93" i="12"/>
  <c r="H92" i="12"/>
  <c r="H93" i="12"/>
  <c r="L91" i="12"/>
  <c r="K91" i="12"/>
  <c r="S92" i="12"/>
  <c r="T92" i="12"/>
  <c r="E87" i="12"/>
  <c r="F88" i="12" s="1"/>
  <c r="I1125" i="1"/>
  <c r="X90" i="10"/>
  <c r="Y90" i="10" s="1"/>
  <c r="P1107" i="1"/>
  <c r="P1108" i="1" s="1"/>
  <c r="P1112" i="1"/>
  <c r="G89" i="10"/>
  <c r="H90" i="10"/>
  <c r="P1135" i="1"/>
  <c r="F89" i="10"/>
  <c r="P1115" i="1"/>
  <c r="N1159" i="1"/>
  <c r="P1153" i="1"/>
  <c r="P1154" i="1" s="1"/>
  <c r="P1131" i="1"/>
  <c r="P1127" i="1"/>
  <c r="P1128" i="1" s="1"/>
  <c r="L1159" i="1"/>
  <c r="P1147" i="1"/>
  <c r="M1159" i="1"/>
  <c r="P1150" i="1"/>
  <c r="P1151" i="1" s="1"/>
  <c r="P1089" i="1"/>
  <c r="D89" i="10" s="1"/>
  <c r="E89" i="10"/>
  <c r="AN88" i="10"/>
  <c r="AQ87" i="10"/>
  <c r="AP87" i="10"/>
  <c r="J91" i="12" l="1"/>
  <c r="I94" i="12"/>
  <c r="M94" i="12"/>
  <c r="H94" i="12"/>
  <c r="T93" i="12"/>
  <c r="S93" i="12"/>
  <c r="R92" i="12"/>
  <c r="L92" i="12"/>
  <c r="K92" i="12"/>
  <c r="E88" i="12"/>
  <c r="F89" i="12" s="1"/>
  <c r="D87" i="12"/>
  <c r="P1109" i="1"/>
  <c r="P1106" i="1" s="1"/>
  <c r="D90" i="10" s="1"/>
  <c r="X91" i="10"/>
  <c r="Y91" i="10" s="1"/>
  <c r="I1142" i="1"/>
  <c r="P1124" i="1"/>
  <c r="P1125" i="1" s="1"/>
  <c r="P1164" i="1"/>
  <c r="L1176" i="1"/>
  <c r="M1176" i="1"/>
  <c r="P1167" i="1"/>
  <c r="P1168" i="1" s="1"/>
  <c r="H91" i="10"/>
  <c r="P1152" i="1"/>
  <c r="P1132" i="1"/>
  <c r="F90" i="10"/>
  <c r="N1176" i="1"/>
  <c r="P1170" i="1"/>
  <c r="P1171" i="1" s="1"/>
  <c r="P1148" i="1"/>
  <c r="P1144" i="1"/>
  <c r="P1145" i="1" s="1"/>
  <c r="P1129" i="1"/>
  <c r="G90" i="10"/>
  <c r="AQ88" i="10"/>
  <c r="AP88" i="10"/>
  <c r="AN89" i="10"/>
  <c r="E90" i="10" l="1"/>
  <c r="P1126" i="1"/>
  <c r="P1123" i="1" s="1"/>
  <c r="D91" i="10" s="1"/>
  <c r="R93" i="12"/>
  <c r="J92" i="12"/>
  <c r="D88" i="12"/>
  <c r="M95" i="12"/>
  <c r="I95" i="12"/>
  <c r="H95" i="12" s="1"/>
  <c r="L93" i="12"/>
  <c r="K93" i="12"/>
  <c r="T94" i="12"/>
  <c r="S94" i="12"/>
  <c r="E89" i="12"/>
  <c r="F90" i="12" s="1"/>
  <c r="I1159" i="1"/>
  <c r="P1141" i="1"/>
  <c r="P1142" i="1" s="1"/>
  <c r="X92" i="10"/>
  <c r="Y92" i="10" s="1"/>
  <c r="G91" i="10"/>
  <c r="P1146" i="1"/>
  <c r="N1193" i="1"/>
  <c r="P1187" i="1"/>
  <c r="P1188" i="1" s="1"/>
  <c r="F91" i="10"/>
  <c r="P1149" i="1"/>
  <c r="P1169" i="1"/>
  <c r="H92" i="10"/>
  <c r="M1193" i="1"/>
  <c r="P1184" i="1"/>
  <c r="P1185" i="1" s="1"/>
  <c r="P1181" i="1"/>
  <c r="L1193" i="1"/>
  <c r="P1165" i="1"/>
  <c r="P1161" i="1"/>
  <c r="P1162" i="1" s="1"/>
  <c r="AQ89" i="10"/>
  <c r="AP89" i="10"/>
  <c r="AN90" i="10"/>
  <c r="P1143" i="1" l="1"/>
  <c r="E91" i="10"/>
  <c r="R94" i="12"/>
  <c r="J93" i="12"/>
  <c r="M96" i="12"/>
  <c r="I96" i="12"/>
  <c r="H96" i="12" s="1"/>
  <c r="T95" i="12"/>
  <c r="S95" i="12"/>
  <c r="L94" i="12"/>
  <c r="K94" i="12"/>
  <c r="E90" i="12"/>
  <c r="F91" i="12" s="1"/>
  <c r="D89" i="12"/>
  <c r="I1176" i="1"/>
  <c r="X93" i="10"/>
  <c r="Y93" i="10" s="1"/>
  <c r="P1158" i="1"/>
  <c r="P1159" i="1" s="1"/>
  <c r="P1182" i="1"/>
  <c r="P1178" i="1"/>
  <c r="P1179" i="1" s="1"/>
  <c r="F92" i="10"/>
  <c r="P1166" i="1"/>
  <c r="M1210" i="1"/>
  <c r="P1201" i="1"/>
  <c r="P1202" i="1" s="1"/>
  <c r="N1210" i="1"/>
  <c r="P1204" i="1"/>
  <c r="P1205" i="1" s="1"/>
  <c r="P1186" i="1"/>
  <c r="H93" i="10"/>
  <c r="P1163" i="1"/>
  <c r="G92" i="10"/>
  <c r="P1198" i="1"/>
  <c r="L1210" i="1"/>
  <c r="AN91" i="10"/>
  <c r="P1140" i="1"/>
  <c r="D92" i="10" s="1"/>
  <c r="P1160" i="1"/>
  <c r="E92" i="10"/>
  <c r="AQ90" i="10"/>
  <c r="AP90" i="10"/>
  <c r="D90" i="12" l="1"/>
  <c r="M97" i="12"/>
  <c r="I97" i="12"/>
  <c r="H97" i="12" s="1"/>
  <c r="L95" i="12"/>
  <c r="K95" i="12"/>
  <c r="J94" i="12"/>
  <c r="R95" i="12"/>
  <c r="S96" i="12"/>
  <c r="T96" i="12"/>
  <c r="E91" i="12"/>
  <c r="F92" i="12" s="1"/>
  <c r="X94" i="10"/>
  <c r="Y94" i="10" s="1"/>
  <c r="I1193" i="1"/>
  <c r="P1175" i="1"/>
  <c r="P1176" i="1" s="1"/>
  <c r="P1180" i="1"/>
  <c r="G93" i="10"/>
  <c r="P1199" i="1"/>
  <c r="P1195" i="1"/>
  <c r="P1196" i="1" s="1"/>
  <c r="M1227" i="1"/>
  <c r="P1218" i="1"/>
  <c r="P1219" i="1" s="1"/>
  <c r="P1215" i="1"/>
  <c r="L1227" i="1"/>
  <c r="P1183" i="1"/>
  <c r="F93" i="10"/>
  <c r="N1227" i="1"/>
  <c r="P1221" i="1"/>
  <c r="P1222" i="1" s="1"/>
  <c r="P1203" i="1"/>
  <c r="H94" i="10"/>
  <c r="E93" i="10"/>
  <c r="P1157" i="1"/>
  <c r="D93" i="10" s="1"/>
  <c r="AN92" i="10"/>
  <c r="AP91" i="10"/>
  <c r="AQ91" i="10"/>
  <c r="D91" i="12" l="1"/>
  <c r="J95" i="12"/>
  <c r="I98" i="12"/>
  <c r="H98" i="12" s="1"/>
  <c r="M98" i="12"/>
  <c r="T97" i="12"/>
  <c r="S97" i="12"/>
  <c r="L96" i="12"/>
  <c r="K96" i="12"/>
  <c r="R96" i="12"/>
  <c r="E92" i="12"/>
  <c r="F93" i="12" s="1"/>
  <c r="P1177" i="1"/>
  <c r="P1194" i="1" s="1"/>
  <c r="I1210" i="1"/>
  <c r="P1192" i="1"/>
  <c r="P1193" i="1" s="1"/>
  <c r="X95" i="10"/>
  <c r="Y95" i="10" s="1"/>
  <c r="P1238" i="1"/>
  <c r="P1239" i="1" s="1"/>
  <c r="N1244" i="1"/>
  <c r="F94" i="10"/>
  <c r="P1200" i="1"/>
  <c r="P1216" i="1"/>
  <c r="P1212" i="1"/>
  <c r="P1213" i="1" s="1"/>
  <c r="M1244" i="1"/>
  <c r="P1235" i="1"/>
  <c r="P1236" i="1" s="1"/>
  <c r="P1220" i="1"/>
  <c r="H95" i="10"/>
  <c r="P1232" i="1"/>
  <c r="L1244" i="1"/>
  <c r="G94" i="10"/>
  <c r="P1197" i="1"/>
  <c r="AP92" i="10"/>
  <c r="AQ92" i="10"/>
  <c r="AN93" i="10"/>
  <c r="E94" i="10" l="1"/>
  <c r="P1174" i="1"/>
  <c r="D94" i="10" s="1"/>
  <c r="R97" i="12"/>
  <c r="D92" i="12"/>
  <c r="I99" i="12"/>
  <c r="H99" i="12" s="1"/>
  <c r="M99" i="12"/>
  <c r="L97" i="12"/>
  <c r="K97" i="12"/>
  <c r="J96" i="12"/>
  <c r="T98" i="12"/>
  <c r="S98" i="12"/>
  <c r="E93" i="12"/>
  <c r="F94" i="12" s="1"/>
  <c r="I1227" i="1"/>
  <c r="X96" i="10"/>
  <c r="Y96" i="10" s="1"/>
  <c r="P1209" i="1"/>
  <c r="P1210" i="1" s="1"/>
  <c r="P1217" i="1"/>
  <c r="F95" i="10"/>
  <c r="L1261" i="1"/>
  <c r="P1249" i="1"/>
  <c r="N1261" i="1"/>
  <c r="P1255" i="1"/>
  <c r="P1256" i="1" s="1"/>
  <c r="P1214" i="1"/>
  <c r="G95" i="10"/>
  <c r="P1229" i="1"/>
  <c r="P1230" i="1" s="1"/>
  <c r="P1233" i="1"/>
  <c r="H96" i="10"/>
  <c r="P1237" i="1"/>
  <c r="M1261" i="1"/>
  <c r="P1252" i="1"/>
  <c r="P1253" i="1" s="1"/>
  <c r="E95" i="10"/>
  <c r="P1191" i="1"/>
  <c r="D95" i="10" s="1"/>
  <c r="P1211" i="1"/>
  <c r="AN94" i="10"/>
  <c r="AQ93" i="10"/>
  <c r="AP93" i="10"/>
  <c r="I100" i="12" l="1"/>
  <c r="H100" i="12" s="1"/>
  <c r="M100" i="12"/>
  <c r="R98" i="12"/>
  <c r="D93" i="12"/>
  <c r="T99" i="12"/>
  <c r="S99" i="12"/>
  <c r="L98" i="12"/>
  <c r="K98" i="12"/>
  <c r="J97" i="12"/>
  <c r="E94" i="12"/>
  <c r="D94" i="12" s="1"/>
  <c r="I1244" i="1"/>
  <c r="P1226" i="1"/>
  <c r="P1227" i="1" s="1"/>
  <c r="X97" i="10"/>
  <c r="Y97" i="10" s="1"/>
  <c r="M1278" i="1"/>
  <c r="P1269" i="1"/>
  <c r="P1270" i="1" s="1"/>
  <c r="H97" i="10"/>
  <c r="P1254" i="1"/>
  <c r="P1246" i="1"/>
  <c r="P1247" i="1" s="1"/>
  <c r="P1250" i="1"/>
  <c r="L1278" i="1"/>
  <c r="P1266" i="1"/>
  <c r="G96" i="10"/>
  <c r="P1231" i="1"/>
  <c r="N1278" i="1"/>
  <c r="P1272" i="1"/>
  <c r="P1273" i="1" s="1"/>
  <c r="P1234" i="1"/>
  <c r="F96" i="10"/>
  <c r="AN95" i="10"/>
  <c r="AQ94" i="10"/>
  <c r="AP94" i="10"/>
  <c r="E96" i="10"/>
  <c r="P1208" i="1"/>
  <c r="D96" i="10" s="1"/>
  <c r="P1228" i="1"/>
  <c r="R99" i="12" l="1"/>
  <c r="F95" i="12"/>
  <c r="E95" i="12" s="1"/>
  <c r="I101" i="12"/>
  <c r="H101" i="12" s="1"/>
  <c r="M101" i="12"/>
  <c r="T100" i="12"/>
  <c r="S100" i="12"/>
  <c r="J98" i="12"/>
  <c r="L99" i="12"/>
  <c r="K99" i="12"/>
  <c r="I1261" i="1"/>
  <c r="P1243" i="1"/>
  <c r="P1244" i="1" s="1"/>
  <c r="X98" i="10"/>
  <c r="Y98" i="10" s="1"/>
  <c r="G97" i="10"/>
  <c r="P1248" i="1"/>
  <c r="P1263" i="1"/>
  <c r="P1264" i="1" s="1"/>
  <c r="P1267" i="1"/>
  <c r="H98" i="10"/>
  <c r="P1271" i="1"/>
  <c r="P1251" i="1"/>
  <c r="F97" i="10"/>
  <c r="N1295" i="1"/>
  <c r="P1289" i="1"/>
  <c r="P1290" i="1" s="1"/>
  <c r="P1283" i="1"/>
  <c r="L1295" i="1"/>
  <c r="M1295" i="1"/>
  <c r="P1286" i="1"/>
  <c r="P1287" i="1" s="1"/>
  <c r="AN96" i="10"/>
  <c r="P1225" i="1"/>
  <c r="D97" i="10" s="1"/>
  <c r="E97" i="10"/>
  <c r="AQ95" i="10"/>
  <c r="AP95" i="10"/>
  <c r="R100" i="12" l="1"/>
  <c r="F96" i="12"/>
  <c r="E96" i="12" s="1"/>
  <c r="D96" i="12" s="1"/>
  <c r="D95" i="12"/>
  <c r="I102" i="12"/>
  <c r="H102" i="12" s="1"/>
  <c r="M102" i="12"/>
  <c r="L100" i="12"/>
  <c r="K100" i="12"/>
  <c r="S101" i="12"/>
  <c r="T101" i="12"/>
  <c r="J99" i="12"/>
  <c r="P1245" i="1"/>
  <c r="E98" i="10" s="1"/>
  <c r="X99" i="10"/>
  <c r="Y99" i="10" s="1"/>
  <c r="I1278" i="1"/>
  <c r="P1260" i="1"/>
  <c r="P1261" i="1" s="1"/>
  <c r="F98" i="10"/>
  <c r="P1268" i="1"/>
  <c r="P1284" i="1"/>
  <c r="P1280" i="1"/>
  <c r="P1281" i="1" s="1"/>
  <c r="N1312" i="1"/>
  <c r="P1306" i="1"/>
  <c r="P1307" i="1" s="1"/>
  <c r="P1288" i="1"/>
  <c r="H99" i="10"/>
  <c r="P1300" i="1"/>
  <c r="L1312" i="1"/>
  <c r="G98" i="10"/>
  <c r="P1265" i="1"/>
  <c r="M1312" i="1"/>
  <c r="P1303" i="1"/>
  <c r="P1304" i="1" s="1"/>
  <c r="AQ96" i="10"/>
  <c r="AP96" i="10"/>
  <c r="P1242" i="1" l="1"/>
  <c r="D98" i="10" s="1"/>
  <c r="J100" i="12"/>
  <c r="M103" i="12"/>
  <c r="I103" i="12"/>
  <c r="T102" i="12"/>
  <c r="S102" i="12"/>
  <c r="R101" i="12"/>
  <c r="L101" i="12"/>
  <c r="K101" i="12"/>
  <c r="F97" i="12"/>
  <c r="P1262" i="1"/>
  <c r="E99" i="10" s="1"/>
  <c r="I1295" i="1"/>
  <c r="P1277" i="1"/>
  <c r="P1278" i="1" s="1"/>
  <c r="X100" i="10"/>
  <c r="Y100" i="10" s="1"/>
  <c r="M1329" i="1"/>
  <c r="P1320" i="1"/>
  <c r="P1321" i="1" s="1"/>
  <c r="P1282" i="1"/>
  <c r="G99" i="10"/>
  <c r="P1305" i="1"/>
  <c r="H100" i="10"/>
  <c r="N1329" i="1"/>
  <c r="P1323" i="1"/>
  <c r="P1324" i="1" s="1"/>
  <c r="P1317" i="1"/>
  <c r="L1329" i="1"/>
  <c r="P1301" i="1"/>
  <c r="P1297" i="1"/>
  <c r="P1298" i="1" s="1"/>
  <c r="F99" i="10"/>
  <c r="P1285" i="1"/>
  <c r="AN98" i="10"/>
  <c r="AN97" i="10"/>
  <c r="P1259" i="1" l="1"/>
  <c r="D99" i="10" s="1"/>
  <c r="H103" i="12"/>
  <c r="M104" i="12"/>
  <c r="I104" i="12"/>
  <c r="L102" i="12"/>
  <c r="K102" i="12"/>
  <c r="J102" i="12" s="1"/>
  <c r="S103" i="12"/>
  <c r="T103" i="12"/>
  <c r="J101" i="12"/>
  <c r="R102" i="12"/>
  <c r="E97" i="12"/>
  <c r="D97" i="12" s="1"/>
  <c r="P1279" i="1"/>
  <c r="E100" i="10" s="1"/>
  <c r="I1312" i="1"/>
  <c r="X101" i="10"/>
  <c r="Y101" i="10" s="1"/>
  <c r="P1294" i="1"/>
  <c r="P1295" i="1" s="1"/>
  <c r="P1334" i="1"/>
  <c r="L1346" i="1"/>
  <c r="P1322" i="1"/>
  <c r="H101" i="10"/>
  <c r="F100" i="10"/>
  <c r="P1302" i="1"/>
  <c r="P1318" i="1"/>
  <c r="P1314" i="1"/>
  <c r="P1315" i="1" s="1"/>
  <c r="N1346" i="1"/>
  <c r="P1340" i="1"/>
  <c r="P1341" i="1" s="1"/>
  <c r="P1299" i="1"/>
  <c r="G100" i="10"/>
  <c r="M1346" i="1"/>
  <c r="P1337" i="1"/>
  <c r="P1338" i="1" s="1"/>
  <c r="AP97" i="10"/>
  <c r="AQ97" i="10"/>
  <c r="AN99" i="10"/>
  <c r="AQ98" i="10"/>
  <c r="AP98" i="10"/>
  <c r="P1276" i="1" l="1"/>
  <c r="D100" i="10" s="1"/>
  <c r="P1296" i="1"/>
  <c r="E101" i="10" s="1"/>
  <c r="I105" i="12"/>
  <c r="H105" i="12" s="1"/>
  <c r="M105" i="12"/>
  <c r="H104" i="12"/>
  <c r="T104" i="12"/>
  <c r="S104" i="12"/>
  <c r="R103" i="12"/>
  <c r="L103" i="12"/>
  <c r="K103" i="12"/>
  <c r="F98" i="12"/>
  <c r="X102" i="10"/>
  <c r="Y102" i="10" s="1"/>
  <c r="I1329" i="1"/>
  <c r="P1311" i="1"/>
  <c r="P1312" i="1" s="1"/>
  <c r="N1363" i="1"/>
  <c r="P1357" i="1"/>
  <c r="P1358" i="1" s="1"/>
  <c r="M1363" i="1"/>
  <c r="P1354" i="1"/>
  <c r="P1355" i="1" s="1"/>
  <c r="P1339" i="1"/>
  <c r="H102" i="10"/>
  <c r="F101" i="10"/>
  <c r="P1319" i="1"/>
  <c r="P1351" i="1"/>
  <c r="L1363" i="1"/>
  <c r="G101" i="10"/>
  <c r="P1316" i="1"/>
  <c r="P1335" i="1"/>
  <c r="P1331" i="1"/>
  <c r="P1332" i="1" s="1"/>
  <c r="AQ99" i="10"/>
  <c r="AP99" i="10"/>
  <c r="AN100" i="10"/>
  <c r="P1293" i="1" l="1"/>
  <c r="D101" i="10" s="1"/>
  <c r="P1313" i="1"/>
  <c r="P1330" i="1" s="1"/>
  <c r="R104" i="12"/>
  <c r="I106" i="12"/>
  <c r="H106" i="12" s="1"/>
  <c r="M106" i="12"/>
  <c r="J103" i="12"/>
  <c r="L104" i="12"/>
  <c r="K104" i="12"/>
  <c r="T105" i="12"/>
  <c r="S105" i="12"/>
  <c r="E98" i="12"/>
  <c r="F99" i="12" s="1"/>
  <c r="I1346" i="1"/>
  <c r="P1328" i="1"/>
  <c r="P1329" i="1" s="1"/>
  <c r="X103" i="10"/>
  <c r="Y103" i="10" s="1"/>
  <c r="P1333" i="1"/>
  <c r="G102" i="10"/>
  <c r="H103" i="10"/>
  <c r="P1356" i="1"/>
  <c r="P1336" i="1"/>
  <c r="F102" i="10"/>
  <c r="P1368" i="1"/>
  <c r="L1380" i="1"/>
  <c r="M1380" i="1"/>
  <c r="P1371" i="1"/>
  <c r="P1372" i="1" s="1"/>
  <c r="P1352" i="1"/>
  <c r="P1348" i="1"/>
  <c r="P1349" i="1" s="1"/>
  <c r="N1380" i="1"/>
  <c r="P1374" i="1"/>
  <c r="P1375" i="1" s="1"/>
  <c r="AP100" i="10"/>
  <c r="AQ100" i="10"/>
  <c r="AN101" i="10"/>
  <c r="P1310" i="1" l="1"/>
  <c r="D102" i="10" s="1"/>
  <c r="E102" i="10"/>
  <c r="D98" i="12"/>
  <c r="M107" i="12"/>
  <c r="I107" i="12"/>
  <c r="H107" i="12" s="1"/>
  <c r="S106" i="12"/>
  <c r="T106" i="12"/>
  <c r="L105" i="12"/>
  <c r="K105" i="12"/>
  <c r="R105" i="12"/>
  <c r="J104" i="12"/>
  <c r="E99" i="12"/>
  <c r="F100" i="12" s="1"/>
  <c r="I1363" i="1"/>
  <c r="X104" i="10"/>
  <c r="Y104" i="10" s="1"/>
  <c r="P1345" i="1"/>
  <c r="P1346" i="1" s="1"/>
  <c r="M1397" i="1"/>
  <c r="P1388" i="1"/>
  <c r="P1389" i="1" s="1"/>
  <c r="P1385" i="1"/>
  <c r="L1397" i="1"/>
  <c r="P1391" i="1"/>
  <c r="P1392" i="1" s="1"/>
  <c r="N1397" i="1"/>
  <c r="F103" i="10"/>
  <c r="P1353" i="1"/>
  <c r="P1373" i="1"/>
  <c r="H104" i="10"/>
  <c r="P1369" i="1"/>
  <c r="P1365" i="1"/>
  <c r="P1366" i="1" s="1"/>
  <c r="G103" i="10"/>
  <c r="P1350" i="1"/>
  <c r="AQ101" i="10"/>
  <c r="AP101" i="10"/>
  <c r="E103" i="10"/>
  <c r="P1327" i="1"/>
  <c r="D103" i="10" s="1"/>
  <c r="AN102" i="10"/>
  <c r="I108" i="12" l="1"/>
  <c r="M108" i="12"/>
  <c r="L106" i="12"/>
  <c r="K106" i="12"/>
  <c r="J105" i="12"/>
  <c r="T107" i="12"/>
  <c r="S107" i="12"/>
  <c r="R107" i="12" s="1"/>
  <c r="R106" i="12"/>
  <c r="E100" i="12"/>
  <c r="F101" i="12" s="1"/>
  <c r="D99" i="12"/>
  <c r="P1347" i="1"/>
  <c r="P1344" i="1" s="1"/>
  <c r="D104" i="10" s="1"/>
  <c r="I1380" i="1"/>
  <c r="P1362" i="1"/>
  <c r="P1363" i="1" s="1"/>
  <c r="X105" i="10"/>
  <c r="Y105" i="10" s="1"/>
  <c r="H105" i="10"/>
  <c r="P1390" i="1"/>
  <c r="P1408" i="1"/>
  <c r="P1409" i="1" s="1"/>
  <c r="N1414" i="1"/>
  <c r="P1402" i="1"/>
  <c r="L1414" i="1"/>
  <c r="P1367" i="1"/>
  <c r="G104" i="10"/>
  <c r="P1386" i="1"/>
  <c r="P1382" i="1"/>
  <c r="P1383" i="1" s="1"/>
  <c r="F104" i="10"/>
  <c r="P1370" i="1"/>
  <c r="M1414" i="1"/>
  <c r="P1405" i="1"/>
  <c r="P1406" i="1" s="1"/>
  <c r="AQ102" i="10"/>
  <c r="AP102" i="10"/>
  <c r="AN103" i="10"/>
  <c r="E104" i="10" l="1"/>
  <c r="P1364" i="1"/>
  <c r="P1361" i="1" s="1"/>
  <c r="D105" i="10" s="1"/>
  <c r="I109" i="12"/>
  <c r="M109" i="12"/>
  <c r="H108" i="12"/>
  <c r="H109" i="12"/>
  <c r="T108" i="12"/>
  <c r="S108" i="12"/>
  <c r="R108" i="12" s="1"/>
  <c r="J106" i="12"/>
  <c r="L107" i="12"/>
  <c r="K107" i="12"/>
  <c r="E101" i="12"/>
  <c r="F102" i="12" s="1"/>
  <c r="D100" i="12"/>
  <c r="I1397" i="1"/>
  <c r="P1379" i="1"/>
  <c r="P1380" i="1" s="1"/>
  <c r="X106" i="10"/>
  <c r="Y106" i="10" s="1"/>
  <c r="F105" i="10"/>
  <c r="P1387" i="1"/>
  <c r="P1419" i="1"/>
  <c r="L1431" i="1"/>
  <c r="P1425" i="1"/>
  <c r="P1426" i="1" s="1"/>
  <c r="N1431" i="1"/>
  <c r="M1431" i="1"/>
  <c r="P1422" i="1"/>
  <c r="P1423" i="1" s="1"/>
  <c r="P1407" i="1"/>
  <c r="H106" i="10"/>
  <c r="G105" i="10"/>
  <c r="P1384" i="1"/>
  <c r="P1403" i="1"/>
  <c r="P1399" i="1"/>
  <c r="P1400" i="1" s="1"/>
  <c r="AN104" i="10"/>
  <c r="AQ103" i="10"/>
  <c r="AP103" i="10"/>
  <c r="E105" i="10" l="1"/>
  <c r="P1381" i="1"/>
  <c r="J107" i="12"/>
  <c r="M110" i="12"/>
  <c r="I110" i="12"/>
  <c r="H110" i="12" s="1"/>
  <c r="L108" i="12"/>
  <c r="K108" i="12"/>
  <c r="T109" i="12"/>
  <c r="S109" i="12"/>
  <c r="E102" i="12"/>
  <c r="F103" i="12" s="1"/>
  <c r="D101" i="12"/>
  <c r="I1414" i="1"/>
  <c r="X107" i="10"/>
  <c r="Y107" i="10" s="1"/>
  <c r="P1396" i="1"/>
  <c r="P1397" i="1" s="1"/>
  <c r="G106" i="10"/>
  <c r="P1401" i="1"/>
  <c r="N1448" i="1"/>
  <c r="P1442" i="1"/>
  <c r="P1443" i="1" s="1"/>
  <c r="L1448" i="1"/>
  <c r="P1436" i="1"/>
  <c r="M1448" i="1"/>
  <c r="P1439" i="1"/>
  <c r="P1440" i="1" s="1"/>
  <c r="P1420" i="1"/>
  <c r="P1416" i="1"/>
  <c r="P1417" i="1" s="1"/>
  <c r="P1424" i="1"/>
  <c r="H107" i="10"/>
  <c r="P1404" i="1"/>
  <c r="F106" i="10"/>
  <c r="AN105" i="10"/>
  <c r="E106" i="10"/>
  <c r="P1378" i="1"/>
  <c r="D106" i="10" s="1"/>
  <c r="P1398" i="1"/>
  <c r="AQ104" i="10"/>
  <c r="AP104" i="10"/>
  <c r="J108" i="12" l="1"/>
  <c r="I111" i="12"/>
  <c r="M111" i="12"/>
  <c r="T110" i="12"/>
  <c r="S110" i="12"/>
  <c r="R109" i="12"/>
  <c r="L109" i="12"/>
  <c r="K109" i="12"/>
  <c r="E103" i="12"/>
  <c r="F104" i="12" s="1"/>
  <c r="D103" i="12"/>
  <c r="D102" i="12"/>
  <c r="P1413" i="1"/>
  <c r="P1414" i="1" s="1"/>
  <c r="X108" i="10"/>
  <c r="Y108" i="10" s="1"/>
  <c r="I1431" i="1"/>
  <c r="L1465" i="1"/>
  <c r="P1453" i="1"/>
  <c r="M1465" i="1"/>
  <c r="P1456" i="1"/>
  <c r="P1457" i="1" s="1"/>
  <c r="H108" i="10"/>
  <c r="P1441" i="1"/>
  <c r="P1433" i="1"/>
  <c r="P1434" i="1" s="1"/>
  <c r="P1437" i="1"/>
  <c r="N1465" i="1"/>
  <c r="P1459" i="1"/>
  <c r="P1460" i="1" s="1"/>
  <c r="F107" i="10"/>
  <c r="P1421" i="1"/>
  <c r="G107" i="10"/>
  <c r="P1418" i="1"/>
  <c r="AN106" i="10"/>
  <c r="E107" i="10"/>
  <c r="P1395" i="1"/>
  <c r="D107" i="10" s="1"/>
  <c r="P1415" i="1"/>
  <c r="AQ105" i="10"/>
  <c r="AP105" i="10"/>
  <c r="R110" i="12" l="1"/>
  <c r="M112" i="12"/>
  <c r="I112" i="12"/>
  <c r="H111" i="12"/>
  <c r="H112" i="12"/>
  <c r="L110" i="12"/>
  <c r="K110" i="12"/>
  <c r="J109" i="12"/>
  <c r="T111" i="12"/>
  <c r="S111" i="12"/>
  <c r="R111" i="12" s="1"/>
  <c r="E104" i="12"/>
  <c r="F105" i="12" s="1"/>
  <c r="I1448" i="1"/>
  <c r="P1430" i="1"/>
  <c r="P1431" i="1" s="1"/>
  <c r="X109" i="10"/>
  <c r="Y109" i="10" s="1"/>
  <c r="P1438" i="1"/>
  <c r="F108" i="10"/>
  <c r="N1482" i="1"/>
  <c r="P1476" i="1"/>
  <c r="P1477" i="1" s="1"/>
  <c r="M1482" i="1"/>
  <c r="P1473" i="1"/>
  <c r="P1474" i="1" s="1"/>
  <c r="P1458" i="1"/>
  <c r="H109" i="10"/>
  <c r="P1450" i="1"/>
  <c r="P1451" i="1" s="1"/>
  <c r="P1454" i="1"/>
  <c r="G108" i="10"/>
  <c r="P1435" i="1"/>
  <c r="P1470" i="1"/>
  <c r="L1482" i="1"/>
  <c r="AN107" i="10"/>
  <c r="E108" i="10"/>
  <c r="P1412" i="1"/>
  <c r="D108" i="10" s="1"/>
  <c r="P1432" i="1"/>
  <c r="AQ106" i="10"/>
  <c r="AP106" i="10"/>
  <c r="M113" i="12" l="1"/>
  <c r="I113" i="12"/>
  <c r="H113" i="12" s="1"/>
  <c r="T112" i="12"/>
  <c r="S112" i="12"/>
  <c r="J110" i="12"/>
  <c r="K111" i="12"/>
  <c r="L111" i="12"/>
  <c r="E105" i="12"/>
  <c r="F106" i="12" s="1"/>
  <c r="D104" i="12"/>
  <c r="X110" i="10"/>
  <c r="Y110" i="10" s="1"/>
  <c r="I1465" i="1"/>
  <c r="P1447" i="1"/>
  <c r="P1448" i="1" s="1"/>
  <c r="P1487" i="1"/>
  <c r="L1499" i="1"/>
  <c r="P1471" i="1"/>
  <c r="P1467" i="1"/>
  <c r="P1468" i="1" s="1"/>
  <c r="H110" i="10"/>
  <c r="P1475" i="1"/>
  <c r="M1499" i="1"/>
  <c r="P1490" i="1"/>
  <c r="P1491" i="1" s="1"/>
  <c r="N1499" i="1"/>
  <c r="P1493" i="1"/>
  <c r="P1494" i="1" s="1"/>
  <c r="P1452" i="1"/>
  <c r="G109" i="10"/>
  <c r="P1455" i="1"/>
  <c r="F109" i="10"/>
  <c r="P1429" i="1"/>
  <c r="D109" i="10" s="1"/>
  <c r="E109" i="10"/>
  <c r="P1449" i="1"/>
  <c r="AN108" i="10"/>
  <c r="AQ107" i="10"/>
  <c r="AP107" i="10"/>
  <c r="D105" i="12" l="1"/>
  <c r="R112" i="12"/>
  <c r="M114" i="12"/>
  <c r="I114" i="12"/>
  <c r="H114" i="12" s="1"/>
  <c r="J111" i="12"/>
  <c r="L112" i="12"/>
  <c r="K112" i="12"/>
  <c r="J112" i="12" s="1"/>
  <c r="T113" i="12"/>
  <c r="S113" i="12"/>
  <c r="E106" i="12"/>
  <c r="F107" i="12" s="1"/>
  <c r="I1482" i="1"/>
  <c r="P1464" i="1"/>
  <c r="P1465" i="1" s="1"/>
  <c r="X111" i="10"/>
  <c r="Y111" i="10" s="1"/>
  <c r="F110" i="10"/>
  <c r="P1472" i="1"/>
  <c r="G110" i="10"/>
  <c r="P1469" i="1"/>
  <c r="M1516" i="1"/>
  <c r="P1507" i="1"/>
  <c r="P1508" i="1" s="1"/>
  <c r="P1492" i="1"/>
  <c r="H111" i="10"/>
  <c r="P1504" i="1"/>
  <c r="L1516" i="1"/>
  <c r="P1510" i="1"/>
  <c r="P1511" i="1" s="1"/>
  <c r="N1516" i="1"/>
  <c r="P1488" i="1"/>
  <c r="P1484" i="1"/>
  <c r="P1485" i="1" s="1"/>
  <c r="E110" i="10"/>
  <c r="P1446" i="1"/>
  <c r="D110" i="10" s="1"/>
  <c r="P1466" i="1"/>
  <c r="AQ108" i="10"/>
  <c r="AP108" i="10"/>
  <c r="AN109" i="10"/>
  <c r="R113" i="12" l="1"/>
  <c r="M115" i="12"/>
  <c r="I115" i="12"/>
  <c r="H115" i="12" s="1"/>
  <c r="S114" i="12"/>
  <c r="T114" i="12"/>
  <c r="L113" i="12"/>
  <c r="K113" i="12"/>
  <c r="E107" i="12"/>
  <c r="D107" i="12" s="1"/>
  <c r="F108" i="12"/>
  <c r="D106" i="12"/>
  <c r="I1499" i="1"/>
  <c r="X112" i="10"/>
  <c r="Y112" i="10" s="1"/>
  <c r="P1481" i="1"/>
  <c r="P1482" i="1" s="1"/>
  <c r="P1521" i="1"/>
  <c r="L1533" i="1"/>
  <c r="P1505" i="1"/>
  <c r="P1501" i="1"/>
  <c r="P1502" i="1" s="1"/>
  <c r="H112" i="10"/>
  <c r="P1509" i="1"/>
  <c r="M1533" i="1"/>
  <c r="P1524" i="1"/>
  <c r="P1525" i="1" s="1"/>
  <c r="P1486" i="1"/>
  <c r="G111" i="10"/>
  <c r="F111" i="10"/>
  <c r="P1489" i="1"/>
  <c r="P1527" i="1"/>
  <c r="P1528" i="1" s="1"/>
  <c r="N1533" i="1"/>
  <c r="E111" i="10"/>
  <c r="P1463" i="1"/>
  <c r="D111" i="10" s="1"/>
  <c r="AN110" i="10"/>
  <c r="AQ109" i="10"/>
  <c r="AP109" i="10"/>
  <c r="M116" i="12" l="1"/>
  <c r="I116" i="12"/>
  <c r="H116" i="12" s="1"/>
  <c r="L114" i="12"/>
  <c r="K114" i="12"/>
  <c r="J113" i="12"/>
  <c r="S115" i="12"/>
  <c r="T115" i="12"/>
  <c r="R114" i="12"/>
  <c r="E108" i="12"/>
  <c r="D108" i="12" s="1"/>
  <c r="P1483" i="1"/>
  <c r="P1480" i="1" s="1"/>
  <c r="D112" i="10" s="1"/>
  <c r="I1516" i="1"/>
  <c r="P1498" i="1"/>
  <c r="P1499" i="1" s="1"/>
  <c r="X113" i="10"/>
  <c r="Y113" i="10" s="1"/>
  <c r="F112" i="10"/>
  <c r="P1506" i="1"/>
  <c r="P1544" i="1"/>
  <c r="P1545" i="1" s="1"/>
  <c r="N1550" i="1"/>
  <c r="M1550" i="1"/>
  <c r="P1541" i="1"/>
  <c r="P1542" i="1" s="1"/>
  <c r="G112" i="10"/>
  <c r="P1503" i="1"/>
  <c r="P1526" i="1"/>
  <c r="H113" i="10"/>
  <c r="P1538" i="1"/>
  <c r="L1550" i="1"/>
  <c r="P1522" i="1"/>
  <c r="P1518" i="1"/>
  <c r="P1519" i="1" s="1"/>
  <c r="AN111" i="10"/>
  <c r="AQ110" i="10"/>
  <c r="AP110" i="10"/>
  <c r="P1500" i="1" l="1"/>
  <c r="P1517" i="1" s="1"/>
  <c r="E112" i="10"/>
  <c r="J114" i="12"/>
  <c r="F109" i="12"/>
  <c r="M117" i="12"/>
  <c r="I117" i="12"/>
  <c r="H117" i="12" s="1"/>
  <c r="R115" i="12"/>
  <c r="T116" i="12"/>
  <c r="S116" i="12"/>
  <c r="R116" i="12" s="1"/>
  <c r="L115" i="12"/>
  <c r="K115" i="12"/>
  <c r="E109" i="12"/>
  <c r="F110" i="12" s="1"/>
  <c r="I1533" i="1"/>
  <c r="P1515" i="1"/>
  <c r="P1516" i="1" s="1"/>
  <c r="X114" i="10"/>
  <c r="Y114" i="10" s="1"/>
  <c r="L1567" i="1"/>
  <c r="P1555" i="1"/>
  <c r="P1539" i="1"/>
  <c r="P1535" i="1"/>
  <c r="P1536" i="1" s="1"/>
  <c r="M1567" i="1"/>
  <c r="P1558" i="1"/>
  <c r="P1559" i="1" s="1"/>
  <c r="P1523" i="1"/>
  <c r="F113" i="10"/>
  <c r="H114" i="10"/>
  <c r="P1543" i="1"/>
  <c r="G113" i="10"/>
  <c r="P1520" i="1"/>
  <c r="P1561" i="1"/>
  <c r="P1562" i="1" s="1"/>
  <c r="N1567" i="1"/>
  <c r="AN112" i="10"/>
  <c r="P1497" i="1"/>
  <c r="D113" i="10" s="1"/>
  <c r="AQ111" i="10"/>
  <c r="AP111" i="10"/>
  <c r="E113" i="10" l="1"/>
  <c r="D109" i="12"/>
  <c r="M118" i="12"/>
  <c r="I118" i="12"/>
  <c r="J115" i="12"/>
  <c r="L116" i="12"/>
  <c r="K116" i="12"/>
  <c r="T117" i="12"/>
  <c r="S117" i="12"/>
  <c r="R117" i="12" s="1"/>
  <c r="E110" i="12"/>
  <c r="F111" i="12" s="1"/>
  <c r="D110" i="12"/>
  <c r="I1550" i="1"/>
  <c r="X115" i="10"/>
  <c r="Y115" i="10" s="1"/>
  <c r="P1532" i="1"/>
  <c r="P1533" i="1" s="1"/>
  <c r="P1578" i="1"/>
  <c r="P1579" i="1" s="1"/>
  <c r="N1584" i="1"/>
  <c r="G114" i="10"/>
  <c r="P1537" i="1"/>
  <c r="H115" i="10"/>
  <c r="P1560" i="1"/>
  <c r="M1584" i="1"/>
  <c r="P1575" i="1"/>
  <c r="P1576" i="1" s="1"/>
  <c r="P1556" i="1"/>
  <c r="P1552" i="1"/>
  <c r="P1553" i="1" s="1"/>
  <c r="P1540" i="1"/>
  <c r="F114" i="10"/>
  <c r="L1584" i="1"/>
  <c r="P1572" i="1"/>
  <c r="AN113" i="10"/>
  <c r="P1514" i="1"/>
  <c r="D114" i="10" s="1"/>
  <c r="P1534" i="1"/>
  <c r="E114" i="10"/>
  <c r="AQ112" i="10"/>
  <c r="AP112" i="10"/>
  <c r="H118" i="12" l="1"/>
  <c r="I119" i="12"/>
  <c r="M119" i="12"/>
  <c r="T118" i="12"/>
  <c r="S118" i="12"/>
  <c r="R118" i="12" s="1"/>
  <c r="J116" i="12"/>
  <c r="K117" i="12"/>
  <c r="L117" i="12"/>
  <c r="E111" i="12"/>
  <c r="F112" i="12" s="1"/>
  <c r="I1567" i="1"/>
  <c r="P1549" i="1"/>
  <c r="P1550" i="1" s="1"/>
  <c r="X116" i="10"/>
  <c r="Y116" i="10" s="1"/>
  <c r="P1573" i="1"/>
  <c r="P1569" i="1"/>
  <c r="P1570" i="1" s="1"/>
  <c r="M1601" i="1"/>
  <c r="P1592" i="1"/>
  <c r="P1593" i="1" s="1"/>
  <c r="L1601" i="1"/>
  <c r="P1589" i="1"/>
  <c r="P1557" i="1"/>
  <c r="F115" i="10"/>
  <c r="P1577" i="1"/>
  <c r="H116" i="10"/>
  <c r="N1601" i="1"/>
  <c r="P1595" i="1"/>
  <c r="P1596" i="1" s="1"/>
  <c r="G115" i="10"/>
  <c r="P1554" i="1"/>
  <c r="AN114" i="10"/>
  <c r="AQ113" i="10"/>
  <c r="AP113" i="10"/>
  <c r="E115" i="10"/>
  <c r="P1531" i="1"/>
  <c r="D115" i="10" s="1"/>
  <c r="P1551" i="1"/>
  <c r="I120" i="12" l="1"/>
  <c r="M120" i="12"/>
  <c r="D111" i="12"/>
  <c r="H120" i="12"/>
  <c r="H119" i="12"/>
  <c r="J117" i="12"/>
  <c r="L118" i="12"/>
  <c r="K118" i="12"/>
  <c r="T119" i="12"/>
  <c r="S119" i="12"/>
  <c r="R119" i="12" s="1"/>
  <c r="E112" i="12"/>
  <c r="F113" i="12" s="1"/>
  <c r="P1566" i="1"/>
  <c r="P1567" i="1" s="1"/>
  <c r="X117" i="10"/>
  <c r="Y117" i="10" s="1"/>
  <c r="I1584" i="1"/>
  <c r="P1571" i="1"/>
  <c r="G116" i="10"/>
  <c r="N1618" i="1"/>
  <c r="P1612" i="1"/>
  <c r="P1613" i="1" s="1"/>
  <c r="M1618" i="1"/>
  <c r="P1609" i="1"/>
  <c r="P1610" i="1" s="1"/>
  <c r="F116" i="10"/>
  <c r="P1574" i="1"/>
  <c r="L1618" i="1"/>
  <c r="P1606" i="1"/>
  <c r="H117" i="10"/>
  <c r="P1594" i="1"/>
  <c r="P1590" i="1"/>
  <c r="P1586" i="1"/>
  <c r="P1587" i="1" s="1"/>
  <c r="AN115" i="10"/>
  <c r="E116" i="10"/>
  <c r="P1548" i="1"/>
  <c r="D116" i="10" s="1"/>
  <c r="P1568" i="1"/>
  <c r="AQ114" i="10"/>
  <c r="AP114" i="10"/>
  <c r="J118" i="12" l="1"/>
  <c r="I121" i="12"/>
  <c r="M121" i="12"/>
  <c r="D112" i="12"/>
  <c r="T120" i="12"/>
  <c r="S120" i="12"/>
  <c r="L119" i="12"/>
  <c r="K119" i="12"/>
  <c r="E113" i="12"/>
  <c r="F114" i="12" s="1"/>
  <c r="X118" i="10"/>
  <c r="Y118" i="10" s="1"/>
  <c r="P1583" i="1"/>
  <c r="P1584" i="1" s="1"/>
  <c r="I1601" i="1"/>
  <c r="H118" i="10"/>
  <c r="P1611" i="1"/>
  <c r="N1635" i="1"/>
  <c r="P1629" i="1"/>
  <c r="P1630" i="1" s="1"/>
  <c r="P1607" i="1"/>
  <c r="P1603" i="1"/>
  <c r="P1604" i="1" s="1"/>
  <c r="L1635" i="1"/>
  <c r="P1623" i="1"/>
  <c r="P1591" i="1"/>
  <c r="F117" i="10"/>
  <c r="M1635" i="1"/>
  <c r="P1626" i="1"/>
  <c r="P1627" i="1" s="1"/>
  <c r="G117" i="10"/>
  <c r="P1588" i="1"/>
  <c r="P1565" i="1"/>
  <c r="D117" i="10" s="1"/>
  <c r="E117" i="10"/>
  <c r="P1585" i="1"/>
  <c r="AN116" i="10"/>
  <c r="AQ115" i="10"/>
  <c r="AP115" i="10"/>
  <c r="I122" i="12" l="1"/>
  <c r="M122" i="12"/>
  <c r="H121" i="12"/>
  <c r="H122" i="12"/>
  <c r="R120" i="12"/>
  <c r="J119" i="12"/>
  <c r="L120" i="12"/>
  <c r="K120" i="12"/>
  <c r="T121" i="12"/>
  <c r="S121" i="12"/>
  <c r="E114" i="12"/>
  <c r="F115" i="12" s="1"/>
  <c r="D113" i="12"/>
  <c r="P1600" i="1"/>
  <c r="P1601" i="1" s="1"/>
  <c r="X119" i="10"/>
  <c r="Y119" i="10" s="1"/>
  <c r="I1618" i="1"/>
  <c r="M1652" i="1"/>
  <c r="P1643" i="1"/>
  <c r="P1644" i="1" s="1"/>
  <c r="P1608" i="1"/>
  <c r="F118" i="10"/>
  <c r="P1624" i="1"/>
  <c r="P1620" i="1"/>
  <c r="P1621" i="1" s="1"/>
  <c r="P1640" i="1"/>
  <c r="L1652" i="1"/>
  <c r="N1652" i="1"/>
  <c r="P1646" i="1"/>
  <c r="P1647" i="1" s="1"/>
  <c r="P1605" i="1"/>
  <c r="G118" i="10"/>
  <c r="H119" i="10"/>
  <c r="P1628" i="1"/>
  <c r="P1602" i="1"/>
  <c r="P1582" i="1"/>
  <c r="D118" i="10" s="1"/>
  <c r="E118" i="10"/>
  <c r="AQ116" i="10"/>
  <c r="AP116" i="10"/>
  <c r="AN117" i="10"/>
  <c r="R121" i="12" l="1"/>
  <c r="J120" i="12"/>
  <c r="M123" i="12"/>
  <c r="I123" i="12"/>
  <c r="H123" i="12" s="1"/>
  <c r="D114" i="12"/>
  <c r="T122" i="12"/>
  <c r="S122" i="12"/>
  <c r="R122" i="12" s="1"/>
  <c r="L121" i="12"/>
  <c r="K121" i="12"/>
  <c r="E115" i="12"/>
  <c r="D115" i="12" s="1"/>
  <c r="P1617" i="1"/>
  <c r="P1618" i="1" s="1"/>
  <c r="X120" i="10"/>
  <c r="Y120" i="10" s="1"/>
  <c r="I1635" i="1"/>
  <c r="F119" i="10"/>
  <c r="P1625" i="1"/>
  <c r="P1645" i="1"/>
  <c r="H120" i="10"/>
  <c r="P1622" i="1"/>
  <c r="G119" i="10"/>
  <c r="N1669" i="1"/>
  <c r="P1663" i="1"/>
  <c r="P1664" i="1" s="1"/>
  <c r="P1657" i="1"/>
  <c r="L1669" i="1"/>
  <c r="P1637" i="1"/>
  <c r="P1638" i="1" s="1"/>
  <c r="P1641" i="1"/>
  <c r="M1669" i="1"/>
  <c r="P1660" i="1"/>
  <c r="P1661" i="1" s="1"/>
  <c r="AQ117" i="10"/>
  <c r="AP117" i="10"/>
  <c r="AN118" i="10"/>
  <c r="E119" i="10"/>
  <c r="P1599" i="1"/>
  <c r="D119" i="10" s="1"/>
  <c r="P1619" i="1"/>
  <c r="F116" i="12" l="1"/>
  <c r="M124" i="12"/>
  <c r="I124" i="12"/>
  <c r="L122" i="12"/>
  <c r="K122" i="12"/>
  <c r="S123" i="12"/>
  <c r="T123" i="12"/>
  <c r="J121" i="12"/>
  <c r="E116" i="12"/>
  <c r="F117" i="12" s="1"/>
  <c r="D116" i="12"/>
  <c r="I1652" i="1"/>
  <c r="X121" i="10"/>
  <c r="Y121" i="10" s="1"/>
  <c r="P1634" i="1"/>
  <c r="P1635" i="1" s="1"/>
  <c r="P1658" i="1"/>
  <c r="P1654" i="1"/>
  <c r="P1655" i="1" s="1"/>
  <c r="M1686" i="1"/>
  <c r="P1677" i="1"/>
  <c r="P1678" i="1" s="1"/>
  <c r="H121" i="10"/>
  <c r="P1662" i="1"/>
  <c r="L1686" i="1"/>
  <c r="P1674" i="1"/>
  <c r="P1639" i="1"/>
  <c r="G120" i="10"/>
  <c r="P1642" i="1"/>
  <c r="F120" i="10"/>
  <c r="P1680" i="1"/>
  <c r="P1681" i="1" s="1"/>
  <c r="N1686" i="1"/>
  <c r="AN119" i="10"/>
  <c r="P1616" i="1"/>
  <c r="D120" i="10" s="1"/>
  <c r="E120" i="10"/>
  <c r="P1636" i="1"/>
  <c r="AQ118" i="10"/>
  <c r="AP118" i="10"/>
  <c r="J122" i="12" l="1"/>
  <c r="H124" i="12"/>
  <c r="M125" i="12"/>
  <c r="I125" i="12"/>
  <c r="H125" i="12" s="1"/>
  <c r="T124" i="12"/>
  <c r="S124" i="12"/>
  <c r="R123" i="12"/>
  <c r="L123" i="12"/>
  <c r="K123" i="12"/>
  <c r="E117" i="12"/>
  <c r="F118" i="12" s="1"/>
  <c r="I1669" i="1"/>
  <c r="P1651" i="1"/>
  <c r="P1652" i="1" s="1"/>
  <c r="X122" i="10"/>
  <c r="Y122" i="10" s="1"/>
  <c r="P1697" i="1"/>
  <c r="P1698" i="1" s="1"/>
  <c r="N1703" i="1"/>
  <c r="G121" i="10"/>
  <c r="P1656" i="1"/>
  <c r="P1671" i="1"/>
  <c r="P1672" i="1" s="1"/>
  <c r="P1675" i="1"/>
  <c r="H122" i="10"/>
  <c r="P1679" i="1"/>
  <c r="M1703" i="1"/>
  <c r="P1694" i="1"/>
  <c r="P1695" i="1" s="1"/>
  <c r="L1703" i="1"/>
  <c r="P1691" i="1"/>
  <c r="F121" i="10"/>
  <c r="P1659" i="1"/>
  <c r="P1633" i="1"/>
  <c r="D121" i="10" s="1"/>
  <c r="P1653" i="1"/>
  <c r="E121" i="10"/>
  <c r="AN120" i="10"/>
  <c r="AQ119" i="10"/>
  <c r="AP119" i="10"/>
  <c r="I126" i="12" l="1"/>
  <c r="M126" i="12"/>
  <c r="H126" i="12"/>
  <c r="J123" i="12"/>
  <c r="L124" i="12"/>
  <c r="K124" i="12"/>
  <c r="T125" i="12"/>
  <c r="S125" i="12"/>
  <c r="D117" i="12"/>
  <c r="R124" i="12"/>
  <c r="E118" i="12"/>
  <c r="D118" i="12" s="1"/>
  <c r="I1686" i="1"/>
  <c r="X123" i="10"/>
  <c r="Y123" i="10" s="1"/>
  <c r="P1668" i="1"/>
  <c r="P1669" i="1" s="1"/>
  <c r="P1676" i="1"/>
  <c r="F122" i="10"/>
  <c r="P1692" i="1"/>
  <c r="P1688" i="1"/>
  <c r="P1689" i="1" s="1"/>
  <c r="L1720" i="1"/>
  <c r="P1708" i="1"/>
  <c r="P1696" i="1"/>
  <c r="H123" i="10"/>
  <c r="G122" i="10"/>
  <c r="P1673" i="1"/>
  <c r="N1720" i="1"/>
  <c r="P1714" i="1"/>
  <c r="P1715" i="1" s="1"/>
  <c r="M1720" i="1"/>
  <c r="P1711" i="1"/>
  <c r="P1712" i="1" s="1"/>
  <c r="AQ120" i="10"/>
  <c r="AP120" i="10"/>
  <c r="P1650" i="1"/>
  <c r="D122" i="10" s="1"/>
  <c r="P1670" i="1"/>
  <c r="E122" i="10"/>
  <c r="AN121" i="10"/>
  <c r="J124" i="12" l="1"/>
  <c r="F119" i="12"/>
  <c r="I127" i="12"/>
  <c r="H127" i="12" s="1"/>
  <c r="M127" i="12"/>
  <c r="R125" i="12"/>
  <c r="T126" i="12"/>
  <c r="S126" i="12"/>
  <c r="L125" i="12"/>
  <c r="K125" i="12"/>
  <c r="E119" i="12"/>
  <c r="D119" i="12" s="1"/>
  <c r="I1703" i="1"/>
  <c r="P1685" i="1"/>
  <c r="P1686" i="1" s="1"/>
  <c r="X124" i="10"/>
  <c r="Y124" i="10" s="1"/>
  <c r="N1737" i="1"/>
  <c r="P1731" i="1"/>
  <c r="P1732" i="1" s="1"/>
  <c r="M1737" i="1"/>
  <c r="P1728" i="1"/>
  <c r="P1729" i="1" s="1"/>
  <c r="H124" i="10"/>
  <c r="P1713" i="1"/>
  <c r="G123" i="10"/>
  <c r="P1690" i="1"/>
  <c r="P1709" i="1"/>
  <c r="P1705" i="1"/>
  <c r="P1706" i="1" s="1"/>
  <c r="L1737" i="1"/>
  <c r="P1725" i="1"/>
  <c r="F123" i="10"/>
  <c r="P1693" i="1"/>
  <c r="AQ121" i="10"/>
  <c r="AP121" i="10"/>
  <c r="E123" i="10"/>
  <c r="P1667" i="1"/>
  <c r="D123" i="10" s="1"/>
  <c r="P1687" i="1"/>
  <c r="AN122" i="10"/>
  <c r="R126" i="12" l="1"/>
  <c r="F120" i="12"/>
  <c r="I128" i="12"/>
  <c r="H128" i="12" s="1"/>
  <c r="M128" i="12"/>
  <c r="L126" i="12"/>
  <c r="K126" i="12"/>
  <c r="J125" i="12"/>
  <c r="T127" i="12"/>
  <c r="S127" i="12"/>
  <c r="E120" i="12"/>
  <c r="F121" i="12" s="1"/>
  <c r="I1720" i="1"/>
  <c r="P1702" i="1"/>
  <c r="P1703" i="1" s="1"/>
  <c r="X125" i="10"/>
  <c r="Y125" i="10" s="1"/>
  <c r="P1710" i="1"/>
  <c r="F124" i="10"/>
  <c r="L1754" i="1"/>
  <c r="P1742" i="1"/>
  <c r="M1754" i="1"/>
  <c r="P1745" i="1"/>
  <c r="P1746" i="1" s="1"/>
  <c r="P1726" i="1"/>
  <c r="P1722" i="1"/>
  <c r="P1723" i="1" s="1"/>
  <c r="G124" i="10"/>
  <c r="P1707" i="1"/>
  <c r="P1730" i="1"/>
  <c r="H125" i="10"/>
  <c r="N1754" i="1"/>
  <c r="P1748" i="1"/>
  <c r="P1749" i="1" s="1"/>
  <c r="AQ122" i="10"/>
  <c r="AP122" i="10"/>
  <c r="AN123" i="10"/>
  <c r="E124" i="10"/>
  <c r="P1684" i="1"/>
  <c r="D124" i="10" s="1"/>
  <c r="P1704" i="1"/>
  <c r="D120" i="12" l="1"/>
  <c r="I129" i="12"/>
  <c r="H129" i="12" s="1"/>
  <c r="M129" i="12"/>
  <c r="T128" i="12"/>
  <c r="S128" i="12"/>
  <c r="R127" i="12"/>
  <c r="J126" i="12"/>
  <c r="L127" i="12"/>
  <c r="K127" i="12"/>
  <c r="E121" i="12"/>
  <c r="F122" i="12" s="1"/>
  <c r="X126" i="10"/>
  <c r="Y126" i="10" s="1"/>
  <c r="P1719" i="1"/>
  <c r="P1720" i="1" s="1"/>
  <c r="I1737" i="1"/>
  <c r="P1724" i="1"/>
  <c r="G125" i="10"/>
  <c r="N1771" i="1"/>
  <c r="P1765" i="1"/>
  <c r="P1766" i="1" s="1"/>
  <c r="H126" i="10"/>
  <c r="P1747" i="1"/>
  <c r="L1771" i="1"/>
  <c r="P1759" i="1"/>
  <c r="M1771" i="1"/>
  <c r="P1762" i="1"/>
  <c r="P1763" i="1" s="1"/>
  <c r="P1743" i="1"/>
  <c r="P1739" i="1"/>
  <c r="P1740" i="1" s="1"/>
  <c r="P1727" i="1"/>
  <c r="F125" i="10"/>
  <c r="P1701" i="1"/>
  <c r="D125" i="10" s="1"/>
  <c r="E125" i="10"/>
  <c r="P1721" i="1"/>
  <c r="AP123" i="10"/>
  <c r="AQ123" i="10"/>
  <c r="AN124" i="10"/>
  <c r="J127" i="12" l="1"/>
  <c r="I130" i="12"/>
  <c r="M130" i="12"/>
  <c r="R128" i="12"/>
  <c r="L128" i="12"/>
  <c r="K128" i="12"/>
  <c r="T129" i="12"/>
  <c r="S129" i="12"/>
  <c r="E122" i="12"/>
  <c r="D122" i="12" s="1"/>
  <c r="D121" i="12"/>
  <c r="P1736" i="1"/>
  <c r="P1737" i="1" s="1"/>
  <c r="X127" i="10"/>
  <c r="Y127" i="10" s="1"/>
  <c r="I1754" i="1"/>
  <c r="F126" i="10"/>
  <c r="P1744" i="1"/>
  <c r="M1788" i="1"/>
  <c r="P1779" i="1"/>
  <c r="P1780" i="1" s="1"/>
  <c r="P1760" i="1"/>
  <c r="P1756" i="1"/>
  <c r="P1757" i="1" s="1"/>
  <c r="H127" i="10"/>
  <c r="P1764" i="1"/>
  <c r="N1788" i="1"/>
  <c r="P1782" i="1"/>
  <c r="P1783" i="1" s="1"/>
  <c r="L1788" i="1"/>
  <c r="P1776" i="1"/>
  <c r="P1741" i="1"/>
  <c r="G126" i="10"/>
  <c r="P1718" i="1"/>
  <c r="D126" i="10" s="1"/>
  <c r="P1738" i="1"/>
  <c r="E126" i="10"/>
  <c r="AP124" i="10"/>
  <c r="AQ124" i="10"/>
  <c r="AN125" i="10"/>
  <c r="F123" i="12" l="1"/>
  <c r="J128" i="12"/>
  <c r="R129" i="12"/>
  <c r="M131" i="12"/>
  <c r="I131" i="12"/>
  <c r="H130" i="12"/>
  <c r="H131" i="12"/>
  <c r="L129" i="12"/>
  <c r="K129" i="12"/>
  <c r="T130" i="12"/>
  <c r="S130" i="12"/>
  <c r="E123" i="12"/>
  <c r="F124" i="12" s="1"/>
  <c r="P1753" i="1"/>
  <c r="P1754" i="1" s="1"/>
  <c r="X128" i="10"/>
  <c r="Y128" i="10" s="1"/>
  <c r="I1771" i="1"/>
  <c r="P1758" i="1"/>
  <c r="G127" i="10"/>
  <c r="P1777" i="1"/>
  <c r="P1773" i="1"/>
  <c r="P1774" i="1" s="1"/>
  <c r="H128" i="10"/>
  <c r="P1781" i="1"/>
  <c r="P1793" i="1"/>
  <c r="L1805" i="1"/>
  <c r="M1805" i="1"/>
  <c r="P1796" i="1"/>
  <c r="P1797" i="1" s="1"/>
  <c r="P1761" i="1"/>
  <c r="F127" i="10"/>
  <c r="N1805" i="1"/>
  <c r="P1799" i="1"/>
  <c r="P1800" i="1" s="1"/>
  <c r="AQ125" i="10"/>
  <c r="AP125" i="10"/>
  <c r="E127" i="10"/>
  <c r="P1735" i="1"/>
  <c r="D127" i="10" s="1"/>
  <c r="P1755" i="1"/>
  <c r="AN126" i="10"/>
  <c r="J129" i="12" l="1"/>
  <c r="I132" i="12"/>
  <c r="H132" i="12" s="1"/>
  <c r="M132" i="12"/>
  <c r="T131" i="12"/>
  <c r="S131" i="12"/>
  <c r="R130" i="12"/>
  <c r="L130" i="12"/>
  <c r="K130" i="12"/>
  <c r="D123" i="12"/>
  <c r="E124" i="12"/>
  <c r="F125" i="12" s="1"/>
  <c r="P1770" i="1"/>
  <c r="P1771" i="1" s="1"/>
  <c r="I1788" i="1"/>
  <c r="X129" i="10"/>
  <c r="Y129" i="10" s="1"/>
  <c r="M1822" i="1"/>
  <c r="P1830" i="1" s="1"/>
  <c r="P1831" i="1" s="1"/>
  <c r="P1813" i="1"/>
  <c r="P1814" i="1" s="1"/>
  <c r="P1810" i="1"/>
  <c r="L1822" i="1"/>
  <c r="P1827" i="1" s="1"/>
  <c r="N1822" i="1"/>
  <c r="P1833" i="1" s="1"/>
  <c r="P1834" i="1" s="1"/>
  <c r="P1816" i="1"/>
  <c r="P1817" i="1" s="1"/>
  <c r="F128" i="10"/>
  <c r="P1778" i="1"/>
  <c r="P1794" i="1"/>
  <c r="P1790" i="1"/>
  <c r="P1791" i="1" s="1"/>
  <c r="P1798" i="1"/>
  <c r="H129" i="10"/>
  <c r="G128" i="10"/>
  <c r="P1775" i="1"/>
  <c r="AQ126" i="10"/>
  <c r="AP126" i="10"/>
  <c r="AN127" i="10"/>
  <c r="E128" i="10"/>
  <c r="P1752" i="1"/>
  <c r="D128" i="10" s="1"/>
  <c r="P1772" i="1"/>
  <c r="R131" i="12" l="1"/>
  <c r="J130" i="12"/>
  <c r="M133" i="12"/>
  <c r="I133" i="12"/>
  <c r="L131" i="12"/>
  <c r="K131" i="12"/>
  <c r="T132" i="12"/>
  <c r="S132" i="12"/>
  <c r="D124" i="12"/>
  <c r="E125" i="12"/>
  <c r="F126" i="12" s="1"/>
  <c r="X130" i="10"/>
  <c r="Y130" i="10" s="1"/>
  <c r="I1805" i="1"/>
  <c r="P1787" i="1"/>
  <c r="P1788" i="1" s="1"/>
  <c r="H130" i="10"/>
  <c r="P1815" i="1"/>
  <c r="P1792" i="1"/>
  <c r="G129" i="10"/>
  <c r="P1811" i="1"/>
  <c r="P1807" i="1"/>
  <c r="P1808" i="1" s="1"/>
  <c r="P1828" i="1"/>
  <c r="P1795" i="1"/>
  <c r="F129" i="10"/>
  <c r="P1769" i="1"/>
  <c r="D129" i="10" s="1"/>
  <c r="P1789" i="1"/>
  <c r="E129" i="10"/>
  <c r="AN128" i="10"/>
  <c r="AQ127" i="10"/>
  <c r="AP127" i="10"/>
  <c r="R132" i="12" l="1"/>
  <c r="J131" i="12"/>
  <c r="I134" i="12"/>
  <c r="M134" i="12"/>
  <c r="D125" i="12"/>
  <c r="H133" i="12"/>
  <c r="H134" i="12"/>
  <c r="T133" i="12"/>
  <c r="S133" i="12"/>
  <c r="L132" i="12"/>
  <c r="K132" i="12"/>
  <c r="E126" i="12"/>
  <c r="F127" i="12" s="1"/>
  <c r="X131" i="10"/>
  <c r="Y131" i="10" s="1"/>
  <c r="I1822" i="1"/>
  <c r="P1804" i="1"/>
  <c r="P1805" i="1" s="1"/>
  <c r="F130" i="10"/>
  <c r="P1812" i="1"/>
  <c r="G130" i="10"/>
  <c r="P1809" i="1"/>
  <c r="P1832" i="1"/>
  <c r="H132" i="10" s="1"/>
  <c r="H131" i="10"/>
  <c r="P1786" i="1"/>
  <c r="D130" i="10" s="1"/>
  <c r="P1806" i="1"/>
  <c r="E130" i="10"/>
  <c r="AQ128" i="10"/>
  <c r="AP128" i="10"/>
  <c r="AN129" i="10"/>
  <c r="J132" i="12" l="1"/>
  <c r="R133" i="12"/>
  <c r="M135" i="12"/>
  <c r="I135" i="12"/>
  <c r="H135" i="12" s="1"/>
  <c r="D126" i="12"/>
  <c r="T134" i="12"/>
  <c r="S134" i="12"/>
  <c r="L133" i="12"/>
  <c r="K133" i="12"/>
  <c r="E127" i="12"/>
  <c r="F128" i="12" s="1"/>
  <c r="X132" i="10"/>
  <c r="Y132" i="10" s="1"/>
  <c r="P1821" i="1"/>
  <c r="P1822" i="1" s="1"/>
  <c r="P1824" i="1"/>
  <c r="P1825" i="1" s="1"/>
  <c r="P1826" i="1"/>
  <c r="G132" i="10" s="1"/>
  <c r="G131" i="10"/>
  <c r="F131" i="10"/>
  <c r="P1829" i="1"/>
  <c r="F132" i="10" s="1"/>
  <c r="AQ129" i="10"/>
  <c r="AP129" i="10"/>
  <c r="E131" i="10"/>
  <c r="P1803" i="1"/>
  <c r="D131" i="10" s="1"/>
  <c r="P1823" i="1"/>
  <c r="AN130" i="10"/>
  <c r="R134" i="12" l="1"/>
  <c r="J133" i="12"/>
  <c r="D127" i="12"/>
  <c r="M136" i="12"/>
  <c r="I136" i="12"/>
  <c r="H136" i="12" s="1"/>
  <c r="L134" i="12"/>
  <c r="K134" i="12"/>
  <c r="T135" i="12"/>
  <c r="S135" i="12"/>
  <c r="E128" i="12"/>
  <c r="F129" i="12" s="1"/>
  <c r="AQ130" i="10"/>
  <c r="AP130" i="10"/>
  <c r="AN131" i="10"/>
  <c r="P1820" i="1"/>
  <c r="D132" i="10" s="1"/>
  <c r="E132" i="10"/>
  <c r="R135" i="12" l="1"/>
  <c r="J134" i="12"/>
  <c r="M137" i="12"/>
  <c r="I137" i="12"/>
  <c r="L135" i="12"/>
  <c r="K135" i="12"/>
  <c r="D128" i="12"/>
  <c r="T136" i="12"/>
  <c r="S136" i="12"/>
  <c r="E129" i="12"/>
  <c r="D129" i="12" s="1"/>
  <c r="AQ131" i="10"/>
  <c r="AP131" i="10"/>
  <c r="AN132" i="10"/>
  <c r="R136" i="12" l="1"/>
  <c r="J135" i="12"/>
  <c r="F130" i="12"/>
  <c r="E130" i="12" s="1"/>
  <c r="F131" i="12" s="1"/>
  <c r="I138" i="12"/>
  <c r="M138" i="12"/>
  <c r="H137" i="12"/>
  <c r="H138" i="12"/>
  <c r="T137" i="12"/>
  <c r="S137" i="12"/>
  <c r="L136" i="12"/>
  <c r="K136" i="12"/>
  <c r="AQ132" i="10"/>
  <c r="AP132" i="10"/>
  <c r="D130" i="12" l="1"/>
  <c r="M139" i="12"/>
  <c r="I139" i="12"/>
  <c r="H139" i="12"/>
  <c r="L137" i="12"/>
  <c r="K137" i="12"/>
  <c r="T138" i="12"/>
  <c r="S138" i="12"/>
  <c r="R138" i="12" s="1"/>
  <c r="J136" i="12"/>
  <c r="R137" i="12"/>
  <c r="E131" i="12"/>
  <c r="F132" i="12" s="1"/>
  <c r="D131" i="12" l="1"/>
  <c r="J137" i="12"/>
  <c r="I140" i="12"/>
  <c r="H140" i="12" s="1"/>
  <c r="M140" i="12"/>
  <c r="T139" i="12"/>
  <c r="S139" i="12"/>
  <c r="L138" i="12"/>
  <c r="K138" i="12"/>
  <c r="E132" i="12"/>
  <c r="D132" i="12" s="1"/>
  <c r="J138" i="12" l="1"/>
  <c r="R139" i="12"/>
  <c r="I141" i="12"/>
  <c r="H141" i="12" s="1"/>
  <c r="M141" i="12"/>
  <c r="F133" i="12"/>
  <c r="E133" i="12" s="1"/>
  <c r="D133" i="12" s="1"/>
  <c r="L139" i="12"/>
  <c r="K139" i="12"/>
  <c r="T140" i="12"/>
  <c r="S140" i="12"/>
  <c r="M142" i="12" l="1"/>
  <c r="I142" i="12"/>
  <c r="H142" i="12" s="1"/>
  <c r="F134" i="12"/>
  <c r="E134" i="12" s="1"/>
  <c r="F135" i="12" s="1"/>
  <c r="T141" i="12"/>
  <c r="S141" i="12"/>
  <c r="L140" i="12"/>
  <c r="K140" i="12"/>
  <c r="R140" i="12"/>
  <c r="J139" i="12"/>
  <c r="J140" i="12" l="1"/>
  <c r="M143" i="12"/>
  <c r="I143" i="12"/>
  <c r="H143" i="12" s="1"/>
  <c r="T142" i="12"/>
  <c r="S142" i="12"/>
  <c r="L141" i="12"/>
  <c r="K141" i="12"/>
  <c r="R141" i="12"/>
  <c r="D134" i="12"/>
  <c r="E135" i="12"/>
  <c r="F136" i="12" s="1"/>
  <c r="I144" i="12" l="1"/>
  <c r="M144" i="12"/>
  <c r="J141" i="12"/>
  <c r="R142" i="12"/>
  <c r="L142" i="12"/>
  <c r="K142" i="12"/>
  <c r="T143" i="12"/>
  <c r="S143" i="12"/>
  <c r="D135" i="12"/>
  <c r="E136" i="12"/>
  <c r="D136" i="12"/>
  <c r="F137" i="12"/>
  <c r="R143" i="12" l="1"/>
  <c r="M145" i="12"/>
  <c r="I145" i="12"/>
  <c r="H144" i="12"/>
  <c r="H145" i="12"/>
  <c r="J142" i="12"/>
  <c r="T144" i="12"/>
  <c r="S144" i="12"/>
  <c r="L143" i="12"/>
  <c r="K143" i="12"/>
  <c r="E137" i="12"/>
  <c r="F138" i="12" s="1"/>
  <c r="D137" i="12" l="1"/>
  <c r="L144" i="12"/>
  <c r="K144" i="12"/>
  <c r="J144" i="12" s="1"/>
  <c r="J143" i="12"/>
  <c r="T145" i="12"/>
  <c r="S145" i="12"/>
  <c r="R144" i="12"/>
  <c r="E138" i="12"/>
  <c r="F139" i="12" s="1"/>
  <c r="D138" i="12" l="1"/>
  <c r="R145" i="12"/>
  <c r="S17" i="12"/>
  <c r="L145" i="12"/>
  <c r="K145" i="12"/>
  <c r="E139" i="12"/>
  <c r="F140" i="12" s="1"/>
  <c r="D139" i="12"/>
  <c r="T17" i="12" l="1"/>
  <c r="R17" i="12"/>
  <c r="J145" i="12"/>
  <c r="K17" i="12"/>
  <c r="E140" i="12"/>
  <c r="F141" i="12" s="1"/>
  <c r="L17" i="12" l="1"/>
  <c r="J17" i="12"/>
  <c r="E141" i="12"/>
  <c r="F142" i="12" s="1"/>
  <c r="D141" i="12"/>
  <c r="D140" i="12"/>
  <c r="E142" i="12" l="1"/>
  <c r="D142" i="12" s="1"/>
  <c r="F143" i="12" l="1"/>
  <c r="E143" i="12" s="1"/>
  <c r="D143" i="12" s="1"/>
  <c r="F144" i="12" l="1"/>
  <c r="E144" i="12" l="1"/>
  <c r="F145" i="12" s="1"/>
  <c r="D144" i="12"/>
  <c r="E145" i="12" l="1"/>
  <c r="E17" i="12" s="1"/>
  <c r="D145" i="12" l="1"/>
  <c r="D17" i="12"/>
  <c r="AA3" i="22"/>
  <c r="Y3" i="22" l="1"/>
  <c r="W3" i="22" s="1"/>
  <c r="W8" i="12"/>
  <c r="B26"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Cole</author>
  </authors>
  <commentList>
    <comment ref="AD158" authorId="0" shapeId="0" xr:uid="{43ABED11-57CA-C247-B4BC-0C9D8A827BA1}">
      <text>
        <r>
          <rPr>
            <b/>
            <sz val="10"/>
            <color rgb="FF000000"/>
            <rFont val="Tahoma"/>
            <family val="2"/>
          </rPr>
          <t>Microsoft Office User:</t>
        </r>
        <r>
          <rPr>
            <sz val="10"/>
            <color rgb="FF000000"/>
            <rFont val="Tahoma"/>
            <family val="2"/>
          </rPr>
          <t xml:space="preserve">
</t>
        </r>
        <r>
          <rPr>
            <sz val="10"/>
            <color rgb="FF000000"/>
            <rFont val="Tahoma"/>
            <family val="2"/>
          </rPr>
          <t xml:space="preserve">Was $124 / withdrew $20 after selling $2.06 of BTC and gaining $2 
</t>
        </r>
        <r>
          <rPr>
            <sz val="10"/>
            <color rgb="FF000000"/>
            <rFont val="Tahoma"/>
            <family val="2"/>
          </rPr>
          <t xml:space="preserve">
</t>
        </r>
        <r>
          <rPr>
            <sz val="10"/>
            <color rgb="FF000000"/>
            <rFont val="Tahoma"/>
            <family val="2"/>
          </rPr>
          <t xml:space="preserve">Was $104 / bought $4.20 of BTC and gained $4.07 
</t>
        </r>
        <r>
          <rPr>
            <sz val="10"/>
            <color rgb="FF000000"/>
            <rFont val="Tahoma"/>
            <family val="2"/>
          </rPr>
          <t xml:space="preserve">
</t>
        </r>
        <r>
          <rPr>
            <sz val="10"/>
            <color rgb="FF000000"/>
            <rFont val="Tahoma"/>
            <family val="2"/>
          </rPr>
          <t>Was $99.80 / bought $4.12 of BTC and gained $4</t>
        </r>
      </text>
    </comment>
    <comment ref="AD169" authorId="0" shapeId="0" xr:uid="{961A3D41-78AB-4516-A481-BD51568FE4D9}">
      <text/>
    </comment>
    <comment ref="I413" authorId="1" shapeId="0" xr:uid="{BD73C103-9744-4F1F-BDA5-686BB31963D8}">
      <text>
        <r>
          <rPr>
            <b/>
            <sz val="9"/>
            <color indexed="81"/>
            <rFont val="Tahoma"/>
            <family val="2"/>
          </rPr>
          <t>Cole:</t>
        </r>
        <r>
          <rPr>
            <sz val="9"/>
            <color indexed="81"/>
            <rFont val="Tahoma"/>
            <family val="2"/>
          </rPr>
          <t xml:space="preserve">
Apple gift card ($24.01)
</t>
        </r>
      </text>
    </comment>
    <comment ref="I430" authorId="1" shapeId="0" xr:uid="{488A28A4-13BF-4AEF-90C0-F4EE8F45DA65}">
      <text>
        <r>
          <rPr>
            <b/>
            <sz val="9"/>
            <color indexed="81"/>
            <rFont val="Tahoma"/>
            <family val="2"/>
          </rPr>
          <t>Cole:</t>
        </r>
        <r>
          <rPr>
            <sz val="9"/>
            <color indexed="81"/>
            <rFont val="Tahoma"/>
            <family val="2"/>
          </rPr>
          <t xml:space="preserve">
Apple gift card ($24.01)
</t>
        </r>
      </text>
    </comment>
    <comment ref="F809" authorId="1" shapeId="0" xr:uid="{05140C63-BC74-4EAA-B889-D4655F5DACC0}">
      <text>
        <r>
          <rPr>
            <b/>
            <sz val="9"/>
            <color indexed="81"/>
            <rFont val="Tahoma"/>
            <family val="2"/>
          </rPr>
          <t>Cole:</t>
        </r>
        <r>
          <rPr>
            <sz val="9"/>
            <color indexed="81"/>
            <rFont val="Tahoma"/>
            <family val="2"/>
          </rPr>
          <t xml:space="preserve">
Due Dec 10
</t>
        </r>
      </text>
    </comment>
    <comment ref="F822" authorId="1" shapeId="0" xr:uid="{6FB79FA2-7F06-4ED9-AED7-1AB2828E29B4}">
      <text>
        <r>
          <rPr>
            <b/>
            <sz val="9"/>
            <color indexed="81"/>
            <rFont val="Tahoma"/>
            <family val="2"/>
          </rPr>
          <t>Cole:</t>
        </r>
        <r>
          <rPr>
            <sz val="9"/>
            <color indexed="81"/>
            <rFont val="Tahoma"/>
            <family val="2"/>
          </rPr>
          <t xml:space="preserve">
Due the 7th
</t>
        </r>
      </text>
    </comment>
    <comment ref="F824" authorId="1" shapeId="0" xr:uid="{633F2B6F-237A-41CA-B203-BBFA32BB7B58}">
      <text>
        <r>
          <rPr>
            <b/>
            <sz val="9"/>
            <color indexed="81"/>
            <rFont val="Tahoma"/>
            <family val="2"/>
          </rPr>
          <t>Cole:</t>
        </r>
        <r>
          <rPr>
            <sz val="9"/>
            <color indexed="81"/>
            <rFont val="Tahoma"/>
            <family val="2"/>
          </rPr>
          <t xml:space="preserve">
Due Jan 26
</t>
        </r>
      </text>
    </comment>
    <comment ref="F825" authorId="1" shapeId="0" xr:uid="{A257507F-3AFA-4CA5-9DC6-8C055E5F6B74}">
      <text>
        <r>
          <rPr>
            <b/>
            <sz val="9"/>
            <color indexed="81"/>
            <rFont val="Tahoma"/>
            <family val="2"/>
          </rPr>
          <t>Cole:</t>
        </r>
        <r>
          <rPr>
            <sz val="9"/>
            <color indexed="81"/>
            <rFont val="Tahoma"/>
            <family val="2"/>
          </rPr>
          <t xml:space="preserve">
Due Dec 10
</t>
        </r>
      </text>
    </comment>
    <comment ref="F826" authorId="1" shapeId="0" xr:uid="{F24395F5-3938-4355-952C-39C5C70D1BF9}">
      <text>
        <r>
          <rPr>
            <b/>
            <sz val="9"/>
            <color indexed="81"/>
            <rFont val="Tahoma"/>
            <family val="2"/>
          </rPr>
          <t>Cole:</t>
        </r>
        <r>
          <rPr>
            <sz val="9"/>
            <color indexed="81"/>
            <rFont val="Tahoma"/>
            <family val="2"/>
          </rPr>
          <t xml:space="preserve">
Due Dec 10
</t>
        </r>
      </text>
    </comment>
    <comment ref="F827" authorId="1" shapeId="0" xr:uid="{25F296DE-DE8B-413B-96CB-5F90747F2CAA}">
      <text>
        <r>
          <rPr>
            <b/>
            <sz val="9"/>
            <color indexed="81"/>
            <rFont val="Tahoma"/>
            <family val="2"/>
          </rPr>
          <t>Cole:</t>
        </r>
        <r>
          <rPr>
            <sz val="9"/>
            <color indexed="81"/>
            <rFont val="Tahoma"/>
            <family val="2"/>
          </rPr>
          <t xml:space="preserve">
Due Dec 10
</t>
        </r>
      </text>
    </comment>
    <comment ref="F843" authorId="1" shapeId="0" xr:uid="{AD76EA5B-0203-4E3E-9E90-FFD64CE52BB9}">
      <text>
        <r>
          <rPr>
            <b/>
            <sz val="9"/>
            <color indexed="81"/>
            <rFont val="Tahoma"/>
            <family val="2"/>
          </rPr>
          <t>Cole:</t>
        </r>
        <r>
          <rPr>
            <sz val="9"/>
            <color indexed="81"/>
            <rFont val="Tahoma"/>
            <family val="2"/>
          </rPr>
          <t xml:space="preserve">
Due Dec 10
</t>
        </r>
      </text>
    </comment>
    <comment ref="F860" authorId="1" shapeId="0" xr:uid="{EE7A37B5-EF7E-4113-95BA-5B54ECFA1FA6}">
      <text>
        <r>
          <rPr>
            <b/>
            <sz val="9"/>
            <color indexed="81"/>
            <rFont val="Tahoma"/>
            <family val="2"/>
          </rPr>
          <t>Cole:</t>
        </r>
        <r>
          <rPr>
            <sz val="9"/>
            <color indexed="81"/>
            <rFont val="Tahoma"/>
            <family val="2"/>
          </rPr>
          <t xml:space="preserve">
Due Dec 10
</t>
        </r>
      </text>
    </comment>
    <comment ref="F877" authorId="1" shapeId="0" xr:uid="{FF920EE9-AD33-409D-ACAF-4A1A07E00616}">
      <text>
        <r>
          <rPr>
            <b/>
            <sz val="9"/>
            <color indexed="81"/>
            <rFont val="Tahoma"/>
            <family val="2"/>
          </rPr>
          <t>Cole:</t>
        </r>
        <r>
          <rPr>
            <sz val="9"/>
            <color indexed="81"/>
            <rFont val="Tahoma"/>
            <family val="2"/>
          </rPr>
          <t xml:space="preserve">
Due Dec 10
</t>
        </r>
      </text>
    </comment>
    <comment ref="F894" authorId="1" shapeId="0" xr:uid="{8B5F0006-AE3F-4037-8F8C-AAB3817C3E7E}">
      <text>
        <r>
          <rPr>
            <b/>
            <sz val="9"/>
            <color indexed="81"/>
            <rFont val="Tahoma"/>
            <family val="2"/>
          </rPr>
          <t>Cole:</t>
        </r>
        <r>
          <rPr>
            <sz val="9"/>
            <color indexed="81"/>
            <rFont val="Tahoma"/>
            <family val="2"/>
          </rPr>
          <t xml:space="preserve">
Due Dec 10
</t>
        </r>
      </text>
    </comment>
    <comment ref="F911" authorId="1" shapeId="0" xr:uid="{F325DE0E-203F-4D07-9ECA-C4C54CAC02E8}">
      <text>
        <r>
          <rPr>
            <b/>
            <sz val="9"/>
            <color indexed="81"/>
            <rFont val="Tahoma"/>
            <family val="2"/>
          </rPr>
          <t>Cole:</t>
        </r>
        <r>
          <rPr>
            <sz val="9"/>
            <color indexed="81"/>
            <rFont val="Tahoma"/>
            <family val="2"/>
          </rPr>
          <t xml:space="preserve">
Due Dec 10
</t>
        </r>
      </text>
    </comment>
    <comment ref="F928" authorId="1" shapeId="0" xr:uid="{2F1AA4A6-4825-433A-95D8-FDB4658F9280}">
      <text>
        <r>
          <rPr>
            <b/>
            <sz val="9"/>
            <color indexed="81"/>
            <rFont val="Tahoma"/>
            <family val="2"/>
          </rPr>
          <t>Cole:</t>
        </r>
        <r>
          <rPr>
            <sz val="9"/>
            <color indexed="81"/>
            <rFont val="Tahoma"/>
            <family val="2"/>
          </rPr>
          <t xml:space="preserve">
Due Dec 10
</t>
        </r>
      </text>
    </comment>
    <comment ref="F945" authorId="1" shapeId="0" xr:uid="{D4D39BA6-0293-44D9-8EB5-2B5B288302D8}">
      <text>
        <r>
          <rPr>
            <b/>
            <sz val="9"/>
            <color indexed="81"/>
            <rFont val="Tahoma"/>
            <family val="2"/>
          </rPr>
          <t>Cole:</t>
        </r>
        <r>
          <rPr>
            <sz val="9"/>
            <color indexed="81"/>
            <rFont val="Tahoma"/>
            <family val="2"/>
          </rPr>
          <t xml:space="preserve">
Due Dec 10
</t>
        </r>
      </text>
    </comment>
    <comment ref="F962" authorId="1" shapeId="0" xr:uid="{3FB1AB2B-2DDF-4D8E-AD18-47C3D908B229}">
      <text>
        <r>
          <rPr>
            <b/>
            <sz val="9"/>
            <color indexed="81"/>
            <rFont val="Tahoma"/>
            <family val="2"/>
          </rPr>
          <t>Cole:</t>
        </r>
        <r>
          <rPr>
            <sz val="9"/>
            <color indexed="81"/>
            <rFont val="Tahoma"/>
            <family val="2"/>
          </rPr>
          <t xml:space="preserve">
Due Dec 10
</t>
        </r>
      </text>
    </comment>
    <comment ref="F979" authorId="1" shapeId="0" xr:uid="{216DCA7A-9812-4CD0-9954-2F2492407DFB}">
      <text>
        <r>
          <rPr>
            <b/>
            <sz val="9"/>
            <color indexed="81"/>
            <rFont val="Tahoma"/>
            <family val="2"/>
          </rPr>
          <t>Cole:</t>
        </r>
        <r>
          <rPr>
            <sz val="9"/>
            <color indexed="81"/>
            <rFont val="Tahoma"/>
            <family val="2"/>
          </rPr>
          <t xml:space="preserve">
Due Dec 10
</t>
        </r>
      </text>
    </comment>
    <comment ref="F996" authorId="1" shapeId="0" xr:uid="{EEB70D52-4F46-457D-8D97-97D17761BEC0}">
      <text>
        <r>
          <rPr>
            <b/>
            <sz val="9"/>
            <color indexed="81"/>
            <rFont val="Tahoma"/>
            <family val="2"/>
          </rPr>
          <t>Cole:</t>
        </r>
        <r>
          <rPr>
            <sz val="9"/>
            <color indexed="81"/>
            <rFont val="Tahoma"/>
            <family val="2"/>
          </rPr>
          <t xml:space="preserve">
Due Dec 10
</t>
        </r>
      </text>
    </comment>
    <comment ref="F1013" authorId="1" shapeId="0" xr:uid="{846606ED-0F5D-481F-8F99-FC93639CA40B}">
      <text>
        <r>
          <rPr>
            <b/>
            <sz val="9"/>
            <color indexed="81"/>
            <rFont val="Tahoma"/>
            <family val="2"/>
          </rPr>
          <t>Cole:</t>
        </r>
        <r>
          <rPr>
            <sz val="9"/>
            <color indexed="81"/>
            <rFont val="Tahoma"/>
            <family val="2"/>
          </rPr>
          <t xml:space="preserve">
Due Dec 10
</t>
        </r>
      </text>
    </comment>
    <comment ref="F1030" authorId="1" shapeId="0" xr:uid="{1F8796A2-6E41-4A29-B400-BB5E9CCECCA8}">
      <text>
        <r>
          <rPr>
            <b/>
            <sz val="9"/>
            <color indexed="81"/>
            <rFont val="Tahoma"/>
            <family val="2"/>
          </rPr>
          <t>Cole:</t>
        </r>
        <r>
          <rPr>
            <sz val="9"/>
            <color indexed="81"/>
            <rFont val="Tahoma"/>
            <family val="2"/>
          </rPr>
          <t xml:space="preserve">
Due Dec 10
</t>
        </r>
      </text>
    </comment>
    <comment ref="F1047" authorId="1" shapeId="0" xr:uid="{4A856A50-5E8F-47D9-9038-6C0505530408}">
      <text>
        <r>
          <rPr>
            <b/>
            <sz val="9"/>
            <color indexed="81"/>
            <rFont val="Tahoma"/>
            <family val="2"/>
          </rPr>
          <t>Cole:</t>
        </r>
        <r>
          <rPr>
            <sz val="9"/>
            <color indexed="81"/>
            <rFont val="Tahoma"/>
            <family val="2"/>
          </rPr>
          <t xml:space="preserve">
Due Dec 10
</t>
        </r>
      </text>
    </comment>
    <comment ref="F1064" authorId="1" shapeId="0" xr:uid="{E615DC3A-1A43-4D73-B14D-1B5B85397196}">
      <text>
        <r>
          <rPr>
            <b/>
            <sz val="9"/>
            <color indexed="81"/>
            <rFont val="Tahoma"/>
            <family val="2"/>
          </rPr>
          <t>Cole:</t>
        </r>
        <r>
          <rPr>
            <sz val="9"/>
            <color indexed="81"/>
            <rFont val="Tahoma"/>
            <family val="2"/>
          </rPr>
          <t xml:space="preserve">
Due Dec 10
</t>
        </r>
      </text>
    </comment>
    <comment ref="F1081" authorId="1" shapeId="0" xr:uid="{B6CB221B-9A62-4DB4-8E04-4EBFC99E7180}">
      <text>
        <r>
          <rPr>
            <b/>
            <sz val="9"/>
            <color indexed="81"/>
            <rFont val="Tahoma"/>
            <family val="2"/>
          </rPr>
          <t>Cole:</t>
        </r>
        <r>
          <rPr>
            <sz val="9"/>
            <color indexed="81"/>
            <rFont val="Tahoma"/>
            <family val="2"/>
          </rPr>
          <t xml:space="preserve">
Due Dec 10
</t>
        </r>
      </text>
    </comment>
    <comment ref="F1098" authorId="1" shapeId="0" xr:uid="{6232E0B5-7859-4A33-8734-82A0538B22A3}">
      <text>
        <r>
          <rPr>
            <b/>
            <sz val="9"/>
            <color indexed="81"/>
            <rFont val="Tahoma"/>
            <family val="2"/>
          </rPr>
          <t>Cole:</t>
        </r>
        <r>
          <rPr>
            <sz val="9"/>
            <color indexed="81"/>
            <rFont val="Tahoma"/>
            <family val="2"/>
          </rPr>
          <t xml:space="preserve">
Due Dec 10
</t>
        </r>
      </text>
    </comment>
    <comment ref="F1115" authorId="1" shapeId="0" xr:uid="{1C09D0A0-17B2-4E1E-9126-768D6F740296}">
      <text>
        <r>
          <rPr>
            <b/>
            <sz val="9"/>
            <color indexed="81"/>
            <rFont val="Tahoma"/>
            <family val="2"/>
          </rPr>
          <t>Cole:</t>
        </r>
        <r>
          <rPr>
            <sz val="9"/>
            <color indexed="81"/>
            <rFont val="Tahoma"/>
            <family val="2"/>
          </rPr>
          <t xml:space="preserve">
Due Dec 10
</t>
        </r>
      </text>
    </comment>
    <comment ref="F1132" authorId="1" shapeId="0" xr:uid="{A44BFCD3-5D60-4B70-B5B4-C526661EC700}">
      <text>
        <r>
          <rPr>
            <b/>
            <sz val="9"/>
            <color indexed="81"/>
            <rFont val="Tahoma"/>
            <family val="2"/>
          </rPr>
          <t>Cole:</t>
        </r>
        <r>
          <rPr>
            <sz val="9"/>
            <color indexed="81"/>
            <rFont val="Tahoma"/>
            <family val="2"/>
          </rPr>
          <t xml:space="preserve">
Due Dec 10
</t>
        </r>
      </text>
    </comment>
    <comment ref="F1149" authorId="1" shapeId="0" xr:uid="{C1D20E9C-5553-4545-A9DF-A4B01382898E}">
      <text>
        <r>
          <rPr>
            <b/>
            <sz val="9"/>
            <color indexed="81"/>
            <rFont val="Tahoma"/>
            <family val="2"/>
          </rPr>
          <t>Cole:</t>
        </r>
        <r>
          <rPr>
            <sz val="9"/>
            <color indexed="81"/>
            <rFont val="Tahoma"/>
            <family val="2"/>
          </rPr>
          <t xml:space="preserve">
Due Dec 10
</t>
        </r>
      </text>
    </comment>
    <comment ref="F1166" authorId="1" shapeId="0" xr:uid="{98AC6DF5-2121-4F4A-A05E-3012F91F85B6}">
      <text>
        <r>
          <rPr>
            <b/>
            <sz val="9"/>
            <color indexed="81"/>
            <rFont val="Tahoma"/>
            <family val="2"/>
          </rPr>
          <t>Cole:</t>
        </r>
        <r>
          <rPr>
            <sz val="9"/>
            <color indexed="81"/>
            <rFont val="Tahoma"/>
            <family val="2"/>
          </rPr>
          <t xml:space="preserve">
Due Dec 10
</t>
        </r>
      </text>
    </comment>
    <comment ref="F1183" authorId="1" shapeId="0" xr:uid="{F380E54C-4982-49FC-8E6E-4EA8ACCD296F}">
      <text>
        <r>
          <rPr>
            <b/>
            <sz val="9"/>
            <color indexed="81"/>
            <rFont val="Tahoma"/>
            <family val="2"/>
          </rPr>
          <t>Cole:</t>
        </r>
        <r>
          <rPr>
            <sz val="9"/>
            <color indexed="81"/>
            <rFont val="Tahoma"/>
            <family val="2"/>
          </rPr>
          <t xml:space="preserve">
Due Dec 10
</t>
        </r>
      </text>
    </comment>
    <comment ref="F1200" authorId="1" shapeId="0" xr:uid="{9C58561D-F66A-4BEA-9172-272A2123EA13}">
      <text>
        <r>
          <rPr>
            <b/>
            <sz val="9"/>
            <color indexed="81"/>
            <rFont val="Tahoma"/>
            <family val="2"/>
          </rPr>
          <t>Cole:</t>
        </r>
        <r>
          <rPr>
            <sz val="9"/>
            <color indexed="81"/>
            <rFont val="Tahoma"/>
            <family val="2"/>
          </rPr>
          <t xml:space="preserve">
Due Dec 10
</t>
        </r>
      </text>
    </comment>
    <comment ref="F1217" authorId="1" shapeId="0" xr:uid="{A01C1A9F-3CD4-468B-B9C3-8C7BDCB1BBE9}">
      <text>
        <r>
          <rPr>
            <b/>
            <sz val="9"/>
            <color indexed="81"/>
            <rFont val="Tahoma"/>
            <family val="2"/>
          </rPr>
          <t>Cole:</t>
        </r>
        <r>
          <rPr>
            <sz val="9"/>
            <color indexed="81"/>
            <rFont val="Tahoma"/>
            <family val="2"/>
          </rPr>
          <t xml:space="preserve">
Due Dec 10
</t>
        </r>
      </text>
    </comment>
    <comment ref="F1234" authorId="1" shapeId="0" xr:uid="{47E2BE9F-A484-4F9A-83BF-4E95BD25F3F3}">
      <text>
        <r>
          <rPr>
            <b/>
            <sz val="9"/>
            <color indexed="81"/>
            <rFont val="Tahoma"/>
            <family val="2"/>
          </rPr>
          <t>Cole:</t>
        </r>
        <r>
          <rPr>
            <sz val="9"/>
            <color indexed="81"/>
            <rFont val="Tahoma"/>
            <family val="2"/>
          </rPr>
          <t xml:space="preserve">
Due Dec 10
</t>
        </r>
      </text>
    </comment>
    <comment ref="F1251" authorId="1" shapeId="0" xr:uid="{33583291-048E-47A5-B11C-012599C19AA3}">
      <text>
        <r>
          <rPr>
            <b/>
            <sz val="9"/>
            <color indexed="81"/>
            <rFont val="Tahoma"/>
            <family val="2"/>
          </rPr>
          <t>Cole:</t>
        </r>
        <r>
          <rPr>
            <sz val="9"/>
            <color indexed="81"/>
            <rFont val="Tahoma"/>
            <family val="2"/>
          </rPr>
          <t xml:space="preserve">
Due Dec 10
</t>
        </r>
      </text>
    </comment>
    <comment ref="F1268" authorId="1" shapeId="0" xr:uid="{B04A2B7C-5935-4043-8714-88CED6C7B4F2}">
      <text>
        <r>
          <rPr>
            <b/>
            <sz val="9"/>
            <color indexed="81"/>
            <rFont val="Tahoma"/>
            <family val="2"/>
          </rPr>
          <t>Cole:</t>
        </r>
        <r>
          <rPr>
            <sz val="9"/>
            <color indexed="81"/>
            <rFont val="Tahoma"/>
            <family val="2"/>
          </rPr>
          <t xml:space="preserve">
Due Dec 10
</t>
        </r>
      </text>
    </comment>
    <comment ref="F1285" authorId="1" shapeId="0" xr:uid="{BDD7E5C4-85A5-4BD1-997C-CC886C6C409C}">
      <text>
        <r>
          <rPr>
            <b/>
            <sz val="9"/>
            <color indexed="81"/>
            <rFont val="Tahoma"/>
            <family val="2"/>
          </rPr>
          <t>Cole:</t>
        </r>
        <r>
          <rPr>
            <sz val="9"/>
            <color indexed="81"/>
            <rFont val="Tahoma"/>
            <family val="2"/>
          </rPr>
          <t xml:space="preserve">
Due Dec 10
</t>
        </r>
      </text>
    </comment>
    <comment ref="F1302" authorId="1" shapeId="0" xr:uid="{91E0A2A0-EDA1-4542-952E-AD100404F344}">
      <text>
        <r>
          <rPr>
            <b/>
            <sz val="9"/>
            <color indexed="81"/>
            <rFont val="Tahoma"/>
            <family val="2"/>
          </rPr>
          <t>Cole:</t>
        </r>
        <r>
          <rPr>
            <sz val="9"/>
            <color indexed="81"/>
            <rFont val="Tahoma"/>
            <family val="2"/>
          </rPr>
          <t xml:space="preserve">
Due Dec 10
</t>
        </r>
      </text>
    </comment>
    <comment ref="F1319" authorId="1" shapeId="0" xr:uid="{31199790-A521-4E29-8AFE-93A97CB3E94F}">
      <text>
        <r>
          <rPr>
            <b/>
            <sz val="9"/>
            <color indexed="81"/>
            <rFont val="Tahoma"/>
            <family val="2"/>
          </rPr>
          <t>Cole:</t>
        </r>
        <r>
          <rPr>
            <sz val="9"/>
            <color indexed="81"/>
            <rFont val="Tahoma"/>
            <family val="2"/>
          </rPr>
          <t xml:space="preserve">
Due Dec 10
</t>
        </r>
      </text>
    </comment>
    <comment ref="F1336" authorId="1" shapeId="0" xr:uid="{256B424E-772A-410D-90E6-F0A2E9D024A2}">
      <text>
        <r>
          <rPr>
            <b/>
            <sz val="9"/>
            <color indexed="81"/>
            <rFont val="Tahoma"/>
            <family val="2"/>
          </rPr>
          <t>Cole:</t>
        </r>
        <r>
          <rPr>
            <sz val="9"/>
            <color indexed="81"/>
            <rFont val="Tahoma"/>
            <family val="2"/>
          </rPr>
          <t xml:space="preserve">
Due Dec 10
</t>
        </r>
      </text>
    </comment>
    <comment ref="F1353" authorId="1" shapeId="0" xr:uid="{824A59A4-7E86-4ED1-ABC3-2FECD124ED8D}">
      <text>
        <r>
          <rPr>
            <b/>
            <sz val="9"/>
            <color indexed="81"/>
            <rFont val="Tahoma"/>
            <family val="2"/>
          </rPr>
          <t>Cole:</t>
        </r>
        <r>
          <rPr>
            <sz val="9"/>
            <color indexed="81"/>
            <rFont val="Tahoma"/>
            <family val="2"/>
          </rPr>
          <t xml:space="preserve">
Due Dec 10
</t>
        </r>
      </text>
    </comment>
    <comment ref="F1370" authorId="1" shapeId="0" xr:uid="{FD9141F9-63F9-48D3-A035-47ED4DCEE515}">
      <text>
        <r>
          <rPr>
            <b/>
            <sz val="9"/>
            <color indexed="81"/>
            <rFont val="Tahoma"/>
            <family val="2"/>
          </rPr>
          <t>Cole:</t>
        </r>
        <r>
          <rPr>
            <sz val="9"/>
            <color indexed="81"/>
            <rFont val="Tahoma"/>
            <family val="2"/>
          </rPr>
          <t xml:space="preserve">
Due Dec 10
</t>
        </r>
      </text>
    </comment>
    <comment ref="F1387" authorId="1" shapeId="0" xr:uid="{CCB06D8E-734D-4726-9078-F64828DD60A6}">
      <text>
        <r>
          <rPr>
            <b/>
            <sz val="9"/>
            <color indexed="81"/>
            <rFont val="Tahoma"/>
            <family val="2"/>
          </rPr>
          <t>Cole:</t>
        </r>
        <r>
          <rPr>
            <sz val="9"/>
            <color indexed="81"/>
            <rFont val="Tahoma"/>
            <family val="2"/>
          </rPr>
          <t xml:space="preserve">
Due Dec 10
</t>
        </r>
      </text>
    </comment>
    <comment ref="F1404" authorId="1" shapeId="0" xr:uid="{46E1338D-9253-4060-A625-0E5072EA94F7}">
      <text>
        <r>
          <rPr>
            <b/>
            <sz val="9"/>
            <color indexed="81"/>
            <rFont val="Tahoma"/>
            <family val="2"/>
          </rPr>
          <t>Cole:</t>
        </r>
        <r>
          <rPr>
            <sz val="9"/>
            <color indexed="81"/>
            <rFont val="Tahoma"/>
            <family val="2"/>
          </rPr>
          <t xml:space="preserve">
Due Dec 10
</t>
        </r>
      </text>
    </comment>
    <comment ref="F1421" authorId="1" shapeId="0" xr:uid="{275817F5-B123-43B5-9864-D2AEAF3E4E5E}">
      <text>
        <r>
          <rPr>
            <b/>
            <sz val="9"/>
            <color indexed="81"/>
            <rFont val="Tahoma"/>
            <family val="2"/>
          </rPr>
          <t>Cole:</t>
        </r>
        <r>
          <rPr>
            <sz val="9"/>
            <color indexed="81"/>
            <rFont val="Tahoma"/>
            <family val="2"/>
          </rPr>
          <t xml:space="preserve">
Due Dec 10
</t>
        </r>
      </text>
    </comment>
    <comment ref="F1438" authorId="1" shapeId="0" xr:uid="{C21C224A-954C-4754-90D5-C0E1EAF70268}">
      <text>
        <r>
          <rPr>
            <b/>
            <sz val="9"/>
            <color indexed="81"/>
            <rFont val="Tahoma"/>
            <family val="2"/>
          </rPr>
          <t>Cole:</t>
        </r>
        <r>
          <rPr>
            <sz val="9"/>
            <color indexed="81"/>
            <rFont val="Tahoma"/>
            <family val="2"/>
          </rPr>
          <t xml:space="preserve">
Due Dec 10
</t>
        </r>
      </text>
    </comment>
    <comment ref="F1455" authorId="1" shapeId="0" xr:uid="{DDB58254-B332-491D-ADAE-9976262D95E3}">
      <text>
        <r>
          <rPr>
            <b/>
            <sz val="9"/>
            <color indexed="81"/>
            <rFont val="Tahoma"/>
            <family val="2"/>
          </rPr>
          <t>Cole:</t>
        </r>
        <r>
          <rPr>
            <sz val="9"/>
            <color indexed="81"/>
            <rFont val="Tahoma"/>
            <family val="2"/>
          </rPr>
          <t xml:space="preserve">
Due Dec 10
</t>
        </r>
      </text>
    </comment>
    <comment ref="F1472" authorId="1" shapeId="0" xr:uid="{6CB07448-D250-41D5-9DBC-030696164FE9}">
      <text>
        <r>
          <rPr>
            <b/>
            <sz val="9"/>
            <color indexed="81"/>
            <rFont val="Tahoma"/>
            <family val="2"/>
          </rPr>
          <t>Cole:</t>
        </r>
        <r>
          <rPr>
            <sz val="9"/>
            <color indexed="81"/>
            <rFont val="Tahoma"/>
            <family val="2"/>
          </rPr>
          <t xml:space="preserve">
Due Dec 10
</t>
        </r>
      </text>
    </comment>
    <comment ref="F1489" authorId="1" shapeId="0" xr:uid="{E374B204-04A3-490E-A150-AD49B06388E2}">
      <text>
        <r>
          <rPr>
            <b/>
            <sz val="9"/>
            <color indexed="81"/>
            <rFont val="Tahoma"/>
            <family val="2"/>
          </rPr>
          <t>Cole:</t>
        </r>
        <r>
          <rPr>
            <sz val="9"/>
            <color indexed="81"/>
            <rFont val="Tahoma"/>
            <family val="2"/>
          </rPr>
          <t xml:space="preserve">
Due Dec 10
</t>
        </r>
      </text>
    </comment>
    <comment ref="F1506" authorId="1" shapeId="0" xr:uid="{1249A459-CD51-44F7-80D5-DF820C2A24D9}">
      <text>
        <r>
          <rPr>
            <b/>
            <sz val="9"/>
            <color indexed="81"/>
            <rFont val="Tahoma"/>
            <family val="2"/>
          </rPr>
          <t>Cole:</t>
        </r>
        <r>
          <rPr>
            <sz val="9"/>
            <color indexed="81"/>
            <rFont val="Tahoma"/>
            <family val="2"/>
          </rPr>
          <t xml:space="preserve">
Due Dec 10
</t>
        </r>
      </text>
    </comment>
    <comment ref="F1523" authorId="1" shapeId="0" xr:uid="{9ECF84FF-1A6C-4F3C-91B7-4E5E863B7FE2}">
      <text>
        <r>
          <rPr>
            <b/>
            <sz val="9"/>
            <color indexed="81"/>
            <rFont val="Tahoma"/>
            <family val="2"/>
          </rPr>
          <t>Cole:</t>
        </r>
        <r>
          <rPr>
            <sz val="9"/>
            <color indexed="81"/>
            <rFont val="Tahoma"/>
            <family val="2"/>
          </rPr>
          <t xml:space="preserve">
Due Dec 10
</t>
        </r>
      </text>
    </comment>
    <comment ref="F1540" authorId="1" shapeId="0" xr:uid="{AA91EDEC-589B-45E6-9A16-3AA786FBF3A4}">
      <text>
        <r>
          <rPr>
            <b/>
            <sz val="9"/>
            <color indexed="81"/>
            <rFont val="Tahoma"/>
            <family val="2"/>
          </rPr>
          <t>Cole:</t>
        </r>
        <r>
          <rPr>
            <sz val="9"/>
            <color indexed="81"/>
            <rFont val="Tahoma"/>
            <family val="2"/>
          </rPr>
          <t xml:space="preserve">
Due Dec 10
</t>
        </r>
      </text>
    </comment>
    <comment ref="F1557" authorId="1" shapeId="0" xr:uid="{4A5B44BA-6394-4ED4-A7C0-C030DF6AA113}">
      <text>
        <r>
          <rPr>
            <b/>
            <sz val="9"/>
            <color indexed="81"/>
            <rFont val="Tahoma"/>
            <family val="2"/>
          </rPr>
          <t>Cole:</t>
        </r>
        <r>
          <rPr>
            <sz val="9"/>
            <color indexed="81"/>
            <rFont val="Tahoma"/>
            <family val="2"/>
          </rPr>
          <t xml:space="preserve">
Due Dec 10
</t>
        </r>
      </text>
    </comment>
    <comment ref="F1574" authorId="1" shapeId="0" xr:uid="{BFB03E90-291B-4665-A8DD-41FD44ABDC05}">
      <text>
        <r>
          <rPr>
            <b/>
            <sz val="9"/>
            <color indexed="81"/>
            <rFont val="Tahoma"/>
            <family val="2"/>
          </rPr>
          <t>Cole:</t>
        </r>
        <r>
          <rPr>
            <sz val="9"/>
            <color indexed="81"/>
            <rFont val="Tahoma"/>
            <family val="2"/>
          </rPr>
          <t xml:space="preserve">
Due Dec 10
</t>
        </r>
      </text>
    </comment>
    <comment ref="F1591" authorId="1" shapeId="0" xr:uid="{93BA2B9B-AB80-402B-9075-F6ABE74351A0}">
      <text>
        <r>
          <rPr>
            <b/>
            <sz val="9"/>
            <color indexed="81"/>
            <rFont val="Tahoma"/>
            <family val="2"/>
          </rPr>
          <t>Cole:</t>
        </r>
        <r>
          <rPr>
            <sz val="9"/>
            <color indexed="81"/>
            <rFont val="Tahoma"/>
            <family val="2"/>
          </rPr>
          <t xml:space="preserve">
Due Dec 10
</t>
        </r>
      </text>
    </comment>
    <comment ref="F1608" authorId="1" shapeId="0" xr:uid="{0FB92425-B061-4254-97DB-A89A0B691062}">
      <text>
        <r>
          <rPr>
            <b/>
            <sz val="9"/>
            <color indexed="81"/>
            <rFont val="Tahoma"/>
            <family val="2"/>
          </rPr>
          <t>Cole:</t>
        </r>
        <r>
          <rPr>
            <sz val="9"/>
            <color indexed="81"/>
            <rFont val="Tahoma"/>
            <family val="2"/>
          </rPr>
          <t xml:space="preserve">
Due Dec 10
</t>
        </r>
      </text>
    </comment>
    <comment ref="F1625" authorId="1" shapeId="0" xr:uid="{B7457F83-B16C-4AB5-8803-DFD403421107}">
      <text>
        <r>
          <rPr>
            <b/>
            <sz val="9"/>
            <color indexed="81"/>
            <rFont val="Tahoma"/>
            <family val="2"/>
          </rPr>
          <t>Cole:</t>
        </r>
        <r>
          <rPr>
            <sz val="9"/>
            <color indexed="81"/>
            <rFont val="Tahoma"/>
            <family val="2"/>
          </rPr>
          <t xml:space="preserve">
Due Dec 10
</t>
        </r>
      </text>
    </comment>
    <comment ref="F1642" authorId="1" shapeId="0" xr:uid="{EA017441-A194-4D9A-95D3-0E1CE9F59FEB}">
      <text>
        <r>
          <rPr>
            <b/>
            <sz val="9"/>
            <color indexed="81"/>
            <rFont val="Tahoma"/>
            <family val="2"/>
          </rPr>
          <t>Cole:</t>
        </r>
        <r>
          <rPr>
            <sz val="9"/>
            <color indexed="81"/>
            <rFont val="Tahoma"/>
            <family val="2"/>
          </rPr>
          <t xml:space="preserve">
Due Dec 10
</t>
        </r>
      </text>
    </comment>
    <comment ref="F1659" authorId="1" shapeId="0" xr:uid="{7DDAC485-B6B7-4A16-885E-A97545391BF1}">
      <text>
        <r>
          <rPr>
            <b/>
            <sz val="9"/>
            <color indexed="81"/>
            <rFont val="Tahoma"/>
            <family val="2"/>
          </rPr>
          <t>Cole:</t>
        </r>
        <r>
          <rPr>
            <sz val="9"/>
            <color indexed="81"/>
            <rFont val="Tahoma"/>
            <family val="2"/>
          </rPr>
          <t xml:space="preserve">
Due Dec 10
</t>
        </r>
      </text>
    </comment>
    <comment ref="F1676" authorId="1" shapeId="0" xr:uid="{7C1EF429-A60B-4435-B835-1FE5DCFCC614}">
      <text>
        <r>
          <rPr>
            <b/>
            <sz val="9"/>
            <color indexed="81"/>
            <rFont val="Tahoma"/>
            <family val="2"/>
          </rPr>
          <t>Cole:</t>
        </r>
        <r>
          <rPr>
            <sz val="9"/>
            <color indexed="81"/>
            <rFont val="Tahoma"/>
            <family val="2"/>
          </rPr>
          <t xml:space="preserve">
Due Dec 10
</t>
        </r>
      </text>
    </comment>
    <comment ref="F1693" authorId="1" shapeId="0" xr:uid="{B17126A0-64F8-4DBF-B849-1AA49EF2E0AF}">
      <text>
        <r>
          <rPr>
            <b/>
            <sz val="9"/>
            <color indexed="81"/>
            <rFont val="Tahoma"/>
            <family val="2"/>
          </rPr>
          <t>Cole:</t>
        </r>
        <r>
          <rPr>
            <sz val="9"/>
            <color indexed="81"/>
            <rFont val="Tahoma"/>
            <family val="2"/>
          </rPr>
          <t xml:space="preserve">
Due Dec 10
</t>
        </r>
      </text>
    </comment>
    <comment ref="F1710" authorId="1" shapeId="0" xr:uid="{2480DF17-7C1D-4BA9-9BCC-2C34A14F37F9}">
      <text>
        <r>
          <rPr>
            <b/>
            <sz val="9"/>
            <color indexed="81"/>
            <rFont val="Tahoma"/>
            <family val="2"/>
          </rPr>
          <t>Cole:</t>
        </r>
        <r>
          <rPr>
            <sz val="9"/>
            <color indexed="81"/>
            <rFont val="Tahoma"/>
            <family val="2"/>
          </rPr>
          <t xml:space="preserve">
Due Dec 10
</t>
        </r>
      </text>
    </comment>
    <comment ref="F1727" authorId="1" shapeId="0" xr:uid="{B23D821C-FBA5-47EA-AE86-C42B0A91261B}">
      <text>
        <r>
          <rPr>
            <b/>
            <sz val="9"/>
            <color indexed="81"/>
            <rFont val="Tahoma"/>
            <family val="2"/>
          </rPr>
          <t>Cole:</t>
        </r>
        <r>
          <rPr>
            <sz val="9"/>
            <color indexed="81"/>
            <rFont val="Tahoma"/>
            <family val="2"/>
          </rPr>
          <t xml:space="preserve">
Due Dec 10
</t>
        </r>
      </text>
    </comment>
    <comment ref="F1744" authorId="1" shapeId="0" xr:uid="{91088CAE-D548-445D-B0B1-6F14A0AE4CEF}">
      <text>
        <r>
          <rPr>
            <b/>
            <sz val="9"/>
            <color indexed="81"/>
            <rFont val="Tahoma"/>
            <family val="2"/>
          </rPr>
          <t>Cole:</t>
        </r>
        <r>
          <rPr>
            <sz val="9"/>
            <color indexed="81"/>
            <rFont val="Tahoma"/>
            <family val="2"/>
          </rPr>
          <t xml:space="preserve">
Due Dec 10
</t>
        </r>
      </text>
    </comment>
    <comment ref="F1761" authorId="1" shapeId="0" xr:uid="{64C97892-C603-4283-9F42-3A7E1AFAE0DE}">
      <text>
        <r>
          <rPr>
            <b/>
            <sz val="9"/>
            <color indexed="81"/>
            <rFont val="Tahoma"/>
            <family val="2"/>
          </rPr>
          <t>Cole:</t>
        </r>
        <r>
          <rPr>
            <sz val="9"/>
            <color indexed="81"/>
            <rFont val="Tahoma"/>
            <family val="2"/>
          </rPr>
          <t xml:space="preserve">
Due Dec 10
</t>
        </r>
      </text>
    </comment>
    <comment ref="F1778" authorId="1" shapeId="0" xr:uid="{C9229B89-D7FB-4F6D-A500-5B7430072D7A}">
      <text>
        <r>
          <rPr>
            <b/>
            <sz val="9"/>
            <color indexed="81"/>
            <rFont val="Tahoma"/>
            <family val="2"/>
          </rPr>
          <t>Cole:</t>
        </r>
        <r>
          <rPr>
            <sz val="9"/>
            <color indexed="81"/>
            <rFont val="Tahoma"/>
            <family val="2"/>
          </rPr>
          <t xml:space="preserve">
Due Dec 10
</t>
        </r>
      </text>
    </comment>
    <comment ref="F1795" authorId="1" shapeId="0" xr:uid="{DF3AA317-A4E2-4CFF-B75E-50AA35903030}">
      <text>
        <r>
          <rPr>
            <b/>
            <sz val="9"/>
            <color indexed="81"/>
            <rFont val="Tahoma"/>
            <family val="2"/>
          </rPr>
          <t>Cole:</t>
        </r>
        <r>
          <rPr>
            <sz val="9"/>
            <color indexed="81"/>
            <rFont val="Tahoma"/>
            <family val="2"/>
          </rPr>
          <t xml:space="preserve">
Due Dec 10
</t>
        </r>
      </text>
    </comment>
    <comment ref="F1812" authorId="1" shapeId="0" xr:uid="{9DDCD584-65F1-42FF-9DFA-DBA3D582EC34}">
      <text>
        <r>
          <rPr>
            <b/>
            <sz val="9"/>
            <color indexed="81"/>
            <rFont val="Tahoma"/>
            <family val="2"/>
          </rPr>
          <t>Cole:</t>
        </r>
        <r>
          <rPr>
            <sz val="9"/>
            <color indexed="81"/>
            <rFont val="Tahoma"/>
            <family val="2"/>
          </rPr>
          <t xml:space="preserve">
Due Dec 10
</t>
        </r>
      </text>
    </comment>
    <comment ref="F1829" authorId="1" shapeId="0" xr:uid="{58BCCE00-A033-475D-BF68-E8F61F2B7A71}">
      <text>
        <r>
          <rPr>
            <b/>
            <sz val="9"/>
            <color indexed="81"/>
            <rFont val="Tahoma"/>
            <family val="2"/>
          </rPr>
          <t>Cole:</t>
        </r>
        <r>
          <rPr>
            <sz val="9"/>
            <color indexed="81"/>
            <rFont val="Tahoma"/>
            <family val="2"/>
          </rPr>
          <t xml:space="preserve">
Due Dec 10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AR3" authorId="0" shapeId="0" xr:uid="{0D5EBF20-1C8C-448A-BBC9-AF21FE60B769}">
      <text>
        <r>
          <rPr>
            <b/>
            <sz val="9"/>
            <color indexed="81"/>
            <rFont val="Tahoma"/>
            <family val="2"/>
          </rPr>
          <t>Cole:</t>
        </r>
        <r>
          <rPr>
            <sz val="9"/>
            <color indexed="81"/>
            <rFont val="Tahoma"/>
            <family val="2"/>
          </rPr>
          <t xml:space="preserve">
Deviation from Actual.
A measure of how different the model was from reality.
(Magnitude of difference).</t>
        </r>
      </text>
    </comment>
    <comment ref="AG4" authorId="0" shapeId="0" xr:uid="{FC31D7EA-E101-4FC2-BE46-15C4960F65E5}">
      <text>
        <r>
          <rPr>
            <b/>
            <sz val="9"/>
            <color indexed="81"/>
            <rFont val="Tahoma"/>
            <family val="2"/>
          </rPr>
          <t>Cole:</t>
        </r>
        <r>
          <rPr>
            <sz val="9"/>
            <color indexed="81"/>
            <rFont val="Tahoma"/>
            <family val="2"/>
          </rPr>
          <t xml:space="preserve">
Income - Modeled Spending</t>
        </r>
      </text>
    </comment>
    <comment ref="AH4" authorId="0" shapeId="0" xr:uid="{8B9BBD7E-E4C3-417A-B410-7F48448851F6}">
      <text>
        <r>
          <rPr>
            <b/>
            <sz val="9"/>
            <color indexed="81"/>
            <rFont val="Tahoma"/>
            <family val="2"/>
          </rPr>
          <t>Cole:</t>
        </r>
        <r>
          <rPr>
            <sz val="9"/>
            <color indexed="81"/>
            <rFont val="Tahoma"/>
            <family val="2"/>
          </rPr>
          <t xml:space="preserve">
This Months Modeled Total - Last Months Modeled Total</t>
        </r>
      </text>
    </comment>
    <comment ref="AI4" authorId="0" shapeId="0" xr:uid="{BBE22BEA-C207-4877-92FF-E265177CE39B}">
      <text>
        <r>
          <rPr>
            <b/>
            <sz val="9"/>
            <color indexed="81"/>
            <rFont val="Tahoma"/>
            <family val="2"/>
          </rPr>
          <t>Cole:</t>
        </r>
        <r>
          <rPr>
            <sz val="9"/>
            <color indexed="81"/>
            <rFont val="Tahoma"/>
            <family val="2"/>
          </rPr>
          <t xml:space="preserve">
Income - Actual Spending</t>
        </r>
      </text>
    </comment>
    <comment ref="AJ4" authorId="0" shapeId="0" xr:uid="{521B184F-9D6F-463B-819D-E6040FBDF30E}">
      <text>
        <r>
          <rPr>
            <b/>
            <sz val="9"/>
            <color indexed="81"/>
            <rFont val="Tahoma"/>
            <family val="2"/>
          </rPr>
          <t>Cole:</t>
        </r>
        <r>
          <rPr>
            <sz val="9"/>
            <color indexed="81"/>
            <rFont val="Tahoma"/>
            <family val="2"/>
          </rPr>
          <t xml:space="preserve">
This Months Actual Total - Last Months Actual Total</t>
        </r>
      </text>
    </comment>
    <comment ref="AM4" authorId="0" shapeId="0" xr:uid="{993EEAF3-77A4-4390-B5D1-DC936444C605}">
      <text>
        <r>
          <rPr>
            <b/>
            <sz val="9"/>
            <color indexed="81"/>
            <rFont val="Tahoma"/>
            <family val="2"/>
          </rPr>
          <t>Cole:</t>
        </r>
        <r>
          <rPr>
            <sz val="9"/>
            <color indexed="81"/>
            <rFont val="Tahoma"/>
            <family val="2"/>
          </rPr>
          <t xml:space="preserve">
Income - Modeled Spending</t>
        </r>
      </text>
    </comment>
    <comment ref="AN4" authorId="0" shapeId="0" xr:uid="{27B0AD69-B7D8-4CEA-A2D3-AEA6106AB0EB}">
      <text>
        <r>
          <rPr>
            <b/>
            <sz val="9"/>
            <color indexed="81"/>
            <rFont val="Tahoma"/>
            <family val="2"/>
          </rPr>
          <t>Cole:</t>
        </r>
        <r>
          <rPr>
            <sz val="9"/>
            <color indexed="81"/>
            <rFont val="Tahoma"/>
            <family val="2"/>
          </rPr>
          <t xml:space="preserve">
This Months Modeled Total - Last Months Modeled Total</t>
        </r>
      </text>
    </comment>
    <comment ref="AR4" authorId="0" shapeId="0" xr:uid="{5ADF6C71-5158-4AE9-9228-5EB595A1CFB8}">
      <text>
        <r>
          <rPr>
            <b/>
            <sz val="9"/>
            <color indexed="81"/>
            <rFont val="Tahoma"/>
            <family val="2"/>
          </rPr>
          <t>Cole:</t>
        </r>
        <r>
          <rPr>
            <sz val="9"/>
            <color indexed="81"/>
            <rFont val="Tahoma"/>
            <family val="2"/>
          </rPr>
          <t xml:space="preserve">
This Months Modeled Total - This Months Actual Total</t>
        </r>
      </text>
    </comment>
    <comment ref="AS4" authorId="0" shapeId="0" xr:uid="{927C643A-CD2E-416C-9C3A-31655EB69404}">
      <text>
        <r>
          <rPr>
            <b/>
            <sz val="9"/>
            <color indexed="81"/>
            <rFont val="Tahoma"/>
            <family val="2"/>
          </rPr>
          <t>Cole:</t>
        </r>
        <r>
          <rPr>
            <sz val="9"/>
            <color indexed="81"/>
            <rFont val="Tahoma"/>
            <family val="2"/>
          </rPr>
          <t xml:space="preserve">
How different are the differences of the model from differences in reality?</t>
        </r>
      </text>
    </comment>
    <comment ref="AT4" authorId="0" shapeId="0" xr:uid="{577BB59D-808D-441F-8779-C6BB96AF0458}">
      <text>
        <r>
          <rPr>
            <b/>
            <sz val="9"/>
            <color indexed="81"/>
            <rFont val="Tahoma"/>
            <family val="2"/>
          </rPr>
          <t>Cole:</t>
        </r>
        <r>
          <rPr>
            <sz val="9"/>
            <color indexed="81"/>
            <rFont val="Tahoma"/>
            <family val="2"/>
          </rPr>
          <t xml:space="preserve">
How different are the differences of the model from differences in reality?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J25" authorId="0" shapeId="0" xr:uid="{595FB1BA-4E0D-4744-8605-560D004F5FB9}">
      <text>
        <r>
          <rPr>
            <b/>
            <sz val="9"/>
            <color indexed="81"/>
            <rFont val="Tahoma"/>
            <family val="2"/>
          </rPr>
          <t>Cole:</t>
        </r>
        <r>
          <rPr>
            <sz val="9"/>
            <color indexed="81"/>
            <rFont val="Tahoma"/>
            <family val="2"/>
          </rPr>
          <t xml:space="preserve">
Due Oct 23rd
</t>
        </r>
      </text>
    </comment>
    <comment ref="F26" authorId="0" shapeId="0" xr:uid="{C709453B-4D42-42BB-9BF0-278FF9B1DD3D}">
      <text>
        <r>
          <rPr>
            <b/>
            <sz val="9"/>
            <color indexed="81"/>
            <rFont val="Tahoma"/>
            <family val="2"/>
          </rPr>
          <t>Cole:</t>
        </r>
        <r>
          <rPr>
            <sz val="9"/>
            <color indexed="81"/>
            <rFont val="Tahoma"/>
            <family val="2"/>
          </rPr>
          <t xml:space="preserve">
Due Nov 10
</t>
        </r>
      </text>
    </comment>
    <comment ref="H26" authorId="0" shapeId="0" xr:uid="{D08C4F91-6A8D-4E62-AD01-E1296AE22F7C}">
      <text>
        <r>
          <rPr>
            <b/>
            <sz val="9"/>
            <color indexed="81"/>
            <rFont val="Tahoma"/>
            <family val="2"/>
          </rPr>
          <t>Cole:</t>
        </r>
        <r>
          <rPr>
            <sz val="9"/>
            <color indexed="81"/>
            <rFont val="Tahoma"/>
            <family val="2"/>
          </rPr>
          <t xml:space="preserve">
Due Nov 6
</t>
        </r>
      </text>
    </comment>
    <comment ref="D27" authorId="0" shapeId="0" xr:uid="{72D12FC6-0FB2-43B3-93DD-4A9C993D58A5}">
      <text>
        <r>
          <rPr>
            <b/>
            <sz val="9"/>
            <color indexed="81"/>
            <rFont val="Tahoma"/>
            <family val="2"/>
          </rPr>
          <t>Cole:</t>
        </r>
        <r>
          <rPr>
            <sz val="9"/>
            <color indexed="81"/>
            <rFont val="Tahoma"/>
            <family val="2"/>
          </rPr>
          <t xml:space="preserve">
Due 12/19
</t>
        </r>
      </text>
    </comment>
    <comment ref="F27" authorId="0" shapeId="0" xr:uid="{3F645E78-1886-444D-8CAB-815B0B8A1675}">
      <text>
        <r>
          <rPr>
            <b/>
            <sz val="9"/>
            <color indexed="81"/>
            <rFont val="Tahoma"/>
            <family val="2"/>
          </rPr>
          <t>Cole:</t>
        </r>
        <r>
          <rPr>
            <sz val="9"/>
            <color indexed="81"/>
            <rFont val="Tahoma"/>
            <family val="2"/>
          </rPr>
          <t xml:space="preserve">
Due Dec 31</t>
        </r>
      </text>
    </comment>
    <comment ref="H27" authorId="0" shapeId="0" xr:uid="{72E15561-CD0E-4F14-8080-1B893E02BBED}">
      <text>
        <r>
          <rPr>
            <b/>
            <sz val="9"/>
            <color indexed="81"/>
            <rFont val="Tahoma"/>
            <family val="2"/>
          </rPr>
          <t>Cole:</t>
        </r>
        <r>
          <rPr>
            <sz val="9"/>
            <color indexed="81"/>
            <rFont val="Tahoma"/>
            <family val="2"/>
          </rPr>
          <t xml:space="preserve">
Due Dec 10
</t>
        </r>
      </text>
    </comment>
    <comment ref="J27" authorId="0" shapeId="0" xr:uid="{F4E50394-05DE-4BDB-9126-B0C2ED510E0D}">
      <text>
        <r>
          <rPr>
            <b/>
            <sz val="9"/>
            <color indexed="81"/>
            <rFont val="Tahoma"/>
            <family val="2"/>
          </rPr>
          <t>Cole:</t>
        </r>
        <r>
          <rPr>
            <sz val="9"/>
            <color indexed="81"/>
            <rFont val="Tahoma"/>
            <family val="2"/>
          </rPr>
          <t xml:space="preserve">
Due Dec 23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G5" authorId="0" shapeId="0" xr:uid="{BC233143-951B-466C-A86D-34E388E881DB}">
      <text>
        <r>
          <rPr>
            <b/>
            <sz val="9"/>
            <color rgb="FF000000"/>
            <rFont val="Tahoma"/>
            <family val="2"/>
          </rPr>
          <t>Cole:</t>
        </r>
        <r>
          <rPr>
            <sz val="9"/>
            <color rgb="FF000000"/>
            <rFont val="Tahoma"/>
            <family val="2"/>
          </rPr>
          <t xml:space="preserve">
</t>
        </r>
        <r>
          <rPr>
            <sz val="9"/>
            <color rgb="FF000000"/>
            <rFont val="Tahoma"/>
            <family val="2"/>
          </rPr>
          <t>Profit if all assets are liquidated at Current Market Value (CMV)</t>
        </r>
      </text>
    </comment>
    <comment ref="C7" authorId="0" shapeId="0" xr:uid="{77822A13-5571-4423-AFA7-CB36CE14B0D8}">
      <text>
        <r>
          <rPr>
            <b/>
            <sz val="9"/>
            <color rgb="FF000000"/>
            <rFont val="Tahoma"/>
            <family val="2"/>
          </rPr>
          <t>Cole:</t>
        </r>
        <r>
          <rPr>
            <sz val="9"/>
            <color rgb="FF000000"/>
            <rFont val="Tahoma"/>
            <family val="2"/>
          </rPr>
          <t xml:space="preserve">
</t>
        </r>
        <r>
          <rPr>
            <sz val="9"/>
            <color rgb="FF000000"/>
            <rFont val="Tahoma"/>
            <family val="2"/>
          </rPr>
          <t xml:space="preserve">This quantity represents the difference in actual cost spent on bitcoin and actual value returned, which is the actual value extracted from (negative) or injected into (positive) the market and does not depend on the CMV.
</t>
        </r>
        <r>
          <rPr>
            <sz val="9"/>
            <color rgb="FF000000"/>
            <rFont val="Tahoma"/>
            <family val="2"/>
          </rPr>
          <t xml:space="preserve">
</t>
        </r>
        <r>
          <rPr>
            <sz val="9"/>
            <color rgb="FF000000"/>
            <rFont val="Tahoma"/>
            <family val="2"/>
          </rPr>
          <t xml:space="preserve">Once this value reaches zero, the investment has overcome both sets of fees (buying &amp; selling). 
</t>
        </r>
        <r>
          <rPr>
            <sz val="9"/>
            <color rgb="FF000000"/>
            <rFont val="Tahoma"/>
            <family val="2"/>
          </rPr>
          <t xml:space="preserve">
</t>
        </r>
        <r>
          <rPr>
            <sz val="9"/>
            <color rgb="FF000000"/>
            <rFont val="Tahoma"/>
            <family val="2"/>
          </rPr>
          <t xml:space="preserve">Once at zero, the Market Value can drop to zero and there will be no loss on Investment.
</t>
        </r>
        <r>
          <rPr>
            <sz val="9"/>
            <color rgb="FF000000"/>
            <rFont val="Tahoma"/>
            <family val="2"/>
          </rPr>
          <t xml:space="preserve">
</t>
        </r>
        <r>
          <rPr>
            <sz val="9"/>
            <color rgb="FF000000"/>
            <rFont val="Tahoma"/>
            <family val="2"/>
          </rPr>
          <t>Note: Balance can be zero or negative, while maintaining a quantity of BTC.</t>
        </r>
      </text>
    </comment>
    <comment ref="E7" authorId="0" shapeId="0" xr:uid="{6D31B9C5-42EA-4364-8C65-609F10099897}">
      <text>
        <r>
          <rPr>
            <b/>
            <sz val="9"/>
            <color rgb="FF000000"/>
            <rFont val="Tahoma"/>
            <family val="2"/>
          </rPr>
          <t>Cole:</t>
        </r>
        <r>
          <rPr>
            <sz val="9"/>
            <color rgb="FF000000"/>
            <rFont val="Tahoma"/>
            <family val="2"/>
          </rPr>
          <t xml:space="preserve">
</t>
        </r>
        <r>
          <rPr>
            <sz val="9"/>
            <color rgb="FF000000"/>
            <rFont val="Tahoma"/>
            <family val="2"/>
          </rPr>
          <t xml:space="preserve">This quantity represents the difference in actual cost spent on bitcoin and actual value sold (as opposed to actual value returned).
</t>
        </r>
        <r>
          <rPr>
            <sz val="9"/>
            <color rgb="FF000000"/>
            <rFont val="Tahoma"/>
            <family val="2"/>
          </rPr>
          <t xml:space="preserve">
</t>
        </r>
        <r>
          <rPr>
            <sz val="9"/>
            <color rgb="FF000000"/>
            <rFont val="Tahoma"/>
            <family val="2"/>
          </rPr>
          <t xml:space="preserve">Once this value reaches zero, the investment has overcome the first set of fees (purchasing).
</t>
        </r>
        <r>
          <rPr>
            <sz val="9"/>
            <color rgb="FF000000"/>
            <rFont val="Tahoma"/>
            <family val="2"/>
          </rPr>
          <t xml:space="preserve">
</t>
        </r>
        <r>
          <rPr>
            <sz val="9"/>
            <color rgb="FF000000"/>
            <rFont val="Tahoma"/>
            <family val="2"/>
          </rPr>
          <t xml:space="preserve">If/as the Balance approaches zero, this value will approach the value of total Fees, though negated.
</t>
        </r>
        <r>
          <rPr>
            <sz val="9"/>
            <color rgb="FF000000"/>
            <rFont val="Tahoma"/>
            <family val="2"/>
          </rPr>
          <t xml:space="preserve">
</t>
        </r>
        <r>
          <rPr>
            <sz val="9"/>
            <color rgb="FF000000"/>
            <rFont val="Tahoma"/>
            <family val="2"/>
          </rPr>
          <t>If/as the Balance becomes negative, this value will become more negative than the negative Fees.</t>
        </r>
      </text>
    </comment>
    <comment ref="G12" authorId="0" shapeId="0" xr:uid="{71430FC4-3A64-41C5-BE5E-2E8DD8D12454}">
      <text>
        <r>
          <rPr>
            <b/>
            <sz val="9"/>
            <color rgb="FF000000"/>
            <rFont val="Tahoma"/>
            <family val="2"/>
          </rPr>
          <t>Cole:</t>
        </r>
        <r>
          <rPr>
            <sz val="9"/>
            <color rgb="FF000000"/>
            <rFont val="Tahoma"/>
            <family val="2"/>
          </rPr>
          <t xml:space="preserve">
</t>
        </r>
        <r>
          <rPr>
            <sz val="9"/>
            <color rgb="FF000000"/>
            <rFont val="Tahoma"/>
            <family val="2"/>
          </rPr>
          <t>Not a true average. Need to take a weighted average based on purchase volume.</t>
        </r>
      </text>
    </comment>
    <comment ref="I12" authorId="0" shapeId="0" xr:uid="{C20E3F57-4A44-4A06-BD67-8FE78DB92B23}">
      <text>
        <r>
          <rPr>
            <b/>
            <sz val="9"/>
            <color rgb="FF000000"/>
            <rFont val="Tahoma"/>
            <family val="2"/>
          </rPr>
          <t>Cole:</t>
        </r>
        <r>
          <rPr>
            <sz val="9"/>
            <color rgb="FF000000"/>
            <rFont val="Tahoma"/>
            <family val="2"/>
          </rPr>
          <t xml:space="preserve">
</t>
        </r>
        <r>
          <rPr>
            <sz val="9"/>
            <color rgb="FF000000"/>
            <rFont val="Tahoma"/>
            <family val="2"/>
          </rPr>
          <t>Not a true average. Need to take a weighted average based on purchase volume.</t>
        </r>
      </text>
    </comment>
    <comment ref="M14" authorId="0" shapeId="0" xr:uid="{D5A4C79A-7A05-4D8A-A675-0EF2E7D0AF0D}">
      <text>
        <r>
          <rPr>
            <b/>
            <sz val="9"/>
            <color indexed="81"/>
            <rFont val="Tahoma"/>
            <family val="2"/>
          </rPr>
          <t>Cole:</t>
        </r>
        <r>
          <rPr>
            <sz val="9"/>
            <color indexed="81"/>
            <rFont val="Tahoma"/>
            <family val="2"/>
          </rPr>
          <t xml:space="preserve">
Multiplicity Coefficient to satisfy Bottom Line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H5" authorId="0" shapeId="0" xr:uid="{94221401-5E5A-47AA-833D-87043CBBE85E}">
      <text>
        <r>
          <rPr>
            <b/>
            <sz val="9"/>
            <color rgb="FF000000"/>
            <rFont val="Tahoma"/>
            <family val="2"/>
          </rPr>
          <t>Cole:</t>
        </r>
        <r>
          <rPr>
            <sz val="9"/>
            <color rgb="FF000000"/>
            <rFont val="Tahoma"/>
            <family val="2"/>
          </rPr>
          <t xml:space="preserve">
</t>
        </r>
        <r>
          <rPr>
            <sz val="9"/>
            <color rgb="FF000000"/>
            <rFont val="Tahoma"/>
            <family val="2"/>
          </rPr>
          <t>Profit if all assets are liquidated at Current Market Value (CMV)</t>
        </r>
      </text>
    </comment>
    <comment ref="D7" authorId="0" shapeId="0" xr:uid="{6134F35D-2BD2-4706-8AA9-050FD1300F63}">
      <text>
        <r>
          <rPr>
            <b/>
            <sz val="9"/>
            <color rgb="FF000000"/>
            <rFont val="Tahoma"/>
            <family val="2"/>
          </rPr>
          <t>Cole:</t>
        </r>
        <r>
          <rPr>
            <sz val="9"/>
            <color rgb="FF000000"/>
            <rFont val="Tahoma"/>
            <family val="2"/>
          </rPr>
          <t xml:space="preserve">
</t>
        </r>
        <r>
          <rPr>
            <sz val="9"/>
            <color rgb="FF000000"/>
            <rFont val="Tahoma"/>
            <family val="2"/>
          </rPr>
          <t xml:space="preserve">This quantity represents the difference in actual cost spent on bitcoin and actual value returned, which is the actual value extracted from (negative) or injected into (positive) the market and does not depend on the CMV.
</t>
        </r>
        <r>
          <rPr>
            <sz val="9"/>
            <color rgb="FF000000"/>
            <rFont val="Tahoma"/>
            <family val="2"/>
          </rPr>
          <t xml:space="preserve">
</t>
        </r>
        <r>
          <rPr>
            <sz val="9"/>
            <color rgb="FF000000"/>
            <rFont val="Tahoma"/>
            <family val="2"/>
          </rPr>
          <t xml:space="preserve">Once this value reaches zero, the investment has overcome both sets of fees (buying &amp; selling). 
</t>
        </r>
        <r>
          <rPr>
            <sz val="9"/>
            <color rgb="FF000000"/>
            <rFont val="Tahoma"/>
            <family val="2"/>
          </rPr>
          <t xml:space="preserve">
</t>
        </r>
        <r>
          <rPr>
            <sz val="9"/>
            <color rgb="FF000000"/>
            <rFont val="Tahoma"/>
            <family val="2"/>
          </rPr>
          <t xml:space="preserve">Once at zero, the Market Value can drop to zero and there will be no loss on Investment.
</t>
        </r>
        <r>
          <rPr>
            <sz val="9"/>
            <color rgb="FF000000"/>
            <rFont val="Tahoma"/>
            <family val="2"/>
          </rPr>
          <t xml:space="preserve">
</t>
        </r>
        <r>
          <rPr>
            <sz val="9"/>
            <color rgb="FF000000"/>
            <rFont val="Tahoma"/>
            <family val="2"/>
          </rPr>
          <t>Note: Balance can be zero or negative, while maintaining a quantity of BTC.</t>
        </r>
      </text>
    </comment>
    <comment ref="F7" authorId="0" shapeId="0" xr:uid="{2C01BA29-7643-47E5-8684-E6AE717F7924}">
      <text>
        <r>
          <rPr>
            <b/>
            <sz val="9"/>
            <color rgb="FF000000"/>
            <rFont val="Tahoma"/>
            <family val="2"/>
          </rPr>
          <t>Cole:</t>
        </r>
        <r>
          <rPr>
            <sz val="9"/>
            <color rgb="FF000000"/>
            <rFont val="Tahoma"/>
            <family val="2"/>
          </rPr>
          <t xml:space="preserve">
</t>
        </r>
        <r>
          <rPr>
            <sz val="9"/>
            <color rgb="FF000000"/>
            <rFont val="Tahoma"/>
            <family val="2"/>
          </rPr>
          <t xml:space="preserve">This quantity represents the difference in actual cost spent on bitcoin and actual value sold (as opposed to actual value returned).
</t>
        </r>
        <r>
          <rPr>
            <sz val="9"/>
            <color rgb="FF000000"/>
            <rFont val="Tahoma"/>
            <family val="2"/>
          </rPr>
          <t xml:space="preserve">
</t>
        </r>
        <r>
          <rPr>
            <sz val="9"/>
            <color rgb="FF000000"/>
            <rFont val="Tahoma"/>
            <family val="2"/>
          </rPr>
          <t xml:space="preserve">Once this value reaches zero, the investment has overcome the first set of fees (purchasing).
</t>
        </r>
        <r>
          <rPr>
            <sz val="9"/>
            <color rgb="FF000000"/>
            <rFont val="Tahoma"/>
            <family val="2"/>
          </rPr>
          <t xml:space="preserve">
</t>
        </r>
        <r>
          <rPr>
            <sz val="9"/>
            <color rgb="FF000000"/>
            <rFont val="Tahoma"/>
            <family val="2"/>
          </rPr>
          <t xml:space="preserve">If/as the Balance approaches zero, this value will approach the value of total Fees, though negated.
</t>
        </r>
        <r>
          <rPr>
            <sz val="9"/>
            <color rgb="FF000000"/>
            <rFont val="Tahoma"/>
            <family val="2"/>
          </rPr>
          <t xml:space="preserve">
</t>
        </r>
        <r>
          <rPr>
            <sz val="9"/>
            <color rgb="FF000000"/>
            <rFont val="Tahoma"/>
            <family val="2"/>
          </rPr>
          <t>If/as the Balance becomes negative, this value will become more negative than the negative Fees.</t>
        </r>
      </text>
    </comment>
    <comment ref="H12" authorId="0" shapeId="0" xr:uid="{3F746C78-82E9-4328-AA23-1C3718CF9E6D}">
      <text>
        <r>
          <rPr>
            <b/>
            <sz val="9"/>
            <color indexed="81"/>
            <rFont val="Tahoma"/>
            <family val="2"/>
          </rPr>
          <t>Cole:</t>
        </r>
        <r>
          <rPr>
            <sz val="9"/>
            <color indexed="81"/>
            <rFont val="Tahoma"/>
            <family val="2"/>
          </rPr>
          <t xml:space="preserve">
Not a true average. Need to take a weighted average based on purchase volume.</t>
        </r>
      </text>
    </comment>
    <comment ref="P12" authorId="0" shapeId="0" xr:uid="{A2AB2BA9-F8CD-4F86-8015-1FECEB15A5CC}">
      <text>
        <r>
          <rPr>
            <b/>
            <sz val="9"/>
            <color indexed="81"/>
            <rFont val="Tahoma"/>
            <family val="2"/>
          </rPr>
          <t>Cole:</t>
        </r>
        <r>
          <rPr>
            <sz val="9"/>
            <color indexed="81"/>
            <rFont val="Tahoma"/>
            <family val="2"/>
          </rPr>
          <t xml:space="preserve">
Not a true average. Need to take a weighted average based on sell volume.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A54" authorId="0" shapeId="0" xr:uid="{C3032E0F-BE8D-4932-8D81-478B6373EF97}">
      <text>
        <r>
          <rPr>
            <b/>
            <sz val="9"/>
            <color indexed="81"/>
            <rFont val="Tahoma"/>
            <family val="2"/>
          </rPr>
          <t>Cole:</t>
        </r>
        <r>
          <rPr>
            <sz val="9"/>
            <color indexed="81"/>
            <rFont val="Tahoma"/>
            <family val="2"/>
          </rPr>
          <t xml:space="preserve">
I have paid off May (5/8/2024) and need to reformat the calculations as Nelnet operates differently than the prior loan service provider.
I will do my best to preserve the transition.</t>
        </r>
      </text>
    </comment>
    <comment ref="E58" authorId="0" shapeId="0" xr:uid="{FA344AD5-3B56-4C76-99DA-182B051507D5}">
      <text>
        <r>
          <rPr>
            <b/>
            <sz val="9"/>
            <color indexed="81"/>
            <rFont val="Tahoma"/>
            <family val="2"/>
          </rPr>
          <t>Cole:</t>
        </r>
        <r>
          <rPr>
            <sz val="9"/>
            <color indexed="81"/>
            <rFont val="Tahoma"/>
            <family val="2"/>
          </rPr>
          <t xml:space="preserve">
EDIT THIS ONLY!! JUST ENTER THE "ACCURED INTEREST THROUGH"</t>
        </r>
      </text>
    </comment>
    <comment ref="K58" authorId="0" shapeId="0" xr:uid="{398FF624-43B6-4B51-ABEB-CDAC80F9A956}">
      <text>
        <r>
          <rPr>
            <b/>
            <sz val="9"/>
            <color indexed="81"/>
            <rFont val="Tahoma"/>
            <family val="2"/>
          </rPr>
          <t>Cole:</t>
        </r>
        <r>
          <rPr>
            <sz val="9"/>
            <color indexed="81"/>
            <rFont val="Tahoma"/>
            <family val="2"/>
          </rPr>
          <t xml:space="preserve">
EDIT THIS ONLY!! JUST ENTER THE "ACCURED INTEREST THROUGH"</t>
        </r>
      </text>
    </comment>
    <comment ref="S58" authorId="0" shapeId="0" xr:uid="{C19AFFC8-9C65-4EAF-B5EC-54A96D60FB0A}">
      <text>
        <r>
          <rPr>
            <b/>
            <sz val="9"/>
            <color indexed="81"/>
            <rFont val="Tahoma"/>
            <family val="2"/>
          </rPr>
          <t>Cole:</t>
        </r>
        <r>
          <rPr>
            <sz val="9"/>
            <color indexed="81"/>
            <rFont val="Tahoma"/>
            <family val="2"/>
          </rPr>
          <t xml:space="preserve">
EDIT THIS ONLY!! JUST ENTER THE "ACCURED INTEREST THROUGH"</t>
        </r>
      </text>
    </comment>
    <comment ref="F63" authorId="0" shapeId="0" xr:uid="{FA632826-5C29-45A7-ADAA-2751F943E4C3}">
      <text>
        <r>
          <rPr>
            <b/>
            <sz val="9"/>
            <color indexed="81"/>
            <rFont val="Tahoma"/>
            <family val="2"/>
          </rPr>
          <t>Cole:</t>
        </r>
        <r>
          <rPr>
            <sz val="9"/>
            <color indexed="81"/>
            <rFont val="Tahoma"/>
            <family val="2"/>
          </rPr>
          <t xml:space="preserve">
Apparently my outstanding principle went up...?
This should should up the in audit...</t>
        </r>
      </text>
    </comment>
    <comment ref="L63" authorId="0" shapeId="0" xr:uid="{D81A2572-D80F-400B-9630-33A766B06DE2}">
      <text>
        <r>
          <rPr>
            <b/>
            <sz val="9"/>
            <color indexed="81"/>
            <rFont val="Tahoma"/>
            <family val="2"/>
          </rPr>
          <t>Cole:</t>
        </r>
        <r>
          <rPr>
            <sz val="9"/>
            <color indexed="81"/>
            <rFont val="Tahoma"/>
            <family val="2"/>
          </rPr>
          <t xml:space="preserve">
Apparently my outstanding principle went up...?
This should should up the in audit...</t>
        </r>
      </text>
    </comment>
    <comment ref="T63" authorId="0" shapeId="0" xr:uid="{0627159A-2BE7-4D72-90B9-80DFD1E0312C}">
      <text>
        <r>
          <rPr>
            <b/>
            <sz val="9"/>
            <color indexed="81"/>
            <rFont val="Tahoma"/>
            <family val="2"/>
          </rPr>
          <t>Cole:</t>
        </r>
        <r>
          <rPr>
            <sz val="9"/>
            <color indexed="81"/>
            <rFont val="Tahoma"/>
            <family val="2"/>
          </rPr>
          <t xml:space="preserve">
Apparently my outstanding principle went up...?
This should should up the in audit...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E116" authorId="0" shapeId="0" xr:uid="{BD0B5312-E509-4EA5-8585-918497DFD81B}">
      <text>
        <r>
          <rPr>
            <b/>
            <sz val="9"/>
            <color indexed="81"/>
            <rFont val="Tahoma"/>
            <family val="2"/>
          </rPr>
          <t>Cole:</t>
        </r>
        <r>
          <rPr>
            <sz val="9"/>
            <color indexed="81"/>
            <rFont val="Tahoma"/>
            <family val="2"/>
          </rPr>
          <t xml:space="preserve">
Estimated from 13.9
Potential/Accidental Reset on Trip</t>
        </r>
      </text>
    </comment>
    <comment ref="F144" authorId="0" shapeId="0" xr:uid="{F153843F-6AB2-4ECE-80AA-6CBC3409C42D}">
      <text>
        <r>
          <rPr>
            <b/>
            <sz val="9"/>
            <color indexed="81"/>
            <rFont val="Tahoma"/>
            <family val="2"/>
          </rPr>
          <t>Cole:</t>
        </r>
        <r>
          <rPr>
            <sz val="9"/>
            <color indexed="81"/>
            <rFont val="Tahoma"/>
            <family val="2"/>
          </rPr>
          <t xml:space="preserve">
This was entered incorrectly as 319 when it should be 139. 
Noticed a severe anomaly in the mileage differential and turns out it was a data entry error.</t>
        </r>
      </text>
    </comment>
    <comment ref="E161" authorId="0" shapeId="0" xr:uid="{1934775E-D250-4218-B6DF-1387A8F1BA55}">
      <text>
        <r>
          <rPr>
            <b/>
            <sz val="9"/>
            <color indexed="81"/>
            <rFont val="Tahoma"/>
            <family val="2"/>
          </rPr>
          <t>Cole:</t>
        </r>
        <r>
          <rPr>
            <sz val="9"/>
            <color indexed="81"/>
            <rFont val="Tahoma"/>
            <family val="2"/>
          </rPr>
          <t xml:space="preserve">
17.4 miles is what the odometer read - there must have been a mistake in the use of the car, not this log.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K116" authorId="0" shapeId="0" xr:uid="{9872768E-30F1-4591-B233-F2221E202881}">
      <text>
        <r>
          <rPr>
            <b/>
            <sz val="9"/>
            <color indexed="81"/>
            <rFont val="Tahoma"/>
            <family val="2"/>
          </rPr>
          <t>Cole:</t>
        </r>
        <r>
          <rPr>
            <sz val="9"/>
            <color indexed="81"/>
            <rFont val="Tahoma"/>
            <family val="2"/>
          </rPr>
          <t xml:space="preserve">
Evening</t>
        </r>
      </text>
    </comment>
    <comment ref="L116" authorId="0" shapeId="0" xr:uid="{02935AD0-CCF7-4C36-98E2-F02FF04221C7}">
      <text>
        <r>
          <rPr>
            <b/>
            <sz val="9"/>
            <color indexed="81"/>
            <rFont val="Tahoma"/>
            <family val="2"/>
          </rPr>
          <t>Cole:</t>
        </r>
        <r>
          <rPr>
            <sz val="9"/>
            <color indexed="81"/>
            <rFont val="Tahoma"/>
            <family val="2"/>
          </rPr>
          <t xml:space="preserve">
Morning</t>
        </r>
      </text>
    </comment>
    <comment ref="I1008" authorId="0" shapeId="0" xr:uid="{0D697312-8D2D-4E44-AA8D-BBBB18052A38}">
      <text>
        <r>
          <rPr>
            <b/>
            <sz val="9"/>
            <color indexed="81"/>
            <rFont val="Tahoma"/>
            <family val="2"/>
          </rPr>
          <t>Cole:</t>
        </r>
        <r>
          <rPr>
            <sz val="9"/>
            <color indexed="81"/>
            <rFont val="Tahoma"/>
            <family val="2"/>
          </rPr>
          <t xml:space="preserve">
Schedule appointment to have eyebrows done - I'm sick of messing with them ffs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C489" authorId="0" shapeId="0" xr:uid="{206B03BF-D9F7-4E0F-B676-682FC25C336E}">
      <text>
        <r>
          <rPr>
            <b/>
            <sz val="9"/>
            <color indexed="81"/>
            <rFont val="Tahoma"/>
            <family val="2"/>
          </rPr>
          <t>Cole:</t>
        </r>
        <r>
          <rPr>
            <sz val="9"/>
            <color indexed="81"/>
            <rFont val="Tahoma"/>
            <family val="2"/>
          </rPr>
          <t xml:space="preserve">
Bought lunch for mom and caitlin while packing up house to move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Cole</author>
  </authors>
  <commentList>
    <comment ref="O6" authorId="0" shapeId="0" xr:uid="{BE0F39B9-4DFA-40AA-A577-03EC3435E38C}">
      <text>
        <r>
          <rPr>
            <b/>
            <sz val="9"/>
            <color indexed="81"/>
            <rFont val="Tahoma"/>
            <family val="2"/>
          </rPr>
          <t>Cole:</t>
        </r>
        <r>
          <rPr>
            <sz val="9"/>
            <color indexed="81"/>
            <rFont val="Tahoma"/>
            <family val="2"/>
          </rPr>
          <t xml:space="preserve">
Value of Sale at Purchase</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1"/>
        </ext>
      </extLst>
    </bk>
  </futureMetadata>
  <valueMetadata count="1">
    <bk>
      <rc t="1" v="0"/>
    </bk>
  </valueMetadata>
</metadata>
</file>

<file path=xl/sharedStrings.xml><?xml version="1.0" encoding="utf-8"?>
<sst xmlns="http://schemas.openxmlformats.org/spreadsheetml/2006/main" count="20877" uniqueCount="1361">
  <si>
    <t>May</t>
  </si>
  <si>
    <t>June</t>
  </si>
  <si>
    <t>August</t>
  </si>
  <si>
    <t>Necessary</t>
  </si>
  <si>
    <t>Unnecessary</t>
  </si>
  <si>
    <t>Total</t>
  </si>
  <si>
    <t>VW</t>
  </si>
  <si>
    <t>Work</t>
  </si>
  <si>
    <t>Food</t>
  </si>
  <si>
    <t>Gas</t>
  </si>
  <si>
    <t>Green</t>
  </si>
  <si>
    <t>UCO</t>
  </si>
  <si>
    <t>Balance</t>
  </si>
  <si>
    <t>Cash</t>
  </si>
  <si>
    <t>Bank</t>
  </si>
  <si>
    <t>Checking</t>
  </si>
  <si>
    <t>Savings</t>
  </si>
  <si>
    <t>Wallet</t>
  </si>
  <si>
    <t>Drawer</t>
  </si>
  <si>
    <t>Coins</t>
  </si>
  <si>
    <t>The Pursuit of Harmony: Kepler</t>
  </si>
  <si>
    <t>Disney Plus</t>
  </si>
  <si>
    <t>Spotify</t>
  </si>
  <si>
    <t>September</t>
  </si>
  <si>
    <t>October</t>
  </si>
  <si>
    <t>November</t>
  </si>
  <si>
    <t>December</t>
  </si>
  <si>
    <t>Grub</t>
  </si>
  <si>
    <t>Things I Want To Buy</t>
  </si>
  <si>
    <t>Order 66 Hat</t>
  </si>
  <si>
    <t>Hate Inc.</t>
  </si>
  <si>
    <t>êêê</t>
  </si>
  <si>
    <t>EVE Online</t>
  </si>
  <si>
    <t>Haircut</t>
  </si>
  <si>
    <t>Mom</t>
  </si>
  <si>
    <t>FAFSA Loan</t>
  </si>
  <si>
    <t>Flux</t>
  </si>
  <si>
    <t>Net</t>
  </si>
  <si>
    <t>Estimated</t>
  </si>
  <si>
    <t>Actual</t>
  </si>
  <si>
    <t>Xbox Live</t>
  </si>
  <si>
    <r>
      <rPr>
        <sz val="11"/>
        <color theme="1"/>
        <rFont val="Wingdings"/>
        <charset val="2"/>
      </rPr>
      <t xml:space="preserve">èèèè  </t>
    </r>
    <r>
      <rPr>
        <b/>
        <sz val="11"/>
        <color theme="1"/>
        <rFont val="Calibri"/>
        <family val="2"/>
        <scheme val="minor"/>
      </rPr>
      <t>OUTFLOW</t>
    </r>
    <r>
      <rPr>
        <sz val="11"/>
        <color theme="1"/>
        <rFont val="Calibri"/>
        <family val="2"/>
        <scheme val="minor"/>
      </rPr>
      <t xml:space="preserve">         </t>
    </r>
    <r>
      <rPr>
        <sz val="11"/>
        <color theme="1"/>
        <rFont val="Wingdings"/>
        <charset val="2"/>
      </rPr>
      <t>èèèè</t>
    </r>
  </si>
  <si>
    <r>
      <rPr>
        <b/>
        <sz val="11"/>
        <color theme="1"/>
        <rFont val="Wingdings"/>
        <charset val="2"/>
      </rPr>
      <t xml:space="preserve">èè </t>
    </r>
    <r>
      <rPr>
        <b/>
        <sz val="11"/>
        <color theme="1"/>
        <rFont val="Calibri"/>
        <family val="2"/>
        <scheme val="minor"/>
      </rPr>
      <t xml:space="preserve"> INFLOW      </t>
    </r>
    <r>
      <rPr>
        <b/>
        <sz val="11"/>
        <color theme="1"/>
        <rFont val="Wingdings"/>
        <charset val="2"/>
      </rPr>
      <t>èè</t>
    </r>
  </si>
  <si>
    <t>Caitlin's Birthday</t>
  </si>
  <si>
    <t xml:space="preserve"> </t>
  </si>
  <si>
    <t>Call of Duty</t>
  </si>
  <si>
    <t>Fall Guys</t>
  </si>
  <si>
    <t>Adobe Creative</t>
  </si>
  <si>
    <t>February</t>
  </si>
  <si>
    <t>March</t>
  </si>
  <si>
    <t>Papa</t>
  </si>
  <si>
    <t>Notebook</t>
  </si>
  <si>
    <t>April</t>
  </si>
  <si>
    <t>External HDD</t>
  </si>
  <si>
    <t>Masks</t>
  </si>
  <si>
    <t>SW Squadrons</t>
  </si>
  <si>
    <t>AIP</t>
  </si>
  <si>
    <t>Economy</t>
  </si>
  <si>
    <t>Parameters</t>
  </si>
  <si>
    <t>Predictive</t>
  </si>
  <si>
    <t>Other</t>
  </si>
  <si>
    <t>Walmart</t>
  </si>
  <si>
    <t>OTC</t>
  </si>
  <si>
    <t>OAS</t>
  </si>
  <si>
    <t>Thesis Binding</t>
  </si>
  <si>
    <t>Heavy Paper</t>
  </si>
  <si>
    <t>Kinko's</t>
  </si>
  <si>
    <t>Graduation Stuff</t>
  </si>
  <si>
    <t>Christmas</t>
  </si>
  <si>
    <t>USA</t>
  </si>
  <si>
    <t>Barnes &amp; Noble</t>
  </si>
  <si>
    <t>Blackwake</t>
  </si>
  <si>
    <t>Fitbod App</t>
  </si>
  <si>
    <t>KRON App</t>
  </si>
  <si>
    <t>Service Fee</t>
  </si>
  <si>
    <t>ProtonMail</t>
  </si>
  <si>
    <t>Refund</t>
  </si>
  <si>
    <t>The Final Frontier: International Relations and Politics Through Star Trek and Star Wars</t>
  </si>
  <si>
    <t>A Pioneer of Connection: Oliver Lodge</t>
  </si>
  <si>
    <t>Creality E5 Pro</t>
  </si>
  <si>
    <t>Mom's Birthday</t>
  </si>
  <si>
    <t xml:space="preserve">Haircut </t>
  </si>
  <si>
    <t>Dad's Birthday</t>
  </si>
  <si>
    <t>Cancelled Adobe</t>
  </si>
  <si>
    <t>UCO Refund</t>
  </si>
  <si>
    <t>Andrew</t>
  </si>
  <si>
    <t>UCO Outtakes</t>
  </si>
  <si>
    <t>BitCoin</t>
  </si>
  <si>
    <t>Dad</t>
  </si>
  <si>
    <t>BOK Savings Fee</t>
  </si>
  <si>
    <t>Oil Change</t>
  </si>
  <si>
    <t>AMICE</t>
  </si>
  <si>
    <t>5/4 - 5/7/21</t>
  </si>
  <si>
    <t>Mother's Day</t>
  </si>
  <si>
    <t>5/17 - 5/21</t>
  </si>
  <si>
    <t>5/24 - 5/28</t>
  </si>
  <si>
    <t>5/10 - 5/14</t>
  </si>
  <si>
    <t>Student Loan Debt</t>
  </si>
  <si>
    <t>Dave</t>
  </si>
  <si>
    <t>Dentist</t>
  </si>
  <si>
    <t>OK Tax Return</t>
  </si>
  <si>
    <t>US Tax Return</t>
  </si>
  <si>
    <t>Month</t>
  </si>
  <si>
    <t>5/31-6/5</t>
  </si>
  <si>
    <t>Birthday*</t>
  </si>
  <si>
    <t>Amazon</t>
  </si>
  <si>
    <t>6/7-6/11</t>
  </si>
  <si>
    <t>Target</t>
  </si>
  <si>
    <t>Best Buy</t>
  </si>
  <si>
    <t>6/14-6/18</t>
  </si>
  <si>
    <t>6/21-6/25</t>
  </si>
  <si>
    <t>Crypto</t>
  </si>
  <si>
    <t>Savings 2</t>
  </si>
  <si>
    <t>7/5 - 7/16</t>
  </si>
  <si>
    <t>6/28 - 7/2</t>
  </si>
  <si>
    <t>Car Insurace</t>
  </si>
  <si>
    <t>Cell Phone</t>
  </si>
  <si>
    <t>7/19 - 7/30</t>
  </si>
  <si>
    <t>Soldering Iron Kit</t>
  </si>
  <si>
    <t>Vernier Caliper</t>
  </si>
  <si>
    <t>Yes</t>
  </si>
  <si>
    <t>No</t>
  </si>
  <si>
    <t>8/2 - 8/13</t>
  </si>
  <si>
    <t>Lowes</t>
  </si>
  <si>
    <t>Workout</t>
  </si>
  <si>
    <t>Meals</t>
  </si>
  <si>
    <t>8/16 - 8/27</t>
  </si>
  <si>
    <t>Shave</t>
  </si>
  <si>
    <t>Fingernails</t>
  </si>
  <si>
    <t>Toenails</t>
  </si>
  <si>
    <t>Face</t>
  </si>
  <si>
    <t>Weight</t>
  </si>
  <si>
    <t>G's Soccer Raffle</t>
  </si>
  <si>
    <t>8/30 - 9/10</t>
  </si>
  <si>
    <t>9/13 - 9/24</t>
  </si>
  <si>
    <t>World of Warcraft</t>
  </si>
  <si>
    <t>Cologne</t>
  </si>
  <si>
    <t>New Shoes</t>
  </si>
  <si>
    <t>House</t>
  </si>
  <si>
    <t>Car</t>
  </si>
  <si>
    <t>Books</t>
  </si>
  <si>
    <t>New Clothes</t>
  </si>
  <si>
    <t>Tools</t>
  </si>
  <si>
    <t>Attire</t>
  </si>
  <si>
    <t>Assets</t>
  </si>
  <si>
    <t>Gifts</t>
  </si>
  <si>
    <t>Cups for Dr. Wilson</t>
  </si>
  <si>
    <t>10/11 - 10/22</t>
  </si>
  <si>
    <t>9/27 - 10/8</t>
  </si>
  <si>
    <t>10/25 - 11/5</t>
  </si>
  <si>
    <t>11/8 - 11/19</t>
  </si>
  <si>
    <t>11/22 - 12/3</t>
  </si>
  <si>
    <t>12/6 - 12/17</t>
  </si>
  <si>
    <t>12/20 - 12/31</t>
  </si>
  <si>
    <t>Interest</t>
  </si>
  <si>
    <t>Remaining Balance</t>
  </si>
  <si>
    <t>Principal</t>
  </si>
  <si>
    <t>Payment</t>
  </si>
  <si>
    <t>Exponential Decay</t>
  </si>
  <si>
    <t>t</t>
  </si>
  <si>
    <t>c</t>
  </si>
  <si>
    <t>delta</t>
  </si>
  <si>
    <t>Difference</t>
  </si>
  <si>
    <t>FitBod App</t>
  </si>
  <si>
    <t>ASRV Joggers</t>
  </si>
  <si>
    <t>&lt;--- Total Interest</t>
  </si>
  <si>
    <t>1/3 - 1/14</t>
  </si>
  <si>
    <t>1/17 - 1/28</t>
  </si>
  <si>
    <t>1/31 - 2/11</t>
  </si>
  <si>
    <t>2/14 - 2/25</t>
  </si>
  <si>
    <t>Tires</t>
  </si>
  <si>
    <t>Lowes Purchase for VGG</t>
  </si>
  <si>
    <t>Date</t>
  </si>
  <si>
    <t>Price</t>
  </si>
  <si>
    <t>&lt;--- Original Interest</t>
  </si>
  <si>
    <t>Halo: Infinite - Battle Pass</t>
  </si>
  <si>
    <t>TRIAD Fitness</t>
  </si>
  <si>
    <t>Volume (gal)</t>
  </si>
  <si>
    <t>MPG</t>
  </si>
  <si>
    <t>CPG</t>
  </si>
  <si>
    <t>VW Golf</t>
  </si>
  <si>
    <t>Value</t>
  </si>
  <si>
    <t>Liquidity</t>
  </si>
  <si>
    <t>Loan</t>
  </si>
  <si>
    <t>Driver's License &amp; Tag</t>
  </si>
  <si>
    <t>Mom &amp; Dad</t>
  </si>
  <si>
    <t>Average</t>
  </si>
  <si>
    <t>Homeland</t>
  </si>
  <si>
    <t>Microsoft Office 365</t>
  </si>
  <si>
    <t>MPD</t>
  </si>
  <si>
    <t>CPM</t>
  </si>
  <si>
    <t>Mixture</t>
  </si>
  <si>
    <t>91 Octane - No Ethanol</t>
  </si>
  <si>
    <t>91 Octane - Ethanol</t>
  </si>
  <si>
    <t>Mileage (@ Refill)</t>
  </si>
  <si>
    <t>2/28 - 3/11</t>
  </si>
  <si>
    <t>3/14 - 3/25</t>
  </si>
  <si>
    <t>3/28 - 4/8</t>
  </si>
  <si>
    <t>4/11 - 4/22</t>
  </si>
  <si>
    <t>4/25 - 5/6</t>
  </si>
  <si>
    <t>Academy (Knife)</t>
  </si>
  <si>
    <t>Girl Scout Cookies</t>
  </si>
  <si>
    <t>Copper Mountain</t>
  </si>
  <si>
    <t>Walmart &amp; Amazon</t>
  </si>
  <si>
    <t>iPhone 13 Pro Max</t>
  </si>
  <si>
    <t>Apple AirPods Pro</t>
  </si>
  <si>
    <t>Apple</t>
  </si>
  <si>
    <t>Mom &amp; Dad Birthday</t>
  </si>
  <si>
    <t>TurboTax</t>
  </si>
  <si>
    <t>OK State Taxes</t>
  </si>
  <si>
    <t>Federal Taxes</t>
  </si>
  <si>
    <t>no</t>
  </si>
  <si>
    <t>Mother's Day Gift</t>
  </si>
  <si>
    <t>Bawls</t>
  </si>
  <si>
    <t>Mowing Lawn</t>
  </si>
  <si>
    <t>Birthday (Mom &amp; Dad)</t>
  </si>
  <si>
    <t>Graduation (Mom &amp; Dad)</t>
  </si>
  <si>
    <t>Papa (Mowing)</t>
  </si>
  <si>
    <t>Papa (Work)</t>
  </si>
  <si>
    <t>Blankenship Dental</t>
  </si>
  <si>
    <t>Jason's Birthday</t>
  </si>
  <si>
    <t>Threshold Climbing</t>
  </si>
  <si>
    <t>VW Battery</t>
  </si>
  <si>
    <t>Food/Drink</t>
  </si>
  <si>
    <t>ASRV Shorts</t>
  </si>
  <si>
    <t>UCO Shirt</t>
  </si>
  <si>
    <t>ASRV Shirts</t>
  </si>
  <si>
    <t>Amazon Prime</t>
  </si>
  <si>
    <t>Lifting Straps</t>
  </si>
  <si>
    <t>Theshold Climbing</t>
  </si>
  <si>
    <t xml:space="preserve">Academy </t>
  </si>
  <si>
    <t>ASRV</t>
  </si>
  <si>
    <t>Jimmy Dore Live</t>
  </si>
  <si>
    <t>Penn Square Mall</t>
  </si>
  <si>
    <t>Chegg</t>
  </si>
  <si>
    <t>Preworkout</t>
  </si>
  <si>
    <t>Vans (2 Pair)</t>
  </si>
  <si>
    <t>Amazon (Halloween)</t>
  </si>
  <si>
    <t>9/31/2022</t>
  </si>
  <si>
    <t>Food &amp; Drink</t>
  </si>
  <si>
    <t>CVS</t>
  </si>
  <si>
    <t xml:space="preserve">Total Mileage </t>
  </si>
  <si>
    <t>License Plate Tag</t>
  </si>
  <si>
    <t>Beaver's Bend Trip (Oct)</t>
  </si>
  <si>
    <t>Valheim</t>
  </si>
  <si>
    <t>Total Paid ---&gt;</t>
  </si>
  <si>
    <t xml:space="preserve">Original </t>
  </si>
  <si>
    <t>Aggressive</t>
  </si>
  <si>
    <t>Optimal</t>
  </si>
  <si>
    <t>10 Gym</t>
  </si>
  <si>
    <t>Christmas Gifts</t>
  </si>
  <si>
    <t>Total Paid</t>
  </si>
  <si>
    <t>Christmas (Mom &amp; Dad)</t>
  </si>
  <si>
    <t>BOK Service Fee?</t>
  </si>
  <si>
    <t>Income</t>
  </si>
  <si>
    <t>Net Worth</t>
  </si>
  <si>
    <t>Original</t>
  </si>
  <si>
    <t>Model</t>
  </si>
  <si>
    <t>Gas Data (Averages)</t>
  </si>
  <si>
    <t>Current Paid</t>
  </si>
  <si>
    <t>Current Interest Paid</t>
  </si>
  <si>
    <t>Remaining</t>
  </si>
  <si>
    <t>Bucked Up Woke AF</t>
  </si>
  <si>
    <t>% Error of $</t>
  </si>
  <si>
    <t>% Error of Δ$</t>
  </si>
  <si>
    <t>% Diff of Δ$</t>
  </si>
  <si>
    <t>% Diff of $</t>
  </si>
  <si>
    <t>Percent Error (Accuracy)</t>
  </si>
  <si>
    <t>Percent Diff (Precision)</t>
  </si>
  <si>
    <t>BOK Overdraft Fee</t>
  </si>
  <si>
    <t>Oklahoma Tax</t>
  </si>
  <si>
    <t xml:space="preserve">Apple </t>
  </si>
  <si>
    <t>Tutoring</t>
  </si>
  <si>
    <t>Working for Papa</t>
  </si>
  <si>
    <t>Oil Change/Maintenance</t>
  </si>
  <si>
    <t>Lowe's</t>
  </si>
  <si>
    <t>Gas for Mower</t>
  </si>
  <si>
    <t>AMF Bowling</t>
  </si>
  <si>
    <t>BOK Service Fee</t>
  </si>
  <si>
    <t xml:space="preserve">Walmart </t>
  </si>
  <si>
    <t>Party Animals</t>
  </si>
  <si>
    <t>Rent (Sept + Oct)</t>
  </si>
  <si>
    <t>Rent (November)</t>
  </si>
  <si>
    <t>IRS Taxes</t>
  </si>
  <si>
    <t>Academy (Preworkout)</t>
  </si>
  <si>
    <t>Rent (December)</t>
  </si>
  <si>
    <t>Cost</t>
  </si>
  <si>
    <t>Location</t>
  </si>
  <si>
    <t>Chick-Fil-A</t>
  </si>
  <si>
    <t>Lethal Company</t>
  </si>
  <si>
    <t>Vitamin D3</t>
  </si>
  <si>
    <t>TRIAD Supplements</t>
  </si>
  <si>
    <t>Tag Renewal</t>
  </si>
  <si>
    <t>SCP: 5K</t>
  </si>
  <si>
    <t>iPad Pro</t>
  </si>
  <si>
    <t xml:space="preserve">Daily Net </t>
  </si>
  <si>
    <t>Monthly Net</t>
  </si>
  <si>
    <t>Account</t>
  </si>
  <si>
    <t xml:space="preserve">Utilities </t>
  </si>
  <si>
    <t>Item</t>
  </si>
  <si>
    <t>4 McDouble + med fry + coke</t>
  </si>
  <si>
    <t>July</t>
  </si>
  <si>
    <t>January</t>
  </si>
  <si>
    <t>Owe</t>
  </si>
  <si>
    <t>Rent (January)</t>
  </si>
  <si>
    <t xml:space="preserve">iCloud </t>
  </si>
  <si>
    <t>Stonks</t>
  </si>
  <si>
    <t xml:space="preserve">McDonald's </t>
  </si>
  <si>
    <t xml:space="preserve">Whataburger </t>
  </si>
  <si>
    <t>Taco Bell</t>
  </si>
  <si>
    <t>Credit</t>
  </si>
  <si>
    <t>Chick-fil-A</t>
  </si>
  <si>
    <t>Panda Express</t>
  </si>
  <si>
    <t xml:space="preserve">Cane's </t>
  </si>
  <si>
    <t>Predicted</t>
  </si>
  <si>
    <t>Current Balance Paid</t>
  </si>
  <si>
    <t>%Error</t>
  </si>
  <si>
    <t>Stocks</t>
  </si>
  <si>
    <t>iPad</t>
  </si>
  <si>
    <t xml:space="preserve">Actual </t>
  </si>
  <si>
    <t>Pool</t>
  </si>
  <si>
    <t>Net/Mo</t>
  </si>
  <si>
    <t>Net/Day</t>
  </si>
  <si>
    <t>Market</t>
  </si>
  <si>
    <t>Savings A</t>
  </si>
  <si>
    <t>Savings B</t>
  </si>
  <si>
    <t>Apple Card</t>
  </si>
  <si>
    <t>Rent (February)</t>
  </si>
  <si>
    <t>Cryptotracker_v2.0</t>
  </si>
  <si>
    <t>USD</t>
  </si>
  <si>
    <t>BTC</t>
  </si>
  <si>
    <t>Pre</t>
  </si>
  <si>
    <t>Fees</t>
  </si>
  <si>
    <t>Post</t>
  </si>
  <si>
    <t>Bought/Sold</t>
  </si>
  <si>
    <t>LIQUID PROFIT</t>
  </si>
  <si>
    <t>Current Market Value</t>
  </si>
  <si>
    <t>LIQUID VALUE</t>
  </si>
  <si>
    <t>Minimum Market Value</t>
  </si>
  <si>
    <t>TOTAL VALUE</t>
  </si>
  <si>
    <t>Buying Market Value</t>
  </si>
  <si>
    <t>Overhead Fees</t>
  </si>
  <si>
    <t>Selling Market Value</t>
  </si>
  <si>
    <t>Current Value</t>
  </si>
  <si>
    <t>Bottom Line</t>
  </si>
  <si>
    <t>Spent</t>
  </si>
  <si>
    <t>Bought</t>
  </si>
  <si>
    <t xml:space="preserve">Coin Received </t>
  </si>
  <si>
    <t xml:space="preserve">Exchange Rate </t>
  </si>
  <si>
    <t>CR Calc Check</t>
  </si>
  <si>
    <t>DMV for Avg Bottom Line</t>
  </si>
  <si>
    <t>Diff</t>
  </si>
  <si>
    <t>RoCMV</t>
  </si>
  <si>
    <t>X</t>
  </si>
  <si>
    <t>Sold</t>
  </si>
  <si>
    <t>Gained</t>
  </si>
  <si>
    <t>Coin Sold</t>
  </si>
  <si>
    <t>AVERAGE</t>
  </si>
  <si>
    <t>INVESTMENT</t>
  </si>
  <si>
    <t>SUM</t>
  </si>
  <si>
    <t>Date &amp; Time</t>
  </si>
  <si>
    <t>DMV for Bottom Line</t>
  </si>
  <si>
    <t>PREDICTIVE</t>
  </si>
  <si>
    <t>Enter your desired buying information in the line below and then copy/paste your data in the line above to calculate your results.</t>
  </si>
  <si>
    <t xml:space="preserve">Enter Data Here: </t>
  </si>
  <si>
    <t xml:space="preserve">y1 = </t>
  </si>
  <si>
    <t>y2 =</t>
  </si>
  <si>
    <t>Stock Profits</t>
  </si>
  <si>
    <t>regular</t>
  </si>
  <si>
    <t>Bitcoin</t>
  </si>
  <si>
    <t>Add Cash</t>
  </si>
  <si>
    <t>Stock Tracker_v2.0</t>
  </si>
  <si>
    <t xml:space="preserve">Shares Received </t>
  </si>
  <si>
    <t>Limit</t>
  </si>
  <si>
    <t>Cash App Wallet</t>
  </si>
  <si>
    <t>Cash Back</t>
  </si>
  <si>
    <t>Amazon Card</t>
  </si>
  <si>
    <t>Gas Station</t>
  </si>
  <si>
    <t>Allowance</t>
  </si>
  <si>
    <t>Spending</t>
  </si>
  <si>
    <t>Real Profit</t>
  </si>
  <si>
    <t>Virtual Profit</t>
  </si>
  <si>
    <t>Total Bought</t>
  </si>
  <si>
    <t>Total Sold</t>
  </si>
  <si>
    <t xml:space="preserve">Stocks </t>
  </si>
  <si>
    <t>Dropbox</t>
  </si>
  <si>
    <r>
      <rPr>
        <b/>
        <sz val="11"/>
        <color theme="1"/>
        <rFont val="Wingdings"/>
        <charset val="2"/>
      </rPr>
      <t xml:space="preserve">èè </t>
    </r>
    <r>
      <rPr>
        <b/>
        <sz val="11"/>
        <color theme="1"/>
        <rFont val="Calibri"/>
        <family val="2"/>
        <scheme val="minor"/>
      </rPr>
      <t xml:space="preserve"> Influx      </t>
    </r>
    <r>
      <rPr>
        <b/>
        <sz val="11"/>
        <color theme="1"/>
        <rFont val="Wingdings"/>
        <charset val="2"/>
      </rPr>
      <t>èè</t>
    </r>
  </si>
  <si>
    <r>
      <rPr>
        <sz val="11"/>
        <color theme="1"/>
        <rFont val="Wingdings"/>
        <charset val="2"/>
      </rPr>
      <t xml:space="preserve">èè  </t>
    </r>
    <r>
      <rPr>
        <b/>
        <sz val="11"/>
        <color theme="1"/>
        <rFont val="Calibri"/>
        <family val="2"/>
        <scheme val="minor"/>
      </rPr>
      <t>Outflux</t>
    </r>
    <r>
      <rPr>
        <sz val="11"/>
        <color theme="1"/>
        <rFont val="Calibri"/>
        <family val="2"/>
        <scheme val="minor"/>
      </rPr>
      <t xml:space="preserve">         </t>
    </r>
    <r>
      <rPr>
        <sz val="11"/>
        <color theme="1"/>
        <rFont val="Wingdings"/>
        <charset val="2"/>
      </rPr>
      <t>èè</t>
    </r>
  </si>
  <si>
    <t>chicken quesadilla + 5 tacos and large pepsi</t>
  </si>
  <si>
    <t>Helping Papa</t>
  </si>
  <si>
    <t>Apple Card Cash Back</t>
  </si>
  <si>
    <t>Spicy Sandwhich w/ M Fry and M Sweet Tea</t>
  </si>
  <si>
    <t>Whataburger</t>
  </si>
  <si>
    <t>#2 w/ M Fry and L Coke + HBBQCSS</t>
  </si>
  <si>
    <t>Liquidity = Liquid Profit when Balance = 0!</t>
  </si>
  <si>
    <t>So… based on the percentage of liquidity to liquid profit, we can calculate the "realized profit".</t>
  </si>
  <si>
    <t>Exchange Rate Ratio (Sell/Buy)</t>
  </si>
  <si>
    <t>Bigger Plate</t>
  </si>
  <si>
    <t>Debit</t>
  </si>
  <si>
    <t>Gifted</t>
  </si>
  <si>
    <t>Spicy Delx. w/ L Fry and M Coke + Mac n Cheese + Cookie</t>
  </si>
  <si>
    <t>Christmas (Uncle Charlie)</t>
  </si>
  <si>
    <t>Braums</t>
  </si>
  <si>
    <t>Triple w/ L Fry and L Coke</t>
  </si>
  <si>
    <t>Dividends</t>
  </si>
  <si>
    <t>Total Buy - Total Sell</t>
  </si>
  <si>
    <t>4 crunchy tacos + 3 soft tacos + chicken quesadilla + large pepsi</t>
  </si>
  <si>
    <t xml:space="preserve">Balance + Real Profit </t>
  </si>
  <si>
    <t>=</t>
  </si>
  <si>
    <t>Current Value - Balance</t>
  </si>
  <si>
    <t>Total Profit</t>
  </si>
  <si>
    <t>Real Profit + Virtual Profit</t>
  </si>
  <si>
    <t>Total Sold - Sell Value</t>
  </si>
  <si>
    <t>Current Value - Invested</t>
  </si>
  <si>
    <t>Total Buy - Sell Value</t>
  </si>
  <si>
    <t xml:space="preserve">Total Spent - Balance </t>
  </si>
  <si>
    <t>Wallet + Virtual Profit</t>
  </si>
  <si>
    <t>Cashout + Wallet + Fees</t>
  </si>
  <si>
    <t>Return</t>
  </si>
  <si>
    <t>Real Profit %</t>
  </si>
  <si>
    <t>Virtual Profit %</t>
  </si>
  <si>
    <t>Surplus</t>
  </si>
  <si>
    <t>Deficit</t>
  </si>
  <si>
    <t>Surplus - Deficit</t>
  </si>
  <si>
    <t>VSP</t>
  </si>
  <si>
    <t>Investment Value</t>
  </si>
  <si>
    <t>Investment Cost</t>
  </si>
  <si>
    <t>5 crunchy taco + 2 soft tacos + large pepsi</t>
  </si>
  <si>
    <t>Spicy Deluxe Sandwhich w/ L Fry and M Cherry Coke</t>
  </si>
  <si>
    <t>2 Spicy Chicken Sandwhiches w/ L Fry, M Mac n Cheese + Cookie</t>
  </si>
  <si>
    <t>#2 w/ L Fry and L Coke + HBBQCSS</t>
  </si>
  <si>
    <t>Bigger Plate + Small Entrée + Small Drink</t>
  </si>
  <si>
    <t>Dirty Santa Gift</t>
  </si>
  <si>
    <t>Total Profit %</t>
  </si>
  <si>
    <t>Total Buy - Total Sold + Real Profit</t>
  </si>
  <si>
    <t>Value of Sale at Purchase</t>
  </si>
  <si>
    <t>Calculations</t>
  </si>
  <si>
    <t>4 crunchy taco + 2 soft tacos + large pepsi</t>
  </si>
  <si>
    <t>Return Check</t>
  </si>
  <si>
    <t>Total Profit + Deficit</t>
  </si>
  <si>
    <t>Investment Cost - Balance</t>
  </si>
  <si>
    <t>Investment Cost - Total Buy + Total Sold</t>
  </si>
  <si>
    <t>Jerusalem</t>
  </si>
  <si>
    <t xml:space="preserve">Chicken schwarma </t>
  </si>
  <si>
    <t>Triple w/ L Fry and M Coke</t>
  </si>
  <si>
    <t>Total Sold + Current Value</t>
  </si>
  <si>
    <t>Total Value</t>
  </si>
  <si>
    <t>Balance + Return</t>
  </si>
  <si>
    <t>Virtual Profit / Investment Value</t>
  </si>
  <si>
    <t>Real Profit / Value of Sale at Purchase</t>
  </si>
  <si>
    <t>Total Profit / Total Bought</t>
  </si>
  <si>
    <t>Investment Cost - Investment Value</t>
  </si>
  <si>
    <t>Investment Value + Total Sold - Total Buy</t>
  </si>
  <si>
    <t>Investment Value - Balance</t>
  </si>
  <si>
    <t>Balance + Real Profit + Deficit</t>
  </si>
  <si>
    <t>Total Sold - Real Profit</t>
  </si>
  <si>
    <t>Vintage Stock</t>
  </si>
  <si>
    <t>4 crunchy tacos + 2 soft tacos + chicken flat bread + large baja blast</t>
  </si>
  <si>
    <t>McDonalds</t>
  </si>
  <si>
    <t>3 McDoubles, 20 McNuggets, Medium Fry, Large Coke</t>
  </si>
  <si>
    <t>Pizza</t>
  </si>
  <si>
    <t>4 crunchy tacos + 3 chicken flat bread + large pepsi</t>
  </si>
  <si>
    <t>4 crunchy tacos + 3 soft tacos + 1 chicken quesadilla + 1 chicken flatbread + large pepsi</t>
  </si>
  <si>
    <t>2 Spicy Chicken Sandwhiches w/ L Fry, L Cherry Coke + Cookie</t>
  </si>
  <si>
    <t>Spicy Delx. w/ L Fry and L Cherry Coke</t>
  </si>
  <si>
    <t>Spicy Delx. w/ L Fry and M Cherry Coke</t>
  </si>
  <si>
    <t>Spicy Delx. w/ L Fry and L Cherry Coke + Spicy Sandwich</t>
  </si>
  <si>
    <t>Spicy Delx. w/ L Fry and L Coke + Spicy Sandwhich + Cookie</t>
  </si>
  <si>
    <t>Spicy Delx. w/ L Fry and M Cherry Coke + Cookie</t>
  </si>
  <si>
    <t>Little Caesers</t>
  </si>
  <si>
    <t>Large Pepperoni Pizza + Crazy Bread + Sauce</t>
  </si>
  <si>
    <t>Large Pepperoni Pizza + Crazy Bread + Sauce (continued)</t>
  </si>
  <si>
    <t>GTA V on Steam</t>
  </si>
  <si>
    <t>CashApp Instant Fee</t>
  </si>
  <si>
    <t>Wallet Calculation</t>
  </si>
  <si>
    <t>Cashout</t>
  </si>
  <si>
    <t>Fees (Insant)</t>
  </si>
  <si>
    <t>Spicy Sandwhich w/ L Fry and M Cherry Coke</t>
  </si>
  <si>
    <t>Groceries</t>
  </si>
  <si>
    <t>Personal Pizza</t>
  </si>
  <si>
    <t>Spicy Sandwhich w/ L Fry and L Cherry Coke</t>
  </si>
  <si>
    <t>5 crunchy tacos + 3 chicken flat bread + large pepsi</t>
  </si>
  <si>
    <t>Broadcom</t>
  </si>
  <si>
    <t>Dominos</t>
  </si>
  <si>
    <t>General Electric</t>
  </si>
  <si>
    <t>Nokia</t>
  </si>
  <si>
    <t>Shares Sold</t>
  </si>
  <si>
    <t>4 Nathan's hotdogs on brioche buns</t>
  </si>
  <si>
    <t>Poptart + Blueberry bagel</t>
  </si>
  <si>
    <t>4 crunchy tacos + 4 chicken flat bread + large pepsi</t>
  </si>
  <si>
    <t>4 Nathan's hotdogs on brioche buns + poptart</t>
  </si>
  <si>
    <t>Large Pepperoni Pizza</t>
  </si>
  <si>
    <t>Stamps</t>
  </si>
  <si>
    <t>2 Cans of Spaghettios</t>
  </si>
  <si>
    <t>Snacks</t>
  </si>
  <si>
    <t>Phillips 66</t>
  </si>
  <si>
    <t>Meal</t>
  </si>
  <si>
    <t>Rent (March)</t>
  </si>
  <si>
    <t>Utilities (Dec)</t>
  </si>
  <si>
    <t>iCloud</t>
  </si>
  <si>
    <t>SoY Calibration</t>
  </si>
  <si>
    <t xml:space="preserve">EoY Calibration </t>
  </si>
  <si>
    <t>Cameco</t>
  </si>
  <si>
    <t>3 crunchy tacos + 4 chicken flat bread + large pepsi</t>
  </si>
  <si>
    <t>3 Nathan's hotdogs on brioche buns + Snacks</t>
  </si>
  <si>
    <t>Utilities (Jan)</t>
  </si>
  <si>
    <t>AA</t>
  </si>
  <si>
    <t>AB</t>
  </si>
  <si>
    <t>Loan Group</t>
  </si>
  <si>
    <t>AC</t>
  </si>
  <si>
    <t>AD</t>
  </si>
  <si>
    <t>AE</t>
  </si>
  <si>
    <t>Direct Sub</t>
  </si>
  <si>
    <t>Direct Unsub</t>
  </si>
  <si>
    <t>AF</t>
  </si>
  <si>
    <t>AG</t>
  </si>
  <si>
    <t>AH</t>
  </si>
  <si>
    <t>AI</t>
  </si>
  <si>
    <t>AJ</t>
  </si>
  <si>
    <t>Principle</t>
  </si>
  <si>
    <t>Rate</t>
  </si>
  <si>
    <t>Total:</t>
  </si>
  <si>
    <t>Iovance Biotheraputics</t>
  </si>
  <si>
    <t>4 Nathan's hotdogs on brioche buns + Snacks</t>
  </si>
  <si>
    <t>Family Dinner</t>
  </si>
  <si>
    <t>2 Plates of Cincinnati Chilli + Birthday Cake</t>
  </si>
  <si>
    <t>5 Nathan's hotdogs on brioche buns + Snacks</t>
  </si>
  <si>
    <t>3 DLT tacos + 2 soft tacos + 3 chicken flat bread + large pepsi</t>
  </si>
  <si>
    <t>Lyft</t>
  </si>
  <si>
    <t>Spicy Sandwich w/ M Fry</t>
  </si>
  <si>
    <t>Last Month</t>
  </si>
  <si>
    <t>This Month</t>
  </si>
  <si>
    <t>Differential</t>
  </si>
  <si>
    <t>Cincinatti Chilli + Snacks</t>
  </si>
  <si>
    <t>Pokemon Cards</t>
  </si>
  <si>
    <t>2 Spicy Chicken Sandwhiches w/ L Fry, M Cherry Coke + Cookie</t>
  </si>
  <si>
    <t>5 crunchy tacos + 4 chicken flat bread + large pepsi</t>
  </si>
  <si>
    <t>3/4 lb burger w/ L Fry + M Coke</t>
  </si>
  <si>
    <t>Dominos Pizza + Cookie</t>
  </si>
  <si>
    <t>B-day Party</t>
  </si>
  <si>
    <t>9 extra crunchy chicken and cheese taquitos</t>
  </si>
  <si>
    <t xml:space="preserve">Bigger Plate w/ Double Sweet Fire Chicken + Small Entrée of Beijing Beef </t>
  </si>
  <si>
    <t>Spicy Delx. w/ L Fry + M Cherry Coke</t>
  </si>
  <si>
    <t>2 Spicy Chicken Sandwhiches w/ L Fry, L Cherry Coke</t>
  </si>
  <si>
    <t>AMD</t>
  </si>
  <si>
    <t>SMC</t>
  </si>
  <si>
    <t>Opko Health</t>
  </si>
  <si>
    <t>Logitech</t>
  </si>
  <si>
    <t>Charles Schwab</t>
  </si>
  <si>
    <t>NeoGenomics</t>
  </si>
  <si>
    <t>Allogene Therapeutics</t>
  </si>
  <si>
    <t>Lending Tree</t>
  </si>
  <si>
    <t>Dutch Bros</t>
  </si>
  <si>
    <t>Check</t>
  </si>
  <si>
    <t>LendingTree</t>
  </si>
  <si>
    <t>Chicken Bowtie Pasta</t>
  </si>
  <si>
    <t>COMPASS Pathways</t>
  </si>
  <si>
    <t>Net Profit</t>
  </si>
  <si>
    <t>%</t>
  </si>
  <si>
    <t>Bigger Plate w/ Double Sweet Fire Chicken + Small Entrée of Sweet Fire Chicken</t>
  </si>
  <si>
    <t>Current Amount Due:</t>
  </si>
  <si>
    <t>Conoco Phillips</t>
  </si>
  <si>
    <t>Pfizer</t>
  </si>
  <si>
    <t>Super Micro Computer</t>
  </si>
  <si>
    <t>Utilities (Feb)</t>
  </si>
  <si>
    <t>Rent (April)</t>
  </si>
  <si>
    <t>Utilities (March)</t>
  </si>
  <si>
    <t>Rent (May)</t>
  </si>
  <si>
    <t>Gold Fields Limited</t>
  </si>
  <si>
    <t>3 DLT tacos + 1 crunchy taco + 3 chicken flat bread + large pepsi</t>
  </si>
  <si>
    <t>4 Nathan's hotdogs on ball park buns + Snacks</t>
  </si>
  <si>
    <t>Buffalo Chicken Mac n Cheese Microwave Meal</t>
  </si>
  <si>
    <t>Gift Card</t>
  </si>
  <si>
    <t>Cane's</t>
  </si>
  <si>
    <t>Box Combo w/ no slaw Extra Toast + Large Lemonade</t>
  </si>
  <si>
    <t>EchoStar</t>
  </si>
  <si>
    <t>FuelCell Energy</t>
  </si>
  <si>
    <t>Rivian Automotive</t>
  </si>
  <si>
    <t>ConocoPhillips</t>
  </si>
  <si>
    <t>Digiorno Rising Crust Pizza (3/4)</t>
  </si>
  <si>
    <t>7 chicken and cheese taquitos + mango habanero salsa</t>
  </si>
  <si>
    <t>9 chicken and cheese taquitos + mango habanero salsa</t>
  </si>
  <si>
    <t>Pepperoni Pizza w/ Mike's Hot Honey</t>
  </si>
  <si>
    <t>Spaghettios and Snacks</t>
  </si>
  <si>
    <t>2 Kodak Protein Waffles w/ Peanut Butter &amp; Syrup</t>
  </si>
  <si>
    <t>Signal Dynamics</t>
  </si>
  <si>
    <t>Actual 1</t>
  </si>
  <si>
    <t>Actual 2</t>
  </si>
  <si>
    <t>Model 2</t>
  </si>
  <si>
    <t>Model 1</t>
  </si>
  <si>
    <t>of $</t>
  </si>
  <si>
    <t>Accuracy, Precision, Errors, and Differences</t>
  </si>
  <si>
    <t>of Δ$2</t>
  </si>
  <si>
    <t>of Δ$1</t>
  </si>
  <si>
    <t>Meaningless signal?</t>
  </si>
  <si>
    <t>Model Dev</t>
  </si>
  <si>
    <t>Actual Dev</t>
  </si>
  <si>
    <t>Net Dev</t>
  </si>
  <si>
    <t>Model Deviation from Actual</t>
  </si>
  <si>
    <t>Velocity (Δ$/Mo)</t>
  </si>
  <si>
    <t>Acceleration (ΔVelocity/Mo)</t>
  </si>
  <si>
    <t>Fajita Chicken + Cheese Quesadilla</t>
  </si>
  <si>
    <t>Real</t>
  </si>
  <si>
    <t>Virtual</t>
  </si>
  <si>
    <t>Nert</t>
  </si>
  <si>
    <t>Spicy Delx. w/ L Fry and L Cherry Coke + Spicy Sandwich + Snacks</t>
  </si>
  <si>
    <t>Box Combo w/ no slaw Extra Toast + Medium Sweet Tea</t>
  </si>
  <si>
    <t>10 chicken and cheese taquitos + mango habanero salsa + snacks</t>
  </si>
  <si>
    <t xml:space="preserve">Poptarts </t>
  </si>
  <si>
    <t>Spicy Sandwhich w/ L Fry and M Sweet Tea</t>
  </si>
  <si>
    <t>5 crunchy tacos + 3 chicken flat bread + large pepsi + poptart</t>
  </si>
  <si>
    <t>13 chicken and cheese taquitos + mango habanero salsa + snacks</t>
  </si>
  <si>
    <t>Five-Cheese Rigatoni Microwave Meal</t>
  </si>
  <si>
    <t>Lightspeed Commerce</t>
  </si>
  <si>
    <t>Family Lunch</t>
  </si>
  <si>
    <t>4 Ham &amp; Cheese Sliders, Potatoes, and Baked Beans</t>
  </si>
  <si>
    <t>What the fuck?</t>
  </si>
  <si>
    <t>11 chicken and cheese taquitoes + mango habanero salsa + snacks</t>
  </si>
  <si>
    <t>*</t>
  </si>
  <si>
    <t>Box Combo w/ no slaw Extra Toast + Large Sweet Tea</t>
  </si>
  <si>
    <t>GameStop</t>
  </si>
  <si>
    <t>TSM</t>
  </si>
  <si>
    <t>Micron Technology</t>
  </si>
  <si>
    <t>Academy (Wrist Straps)</t>
  </si>
  <si>
    <t>1 chicken and cheese taquitoes + mango habanero salsa</t>
  </si>
  <si>
    <t>5 crunchy tacos + 2 chicken flat bread + large pepsi</t>
  </si>
  <si>
    <t>Dune: Part Two</t>
  </si>
  <si>
    <t>Rental Car</t>
  </si>
  <si>
    <t>10 chicken and cheese taquitoes</t>
  </si>
  <si>
    <t>Vending Machine</t>
  </si>
  <si>
    <t>Peanut butter crackers and Gardettos</t>
  </si>
  <si>
    <t>Italian Sandwich + Gatorade + Payday</t>
  </si>
  <si>
    <t>6 Extra Crunchy Beef Taquitos (did not eat other 6) + lots of snacks</t>
  </si>
  <si>
    <t>&lt;- This is what I had on 4/11/2024, then looked at my phone and saw it was 1191.65... Not sure if there was a correction issued or if I made a mistake but making a note of it</t>
  </si>
  <si>
    <t>Firehouse Subs Lunch (2 4" Subs + Lay's Chips + Cookie)</t>
  </si>
  <si>
    <t>On 4/12/2024, noticed the Investment Cost was 550.30, rather than 552.58, and that the total investment was 1741.95, rather than 1744.03 *I had previously noted a 0.06 difference in the total investment but I let it go because it was so small..</t>
  </si>
  <si>
    <t>The difference in the two noted above is 2.08, and if the previous error of about 0.06 is subtracted from the new error, the difference is 2.025, which describes the differences in the VSP on 4/11 and o</t>
  </si>
  <si>
    <t>&lt;- This is what I had before</t>
  </si>
  <si>
    <t>Fairlife Chocolate Milk and Chocolate Peanut Butter Crispy Bites</t>
  </si>
  <si>
    <t>3 DLTs + 2 crunchy tacos + 2 chicken flat bread + large pepsi</t>
  </si>
  <si>
    <t>Pepperoni Pizza w/ Mike's Hot Honey + Snacks</t>
  </si>
  <si>
    <t>5 crunchy tacos + 2 chicken flat bread + large pepsi + snacks</t>
  </si>
  <si>
    <t>Intuit: TurboTax</t>
  </si>
  <si>
    <t>Fajita Chicken + Cheese Quesadilla + Snacks</t>
  </si>
  <si>
    <t>Tax Return (Federal)</t>
  </si>
  <si>
    <t>Tax Return (State)</t>
  </si>
  <si>
    <t>Cards for Mom &amp; Dad</t>
  </si>
  <si>
    <t>4 Slider Burgers and Baked Beans and Ice Cream</t>
  </si>
  <si>
    <t>CVS (Hairgel)</t>
  </si>
  <si>
    <t>Leftovers</t>
  </si>
  <si>
    <t>Ground Beef Flour Wraps + Snacks</t>
  </si>
  <si>
    <t>McDonald's</t>
  </si>
  <si>
    <t>3 McDoubles + 10 McNuggets + M Fry + L Coke</t>
  </si>
  <si>
    <t>Legos</t>
  </si>
  <si>
    <t>2015 Imperial Shuttle Tydirium (75094)</t>
  </si>
  <si>
    <t>10 chicken and cheese taquitoes + Snacks</t>
  </si>
  <si>
    <t>2 McDoubles + 20 McNuggets + L Fry + L Coke</t>
  </si>
  <si>
    <t>Haircut(s)</t>
  </si>
  <si>
    <t>Rent (June)</t>
  </si>
  <si>
    <t>Utilities (April)</t>
  </si>
  <si>
    <t>Italian Sandwich + Gatorade</t>
  </si>
  <si>
    <t>BBQ Chicken Pizza</t>
  </si>
  <si>
    <t>Double Cheeseburger w/ Large Fry and Large Coke</t>
  </si>
  <si>
    <t>3 McDoubles + 20 McNuggets + L Fry + L Coke</t>
  </si>
  <si>
    <t>2 Italian Sandwiches + Gatorade</t>
  </si>
  <si>
    <t>Bricktown Brewery</t>
  </si>
  <si>
    <t>Carnivore Pizza + Root Beer</t>
  </si>
  <si>
    <t>3.5 Kodiak Protein Waffles + Peanut Butter/Syrup + 2 Tortillas</t>
  </si>
  <si>
    <t>2 Fairlife Chocolate Milks</t>
  </si>
  <si>
    <t>Spicy Delx. w/ M Fry and L Cherry Coke + Brownie</t>
  </si>
  <si>
    <t>Spicy Delx. w/ L Fry and M Cherry Coke + Dasani Water Bottle</t>
  </si>
  <si>
    <t>4 crunchy tacos + 2 chicken flat bread + large pepsi</t>
  </si>
  <si>
    <t xml:space="preserve">Spicy Delx. w/ L Fry and L Cherry Coke </t>
  </si>
  <si>
    <t>Double Cheeseburger w/ Large Fry and Medium Coke</t>
  </si>
  <si>
    <t>1 Fairlife Chocolate Milk</t>
  </si>
  <si>
    <t>Half of a Pepperoni Pizza w/ Mike's Hot Honey + Snacks</t>
  </si>
  <si>
    <t>2 Cinammon Rolls + Poptart</t>
  </si>
  <si>
    <t>2 Cinammon Rolls</t>
  </si>
  <si>
    <t>Poptart</t>
  </si>
  <si>
    <t>2x Peanut Butter Crackers</t>
  </si>
  <si>
    <t>Peanut Butter Crackers</t>
  </si>
  <si>
    <t>Medical Properties Trust</t>
  </si>
  <si>
    <t>TMTG</t>
  </si>
  <si>
    <t>Dividend Total</t>
  </si>
  <si>
    <t>BBQ Chicken Pizza + Snacks</t>
  </si>
  <si>
    <t>Bigger Plate w/ 2 Orange Chicken and 1 Beijing Beef w/ White Rice and Medium Coke</t>
  </si>
  <si>
    <t>Spicy Delx. w/ L Fry and L Cherry Coke + Cookie + Cherry Berry Lemonade</t>
  </si>
  <si>
    <t>10 chicken and cheese taquitoes + salsa + Snacks</t>
  </si>
  <si>
    <t>10 chicken and cheese taquitoes + salsa</t>
  </si>
  <si>
    <t>Camping Trip</t>
  </si>
  <si>
    <t>4 Modelos</t>
  </si>
  <si>
    <t>Spicy Delx. w/ L Fry and L Sweet Tea</t>
  </si>
  <si>
    <t>Double Cheeseburger w/ Large Fry and Large Sprite</t>
  </si>
  <si>
    <t>UCO (Summer)</t>
  </si>
  <si>
    <t>Reg Monthly Payment Amount</t>
  </si>
  <si>
    <t>Rent (August)</t>
  </si>
  <si>
    <t>Spicy Delx. w/ L Fry and Cherry Berry Lemonade</t>
  </si>
  <si>
    <t>20 McNuggets w/ BBQ Sauce + M Fry + L Sprite + Snacks</t>
  </si>
  <si>
    <t>Dad (Extra Repayed on VW)</t>
  </si>
  <si>
    <t>Balance Diff</t>
  </si>
  <si>
    <t>Princ Diff</t>
  </si>
  <si>
    <t>Int Diff</t>
  </si>
  <si>
    <t>4 crunchy tacos + 2 chicken flat bread + large pepsi + snacks</t>
  </si>
  <si>
    <t>Intel</t>
  </si>
  <si>
    <t>NVIDIA</t>
  </si>
  <si>
    <t>Robinhood</t>
  </si>
  <si>
    <t>AMC</t>
  </si>
  <si>
    <t>Sunnova Energy</t>
  </si>
  <si>
    <t>Robinhood Markets</t>
  </si>
  <si>
    <t>On 6/9/2024, total difference is $2.21 from CashApp to Model</t>
  </si>
  <si>
    <t>Saved</t>
  </si>
  <si>
    <t>2 Cinnamon Rolls</t>
  </si>
  <si>
    <t xml:space="preserve">Snacks </t>
  </si>
  <si>
    <t>Father's Day Brunch</t>
  </si>
  <si>
    <t>French Toast at Red Rock</t>
  </si>
  <si>
    <t>20 Nuggets and Medium Fry + Large Sprite + Snacks</t>
  </si>
  <si>
    <t>Spicy Delx. w/ L Fry and L Lemonade</t>
  </si>
  <si>
    <t>Rent (July)</t>
  </si>
  <si>
    <t>Utilities (June)</t>
  </si>
  <si>
    <t xml:space="preserve">Double Cheeseburger w/ Large Fry and Medium Chocolate Shake </t>
  </si>
  <si>
    <t>Eggo Waffles with Peanut Butter and Maple Syrup</t>
  </si>
  <si>
    <t>Mom and Dad</t>
  </si>
  <si>
    <t>2 Brisket Sandwiches</t>
  </si>
  <si>
    <t>Spicy Delx. w/ L Fry and L Lemonade + Cookie</t>
  </si>
  <si>
    <t>4 crunchy tacos + 2 soft tacos + large pepsi</t>
  </si>
  <si>
    <t>ScreenRecorder</t>
  </si>
  <si>
    <t>Apogee Therapeutics</t>
  </si>
  <si>
    <t>Chewy</t>
  </si>
  <si>
    <t>First Majestic Silver</t>
  </si>
  <si>
    <t>Hecla Mining</t>
  </si>
  <si>
    <t>SSR Mining</t>
  </si>
  <si>
    <t>Trump Media</t>
  </si>
  <si>
    <t>Nike</t>
  </si>
  <si>
    <t>Tractor Supply</t>
  </si>
  <si>
    <t>Utilities (May + April + March)</t>
  </si>
  <si>
    <t>Braum's</t>
  </si>
  <si>
    <t>6 pc Chicken Strip Meal w/ L Fry + L Sprite + 2 pc Chicken Strip</t>
  </si>
  <si>
    <t>Dinner</t>
  </si>
  <si>
    <t>Double Cheeseburger w/ Large Fry and Large Sprite + 2 pc Chicken Strip</t>
  </si>
  <si>
    <t xml:space="preserve">Last Payment </t>
  </si>
  <si>
    <t>Order of Payoff</t>
  </si>
  <si>
    <t>Lunch</t>
  </si>
  <si>
    <t>6 pc Chicken Strip Meal w/ L Fry + L Root Beer + 2 pc Chicken Strip</t>
  </si>
  <si>
    <t>Chained Together</t>
  </si>
  <si>
    <t>Pacira BioSciences</t>
  </si>
  <si>
    <t>Apogee Therapeutrics</t>
  </si>
  <si>
    <t>Sunnova Energy International</t>
  </si>
  <si>
    <t>Peanut Butter Crackers, Gardettos, Payday</t>
  </si>
  <si>
    <t>Double Cheeseburger w/ Large Fry and Large Coke + 2 pc Chicken Strip</t>
  </si>
  <si>
    <t>Breakfast</t>
  </si>
  <si>
    <t>Peanut Butter Crackers and 2 Chocolate Chip Cookie Ice Cream Sandwiches</t>
  </si>
  <si>
    <t>Smoke</t>
  </si>
  <si>
    <t>QuantumScape</t>
  </si>
  <si>
    <t>3 DLT's, 1 Crunchy Taco, 1 Soft Taco, 1 Large Pepsi +  Chocolate Chip Cookie Ice Cream Sandwiches</t>
  </si>
  <si>
    <t>3 hot dogs + peanut butter crackers</t>
  </si>
  <si>
    <t>3 hot dogs + peanut butter crackers + Chocolate Chip Cookie Ice Cream Sandwich</t>
  </si>
  <si>
    <t>8 chicken and cheese taquitoes + Will's Hot Sauce + Snacks</t>
  </si>
  <si>
    <t>Double Cheeseburger w/ Large Fry and Large Root Beer + 2 pc Chicken Strip + Chocolate Chip Cookie Ice Cream Sandwich</t>
  </si>
  <si>
    <t>10 chicken and cheese taquitoes + Will's Hot Sauce + Snacks</t>
  </si>
  <si>
    <t>2 hot dogs + peanut butter crackers + Chocolate Chip Cookie Ice Cream Sandwich</t>
  </si>
  <si>
    <t>Buffalo Chicken Pizza + Chocolate Chip Cookie Ice Cream Sandwich</t>
  </si>
  <si>
    <t>10 chicken and cheese taquitoes + Will's Hot Sauce + 2 Chocolate Chip Cookie Ice Cream Sandwiches</t>
  </si>
  <si>
    <t>12 chicken and cheese taquitoes + Will's Hot Sauce + 2 Chocolate Chip Cookie Ice Cream Sandwiches</t>
  </si>
  <si>
    <t>3 hot dogs + Chocolate Chip Cookie Ice Cream Sandwich</t>
  </si>
  <si>
    <t>Pepperoni Pizza + Chocolate Chip Cookie Ice Cream Sandwich</t>
  </si>
  <si>
    <t>Double Cheeseburger w/ Large Fry and Large Root Beer + 4 pc Chicken Strip + Chocolate Chip Cookie Ice Cream Sandwich</t>
  </si>
  <si>
    <t>12 chicken and cheese taquitoes + Will's Hot Sauce + Chocolate Chip Cookie Ice Cream Sandwich</t>
  </si>
  <si>
    <t>12 chicken and cheese taquitoes + Will's Hot Sauce</t>
  </si>
  <si>
    <t>Bigger Plate w/ 2 Sweet Fire Chicken and 1 Hot Orange Chicken + Fried Rice + Large Coke</t>
  </si>
  <si>
    <t>2 hot dogs + peanut butter crackers + Oreos</t>
  </si>
  <si>
    <t>Double Cheeseburger w/ Large Fry and Large Root Beer + 4 pc Chicken Strip</t>
  </si>
  <si>
    <t>Spaghettio's and Snacks</t>
  </si>
  <si>
    <t>Friend's Birthday</t>
  </si>
  <si>
    <t>Cake and Snacks</t>
  </si>
  <si>
    <t>Uncle Jeff and Anthony's Birthday</t>
  </si>
  <si>
    <t>2 slices of lasagna, two slices of bread, one breadstick, fried okra, and cake</t>
  </si>
  <si>
    <t>SunPower</t>
  </si>
  <si>
    <t>Rent (September)</t>
  </si>
  <si>
    <t>Rent (October)</t>
  </si>
  <si>
    <t>Carnivore Pizza and Root Beer</t>
  </si>
  <si>
    <t>Confluent</t>
  </si>
  <si>
    <t>Peanut Butter Crackers and Chocolate Chip Cookie Ice Cream Sandwich</t>
  </si>
  <si>
    <t>BBQ Chicken Pizza + Chocolate Chip Cookie Ice Cream Sandwich</t>
  </si>
  <si>
    <t xml:space="preserve">Late </t>
  </si>
  <si>
    <t>8/X/2024</t>
  </si>
  <si>
    <t>3 Hot Dogs and 2 CCCICS</t>
  </si>
  <si>
    <t>3 Hot Dogs and a CCCICS</t>
  </si>
  <si>
    <t>Spaghettios + Peanut Butter Crackers + CCCICS</t>
  </si>
  <si>
    <t>Rudy's BBQ</t>
  </si>
  <si>
    <t>3 Chicken Flat Bread + Large Pepsi</t>
  </si>
  <si>
    <t>Spicy Delx. w/ L Fry and M Lemonade + Chocolate Chip Cookie</t>
  </si>
  <si>
    <t>2 Hot Dogs + CCCICS</t>
  </si>
  <si>
    <t>Exercise Days per Month</t>
  </si>
  <si>
    <t>Monthly Weight</t>
  </si>
  <si>
    <t>Powdered Mini Donuts</t>
  </si>
  <si>
    <t>Spicy Delx Chicken Sandwich w/ M Fry and L Lemonade + 2 CCCICS</t>
  </si>
  <si>
    <t>9 hawaiin rolls and a peanut butter chewy bar</t>
  </si>
  <si>
    <t>UCO Event</t>
  </si>
  <si>
    <t>Hot Dog &amp; Dr. Pepper</t>
  </si>
  <si>
    <t>4 crunchy tacos + 1 soft taco + L Pepsi</t>
  </si>
  <si>
    <t>2 cans of Spaghettios</t>
  </si>
  <si>
    <t>Spicy Delx Chicken Sandwich w/ L Fry and L Lemonade</t>
  </si>
  <si>
    <t>Spicy Delx Chicken Sandwich w/ L Fry and L Lemonade and Cookies and Cream Shake and a bunch of snacks later</t>
  </si>
  <si>
    <t>4 Angus Burgers w/ Brioche Buns and Spicy Pickles</t>
  </si>
  <si>
    <t>6 chicken and cheese taquitos + 3 flour tortillas and 3 chocolate chip cookie ice cream sandwich</t>
  </si>
  <si>
    <t>?</t>
  </si>
  <si>
    <t>... + CCCICS</t>
  </si>
  <si>
    <t>8 chicken and cheese taquitos + 4 flour tortillas and 1 chocolate chip cookie ice cream sandwich + 3 hawaiian rolls</t>
  </si>
  <si>
    <t>Spicy Delx Chicken Sandwich w/ L Fry and M Root Beer + CCCICS</t>
  </si>
  <si>
    <t>Spaghettios and 7 chicken and cheese taquiotes and ice cream</t>
  </si>
  <si>
    <t>Spicy Delx Chicken Sandwich w/ L Fry and L Root Beer</t>
  </si>
  <si>
    <t>2 Angus Burgers w/ Brioche Buns and Spicy Pickles + 7 chicken and cheese taquitos + 3 tortillas + 2 CCCICS</t>
  </si>
  <si>
    <t>Bigger plate with sweet fire chicken and white rice and small root beer + CCCICS</t>
  </si>
  <si>
    <t xml:space="preserve">8 chicken and cheese taquitos + 4 flour tortillas and 1 chocolate chip cookie ice cream sandwich </t>
  </si>
  <si>
    <t>Gatorade Protein Bar, Chicken and Cheese Quesadilla, CCCICS, Ben and Jerry's Ice Cream, and 3 powdered donuts</t>
  </si>
  <si>
    <t>Double Burger w/ L Fry and L Root Beer + 4 Chicken Strips + CCCICS</t>
  </si>
  <si>
    <t>8 chicken and cheese taquitos + 4 flour tortillas and ice cream</t>
  </si>
  <si>
    <t>Bigger plate with orange chicken and white rice and small root beer</t>
  </si>
  <si>
    <t>2 waffles with peanut butter and syrup</t>
  </si>
  <si>
    <t>and peanut butter crackers and ice cream</t>
  </si>
  <si>
    <t>Spaghettios and ice cream</t>
  </si>
  <si>
    <t>UCO Store</t>
  </si>
  <si>
    <t>Snack meats and cheese</t>
  </si>
  <si>
    <t>6 chicken and cheese taquitos + 3 flour tortillas and ice cream</t>
  </si>
  <si>
    <t>6 chicken and cheese taquitos + 3 flour tortillas</t>
  </si>
  <si>
    <t>Spaghettios</t>
  </si>
  <si>
    <t>Double Burger w/ L Fry and L Root Beer + CCCICS</t>
  </si>
  <si>
    <t>2 Angus Burgers w/ Brioche Buns and Spicy Pickles + 2 CCCIC</t>
  </si>
  <si>
    <t>2 Angus Burgers w/ Brioche Buns and Spicy Pickles + CCCIC</t>
  </si>
  <si>
    <t>10 chicken and cheese taquitos</t>
  </si>
  <si>
    <t>Chicken N' Pickle</t>
  </si>
  <si>
    <t>Smash Burger and Fries</t>
  </si>
  <si>
    <t>UCO Meeting</t>
  </si>
  <si>
    <t>Spaghettios and 2 chocolate fudge bars</t>
  </si>
  <si>
    <t>3 Hot Dogs</t>
  </si>
  <si>
    <t>Spicy Delx Chicken Sandwich w/ L Fry and L Lemonade and ice cream</t>
  </si>
  <si>
    <t>Spicy Delx Chicken Sandwich w/ L Fry and L Lemonade and cookie + ice cream</t>
  </si>
  <si>
    <t>Spicy Delx Chicken Sandwich w/ L Fry and L Lemonade and a bunch of ice cream</t>
  </si>
  <si>
    <t>Gyro and fries</t>
  </si>
  <si>
    <t>Dale and Dawson's</t>
  </si>
  <si>
    <t>Bigger plate w/ 2 Beijing Beef and 1 Orange Chicken w/ white rice + small root beer</t>
  </si>
  <si>
    <t>Dinner 2</t>
  </si>
  <si>
    <t>3 chicken and cheese taquitos + 3 flour tortillas and a peanut butter chewy bar</t>
  </si>
  <si>
    <t>Bigger plate w/ 3 Sweet Fire Chicken and white rice + small root beer</t>
  </si>
  <si>
    <t>Rising crust pepperoni pizza</t>
  </si>
  <si>
    <t>Spaghettios and 2 peanut butter chewy bars</t>
  </si>
  <si>
    <t>Double Burger w/ M Fry and L Root Beer + 4 Chicken Strips</t>
  </si>
  <si>
    <t>Peanut butter crackers and reese's pieces</t>
  </si>
  <si>
    <t>2 packs of peanut butter crackers and spaghettios</t>
  </si>
  <si>
    <t>Spicy Delx Chicken Sandwich w/ L Fry and L Root Beer + Chocolate Chip Cookie + Chewy Bar</t>
  </si>
  <si>
    <t>Double Burger w/ L Fry and L Root Beer</t>
  </si>
  <si>
    <t>Spicy Delx Chicken Sandwich w/ L Fry and L Root Beer + Chocolate Chip Cookie + 8 pc Chicken Nugget</t>
  </si>
  <si>
    <t>Spicy Delx Chicken Sandwich w/ L Fry and L Root Beer + Chocolate Chip Cookie</t>
  </si>
  <si>
    <t>4 crunchy tacos + 1 chicken quesadilla + L Pepsi</t>
  </si>
  <si>
    <t>3 chewy bars and 2 packs of peanut butter crackers</t>
  </si>
  <si>
    <t>Double Burger w/ L Fry and L Root Beer + 4 Chicken Strips</t>
  </si>
  <si>
    <t xml:space="preserve">Dinner 2 </t>
  </si>
  <si>
    <t>2 packs of peanut butter crackers, 2 peanut butter chewy bars, and 2 fairlife chocolate milks</t>
  </si>
  <si>
    <t>2 fairlife chocolate milks</t>
  </si>
  <si>
    <t>Mom and Dad (Crown Help)</t>
  </si>
  <si>
    <t>3 McDoubles + M Fry + L Coke</t>
  </si>
  <si>
    <t>Bigger Plate w/ Orange Chicken and White Rice + Small Root Beer</t>
  </si>
  <si>
    <t>Double Burger w/ L Fry and L Coke + Double Dip Lava Cake Sunday</t>
  </si>
  <si>
    <t xml:space="preserve">Dinner </t>
  </si>
  <si>
    <t>Spicy Delx Chicken Sandwich w/ L Fry + L Root Beer + Chocolate Chip Cookie</t>
  </si>
  <si>
    <t>Plate w/ Orange Chicken and White Rice + Small Root Beer</t>
  </si>
  <si>
    <t>A pack of peanut butter crackers, 2 peanut butter chewy bars</t>
  </si>
  <si>
    <t>Mom (Groceries)</t>
  </si>
  <si>
    <t>Utilities (August)</t>
  </si>
  <si>
    <t>Utilities (July)</t>
  </si>
  <si>
    <t>Utilities (September)</t>
  </si>
  <si>
    <t>Utilities (October)</t>
  </si>
  <si>
    <t>Spicy Delx Chicken Sandwich w/ M Fry + L Root Beer + Chocolate Chip Cookie</t>
  </si>
  <si>
    <t>8 chicken and cheese taquitos + 4 flour tortillas and snacks</t>
  </si>
  <si>
    <t>Bigger Plate w/ Sweet Fire Chicken + White Rice and Small Root Beer</t>
  </si>
  <si>
    <t>Double Burger w/ M Fry and L Root Beer + Double Dip Lava Cake Sunday</t>
  </si>
  <si>
    <t>Chick-Fil-A + DoorDash</t>
  </si>
  <si>
    <t>Spicy Delx Chicken Sandwich w/ M Fry + L Root Beer + Spicy Chicken Sandwich</t>
  </si>
  <si>
    <t>Spicy Delx Chicken Sandwich w/ M Fry + M Root Beer</t>
  </si>
  <si>
    <t>Plate w/ Orange Chicken and White Rice + Small Dr. Pepper</t>
  </si>
  <si>
    <t>Plate w/ Sweet Fire Chicken and White Rice + Small Root Beer</t>
  </si>
  <si>
    <t>Carnivore Pizza and 2 Root Beer</t>
  </si>
  <si>
    <t>8 chicken and cheese taquitos + 2 flour tortillas</t>
  </si>
  <si>
    <t>8 chicken and cheese taquitos + 4 flour tortillas</t>
  </si>
  <si>
    <t>8 chicken and cheese taquitos + 4 flour tortillas + 2 root beers</t>
  </si>
  <si>
    <t>Bigger Plate w/ Orange Chicken and Sweet Fire Chicken and White Rice + Small Root Beer</t>
  </si>
  <si>
    <t>Chocolate Milk and 4 Peanut Butter Balls</t>
  </si>
  <si>
    <t>Headlights/Taillights</t>
  </si>
  <si>
    <t>Bigger Plate w/ Sweet Fire Chicken and White Rice + Small Root Beer</t>
  </si>
  <si>
    <t>Spicy Delx Chicken Sandwich w/ M Fry + L Root Beer + Spicy Delx Chicken Sandwich</t>
  </si>
  <si>
    <t>Micron Technologies</t>
  </si>
  <si>
    <t>GE Aerospace</t>
  </si>
  <si>
    <t>Lockheed Martin</t>
  </si>
  <si>
    <t>Spicy Delx Chicken Sandwich w/ M Fry + L Root Beer +  Cookies and Cream Shake</t>
  </si>
  <si>
    <t>Double Burger w/ M Fry + M Root Beer + HBBQCSS</t>
  </si>
  <si>
    <t>Trump Media &amp; Technology Group</t>
  </si>
  <si>
    <t>Fairlife Chocolate Milk + 4 peanut butter bites</t>
  </si>
  <si>
    <t>4 peanut butter bites + Eileen's cookie</t>
  </si>
  <si>
    <t>Peloton</t>
  </si>
  <si>
    <t>Snacks and Sodas</t>
  </si>
  <si>
    <t>Spicy Delx Chicken Sandwich w/ L Fry + L Root Beer</t>
  </si>
  <si>
    <t xml:space="preserve">Party </t>
  </si>
  <si>
    <t>Party Snacks</t>
  </si>
  <si>
    <t>UCO Vending Machine</t>
  </si>
  <si>
    <t>Spicy Delx Chicken Sandwich w/ L Fry + L Coke</t>
  </si>
  <si>
    <t>Preworkout (Fabian)</t>
  </si>
  <si>
    <t>Regular Monthly Payment</t>
  </si>
  <si>
    <t>Last Payment Received</t>
  </si>
  <si>
    <t>Bigger Plate w/ Orange Chicken and Sweet Fire Chicken and White Rice</t>
  </si>
  <si>
    <t>Bigger Plate w/ Orange Chicken and White Rice</t>
  </si>
  <si>
    <t>Bigger Plate w/ Sweet Fire Chicken and White Rice + Small Drink</t>
  </si>
  <si>
    <t>Bigger Plate w/ Orange Chicken and White Rice + Small Drink</t>
  </si>
  <si>
    <t>Panda Express Delivery</t>
  </si>
  <si>
    <t>Bigger Plate w/ Orange Chicken and White Rice + Large Drink</t>
  </si>
  <si>
    <t>Spicy Delx Chicken Sandwich w/ M Fry + L Root Beer + Spicy Chicken Sandwich + Cookie</t>
  </si>
  <si>
    <t>Double Burger w/ M Fry + L Root Beer + HBBQCSS</t>
  </si>
  <si>
    <t>Double Burger w/ M Fry + L Root Beer + HBBQCSS + Brownie (Didn't get brownie)</t>
  </si>
  <si>
    <t>Affirm</t>
  </si>
  <si>
    <t>Yes :(</t>
  </si>
  <si>
    <t>Microchip Technology</t>
  </si>
  <si>
    <t>ChatGPT</t>
  </si>
  <si>
    <t>Utilities (Nov)</t>
  </si>
  <si>
    <t>Plate w/ Orange Chicken and White rice + Small Drink</t>
  </si>
  <si>
    <t>Uncle Charlie Christmas</t>
  </si>
  <si>
    <t>Bills</t>
  </si>
  <si>
    <t>OKC</t>
  </si>
  <si>
    <t>OGE</t>
  </si>
  <si>
    <t>ONG</t>
  </si>
  <si>
    <t>Water</t>
  </si>
  <si>
    <t>Cox</t>
  </si>
  <si>
    <t>Paid</t>
  </si>
  <si>
    <t>Month (of Usage)</t>
  </si>
  <si>
    <t>Due</t>
  </si>
  <si>
    <t>Pay Date</t>
  </si>
  <si>
    <t>Total Due</t>
  </si>
  <si>
    <t>Christmas Dinner</t>
  </si>
  <si>
    <t>Turkey, Ham, Glazed Carrots, Mac &amp; Cheese, Beans, Bread Rolls</t>
  </si>
  <si>
    <t>Christmas Breakfast</t>
  </si>
  <si>
    <t>Breakfast Casserole and Cinnamon Roll</t>
  </si>
  <si>
    <t>Utilities Audit</t>
  </si>
  <si>
    <t>Before Payment</t>
  </si>
  <si>
    <t>After Payment</t>
  </si>
  <si>
    <t>10 Chicken and Cheese Taquitos + 4 flour tortillas + 2 root beers</t>
  </si>
  <si>
    <t>Utilities (December)</t>
  </si>
  <si>
    <t>BOK Savings Service Fee</t>
  </si>
  <si>
    <t>Double Whataburger + M Fry + M Root Beer + HBBQCSS</t>
  </si>
  <si>
    <t>Birthday - Mom &amp; Dad</t>
  </si>
  <si>
    <t>Utilities (January)</t>
  </si>
  <si>
    <t xml:space="preserve">Fabian </t>
  </si>
  <si>
    <t>VW Insurance</t>
  </si>
  <si>
    <t>Homeless Guy</t>
  </si>
  <si>
    <t>Utilities (February)</t>
  </si>
  <si>
    <t>Schedule 1 (Steam)</t>
  </si>
  <si>
    <t>Taxes</t>
  </si>
  <si>
    <t>Tri-Sigma Donation</t>
  </si>
  <si>
    <t>Disney</t>
  </si>
  <si>
    <t>Lunch for Mika</t>
  </si>
  <si>
    <t>Palantir</t>
  </si>
  <si>
    <t>Iovance Biotherapeutics</t>
  </si>
  <si>
    <t>Compass</t>
  </si>
  <si>
    <t>Reward to Risk</t>
  </si>
  <si>
    <t>Risk to Reward</t>
  </si>
  <si>
    <t>Driver's License Renewal</t>
  </si>
  <si>
    <t>Utilities (May)</t>
  </si>
  <si>
    <t>Father's Day Card</t>
  </si>
  <si>
    <t>Steam (AoE 2)</t>
  </si>
  <si>
    <t>Apple (Mower - $580)</t>
  </si>
  <si>
    <t>Ed</t>
  </si>
  <si>
    <t>Tesla</t>
  </si>
  <si>
    <t xml:space="preserve">Array Technologies </t>
  </si>
  <si>
    <t>MicroStrategy</t>
  </si>
  <si>
    <t>ASML Holding</t>
  </si>
  <si>
    <t xml:space="preserve">Disney </t>
  </si>
  <si>
    <t>American Eagle</t>
  </si>
  <si>
    <t>American Express</t>
  </si>
  <si>
    <t>Nielsen Media Mail Survey</t>
  </si>
  <si>
    <t>ASML</t>
  </si>
  <si>
    <t>Kratos Defense &amp; Security</t>
  </si>
  <si>
    <t>Array Technologies</t>
  </si>
  <si>
    <t>CrackerBarrel</t>
  </si>
  <si>
    <t>SPS Shirt</t>
  </si>
  <si>
    <t>Ed*</t>
  </si>
  <si>
    <t>Cox Communications</t>
  </si>
  <si>
    <t>Cava</t>
  </si>
  <si>
    <t>Rocket Lab</t>
  </si>
  <si>
    <t>&lt;- Before Oct 31... App no longer shows VSP so having to infer manually...</t>
  </si>
  <si>
    <t>Rigetti Computing</t>
  </si>
  <si>
    <t>D Wave Quantum</t>
  </si>
  <si>
    <t>American Eagle Outfitters</t>
  </si>
  <si>
    <t>FSAE Bake Sale</t>
  </si>
  <si>
    <t>ARC Raiders</t>
  </si>
  <si>
    <t>Broadway Tag Agency</t>
  </si>
  <si>
    <t>Cracker Barrel</t>
  </si>
  <si>
    <t>Micro Strategy</t>
  </si>
  <si>
    <t>AST Space Mobile</t>
  </si>
  <si>
    <t>Paramount+</t>
  </si>
  <si>
    <t>Instant Cash App Fee</t>
  </si>
  <si>
    <t>CoreWeave</t>
  </si>
  <si>
    <t>PERCENT PAID</t>
  </si>
  <si>
    <t>Lululemon Athletica</t>
  </si>
  <si>
    <t>American Express Card</t>
  </si>
  <si>
    <t>Estimated Income</t>
  </si>
  <si>
    <t>Net Deployed Capital</t>
  </si>
  <si>
    <t>Fair Market Value (Carrying Value)</t>
  </si>
  <si>
    <t>Adjusted Cash Basis</t>
  </si>
  <si>
    <t>Proceeds at Cost Basis</t>
  </si>
  <si>
    <t>Book Value of Depositions</t>
  </si>
  <si>
    <t>Unrealized Loss</t>
  </si>
  <si>
    <t>Holding Period Return (Cumulative Return)</t>
  </si>
  <si>
    <t>Total Return</t>
  </si>
  <si>
    <t>Comprehensive Income</t>
  </si>
  <si>
    <t>Realized Gain/Loss</t>
  </si>
  <si>
    <t>Holding Gain</t>
  </si>
  <si>
    <t>Unrealized Gain/Loss</t>
  </si>
  <si>
    <t>Recognized Gain</t>
  </si>
  <si>
    <t>ECONOMIC MODEL</t>
  </si>
  <si>
    <t>PARAMETER DEFINITIONS</t>
  </si>
  <si>
    <t>Sample Monthly Cash Flow Dynamics</t>
  </si>
  <si>
    <t>Economic Term</t>
  </si>
  <si>
    <t>Symbol</t>
  </si>
  <si>
    <t>Units</t>
  </si>
  <si>
    <t>Fluid Equivalent</t>
  </si>
  <si>
    <t>Fluid Symbol</t>
  </si>
  <si>
    <t>Fluid Units</t>
  </si>
  <si>
    <t>Account Balance</t>
  </si>
  <si>
    <t>B(t)</t>
  </si>
  <si>
    <t>$</t>
  </si>
  <si>
    <t>Reservoir Volume</t>
  </si>
  <si>
    <t>V(t)</t>
  </si>
  <si>
    <t>m³</t>
  </si>
  <si>
    <t>Velocity</t>
  </si>
  <si>
    <t>Acceleration</t>
  </si>
  <si>
    <t>Jerk</t>
  </si>
  <si>
    <t>Income (Inflow)</t>
  </si>
  <si>
    <t>I(t)</t>
  </si>
  <si>
    <t>$/mo</t>
  </si>
  <si>
    <t>Inflow Rate</t>
  </si>
  <si>
    <t>Qᵢₙ(t)</t>
  </si>
  <si>
    <t>m³/s</t>
  </si>
  <si>
    <t>—</t>
  </si>
  <si>
    <t>Spending (Outflow)</t>
  </si>
  <si>
    <t>S(t)</t>
  </si>
  <si>
    <t>Outflow Rate</t>
  </si>
  <si>
    <t>Qₒᵤₜ(t)</t>
  </si>
  <si>
    <t>Net Cash Flow</t>
  </si>
  <si>
    <t>dB/dt</t>
  </si>
  <si>
    <t>Net Flow Rate</t>
  </si>
  <si>
    <t>dV/dt</t>
  </si>
  <si>
    <t>Velocity (Savings Rate)</t>
  </si>
  <si>
    <t>v = dB/dt</t>
  </si>
  <si>
    <t>Flow Velocity</t>
  </si>
  <si>
    <t>v = dV/dt</t>
  </si>
  <si>
    <t>a = d²B/dt²</t>
  </si>
  <si>
    <t>$/mo²</t>
  </si>
  <si>
    <t>Flow Acceleration</t>
  </si>
  <si>
    <t>a = d²V/dt²</t>
  </si>
  <si>
    <t>m³/s²</t>
  </si>
  <si>
    <t>Jerk (Δ Acceleration)</t>
  </si>
  <si>
    <t>j = d³B/dt³</t>
  </si>
  <si>
    <t>$/mo³</t>
  </si>
  <si>
    <t>Flow Jerk</t>
  </si>
  <si>
    <t>j = d³V/dt³</t>
  </si>
  <si>
    <t>m³/s³</t>
  </si>
  <si>
    <t>GOVERNING EQUATIONS</t>
  </si>
  <si>
    <t>Economic:</t>
  </si>
  <si>
    <t>dB/dt = I(t) − S(t)</t>
  </si>
  <si>
    <t>Fluid:</t>
  </si>
  <si>
    <t>dV/dt = Qᵢₙ(t) − Qₒᵤₜ(t)</t>
  </si>
  <si>
    <t>Conservation of Mass (Money):</t>
  </si>
  <si>
    <t>B(t) = B₀ + ∫[I(τ) − S(τ)]dτ</t>
  </si>
  <si>
    <t>SUMMARY STATISTICS</t>
  </si>
  <si>
    <t>IDENTIFIED PARAMETERS</t>
  </si>
  <si>
    <t>Metric</t>
  </si>
  <si>
    <t>Interpretation</t>
  </si>
  <si>
    <t>Status</t>
  </si>
  <si>
    <t>Economic Parameter</t>
  </si>
  <si>
    <t>Fluid Parameter</t>
  </si>
  <si>
    <t>Notes</t>
  </si>
  <si>
    <t>Initial Balance</t>
  </si>
  <si>
    <t>Starting reservoir level</t>
  </si>
  <si>
    <t>✓</t>
  </si>
  <si>
    <t>Balance B(t)</t>
  </si>
  <si>
    <t>Volume V(t)</t>
  </si>
  <si>
    <t>State variable</t>
  </si>
  <si>
    <t>Final Balance</t>
  </si>
  <si>
    <t>Ending reservoir level</t>
  </si>
  <si>
    <t>Income I(t)</t>
  </si>
  <si>
    <t>Inflow Rate Qᵢₙ</t>
  </si>
  <si>
    <t>Source term</t>
  </si>
  <si>
    <t>Total Inflow</t>
  </si>
  <si>
    <t>Cumulative income</t>
  </si>
  <si>
    <t>Spending S(t)</t>
  </si>
  <si>
    <t>Outflow Rate Qₒᵤₜ</t>
  </si>
  <si>
    <t>Sink term</t>
  </si>
  <si>
    <t>Total Outflow</t>
  </si>
  <si>
    <t>Cumulative spending</t>
  </si>
  <si>
    <t>Velocity v = dB/dt</t>
  </si>
  <si>
    <t>Flow velocity v</t>
  </si>
  <si>
    <t>1st derivative</t>
  </si>
  <si>
    <t>Net Flow</t>
  </si>
  <si>
    <t>Net accumulation</t>
  </si>
  <si>
    <t>Acceleration a</t>
  </si>
  <si>
    <t>Flow acceleration a</t>
  </si>
  <si>
    <t>2nd derivative</t>
  </si>
  <si>
    <t>Avg Velocity</t>
  </si>
  <si>
    <t>Mean savings rate</t>
  </si>
  <si>
    <t>Jerk j</t>
  </si>
  <si>
    <t>Flow jerk j</t>
  </si>
  <si>
    <t>3rd derivative</t>
  </si>
  <si>
    <t>Avg Acceleration</t>
  </si>
  <si>
    <t>Mean acceleration</t>
  </si>
  <si>
    <t>Velocity σ</t>
  </si>
  <si>
    <t>Volatility of savings rate</t>
  </si>
  <si>
    <t>Transaction Friction</t>
  </si>
  <si>
    <t>Viscosity μ</t>
  </si>
  <si>
    <t>STABILITY INDICATORS</t>
  </si>
  <si>
    <t>Market Volatility</t>
  </si>
  <si>
    <t>Condition</t>
  </si>
  <si>
    <t>Implication</t>
  </si>
  <si>
    <t>v &gt; 0 (saving)</t>
  </si>
  <si>
    <t>a &gt; 0 (improving)</t>
  </si>
  <si>
    <t>Accelerating growth</t>
  </si>
  <si>
    <t>v &gt; 0, a &gt; 0</t>
  </si>
  <si>
    <t>System trajectory</t>
  </si>
  <si>
    <t>FLUID DYNAMICS MODEL</t>
  </si>
  <si>
    <t>Sample Tank Flow Dynamics (Normalized Units)</t>
  </si>
  <si>
    <t>Fluid Term</t>
  </si>
  <si>
    <t>Economic Equivalent</t>
  </si>
  <si>
    <t>Econ Symbol</t>
  </si>
  <si>
    <t>Econ Units</t>
  </si>
  <si>
    <t>L</t>
  </si>
  <si>
    <t>Time</t>
  </si>
  <si>
    <t>Inflow</t>
  </si>
  <si>
    <t>Outflow</t>
  </si>
  <si>
    <t>Volume</t>
  </si>
  <si>
    <t>L/s</t>
  </si>
  <si>
    <t>t₀</t>
  </si>
  <si>
    <t>t₁</t>
  </si>
  <si>
    <t>t₂</t>
  </si>
  <si>
    <t>t₃</t>
  </si>
  <si>
    <t>L/s²</t>
  </si>
  <si>
    <t>t₄</t>
  </si>
  <si>
    <t>L/s³</t>
  </si>
  <si>
    <t>t₅</t>
  </si>
  <si>
    <t>t₆</t>
  </si>
  <si>
    <t>t₇</t>
  </si>
  <si>
    <t>t₈</t>
  </si>
  <si>
    <t>Continuity Equation:</t>
  </si>
  <si>
    <t>t₉</t>
  </si>
  <si>
    <t>t₁₀</t>
  </si>
  <si>
    <t>Mass Conservation:</t>
  </si>
  <si>
    <t>dρV/dt = ṁᵢₙ − ṁₒᵤₜ</t>
  </si>
  <si>
    <t>t₁₁</t>
  </si>
  <si>
    <t>t₁₂</t>
  </si>
  <si>
    <t>Integral Form:</t>
  </si>
  <si>
    <t>(Δt = 1 unit)</t>
  </si>
  <si>
    <t>V(t) = V₀ + ∫[Qᵢₙ(τ) − Qₒᵤₜ(τ)]dτ</t>
  </si>
  <si>
    <t>Parameter</t>
  </si>
  <si>
    <t>Economic Analogue</t>
  </si>
  <si>
    <t>Initial Volume</t>
  </si>
  <si>
    <t>Starting level</t>
  </si>
  <si>
    <t>Pressure</t>
  </si>
  <si>
    <t>P</t>
  </si>
  <si>
    <t>Pa</t>
  </si>
  <si>
    <t>Final Volume</t>
  </si>
  <si>
    <t>Ending level</t>
  </si>
  <si>
    <t>Density</t>
  </si>
  <si>
    <t>ρ</t>
  </si>
  <si>
    <t>kg/m³</t>
  </si>
  <si>
    <t>Cumulative input</t>
  </si>
  <si>
    <t>Viscosity</t>
  </si>
  <si>
    <t>μ</t>
  </si>
  <si>
    <t>Pa·s</t>
  </si>
  <si>
    <t>Cumulative output</t>
  </si>
  <si>
    <t>Pipe Diameter</t>
  </si>
  <si>
    <t>D</t>
  </si>
  <si>
    <t>m</t>
  </si>
  <si>
    <t>Reynolds Number</t>
  </si>
  <si>
    <t>Re</t>
  </si>
  <si>
    <t>Mean flow rate</t>
  </si>
  <si>
    <t>σ</t>
  </si>
  <si>
    <t>Compressibility</t>
  </si>
  <si>
    <t>κ</t>
  </si>
  <si>
    <t>1/Pa</t>
  </si>
  <si>
    <t>Flow variability</t>
  </si>
  <si>
    <t>Temperature</t>
  </si>
  <si>
    <t>T</t>
  </si>
  <si>
    <t>K</t>
  </si>
  <si>
    <t>Head Loss (Darcy)</t>
  </si>
  <si>
    <t>hₗ</t>
  </si>
  <si>
    <t>Fees / Taxes</t>
  </si>
  <si>
    <t>Bernoulli Energy</t>
  </si>
  <si>
    <t>Total Financial Energy</t>
  </si>
  <si>
    <t>v &gt; 0 (filling)</t>
  </si>
  <si>
    <t>a &gt; 0 (accelerating)</t>
  </si>
  <si>
    <t>Flow increasing</t>
  </si>
  <si>
    <t xml:space="preserve">    Qᵢₙ ──────►┌─────────┐</t>
  </si>
  <si>
    <t>System state</t>
  </si>
  <si>
    <t xml:space="preserve">                │  V(t)   │</t>
  </si>
  <si>
    <t xml:space="preserve">                │ ~~~~~~  │──────► Qₒᵤₜ</t>
  </si>
  <si>
    <t xml:space="preserve">                └─────────┘</t>
  </si>
  <si>
    <t>dV/dt = Qᵢₙ − Qₒᵤₜ</t>
  </si>
  <si>
    <t>PHYSICAL PARAMETERS (Economic Analogues)</t>
  </si>
  <si>
    <t>Mapping fluid physics to economic behavior</t>
  </si>
  <si>
    <t>Reynolds №</t>
  </si>
  <si>
    <t>Kinetic E</t>
  </si>
  <si>
    <t>Potential E</t>
  </si>
  <si>
    <t>Total Energy</t>
  </si>
  <si>
    <t>ΔEnergy</t>
  </si>
  <si>
    <t>Flow Regime</t>
  </si>
  <si>
    <t>Bernoulli</t>
  </si>
  <si>
    <t>B ($)</t>
  </si>
  <si>
    <t>v ($/mo)</t>
  </si>
  <si>
    <t>P (rate)</t>
  </si>
  <si>
    <t>ρ (pwr)</t>
  </si>
  <si>
    <t>μ (friction)</t>
  </si>
  <si>
    <t>½ρv²</t>
  </si>
  <si>
    <t>ρgB</t>
  </si>
  <si>
    <t>KE + PE</t>
  </si>
  <si>
    <t>P+½ρv²+ρgh</t>
  </si>
  <si>
    <t>PARAMETER LEGEND</t>
  </si>
  <si>
    <t>Pressure (P)</t>
  </si>
  <si>
    <t>Interest rate or financial urgency - drives flow direction</t>
  </si>
  <si>
    <t>Density (ρ)</t>
  </si>
  <si>
    <t>Purchasing power - how much "mass" per dollar</t>
  </si>
  <si>
    <t>Viscosity (μ)</t>
  </si>
  <si>
    <t>Transaction friction - fees, taxes, resistance to flow</t>
  </si>
  <si>
    <t>Re = ρvL/μ — Laminar (&lt;2000) = steady; Turbulent (&gt;4000) = chaotic spending</t>
  </si>
  <si>
    <t>Kinetic Energy</t>
  </si>
  <si>
    <t>½ρv² — Energy in motion (active cash flow momentum)</t>
  </si>
  <si>
    <t>Potential Energy</t>
  </si>
  <si>
    <t>ρgB — Stored energy (balance × purchasing power)</t>
  </si>
  <si>
    <t>PHYSICAL PARAMETERS (Fluid Dynamics)</t>
  </si>
  <si>
    <t>Complete fluid physics calculations</t>
  </si>
  <si>
    <t>V (L)</t>
  </si>
  <si>
    <t>v (L/s)</t>
  </si>
  <si>
    <t>P (Pa)</t>
  </si>
  <si>
    <t>ρ (kg/m³)</t>
  </si>
  <si>
    <t>μ (Pa·s)</t>
  </si>
  <si>
    <t>ρgh</t>
  </si>
  <si>
    <t>101325 Pa = 1 atm (atmospheric pressure at tank surface)</t>
  </si>
  <si>
    <t>1000 kg/m³ (water at 20°C)</t>
  </si>
  <si>
    <t>0.001 Pa·s (dynamic viscosity of water)</t>
  </si>
  <si>
    <t>Re = ρvD/μ — Laminar (&lt;2000), Transition (2000-4000), Turbulent (&gt;4000)</t>
  </si>
  <si>
    <t>½ρv² — Energy per unit volume due to motion (J/m³)</t>
  </si>
  <si>
    <t>ρgh — Gravitational potential energy per unit volume</t>
  </si>
  <si>
    <t>MULTI-TANK TRANSFER DYNAMICS</t>
  </si>
  <si>
    <t>Three-tank system: Checking → Savings → Investments (with market volatility)</t>
  </si>
  <si>
    <t>SYSTEM PARAMETERS</t>
  </si>
  <si>
    <t>STATE-SPACE REPRESENTATION</t>
  </si>
  <si>
    <t>Description</t>
  </si>
  <si>
    <t>dX/dt = AX + Bu</t>
  </si>
  <si>
    <t>Transfer Rate (C→S)</t>
  </si>
  <si>
    <t>k₁₂</t>
  </si>
  <si>
    <t>/mo</t>
  </si>
  <si>
    <t>Rate of flow from Checking to Savings</t>
  </si>
  <si>
    <t>State Vector X:</t>
  </si>
  <si>
    <t>Transfer Rate (S→I)</t>
  </si>
  <si>
    <t>k₂₃</t>
  </si>
  <si>
    <t>Rate of flow from Savings to Investments</t>
  </si>
  <si>
    <t>X = [V₁, V₂, V₃]ᵀ</t>
  </si>
  <si>
    <t>Savings Interest Rate</t>
  </si>
  <si>
    <t>r₂</t>
  </si>
  <si>
    <t>Monthly interest on savings (~5% APY)</t>
  </si>
  <si>
    <t xml:space="preserve">  V₁ = Checking</t>
  </si>
  <si>
    <t>Market Return Rate</t>
  </si>
  <si>
    <t>α(t)</t>
  </si>
  <si>
    <t>Expected monthly return (~8% annually)</t>
  </si>
  <si>
    <t xml:space="preserve">  V₂ = Savings</t>
  </si>
  <si>
    <t>Monthly std dev of returns</t>
  </si>
  <si>
    <t xml:space="preserve">  V₃ = Investments</t>
  </si>
  <si>
    <t>Pipe Resistance (C→S)</t>
  </si>
  <si>
    <t>R₁₂</t>
  </si>
  <si>
    <t>mo</t>
  </si>
  <si>
    <t>Resistance to transfer (1/k)</t>
  </si>
  <si>
    <t>Pipe Resistance (S→I)</t>
  </si>
  <si>
    <t>R₂₃</t>
  </si>
  <si>
    <t>Higher resistance = less liquid</t>
  </si>
  <si>
    <t>Transfer Matrix A:</t>
  </si>
  <si>
    <t xml:space="preserve">     V₁    V₂    V₃</t>
  </si>
  <si>
    <t>TANK VOLUMES OVER TIME</t>
  </si>
  <si>
    <t>V₁ [-k₁₂   0      0   ]</t>
  </si>
  <si>
    <t>Investments</t>
  </si>
  <si>
    <t>Q₁→₂</t>
  </si>
  <si>
    <t>Q₂→₃</t>
  </si>
  <si>
    <t>V₂ [+k₁₂  -k₂₃+r₂  0   ]</t>
  </si>
  <si>
    <t>V₁ ($)</t>
  </si>
  <si>
    <t>V₂ ($)</t>
  </si>
  <si>
    <t>V₃ ($)</t>
  </si>
  <si>
    <t>ΣV ($)</t>
  </si>
  <si>
    <t>($/mo)</t>
  </si>
  <si>
    <t>V₃ [ 0    +k₂₃    α(t)]</t>
  </si>
  <si>
    <t>Three-tank cascade system with interconnecting pipes and valves</t>
  </si>
  <si>
    <t>Valve Coeff (T1→T2)</t>
  </si>
  <si>
    <t>/s</t>
  </si>
  <si>
    <t>Flow coefficient Tank 1 to Tank 2</t>
  </si>
  <si>
    <t>Valve Coeff (T2→T3)</t>
  </si>
  <si>
    <t>Flow coefficient Tank 2 to Tank 3</t>
  </si>
  <si>
    <t>Recirculation Rate</t>
  </si>
  <si>
    <t>Internal mixing in Tank 2</t>
  </si>
  <si>
    <t xml:space="preserve">  V₁ = Tank 1 (Open)</t>
  </si>
  <si>
    <t>Heating/Expansion Rate</t>
  </si>
  <si>
    <t>Thermal expansion in Tank 3</t>
  </si>
  <si>
    <t xml:space="preserve">  V₂ = Tank 2 (Pressurized)</t>
  </si>
  <si>
    <t>Pressure Fluctuation</t>
  </si>
  <si>
    <t>Pressure instability coefficient</t>
  </si>
  <si>
    <t xml:space="preserve">  V₃ = Tank 3 (Variable P)</t>
  </si>
  <si>
    <t>Pipe Resistance (T1→T2)</t>
  </si>
  <si>
    <t>s</t>
  </si>
  <si>
    <t>Hydraulic resistance (1/k)</t>
  </si>
  <si>
    <t>Pipe Resistance (T2→T3)</t>
  </si>
  <si>
    <t>Higher R = more restricted flow</t>
  </si>
  <si>
    <t>Tank 1</t>
  </si>
  <si>
    <t>Tank 2</t>
  </si>
  <si>
    <t>Tank 3</t>
  </si>
  <si>
    <t>V₁ (L)</t>
  </si>
  <si>
    <t>V₂ (L)</t>
  </si>
  <si>
    <t>V₃ (L)</t>
  </si>
  <si>
    <t>ΣV (L)</t>
  </si>
  <si>
    <t>(L/s)</t>
  </si>
  <si>
    <t>MAPPED PARAMETERS</t>
  </si>
  <si>
    <t>Pipe Diameter D</t>
  </si>
  <si>
    <t>PHYSICAL PARAMETERS (Mapped)</t>
  </si>
  <si>
    <t>Purchasing Power</t>
  </si>
  <si>
    <t>ρvD/μ</t>
  </si>
  <si>
    <t>4.6×10⁻¹⁰</t>
  </si>
  <si>
    <t>Market Sentiment</t>
  </si>
  <si>
    <t>f(L/D)v²/2g</t>
  </si>
  <si>
    <t>Conserved</t>
  </si>
  <si>
    <t>$/txn</t>
  </si>
  <si>
    <t>$/day</t>
  </si>
  <si>
    <t>Compressibility κ</t>
  </si>
  <si>
    <t>index</t>
  </si>
  <si>
    <t>Opportunity Cost</t>
  </si>
  <si>
    <t>P = ρgh</t>
  </si>
  <si>
    <t>goods/$</t>
  </si>
  <si>
    <t>Gravity</t>
  </si>
  <si>
    <t>g</t>
  </si>
  <si>
    <t>m/s²</t>
  </si>
  <si>
    <t>Discount Rate (TVM)</t>
  </si>
  <si>
    <t>/year</t>
  </si>
  <si>
    <t>Depth</t>
  </si>
  <si>
    <t>h</t>
  </si>
  <si>
    <t>Duration / Lock-up</t>
  </si>
  <si>
    <t>years</t>
  </si>
  <si>
    <t>Risk Tolerance / Capacity</t>
  </si>
  <si>
    <t>Flow Regime (Laminar/Turbulent)</t>
  </si>
  <si>
    <t>Key: P = ρgh → Opp.Cost = Purch.Pwr × Discount × Duration</t>
  </si>
  <si>
    <t>Pressure P</t>
  </si>
  <si>
    <t>Density ρ</t>
  </si>
  <si>
    <t>Gravity g</t>
  </si>
  <si>
    <t>Depth h</t>
  </si>
  <si>
    <t>Temperature T</t>
  </si>
  <si>
    <t>Head Loss hₗ</t>
  </si>
  <si>
    <t>Bernoulli P+½ρv²+ρgh</t>
  </si>
  <si>
    <t>Mom and Dad (Bookshelf)</t>
  </si>
  <si>
    <t>Groceries (Target)</t>
  </si>
  <si>
    <t>Leggett &amp; Platt</t>
  </si>
  <si>
    <t>Subscriptions</t>
  </si>
  <si>
    <t>SWE Fundraiser</t>
  </si>
  <si>
    <t>American Express Cash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</si>
</sst>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_);[Red]\(&quot;$&quot;#,##0\)"/>
    <numFmt numFmtId="8" formatCode="&quot;$&quot;#,##0.00_);[Red]\(&quot;$&quot;#,##0.00\)"/>
    <numFmt numFmtId="44" formatCode="_(&quot;$&quot;* #,##0.00_);_(&quot;$&quot;* \(#,##0.00\);_(&quot;$&quot;* &quot;-&quot;??_);_(@_)"/>
    <numFmt numFmtId="164" formatCode="mmm\-yyyy"/>
    <numFmt numFmtId="165" formatCode="0.000"/>
    <numFmt numFmtId="166" formatCode="0.0"/>
    <numFmt numFmtId="167" formatCode="_([$$-409]* #,##0.00_);_([$$-409]* \(#,##0.00\);_([$$-409]* &quot;-&quot;??_);_(@_)"/>
    <numFmt numFmtId="168" formatCode="0.00000000"/>
    <numFmt numFmtId="169" formatCode="_(&quot;$&quot;* #,##0.000_);_(&quot;$&quot;* \(#,##0.000\);_(&quot;$&quot;* &quot;-&quot;??_);_(@_)"/>
    <numFmt numFmtId="170" formatCode="0.0000"/>
    <numFmt numFmtId="171" formatCode="0.0%"/>
    <numFmt numFmtId="172" formatCode="m/d/yy\ h:mm;@"/>
    <numFmt numFmtId="173" formatCode="0.0000%"/>
    <numFmt numFmtId="174" formatCode="0.0000000000000%"/>
    <numFmt numFmtId="175" formatCode="0.000%"/>
    <numFmt numFmtId="176" formatCode="0.0000000000000000%"/>
    <numFmt numFmtId="177" formatCode="m/d/yyyy\ h:mm;@"/>
    <numFmt numFmtId="178" formatCode="&quot;$&quot;#,##0"/>
  </numFmts>
  <fonts count="44">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1"/>
      <name val="Wingdings"/>
      <charset val="2"/>
    </font>
    <font>
      <sz val="11"/>
      <color theme="1"/>
      <name val="Calibri"/>
      <family val="2"/>
      <charset val="2"/>
      <scheme val="minor"/>
    </font>
    <font>
      <sz val="11"/>
      <name val="Calibri"/>
      <family val="2"/>
      <scheme val="minor"/>
    </font>
    <font>
      <b/>
      <sz val="11"/>
      <color theme="1"/>
      <name val="Calibri"/>
      <family val="2"/>
      <charset val="2"/>
      <scheme val="minor"/>
    </font>
    <font>
      <b/>
      <sz val="11"/>
      <color theme="1"/>
      <name val="Wingdings"/>
      <charset val="2"/>
    </font>
    <font>
      <b/>
      <sz val="12"/>
      <color theme="1"/>
      <name val="Calibri"/>
      <family val="2"/>
      <scheme val="minor"/>
    </font>
    <font>
      <sz val="10"/>
      <color rgb="FF000000"/>
      <name val="Tahoma"/>
      <family val="2"/>
    </font>
    <font>
      <b/>
      <sz val="10"/>
      <color rgb="FF000000"/>
      <name val="Tahoma"/>
      <family val="2"/>
    </font>
    <font>
      <sz val="9"/>
      <color indexed="81"/>
      <name val="Tahoma"/>
      <family val="2"/>
    </font>
    <font>
      <b/>
      <sz val="9"/>
      <color indexed="81"/>
      <name val="Tahoma"/>
      <family val="2"/>
    </font>
    <font>
      <b/>
      <u val="singleAccounting"/>
      <sz val="11"/>
      <color theme="1"/>
      <name val="Calibri"/>
      <family val="2"/>
      <scheme val="minor"/>
    </font>
    <font>
      <sz val="11"/>
      <color theme="1"/>
      <name val="Calibri"/>
      <family val="2"/>
    </font>
    <font>
      <sz val="6"/>
      <name val="Yu Gothic"/>
      <family val="2"/>
      <charset val="128"/>
    </font>
    <font>
      <sz val="10"/>
      <color theme="1"/>
      <name val="Calibri"/>
      <family val="2"/>
      <scheme val="minor"/>
    </font>
    <font>
      <b/>
      <u/>
      <sz val="11"/>
      <color theme="1"/>
      <name val="Calibri"/>
      <family val="2"/>
      <scheme val="minor"/>
    </font>
    <font>
      <u/>
      <sz val="11"/>
      <color theme="1"/>
      <name val="Calibri"/>
      <family val="2"/>
      <scheme val="minor"/>
    </font>
    <font>
      <sz val="22"/>
      <color theme="1"/>
      <name val="Magneto"/>
      <family val="5"/>
    </font>
    <font>
      <sz val="26"/>
      <color theme="1"/>
      <name val="Magneto"/>
      <family val="5"/>
    </font>
    <font>
      <u val="singleAccounting"/>
      <sz val="11"/>
      <color theme="1"/>
      <name val="Calibri"/>
      <family val="2"/>
      <scheme val="minor"/>
    </font>
    <font>
      <b/>
      <sz val="9"/>
      <color rgb="FF000000"/>
      <name val="Tahoma"/>
      <family val="2"/>
    </font>
    <font>
      <sz val="9"/>
      <color rgb="FF000000"/>
      <name val="Tahoma"/>
      <family val="2"/>
    </font>
    <font>
      <b/>
      <sz val="10"/>
      <color theme="1"/>
      <name val="Calibri"/>
      <family val="2"/>
      <scheme val="minor"/>
    </font>
    <font>
      <b/>
      <i/>
      <u val="singleAccounting"/>
      <sz val="11"/>
      <color theme="1"/>
      <name val="Calibri"/>
      <family val="2"/>
      <scheme val="minor"/>
    </font>
    <font>
      <b/>
      <sz val="14"/>
      <color rgb="FFFFFFFF"/>
      <name val="Calibri"/>
      <family val="2"/>
      <scheme val="minor"/>
    </font>
    <font>
      <b/>
      <sz val="12"/>
      <color rgb="FFFFFFFF"/>
      <name val="Calibri"/>
      <family val="2"/>
      <scheme val="minor"/>
    </font>
    <font>
      <i/>
      <sz val="11"/>
      <color theme="1"/>
      <name val="Calibri"/>
      <family val="2"/>
      <scheme val="minor"/>
    </font>
    <font>
      <sz val="11"/>
      <color rgb="FF00B050"/>
      <name val="Calibri"/>
      <family val="2"/>
      <scheme val="minor"/>
    </font>
    <font>
      <sz val="10"/>
      <color theme="1"/>
      <name val="Courier New"/>
      <family val="3"/>
    </font>
    <font>
      <b/>
      <sz val="10"/>
      <color theme="1"/>
      <name val="Courier New"/>
      <family val="3"/>
    </font>
    <font>
      <sz val="11"/>
      <color rgb="FF0000FF"/>
      <name val="Calibri"/>
      <family val="2"/>
      <scheme val="minor"/>
    </font>
    <font>
      <b/>
      <sz val="11"/>
      <color rgb="FFFFFFFF"/>
      <name val="Calibri"/>
      <family val="2"/>
      <scheme val="minor"/>
    </font>
    <font>
      <b/>
      <i/>
      <sz val="11"/>
      <color theme="1"/>
      <name val="Calibri"/>
      <family val="2"/>
      <scheme val="minor"/>
    </font>
    <font>
      <sz val="11"/>
      <color theme="1"/>
      <name val="Consolas"/>
      <family val="3"/>
    </font>
    <font>
      <b/>
      <sz val="11"/>
      <color theme="1"/>
      <name val="Consolas"/>
      <family val="3"/>
    </font>
    <font>
      <sz val="10"/>
      <color theme="1"/>
      <name val="Consolas"/>
      <family val="3"/>
    </font>
    <font>
      <b/>
      <sz val="10"/>
      <color theme="1"/>
      <name val="Consolas"/>
      <family val="3"/>
    </font>
    <font>
      <i/>
      <sz val="10"/>
      <color theme="1"/>
      <name val="Calibri"/>
      <family val="2"/>
      <scheme val="minor"/>
    </font>
    <font>
      <i/>
      <sz val="10"/>
      <color theme="1"/>
      <name val="Consolas"/>
      <family val="3"/>
    </font>
    <font>
      <i/>
      <sz val="11"/>
      <color rgb="FF0000FF"/>
      <name val="Calibri"/>
      <family val="2"/>
      <scheme val="minor"/>
    </font>
    <font>
      <b/>
      <i/>
      <sz val="10"/>
      <color rgb="FFFFFFFF"/>
      <name val="Calibri"/>
      <family val="2"/>
      <scheme val="minor"/>
    </font>
  </fonts>
  <fills count="13">
    <fill>
      <patternFill patternType="none"/>
    </fill>
    <fill>
      <patternFill patternType="gray125"/>
    </fill>
    <fill>
      <patternFill patternType="solid">
        <fgColor theme="7"/>
        <bgColor indexed="64"/>
      </patternFill>
    </fill>
    <fill>
      <patternFill patternType="solid">
        <fgColor rgb="FF00B050"/>
        <bgColor indexed="64"/>
      </patternFill>
    </fill>
    <fill>
      <patternFill patternType="solid">
        <fgColor rgb="FF00B0F0"/>
        <bgColor indexed="64"/>
      </patternFill>
    </fill>
    <fill>
      <patternFill patternType="solid">
        <fgColor rgb="FFF84926"/>
        <bgColor indexed="64"/>
      </patternFill>
    </fill>
    <fill>
      <patternFill patternType="solid">
        <fgColor theme="7" tint="0.39997558519241921"/>
        <bgColor indexed="64"/>
      </patternFill>
    </fill>
    <fill>
      <patternFill patternType="solid">
        <fgColor theme="0"/>
        <bgColor indexed="64"/>
      </patternFill>
    </fill>
    <fill>
      <patternFill patternType="solid">
        <fgColor rgb="FF4472C4"/>
        <bgColor indexed="64"/>
      </patternFill>
    </fill>
    <fill>
      <patternFill patternType="solid">
        <fgColor rgb="FFD6DCE5"/>
        <bgColor indexed="64"/>
      </patternFill>
    </fill>
    <fill>
      <patternFill patternType="solid">
        <fgColor rgb="FFE2EFDA"/>
        <bgColor indexed="64"/>
      </patternFill>
    </fill>
    <fill>
      <patternFill patternType="solid">
        <fgColor rgb="FFDEEBF7"/>
        <bgColor indexed="64"/>
      </patternFill>
    </fill>
    <fill>
      <patternFill patternType="solid">
        <fgColor rgb="FF548235"/>
        <bgColor indexed="64"/>
      </patternFill>
    </fill>
  </fills>
  <borders count="121">
    <border>
      <left/>
      <right/>
      <top/>
      <bottom/>
      <diagonal/>
    </border>
    <border>
      <left style="medium">
        <color indexed="64"/>
      </left>
      <right style="medium">
        <color indexed="64"/>
      </right>
      <top/>
      <bottom style="medium">
        <color indexed="64"/>
      </bottom>
      <diagonal/>
    </border>
    <border>
      <left/>
      <right/>
      <top/>
      <bottom style="double">
        <color indexed="64"/>
      </bottom>
      <diagonal/>
    </border>
    <border>
      <left style="medium">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style="thin">
        <color indexed="64"/>
      </top>
      <bottom style="double">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double">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double">
        <color indexed="64"/>
      </bottom>
      <diagonal/>
    </border>
    <border>
      <left/>
      <right style="medium">
        <color indexed="64"/>
      </right>
      <top style="double">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double">
        <color indexed="64"/>
      </top>
      <bottom/>
      <diagonal/>
    </border>
    <border>
      <left/>
      <right style="medium">
        <color indexed="64"/>
      </right>
      <top style="double">
        <color indexed="64"/>
      </top>
      <bottom/>
      <diagonal/>
    </border>
    <border>
      <left/>
      <right/>
      <top style="medium">
        <color indexed="64"/>
      </top>
      <bottom/>
      <diagonal/>
    </border>
    <border>
      <left/>
      <right style="thin">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medium">
        <color indexed="64"/>
      </bottom>
      <diagonal/>
    </border>
    <border>
      <left style="thin">
        <color indexed="64"/>
      </left>
      <right style="medium">
        <color indexed="64"/>
      </right>
      <top style="double">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style="thin">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medium">
        <color indexed="64"/>
      </top>
      <bottom style="double">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top style="thin">
        <color indexed="64"/>
      </top>
      <bottom style="medium">
        <color indexed="64"/>
      </bottom>
      <diagonal/>
    </border>
    <border>
      <left style="thin">
        <color indexed="64"/>
      </left>
      <right/>
      <top style="double">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double">
        <color indexed="64"/>
      </top>
      <bottom style="thin">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medium">
        <color indexed="64"/>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83">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xf numFmtId="0" fontId="0" fillId="0" borderId="4" xfId="0" applyBorder="1" applyAlignment="1">
      <alignment horizontal="center"/>
    </xf>
    <xf numFmtId="44" fontId="0" fillId="0" borderId="2" xfId="1" applyFont="1" applyBorder="1"/>
    <xf numFmtId="44" fontId="0" fillId="0" borderId="0" xfId="0" applyNumberFormat="1"/>
    <xf numFmtId="6" fontId="0" fillId="0" borderId="0" xfId="0" applyNumberFormat="1"/>
    <xf numFmtId="0" fontId="0" fillId="0" borderId="0" xfId="0" applyAlignment="1">
      <alignment horizontal="right"/>
    </xf>
    <xf numFmtId="0" fontId="0" fillId="0" borderId="6" xfId="0" applyBorder="1" applyAlignment="1">
      <alignment horizontal="right"/>
    </xf>
    <xf numFmtId="44" fontId="0" fillId="0" borderId="7" xfId="1" applyFont="1" applyBorder="1"/>
    <xf numFmtId="0" fontId="0" fillId="0" borderId="8" xfId="0" applyBorder="1" applyAlignment="1">
      <alignment horizontal="right"/>
    </xf>
    <xf numFmtId="44" fontId="0" fillId="0" borderId="9" xfId="1" applyFont="1" applyBorder="1"/>
    <xf numFmtId="44" fontId="0" fillId="0" borderId="10" xfId="1" applyFont="1" applyBorder="1"/>
    <xf numFmtId="0" fontId="4" fillId="0" borderId="0" xfId="0" applyFont="1" applyAlignment="1">
      <alignment horizontal="center"/>
    </xf>
    <xf numFmtId="44" fontId="0" fillId="0" borderId="12" xfId="1" applyFont="1" applyBorder="1"/>
    <xf numFmtId="0" fontId="0" fillId="0" borderId="13" xfId="0" applyBorder="1"/>
    <xf numFmtId="44" fontId="0" fillId="0" borderId="14" xfId="1" applyFont="1" applyBorder="1"/>
    <xf numFmtId="0" fontId="0" fillId="0" borderId="15" xfId="0" applyBorder="1"/>
    <xf numFmtId="44" fontId="0" fillId="0" borderId="15" xfId="1" applyFont="1" applyBorder="1"/>
    <xf numFmtId="44" fontId="0" fillId="0" borderId="16" xfId="1" applyFont="1" applyBorder="1"/>
    <xf numFmtId="44" fontId="0" fillId="0" borderId="18" xfId="1" applyFont="1" applyBorder="1"/>
    <xf numFmtId="44" fontId="0" fillId="0" borderId="20" xfId="1" applyFont="1" applyBorder="1" applyAlignment="1">
      <alignment horizontal="center"/>
    </xf>
    <xf numFmtId="44" fontId="0" fillId="0" borderId="22" xfId="1" applyFont="1" applyBorder="1" applyAlignment="1">
      <alignment horizontal="center"/>
    </xf>
    <xf numFmtId="44" fontId="0" fillId="0" borderId="24" xfId="1" applyFont="1" applyBorder="1"/>
    <xf numFmtId="44" fontId="0" fillId="0" borderId="0" xfId="1" applyFont="1" applyBorder="1"/>
    <xf numFmtId="0" fontId="0" fillId="0" borderId="12" xfId="0" applyBorder="1" applyAlignment="1">
      <alignment horizontal="center"/>
    </xf>
    <xf numFmtId="14" fontId="0" fillId="0" borderId="12" xfId="0" applyNumberFormat="1" applyBorder="1" applyAlignment="1">
      <alignment horizontal="center"/>
    </xf>
    <xf numFmtId="0" fontId="0" fillId="0" borderId="14" xfId="0" applyBorder="1" applyAlignment="1">
      <alignment horizontal="center"/>
    </xf>
    <xf numFmtId="14" fontId="0" fillId="0" borderId="14" xfId="0" applyNumberFormat="1" applyBorder="1" applyAlignment="1">
      <alignment horizontal="center"/>
    </xf>
    <xf numFmtId="14" fontId="0" fillId="0" borderId="12" xfId="0" applyNumberFormat="1" applyBorder="1"/>
    <xf numFmtId="44" fontId="0" fillId="0" borderId="25" xfId="1" applyFont="1" applyBorder="1"/>
    <xf numFmtId="0" fontId="0" fillId="0" borderId="26" xfId="0" applyBorder="1" applyAlignment="1">
      <alignment horizontal="right"/>
    </xf>
    <xf numFmtId="0" fontId="0" fillId="0" borderId="27" xfId="0" applyBorder="1" applyAlignment="1">
      <alignment horizontal="right"/>
    </xf>
    <xf numFmtId="44" fontId="0" fillId="0" borderId="28" xfId="1" applyFont="1" applyBorder="1"/>
    <xf numFmtId="0" fontId="0" fillId="0" borderId="29" xfId="0" applyBorder="1" applyAlignment="1">
      <alignment horizontal="center"/>
    </xf>
    <xf numFmtId="44" fontId="0" fillId="0" borderId="25" xfId="1" applyFont="1" applyBorder="1" applyAlignment="1">
      <alignment horizontal="right"/>
    </xf>
    <xf numFmtId="44" fontId="0" fillId="0" borderId="30" xfId="1" applyFont="1" applyBorder="1"/>
    <xf numFmtId="44" fontId="0" fillId="0" borderId="31" xfId="1" applyFont="1" applyBorder="1"/>
    <xf numFmtId="0" fontId="0" fillId="0" borderId="32" xfId="0" applyBorder="1" applyAlignment="1">
      <alignment horizontal="center"/>
    </xf>
    <xf numFmtId="44" fontId="0" fillId="0" borderId="33" xfId="1" applyFont="1" applyBorder="1"/>
    <xf numFmtId="44" fontId="0" fillId="0" borderId="34" xfId="1" applyFont="1" applyBorder="1"/>
    <xf numFmtId="44" fontId="0" fillId="0" borderId="19" xfId="1" applyFont="1" applyBorder="1"/>
    <xf numFmtId="0" fontId="0" fillId="0" borderId="35" xfId="0" applyBorder="1" applyAlignment="1">
      <alignment horizontal="right"/>
    </xf>
    <xf numFmtId="44" fontId="0" fillId="0" borderId="36" xfId="1" applyFont="1" applyBorder="1"/>
    <xf numFmtId="0" fontId="0" fillId="0" borderId="14" xfId="0" applyBorder="1" applyAlignment="1">
      <alignment horizontal="right"/>
    </xf>
    <xf numFmtId="0" fontId="0" fillId="0" borderId="2" xfId="0" applyBorder="1" applyAlignment="1">
      <alignment horizontal="right"/>
    </xf>
    <xf numFmtId="44" fontId="0" fillId="0" borderId="35" xfId="1" applyFont="1" applyBorder="1"/>
    <xf numFmtId="44" fontId="1" fillId="0" borderId="4" xfId="1" applyFont="1" applyBorder="1" applyAlignment="1">
      <alignment horizontal="center"/>
    </xf>
    <xf numFmtId="0" fontId="0" fillId="0" borderId="23" xfId="0" applyBorder="1" applyAlignment="1">
      <alignment horizontal="center"/>
    </xf>
    <xf numFmtId="44" fontId="1" fillId="0" borderId="2" xfId="1" applyFont="1" applyBorder="1" applyAlignment="1">
      <alignment horizontal="center"/>
    </xf>
    <xf numFmtId="0" fontId="0" fillId="0" borderId="11" xfId="0" applyBorder="1" applyAlignment="1">
      <alignment horizontal="center"/>
    </xf>
    <xf numFmtId="44" fontId="1" fillId="0" borderId="11" xfId="1" applyFont="1" applyBorder="1" applyAlignment="1">
      <alignment horizontal="center"/>
    </xf>
    <xf numFmtId="44" fontId="0" fillId="0" borderId="37" xfId="1" applyFont="1" applyBorder="1"/>
    <xf numFmtId="44" fontId="0" fillId="0" borderId="38" xfId="1" applyFont="1" applyBorder="1"/>
    <xf numFmtId="44" fontId="1" fillId="0" borderId="5" xfId="1" applyFont="1" applyFill="1" applyBorder="1" applyAlignment="1">
      <alignment horizontal="center"/>
    </xf>
    <xf numFmtId="44" fontId="0" fillId="0" borderId="1" xfId="1" applyFont="1" applyBorder="1"/>
    <xf numFmtId="44" fontId="0" fillId="2" borderId="2" xfId="1" applyFont="1" applyFill="1" applyBorder="1" applyAlignment="1">
      <alignment horizontal="right"/>
    </xf>
    <xf numFmtId="44" fontId="0" fillId="4" borderId="32" xfId="1" applyFont="1" applyFill="1" applyBorder="1"/>
    <xf numFmtId="44" fontId="0" fillId="5" borderId="29" xfId="1" applyFont="1" applyFill="1" applyBorder="1"/>
    <xf numFmtId="44" fontId="0" fillId="3" borderId="32" xfId="1" applyFont="1" applyFill="1" applyBorder="1" applyAlignment="1">
      <alignment horizontal="right"/>
    </xf>
    <xf numFmtId="0" fontId="3" fillId="6" borderId="1" xfId="0" applyFont="1" applyFill="1" applyBorder="1" applyAlignment="1">
      <alignment horizontal="center"/>
    </xf>
    <xf numFmtId="14" fontId="0" fillId="0" borderId="12" xfId="0" applyNumberFormat="1" applyBorder="1" applyAlignment="1">
      <alignment horizontal="right"/>
    </xf>
    <xf numFmtId="44" fontId="0" fillId="0" borderId="0" xfId="1" applyFont="1"/>
    <xf numFmtId="44" fontId="0" fillId="0" borderId="0" xfId="1" applyFont="1" applyFill="1" applyBorder="1"/>
    <xf numFmtId="164" fontId="0" fillId="0" borderId="0" xfId="0" applyNumberFormat="1"/>
    <xf numFmtId="8" fontId="0" fillId="0" borderId="0" xfId="0" applyNumberFormat="1"/>
    <xf numFmtId="0" fontId="0" fillId="0" borderId="12" xfId="0" applyBorder="1" applyAlignment="1">
      <alignment horizontal="right"/>
    </xf>
    <xf numFmtId="6" fontId="0" fillId="0" borderId="0" xfId="1" applyNumberFormat="1" applyFont="1" applyBorder="1"/>
    <xf numFmtId="0" fontId="0" fillId="0" borderId="44" xfId="0" applyBorder="1" applyAlignment="1">
      <alignment horizontal="right"/>
    </xf>
    <xf numFmtId="44" fontId="0" fillId="0" borderId="45" xfId="1" applyFont="1" applyBorder="1"/>
    <xf numFmtId="0" fontId="0" fillId="0" borderId="47" xfId="0" applyBorder="1" applyAlignment="1">
      <alignment horizontal="right"/>
    </xf>
    <xf numFmtId="44" fontId="0" fillId="0" borderId="48" xfId="1" applyFont="1" applyBorder="1"/>
    <xf numFmtId="0" fontId="0" fillId="0" borderId="49" xfId="0" applyBorder="1" applyAlignment="1">
      <alignment horizontal="right"/>
    </xf>
    <xf numFmtId="0" fontId="0" fillId="0" borderId="16" xfId="0" applyBorder="1" applyAlignment="1">
      <alignment horizontal="center"/>
    </xf>
    <xf numFmtId="44" fontId="0" fillId="0" borderId="21" xfId="1" applyFont="1" applyBorder="1" applyAlignment="1">
      <alignment horizontal="center"/>
    </xf>
    <xf numFmtId="44" fontId="0" fillId="0" borderId="17" xfId="1" applyFont="1" applyBorder="1"/>
    <xf numFmtId="44" fontId="0" fillId="0" borderId="17" xfId="1" applyFont="1" applyFill="1" applyBorder="1"/>
    <xf numFmtId="44" fontId="0" fillId="0" borderId="8" xfId="1" applyFont="1" applyBorder="1"/>
    <xf numFmtId="44" fontId="0" fillId="0" borderId="47" xfId="1" applyFont="1" applyBorder="1"/>
    <xf numFmtId="44" fontId="0" fillId="0" borderId="46" xfId="1" applyFont="1" applyBorder="1"/>
    <xf numFmtId="44" fontId="0" fillId="0" borderId="51" xfId="1" applyFont="1" applyBorder="1"/>
    <xf numFmtId="44" fontId="0" fillId="3" borderId="52" xfId="1" applyFont="1" applyFill="1" applyBorder="1" applyAlignment="1">
      <alignment horizontal="right"/>
    </xf>
    <xf numFmtId="44" fontId="0" fillId="0" borderId="53" xfId="1" applyFont="1" applyBorder="1" applyAlignment="1">
      <alignment horizontal="right"/>
    </xf>
    <xf numFmtId="0" fontId="0" fillId="0" borderId="30" xfId="0" applyBorder="1" applyAlignment="1">
      <alignment horizontal="center"/>
    </xf>
    <xf numFmtId="0" fontId="0" fillId="0" borderId="54" xfId="0" applyBorder="1" applyAlignment="1">
      <alignment horizontal="center"/>
    </xf>
    <xf numFmtId="44" fontId="0" fillId="0" borderId="26" xfId="1" applyFont="1" applyBorder="1"/>
    <xf numFmtId="44" fontId="0" fillId="4" borderId="52" xfId="1" applyFont="1" applyFill="1" applyBorder="1"/>
    <xf numFmtId="44" fontId="0" fillId="0" borderId="53" xfId="1" applyFont="1" applyBorder="1"/>
    <xf numFmtId="44" fontId="0" fillId="0" borderId="55" xfId="1" applyFont="1" applyBorder="1"/>
    <xf numFmtId="44" fontId="0" fillId="0" borderId="11" xfId="1" applyFont="1" applyBorder="1"/>
    <xf numFmtId="44" fontId="0" fillId="2" borderId="5" xfId="1" applyFont="1" applyFill="1" applyBorder="1" applyAlignment="1">
      <alignment horizontal="right"/>
    </xf>
    <xf numFmtId="44" fontId="0" fillId="5" borderId="4" xfId="1" applyFont="1" applyFill="1" applyBorder="1"/>
    <xf numFmtId="44" fontId="0" fillId="0" borderId="56" xfId="1" applyFont="1" applyBorder="1"/>
    <xf numFmtId="44" fontId="0" fillId="2" borderId="4" xfId="1" applyFont="1" applyFill="1" applyBorder="1" applyAlignment="1">
      <alignment horizontal="right"/>
    </xf>
    <xf numFmtId="0" fontId="0" fillId="0" borderId="5" xfId="0" applyBorder="1" applyAlignment="1">
      <alignment horizontal="center"/>
    </xf>
    <xf numFmtId="44" fontId="0" fillId="0" borderId="50" xfId="1" applyFont="1" applyBorder="1" applyAlignment="1">
      <alignment horizontal="right"/>
    </xf>
    <xf numFmtId="44" fontId="0" fillId="0" borderId="50" xfId="1" applyFont="1" applyBorder="1"/>
    <xf numFmtId="0" fontId="0" fillId="0" borderId="57" xfId="0" applyBorder="1" applyAlignment="1">
      <alignment horizontal="center"/>
    </xf>
    <xf numFmtId="44" fontId="0" fillId="0" borderId="58" xfId="1" applyFont="1" applyBorder="1"/>
    <xf numFmtId="44" fontId="0" fillId="0" borderId="59" xfId="1" applyFont="1" applyBorder="1"/>
    <xf numFmtId="44" fontId="0" fillId="0" borderId="2" xfId="0" applyNumberFormat="1" applyBorder="1"/>
    <xf numFmtId="14" fontId="0" fillId="0" borderId="0" xfId="0" applyNumberFormat="1"/>
    <xf numFmtId="0" fontId="9" fillId="0" borderId="0" xfId="0" applyFont="1" applyAlignment="1">
      <alignment horizontal="center"/>
    </xf>
    <xf numFmtId="0" fontId="9" fillId="0" borderId="2" xfId="0" applyFont="1" applyBorder="1" applyAlignment="1">
      <alignment horizontal="center"/>
    </xf>
    <xf numFmtId="17" fontId="0" fillId="0" borderId="0" xfId="0" applyNumberFormat="1"/>
    <xf numFmtId="2" fontId="0" fillId="0" borderId="0" xfId="0" applyNumberFormat="1"/>
    <xf numFmtId="17" fontId="3" fillId="6" borderId="1" xfId="0" applyNumberFormat="1" applyFont="1" applyFill="1" applyBorder="1" applyAlignment="1">
      <alignment horizontal="center"/>
    </xf>
    <xf numFmtId="165" fontId="0" fillId="0" borderId="0" xfId="0" applyNumberFormat="1"/>
    <xf numFmtId="166" fontId="0" fillId="0" borderId="0" xfId="0" applyNumberFormat="1"/>
    <xf numFmtId="44" fontId="1" fillId="0" borderId="9" xfId="1" applyFont="1" applyBorder="1"/>
    <xf numFmtId="44" fontId="1" fillId="0" borderId="0" xfId="1" applyFont="1"/>
    <xf numFmtId="44" fontId="0" fillId="0" borderId="52" xfId="0" applyNumberFormat="1" applyBorder="1"/>
    <xf numFmtId="44" fontId="3" fillId="0" borderId="64" xfId="0" applyNumberFormat="1" applyFont="1" applyBorder="1"/>
    <xf numFmtId="44" fontId="3" fillId="0" borderId="63" xfId="0" applyNumberFormat="1" applyFont="1" applyBorder="1"/>
    <xf numFmtId="44" fontId="3" fillId="0" borderId="61" xfId="0" applyNumberFormat="1" applyFont="1" applyBorder="1"/>
    <xf numFmtId="8" fontId="3" fillId="0" borderId="61" xfId="0" applyNumberFormat="1" applyFont="1" applyBorder="1"/>
    <xf numFmtId="44" fontId="14" fillId="0" borderId="0" xfId="1" applyFont="1"/>
    <xf numFmtId="10" fontId="0" fillId="0" borderId="0" xfId="2" applyNumberFormat="1" applyFont="1"/>
    <xf numFmtId="0" fontId="0" fillId="0" borderId="0" xfId="0" applyAlignment="1">
      <alignment horizontal="left"/>
    </xf>
    <xf numFmtId="44" fontId="0" fillId="0" borderId="0" xfId="1" applyFont="1" applyAlignment="1">
      <alignment horizontal="center"/>
    </xf>
    <xf numFmtId="9" fontId="0" fillId="0" borderId="0" xfId="2" applyFont="1"/>
    <xf numFmtId="8" fontId="0" fillId="0" borderId="0" xfId="1" applyNumberFormat="1" applyFont="1"/>
    <xf numFmtId="44" fontId="0" fillId="0" borderId="16" xfId="1" applyFont="1" applyFill="1" applyBorder="1"/>
    <xf numFmtId="44" fontId="0" fillId="3" borderId="50" xfId="1" applyFont="1" applyFill="1" applyBorder="1" applyAlignment="1">
      <alignment horizontal="right"/>
    </xf>
    <xf numFmtId="44" fontId="0" fillId="4" borderId="50" xfId="1" applyFont="1" applyFill="1" applyBorder="1"/>
    <xf numFmtId="44" fontId="0" fillId="0" borderId="68" xfId="1" applyFont="1" applyBorder="1" applyAlignment="1">
      <alignment horizontal="center"/>
    </xf>
    <xf numFmtId="44" fontId="0" fillId="0" borderId="69" xfId="1" applyFont="1" applyBorder="1" applyAlignment="1">
      <alignment horizontal="center"/>
    </xf>
    <xf numFmtId="44" fontId="0" fillId="0" borderId="69" xfId="1" applyFont="1" applyFill="1" applyBorder="1" applyAlignment="1">
      <alignment horizontal="center"/>
    </xf>
    <xf numFmtId="44" fontId="0" fillId="0" borderId="70" xfId="1" applyFont="1" applyBorder="1" applyAlignment="1">
      <alignment horizontal="center"/>
    </xf>
    <xf numFmtId="167" fontId="0" fillId="0" borderId="0" xfId="0" applyNumberFormat="1"/>
    <xf numFmtId="44" fontId="0" fillId="0" borderId="71" xfId="1" applyFont="1" applyBorder="1"/>
    <xf numFmtId="44" fontId="0" fillId="0" borderId="72" xfId="1" applyFont="1" applyBorder="1"/>
    <xf numFmtId="44" fontId="0" fillId="0" borderId="75" xfId="1" applyFont="1" applyBorder="1"/>
    <xf numFmtId="0" fontId="0" fillId="0" borderId="3" xfId="0" applyBorder="1" applyAlignment="1">
      <alignment horizontal="center"/>
    </xf>
    <xf numFmtId="44" fontId="0" fillId="0" borderId="83" xfId="1" applyFont="1" applyBorder="1"/>
    <xf numFmtId="0" fontId="3" fillId="0" borderId="46" xfId="0" applyFont="1" applyBorder="1" applyAlignment="1">
      <alignment horizontal="center"/>
    </xf>
    <xf numFmtId="0" fontId="17" fillId="0" borderId="49" xfId="0" applyFont="1" applyBorder="1" applyAlignment="1">
      <alignment horizontal="center"/>
    </xf>
    <xf numFmtId="44" fontId="0" fillId="0" borderId="84" xfId="1" applyFont="1" applyBorder="1"/>
    <xf numFmtId="0" fontId="0" fillId="0" borderId="81" xfId="0" applyBorder="1" applyAlignment="1">
      <alignment horizontal="center"/>
    </xf>
    <xf numFmtId="0" fontId="17" fillId="0" borderId="47" xfId="0" applyFont="1" applyBorder="1" applyAlignment="1">
      <alignment horizontal="center"/>
    </xf>
    <xf numFmtId="0" fontId="17" fillId="0" borderId="6" xfId="0" applyFont="1" applyBorder="1" applyAlignment="1">
      <alignment horizontal="center"/>
    </xf>
    <xf numFmtId="0" fontId="0" fillId="0" borderId="78" xfId="0" applyBorder="1" applyAlignment="1">
      <alignment horizontal="center"/>
    </xf>
    <xf numFmtId="0" fontId="17" fillId="0" borderId="8" xfId="0" applyFont="1" applyBorder="1" applyAlignment="1">
      <alignment horizontal="right"/>
    </xf>
    <xf numFmtId="0" fontId="17" fillId="0" borderId="47" xfId="0" applyFont="1" applyBorder="1" applyAlignment="1">
      <alignment horizontal="right"/>
    </xf>
    <xf numFmtId="0" fontId="17" fillId="0" borderId="82" xfId="0" applyFont="1" applyBorder="1" applyAlignment="1">
      <alignment horizontal="right"/>
    </xf>
    <xf numFmtId="0" fontId="17" fillId="0" borderId="6" xfId="0" applyFont="1" applyBorder="1" applyAlignment="1">
      <alignment horizontal="right"/>
    </xf>
    <xf numFmtId="44" fontId="6" fillId="0" borderId="0" xfId="1" applyFont="1" applyBorder="1"/>
    <xf numFmtId="0" fontId="0" fillId="0" borderId="86" xfId="0" applyBorder="1" applyAlignment="1">
      <alignment horizontal="center"/>
    </xf>
    <xf numFmtId="0" fontId="0" fillId="0" borderId="41" xfId="0" applyBorder="1"/>
    <xf numFmtId="0" fontId="0" fillId="0" borderId="38" xfId="0" applyBorder="1"/>
    <xf numFmtId="44" fontId="0" fillId="0" borderId="41" xfId="1" applyFont="1" applyBorder="1"/>
    <xf numFmtId="44" fontId="6" fillId="0" borderId="41" xfId="1" applyFont="1" applyBorder="1"/>
    <xf numFmtId="0" fontId="17" fillId="0" borderId="49" xfId="0" applyFont="1" applyBorder="1" applyAlignment="1">
      <alignment horizontal="right"/>
    </xf>
    <xf numFmtId="0" fontId="21" fillId="0" borderId="0" xfId="0" applyFont="1" applyAlignment="1">
      <alignment vertical="center"/>
    </xf>
    <xf numFmtId="0" fontId="0" fillId="0" borderId="13" xfId="0" applyBorder="1" applyAlignment="1">
      <alignment horizontal="center"/>
    </xf>
    <xf numFmtId="0" fontId="0" fillId="0" borderId="49" xfId="0" applyBorder="1" applyAlignment="1">
      <alignment horizontal="center"/>
    </xf>
    <xf numFmtId="0" fontId="0" fillId="0" borderId="84" xfId="0" applyBorder="1" applyAlignment="1">
      <alignment horizontal="center"/>
    </xf>
    <xf numFmtId="0" fontId="0" fillId="0" borderId="59" xfId="0" applyBorder="1" applyAlignment="1">
      <alignment horizontal="center"/>
    </xf>
    <xf numFmtId="0" fontId="0" fillId="0" borderId="80" xfId="0" applyBorder="1" applyAlignment="1">
      <alignment horizontal="right" vertical="center"/>
    </xf>
    <xf numFmtId="44" fontId="3" fillId="0" borderId="17" xfId="0" applyNumberFormat="1" applyFont="1" applyBorder="1"/>
    <xf numFmtId="44" fontId="0" fillId="0" borderId="40" xfId="0" applyNumberFormat="1" applyBorder="1"/>
    <xf numFmtId="168" fontId="0" fillId="0" borderId="0" xfId="0" applyNumberFormat="1"/>
    <xf numFmtId="0" fontId="0" fillId="0" borderId="90" xfId="0" applyBorder="1" applyAlignment="1">
      <alignment horizontal="right" vertical="center"/>
    </xf>
    <xf numFmtId="44" fontId="14" fillId="0" borderId="73" xfId="0" applyNumberFormat="1" applyFont="1" applyBorder="1" applyAlignment="1">
      <alignment vertical="center"/>
    </xf>
    <xf numFmtId="9" fontId="0" fillId="0" borderId="74" xfId="2" applyFont="1" applyBorder="1" applyAlignment="1">
      <alignment horizontal="center" vertical="center"/>
    </xf>
    <xf numFmtId="0" fontId="0" fillId="0" borderId="65" xfId="0" applyBorder="1" applyAlignment="1">
      <alignment horizontal="right" vertical="center"/>
    </xf>
    <xf numFmtId="44" fontId="0" fillId="0" borderId="34" xfId="1" applyFont="1" applyBorder="1" applyAlignment="1">
      <alignment horizontal="center"/>
    </xf>
    <xf numFmtId="44" fontId="0" fillId="0" borderId="66" xfId="0" applyNumberFormat="1" applyBorder="1"/>
    <xf numFmtId="44" fontId="3" fillId="0" borderId="66" xfId="0" applyNumberFormat="1" applyFont="1" applyBorder="1"/>
    <xf numFmtId="168" fontId="0" fillId="0" borderId="28" xfId="0" applyNumberFormat="1" applyBorder="1"/>
    <xf numFmtId="0" fontId="0" fillId="0" borderId="91" xfId="0" applyBorder="1" applyAlignment="1">
      <alignment horizontal="right" vertical="center"/>
    </xf>
    <xf numFmtId="44" fontId="0" fillId="0" borderId="72" xfId="0" applyNumberFormat="1" applyBorder="1" applyAlignment="1">
      <alignment vertical="center"/>
    </xf>
    <xf numFmtId="9" fontId="0" fillId="0" borderId="48" xfId="2" applyFont="1" applyBorder="1" applyAlignment="1">
      <alignment horizontal="center" vertical="center"/>
    </xf>
    <xf numFmtId="0" fontId="0" fillId="0" borderId="39" xfId="0" applyBorder="1" applyAlignment="1">
      <alignment horizontal="right" vertical="center"/>
    </xf>
    <xf numFmtId="44" fontId="14" fillId="0" borderId="34" xfId="1" applyFont="1" applyBorder="1" applyAlignment="1">
      <alignment horizontal="center"/>
    </xf>
    <xf numFmtId="0" fontId="0" fillId="0" borderId="96" xfId="0" applyBorder="1" applyAlignment="1">
      <alignment horizontal="right" vertical="center"/>
    </xf>
    <xf numFmtId="44" fontId="0" fillId="0" borderId="75" xfId="0" applyNumberFormat="1" applyBorder="1" applyAlignment="1">
      <alignment vertical="center"/>
    </xf>
    <xf numFmtId="9" fontId="0" fillId="0" borderId="7" xfId="2" applyFont="1" applyBorder="1" applyAlignment="1">
      <alignment horizontal="center" vertical="center"/>
    </xf>
    <xf numFmtId="0" fontId="0" fillId="0" borderId="46" xfId="0" applyBorder="1" applyAlignment="1">
      <alignment horizontal="right" vertical="center"/>
    </xf>
    <xf numFmtId="44" fontId="0" fillId="0" borderId="57" xfId="0" applyNumberFormat="1" applyBorder="1" applyAlignment="1">
      <alignment horizontal="center" vertical="center"/>
    </xf>
    <xf numFmtId="10" fontId="0" fillId="0" borderId="68" xfId="2" applyNumberFormat="1" applyFont="1" applyBorder="1" applyAlignment="1">
      <alignment horizontal="right" vertical="center"/>
    </xf>
    <xf numFmtId="10" fontId="0" fillId="0" borderId="69" xfId="2" applyNumberFormat="1" applyFont="1" applyBorder="1" applyAlignment="1">
      <alignment horizontal="right" vertical="center"/>
    </xf>
    <xf numFmtId="0" fontId="0" fillId="0" borderId="70" xfId="0" applyBorder="1" applyAlignment="1">
      <alignment vertical="center"/>
    </xf>
    <xf numFmtId="44" fontId="0" fillId="0" borderId="0" xfId="1" applyFont="1" applyBorder="1" applyAlignment="1">
      <alignment horizontal="center"/>
    </xf>
    <xf numFmtId="0" fontId="0" fillId="0" borderId="6" xfId="0" applyBorder="1" applyAlignment="1">
      <alignment horizontal="right" vertical="center"/>
    </xf>
    <xf numFmtId="44" fontId="0" fillId="0" borderId="63" xfId="0" applyNumberFormat="1" applyBorder="1" applyAlignment="1">
      <alignment horizontal="left" vertical="center"/>
    </xf>
    <xf numFmtId="44" fontId="0" fillId="0" borderId="65" xfId="1" applyFont="1" applyBorder="1" applyAlignment="1">
      <alignment horizontal="center" vertical="center"/>
    </xf>
    <xf numFmtId="0" fontId="0" fillId="0" borderId="28" xfId="0" applyBorder="1" applyAlignment="1">
      <alignment vertical="center"/>
    </xf>
    <xf numFmtId="0" fontId="0" fillId="0" borderId="0" xfId="0" applyAlignment="1">
      <alignment horizontal="right" vertical="center"/>
    </xf>
    <xf numFmtId="44" fontId="22" fillId="0" borderId="0" xfId="0" applyNumberFormat="1" applyFont="1" applyAlignment="1">
      <alignment horizontal="left" vertical="center"/>
    </xf>
    <xf numFmtId="44" fontId="0" fillId="0" borderId="0" xfId="1" applyFont="1" applyBorder="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169" fontId="0" fillId="0" borderId="36" xfId="1" applyNumberFormat="1" applyFont="1" applyBorder="1" applyAlignment="1">
      <alignment horizontal="center" vertical="center"/>
    </xf>
    <xf numFmtId="169" fontId="0" fillId="0" borderId="30" xfId="1" applyNumberFormat="1" applyFont="1" applyBorder="1" applyAlignment="1">
      <alignment horizontal="center" vertical="center"/>
    </xf>
    <xf numFmtId="168" fontId="0" fillId="0" borderId="30" xfId="0" applyNumberFormat="1" applyBorder="1" applyAlignment="1">
      <alignment vertical="center"/>
    </xf>
    <xf numFmtId="44" fontId="0" fillId="0" borderId="99" xfId="1" applyFont="1" applyBorder="1" applyAlignment="1">
      <alignment vertical="center"/>
    </xf>
    <xf numFmtId="168" fontId="0" fillId="0" borderId="99" xfId="0" applyNumberFormat="1" applyBorder="1" applyAlignment="1">
      <alignment vertical="center"/>
    </xf>
    <xf numFmtId="44" fontId="0" fillId="0" borderId="100" xfId="1" applyFont="1" applyBorder="1" applyAlignment="1">
      <alignment vertical="center"/>
    </xf>
    <xf numFmtId="169" fontId="0" fillId="0" borderId="35" xfId="1" applyNumberFormat="1" applyFont="1" applyBorder="1" applyAlignment="1">
      <alignment vertical="center"/>
    </xf>
    <xf numFmtId="10" fontId="0" fillId="0" borderId="30" xfId="0" applyNumberFormat="1" applyBorder="1" applyAlignment="1">
      <alignment horizontal="center" vertical="center"/>
    </xf>
    <xf numFmtId="169" fontId="0" fillId="0" borderId="30" xfId="1" applyNumberFormat="1" applyFont="1" applyBorder="1" applyAlignment="1">
      <alignment vertical="center"/>
    </xf>
    <xf numFmtId="165" fontId="3" fillId="0" borderId="50" xfId="0" applyNumberFormat="1" applyFont="1" applyBorder="1" applyAlignment="1">
      <alignment horizontal="center" vertical="center"/>
    </xf>
    <xf numFmtId="169" fontId="0" fillId="0" borderId="36" xfId="1" applyNumberFormat="1" applyFont="1" applyBorder="1" applyAlignment="1">
      <alignment vertical="center"/>
    </xf>
    <xf numFmtId="44" fontId="0" fillId="0" borderId="30" xfId="1" applyFont="1" applyBorder="1" applyAlignment="1">
      <alignment vertical="center"/>
    </xf>
    <xf numFmtId="168" fontId="0" fillId="0" borderId="31" xfId="0" applyNumberFormat="1" applyBorder="1" applyAlignment="1">
      <alignment vertical="center"/>
    </xf>
    <xf numFmtId="44" fontId="0" fillId="0" borderId="85" xfId="0" applyNumberFormat="1" applyBorder="1" applyAlignment="1">
      <alignment horizontal="center" vertical="center"/>
    </xf>
    <xf numFmtId="44" fontId="0" fillId="0" borderId="101" xfId="0" applyNumberFormat="1" applyBorder="1" applyAlignment="1">
      <alignment horizontal="center" vertical="center"/>
    </xf>
    <xf numFmtId="168" fontId="0" fillId="0" borderId="101" xfId="0" applyNumberFormat="1" applyBorder="1" applyAlignment="1">
      <alignment vertical="center"/>
    </xf>
    <xf numFmtId="168" fontId="0" fillId="0" borderId="85" xfId="0" applyNumberFormat="1" applyBorder="1" applyAlignment="1">
      <alignment vertical="center"/>
    </xf>
    <xf numFmtId="44" fontId="0" fillId="0" borderId="34" xfId="0" applyNumberFormat="1" applyBorder="1" applyAlignment="1">
      <alignment vertical="center"/>
    </xf>
    <xf numFmtId="0" fontId="0" fillId="0" borderId="25" xfId="0" applyBorder="1" applyAlignment="1">
      <alignment vertical="center"/>
    </xf>
    <xf numFmtId="44" fontId="0" fillId="0" borderId="25" xfId="0" applyNumberFormat="1" applyBorder="1" applyAlignment="1">
      <alignment vertical="center"/>
    </xf>
    <xf numFmtId="165" fontId="0" fillId="0" borderId="64" xfId="0" applyNumberFormat="1" applyBorder="1" applyAlignment="1">
      <alignment horizontal="center" vertical="center"/>
    </xf>
    <xf numFmtId="168" fontId="0" fillId="0" borderId="25" xfId="0" applyNumberFormat="1" applyBorder="1" applyAlignment="1">
      <alignment vertical="center"/>
    </xf>
    <xf numFmtId="168" fontId="0" fillId="0" borderId="28" xfId="0" applyNumberFormat="1" applyBorder="1" applyAlignment="1">
      <alignment vertical="center"/>
    </xf>
    <xf numFmtId="168" fontId="0" fillId="0" borderId="0" xfId="0" applyNumberFormat="1" applyAlignment="1">
      <alignment vertical="center"/>
    </xf>
    <xf numFmtId="44" fontId="0" fillId="0" borderId="0" xfId="0" applyNumberFormat="1" applyAlignment="1">
      <alignment vertical="center"/>
    </xf>
    <xf numFmtId="170" fontId="0" fillId="0" borderId="1" xfId="0" applyNumberFormat="1" applyBorder="1" applyAlignment="1">
      <alignment horizontal="center" vertical="center"/>
    </xf>
    <xf numFmtId="0" fontId="0" fillId="0" borderId="55" xfId="0" applyBorder="1" applyAlignment="1">
      <alignment horizontal="center"/>
    </xf>
    <xf numFmtId="0" fontId="0" fillId="0" borderId="5" xfId="0" applyBorder="1"/>
    <xf numFmtId="22" fontId="0" fillId="0" borderId="39" xfId="0" applyNumberFormat="1" applyBorder="1" applyAlignment="1">
      <alignment horizontal="left" vertical="center"/>
    </xf>
    <xf numFmtId="44" fontId="0" fillId="0" borderId="0" xfId="1" applyFont="1" applyBorder="1" applyAlignment="1">
      <alignment vertical="center"/>
    </xf>
    <xf numFmtId="44" fontId="0" fillId="0" borderId="76" xfId="1" applyFont="1" applyBorder="1" applyAlignment="1">
      <alignment vertical="center"/>
    </xf>
    <xf numFmtId="168" fontId="0" fillId="0" borderId="76" xfId="0" applyNumberFormat="1" applyBorder="1" applyAlignment="1">
      <alignment vertical="center"/>
    </xf>
    <xf numFmtId="44" fontId="0" fillId="0" borderId="102" xfId="1" applyFont="1" applyBorder="1" applyAlignment="1">
      <alignment vertical="center"/>
    </xf>
    <xf numFmtId="44" fontId="0" fillId="0" borderId="17" xfId="1" applyFont="1" applyBorder="1" applyAlignment="1">
      <alignment vertical="center"/>
    </xf>
    <xf numFmtId="171" fontId="0" fillId="0" borderId="0" xfId="0" applyNumberFormat="1" applyAlignment="1">
      <alignment horizontal="center" vertical="center"/>
    </xf>
    <xf numFmtId="2" fontId="0" fillId="0" borderId="88" xfId="0" applyNumberFormat="1" applyBorder="1" applyAlignment="1">
      <alignment horizontal="center" vertical="center"/>
    </xf>
    <xf numFmtId="168" fontId="0" fillId="0" borderId="13" xfId="0" applyNumberFormat="1" applyBorder="1" applyAlignment="1">
      <alignment vertical="center"/>
    </xf>
    <xf numFmtId="44" fontId="0" fillId="0" borderId="16" xfId="1" applyFont="1" applyBorder="1" applyAlignment="1">
      <alignment vertical="center"/>
    </xf>
    <xf numFmtId="44" fontId="1" fillId="0" borderId="0" xfId="1" applyFont="1" applyBorder="1" applyAlignment="1">
      <alignment vertical="center"/>
    </xf>
    <xf numFmtId="8" fontId="0" fillId="0" borderId="0" xfId="1" applyNumberFormat="1" applyFont="1" applyBorder="1" applyAlignment="1">
      <alignment vertical="center"/>
    </xf>
    <xf numFmtId="22" fontId="0" fillId="0" borderId="65" xfId="0" applyNumberFormat="1" applyBorder="1" applyAlignment="1">
      <alignment horizontal="left" vertical="center"/>
    </xf>
    <xf numFmtId="44" fontId="0" fillId="0" borderId="67" xfId="1" applyFont="1" applyBorder="1" applyAlignment="1">
      <alignment vertical="center"/>
    </xf>
    <xf numFmtId="44" fontId="0" fillId="0" borderId="34" xfId="1" applyFont="1" applyBorder="1" applyAlignment="1">
      <alignment vertical="center"/>
    </xf>
    <xf numFmtId="171" fontId="0" fillId="0" borderId="25" xfId="0" applyNumberFormat="1" applyBorder="1" applyAlignment="1">
      <alignment horizontal="center" vertical="center"/>
    </xf>
    <xf numFmtId="44" fontId="0" fillId="0" borderId="25" xfId="1" applyFont="1" applyBorder="1" applyAlignment="1">
      <alignment vertical="center"/>
    </xf>
    <xf numFmtId="2" fontId="0" fillId="0" borderId="1" xfId="0" applyNumberFormat="1" applyBorder="1" applyAlignment="1">
      <alignment horizontal="center" vertical="center"/>
    </xf>
    <xf numFmtId="9" fontId="0" fillId="0" borderId="0" xfId="0" applyNumberFormat="1" applyAlignment="1">
      <alignment horizontal="center" vertical="center"/>
    </xf>
    <xf numFmtId="22" fontId="0" fillId="0" borderId="68" xfId="0" applyNumberFormat="1" applyBorder="1" applyAlignment="1">
      <alignment horizontal="left" vertical="center"/>
    </xf>
    <xf numFmtId="44" fontId="22" fillId="0" borderId="103" xfId="1" applyFont="1" applyBorder="1" applyAlignment="1">
      <alignment vertical="center"/>
    </xf>
    <xf numFmtId="44" fontId="0" fillId="0" borderId="103" xfId="1" applyFont="1" applyBorder="1" applyAlignment="1">
      <alignment vertical="center"/>
    </xf>
    <xf numFmtId="168" fontId="19" fillId="0" borderId="103" xfId="0" applyNumberFormat="1" applyFont="1" applyBorder="1" applyAlignment="1">
      <alignment vertical="center"/>
    </xf>
    <xf numFmtId="168" fontId="0" fillId="0" borderId="103" xfId="0" applyNumberFormat="1" applyBorder="1" applyAlignment="1">
      <alignment vertical="center"/>
    </xf>
    <xf numFmtId="44" fontId="0" fillId="0" borderId="104" xfId="1" applyFont="1" applyBorder="1" applyAlignment="1">
      <alignment vertical="center"/>
    </xf>
    <xf numFmtId="44" fontId="0" fillId="0" borderId="105" xfId="1" applyFont="1" applyBorder="1" applyAlignment="1">
      <alignment vertical="center"/>
    </xf>
    <xf numFmtId="171" fontId="0" fillId="0" borderId="103" xfId="0" applyNumberFormat="1" applyBorder="1" applyAlignment="1">
      <alignment horizontal="center" vertical="center"/>
    </xf>
    <xf numFmtId="2" fontId="0" fillId="0" borderId="61" xfId="0" applyNumberFormat="1" applyBorder="1" applyAlignment="1">
      <alignment horizontal="center" vertical="center"/>
    </xf>
    <xf numFmtId="168" fontId="0" fillId="0" borderId="106" xfId="0" applyNumberFormat="1" applyBorder="1" applyAlignment="1">
      <alignment vertical="center"/>
    </xf>
    <xf numFmtId="172" fontId="0" fillId="0" borderId="0" xfId="0" applyNumberFormat="1" applyAlignment="1">
      <alignment horizontal="left"/>
    </xf>
    <xf numFmtId="169" fontId="0" fillId="0" borderId="0" xfId="1" applyNumberFormat="1" applyFont="1"/>
    <xf numFmtId="173" fontId="0" fillId="0" borderId="0" xfId="0" applyNumberFormat="1"/>
    <xf numFmtId="10" fontId="0" fillId="0" borderId="0" xfId="0" applyNumberFormat="1"/>
    <xf numFmtId="0" fontId="17" fillId="0" borderId="8" xfId="0" applyFont="1" applyBorder="1" applyAlignment="1">
      <alignment horizontal="center"/>
    </xf>
    <xf numFmtId="44" fontId="3" fillId="0" borderId="9" xfId="1" applyFont="1" applyBorder="1"/>
    <xf numFmtId="44" fontId="3" fillId="0" borderId="48" xfId="1" applyFont="1" applyBorder="1"/>
    <xf numFmtId="0" fontId="9" fillId="6" borderId="107" xfId="0" applyFont="1" applyFill="1" applyBorder="1" applyAlignment="1">
      <alignment horizontal="center"/>
    </xf>
    <xf numFmtId="44" fontId="9" fillId="6" borderId="108" xfId="1" applyFont="1" applyFill="1" applyBorder="1" applyAlignment="1">
      <alignment horizontal="center"/>
    </xf>
    <xf numFmtId="0" fontId="9" fillId="6" borderId="109" xfId="0" applyFont="1" applyFill="1" applyBorder="1" applyAlignment="1">
      <alignment horizontal="center"/>
    </xf>
    <xf numFmtId="17" fontId="9" fillId="6" borderId="4" xfId="0" applyNumberFormat="1" applyFont="1" applyFill="1" applyBorder="1" applyAlignment="1">
      <alignment horizontal="center"/>
    </xf>
    <xf numFmtId="44" fontId="0" fillId="0" borderId="3" xfId="1" applyFont="1" applyBorder="1"/>
    <xf numFmtId="0" fontId="0" fillId="0" borderId="12" xfId="0" applyBorder="1"/>
    <xf numFmtId="0" fontId="3" fillId="0" borderId="98" xfId="0" applyFont="1"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center" wrapText="1"/>
    </xf>
    <xf numFmtId="0" fontId="3" fillId="0" borderId="0" xfId="0" applyFont="1" applyAlignment="1">
      <alignment horizontal="right"/>
    </xf>
    <xf numFmtId="44" fontId="3" fillId="0" borderId="0" xfId="0" applyNumberFormat="1" applyFont="1"/>
    <xf numFmtId="0" fontId="3" fillId="0" borderId="0" xfId="0" applyFont="1"/>
    <xf numFmtId="0" fontId="17" fillId="0" borderId="0" xfId="0" applyFont="1" applyAlignment="1">
      <alignment horizontal="left"/>
    </xf>
    <xf numFmtId="44" fontId="1" fillId="0" borderId="0" xfId="1" applyFont="1" applyBorder="1"/>
    <xf numFmtId="0" fontId="3" fillId="0" borderId="4" xfId="0" applyFont="1" applyBorder="1" applyAlignment="1">
      <alignment horizontal="center"/>
    </xf>
    <xf numFmtId="44" fontId="3" fillId="0" borderId="87" xfId="1" applyFont="1" applyBorder="1"/>
    <xf numFmtId="44" fontId="3" fillId="0" borderId="72" xfId="1" applyFont="1" applyBorder="1"/>
    <xf numFmtId="44" fontId="3" fillId="0" borderId="75" xfId="1" applyFont="1" applyBorder="1"/>
    <xf numFmtId="44" fontId="3" fillId="0" borderId="7" xfId="1" applyFont="1" applyBorder="1"/>
    <xf numFmtId="44" fontId="3" fillId="0" borderId="0" xfId="1" applyFont="1"/>
    <xf numFmtId="44" fontId="0" fillId="0" borderId="110" xfId="1" applyFont="1" applyBorder="1"/>
    <xf numFmtId="0" fontId="17" fillId="0" borderId="26" xfId="0" applyFont="1" applyBorder="1" applyAlignment="1">
      <alignment horizontal="right"/>
    </xf>
    <xf numFmtId="44" fontId="0" fillId="4" borderId="30" xfId="1" applyFont="1" applyFill="1" applyBorder="1"/>
    <xf numFmtId="44" fontId="0" fillId="5" borderId="2" xfId="1" applyFont="1" applyFill="1" applyBorder="1"/>
    <xf numFmtId="44" fontId="0" fillId="4" borderId="99" xfId="1" applyFont="1" applyFill="1" applyBorder="1"/>
    <xf numFmtId="44" fontId="0" fillId="5" borderId="5" xfId="1" applyFont="1" applyFill="1" applyBorder="1"/>
    <xf numFmtId="44" fontId="0" fillId="4" borderId="57" xfId="1" applyFont="1" applyFill="1" applyBorder="1"/>
    <xf numFmtId="44" fontId="0" fillId="0" borderId="54" xfId="1" applyFont="1" applyBorder="1"/>
    <xf numFmtId="0" fontId="17" fillId="0" borderId="35" xfId="0" applyFont="1" applyBorder="1" applyAlignment="1">
      <alignment horizontal="right"/>
    </xf>
    <xf numFmtId="0" fontId="0" fillId="0" borderId="14" xfId="0" applyBorder="1"/>
    <xf numFmtId="44" fontId="3" fillId="0" borderId="72" xfId="1" applyFont="1" applyBorder="1" applyAlignment="1">
      <alignment horizontal="right"/>
    </xf>
    <xf numFmtId="0" fontId="18" fillId="0" borderId="16" xfId="0" applyFont="1" applyBorder="1" applyAlignment="1">
      <alignment horizontal="center"/>
    </xf>
    <xf numFmtId="0" fontId="19" fillId="0" borderId="16" xfId="0" applyFont="1" applyBorder="1" applyAlignment="1">
      <alignment horizontal="center"/>
    </xf>
    <xf numFmtId="44" fontId="0" fillId="0" borderId="16" xfId="0" applyNumberFormat="1" applyBorder="1"/>
    <xf numFmtId="44" fontId="0" fillId="0" borderId="16" xfId="1" applyFont="1" applyBorder="1" applyAlignment="1">
      <alignment horizontal="center"/>
    </xf>
    <xf numFmtId="44" fontId="3" fillId="0" borderId="84" xfId="1" applyFont="1" applyBorder="1" applyAlignment="1">
      <alignment horizontal="right"/>
    </xf>
    <xf numFmtId="171" fontId="3" fillId="0" borderId="72" xfId="2" applyNumberFormat="1" applyFont="1" applyBorder="1" applyAlignment="1">
      <alignment horizontal="center"/>
    </xf>
    <xf numFmtId="171" fontId="3" fillId="0" borderId="84" xfId="2" applyNumberFormat="1" applyFont="1" applyBorder="1" applyAlignment="1">
      <alignment horizontal="center"/>
    </xf>
    <xf numFmtId="9" fontId="3" fillId="0" borderId="48" xfId="2" applyFont="1" applyBorder="1" applyAlignment="1">
      <alignment horizontal="center"/>
    </xf>
    <xf numFmtId="9" fontId="3" fillId="0" borderId="24" xfId="2" applyFont="1" applyBorder="1" applyAlignment="1">
      <alignment horizontal="center"/>
    </xf>
    <xf numFmtId="44" fontId="0" fillId="0" borderId="0" xfId="2" applyNumberFormat="1" applyFont="1"/>
    <xf numFmtId="171" fontId="0" fillId="0" borderId="0" xfId="2" applyNumberFormat="1" applyFont="1"/>
    <xf numFmtId="10" fontId="0" fillId="0" borderId="48" xfId="2" applyNumberFormat="1" applyFont="1" applyBorder="1" applyAlignment="1">
      <alignment horizontal="center" vertical="center"/>
    </xf>
    <xf numFmtId="10" fontId="0" fillId="0" borderId="7" xfId="2" applyNumberFormat="1" applyFont="1" applyBorder="1" applyAlignment="1">
      <alignment horizontal="center" vertical="center"/>
    </xf>
    <xf numFmtId="10" fontId="3" fillId="0" borderId="74" xfId="2" applyNumberFormat="1" applyFont="1" applyBorder="1" applyAlignment="1">
      <alignment horizontal="center" vertical="center"/>
    </xf>
    <xf numFmtId="0" fontId="0" fillId="0" borderId="12" xfId="0" applyBorder="1" applyAlignment="1">
      <alignment horizontal="right" vertical="center"/>
    </xf>
    <xf numFmtId="0" fontId="25" fillId="0" borderId="8" xfId="0" applyFont="1" applyBorder="1" applyAlignment="1">
      <alignment horizontal="right"/>
    </xf>
    <xf numFmtId="0" fontId="25" fillId="0" borderId="47" xfId="0" applyFont="1" applyBorder="1" applyAlignment="1">
      <alignment horizontal="right"/>
    </xf>
    <xf numFmtId="168" fontId="0" fillId="0" borderId="0" xfId="1" applyNumberFormat="1" applyFont="1" applyFill="1" applyBorder="1" applyAlignment="1">
      <alignment vertical="center"/>
    </xf>
    <xf numFmtId="44" fontId="0" fillId="0" borderId="13" xfId="1" applyFont="1" applyBorder="1" applyAlignment="1">
      <alignment vertical="center"/>
    </xf>
    <xf numFmtId="0" fontId="0" fillId="0" borderId="94" xfId="0" applyBorder="1"/>
    <xf numFmtId="0" fontId="5" fillId="6" borderId="3" xfId="0" applyFont="1" applyFill="1" applyBorder="1"/>
    <xf numFmtId="0" fontId="5" fillId="6" borderId="5" xfId="0" applyFont="1" applyFill="1" applyBorder="1"/>
    <xf numFmtId="0" fontId="5" fillId="6" borderId="11" xfId="0" applyFont="1" applyFill="1" applyBorder="1"/>
    <xf numFmtId="44" fontId="0" fillId="0" borderId="87" xfId="1" applyFont="1" applyBorder="1"/>
    <xf numFmtId="0" fontId="3" fillId="0" borderId="55" xfId="0" applyFont="1" applyBorder="1" applyAlignment="1">
      <alignment horizontal="center"/>
    </xf>
    <xf numFmtId="44" fontId="3" fillId="7" borderId="112" xfId="1" applyFont="1" applyFill="1" applyBorder="1" applyAlignment="1">
      <alignment horizontal="right"/>
    </xf>
    <xf numFmtId="44" fontId="3" fillId="7" borderId="23" xfId="1" applyFont="1" applyFill="1" applyBorder="1"/>
    <xf numFmtId="44" fontId="3" fillId="7" borderId="73" xfId="1" applyFont="1" applyFill="1" applyBorder="1" applyAlignment="1">
      <alignment horizontal="right"/>
    </xf>
    <xf numFmtId="44" fontId="3" fillId="7" borderId="74" xfId="1" applyFont="1" applyFill="1" applyBorder="1"/>
    <xf numFmtId="0" fontId="17" fillId="0" borderId="113" xfId="0" applyFont="1" applyBorder="1" applyAlignment="1">
      <alignment horizontal="right"/>
    </xf>
    <xf numFmtId="44" fontId="0" fillId="0" borderId="86" xfId="1" applyFont="1" applyBorder="1"/>
    <xf numFmtId="0" fontId="0" fillId="0" borderId="20" xfId="0" applyBorder="1"/>
    <xf numFmtId="0" fontId="0" fillId="0" borderId="114" xfId="0" applyBorder="1"/>
    <xf numFmtId="44" fontId="0" fillId="0" borderId="7" xfId="0" applyNumberFormat="1" applyBorder="1"/>
    <xf numFmtId="44" fontId="0" fillId="0" borderId="63" xfId="1" applyFont="1" applyBorder="1"/>
    <xf numFmtId="10" fontId="3" fillId="0" borderId="72" xfId="2" applyNumberFormat="1" applyFont="1" applyBorder="1" applyAlignment="1">
      <alignment horizontal="center"/>
    </xf>
    <xf numFmtId="10" fontId="3" fillId="0" borderId="84" xfId="2" applyNumberFormat="1" applyFont="1" applyBorder="1" applyAlignment="1">
      <alignment horizontal="center"/>
    </xf>
    <xf numFmtId="10" fontId="3" fillId="0" borderId="48" xfId="2" applyNumberFormat="1" applyFont="1" applyBorder="1" applyAlignment="1">
      <alignment horizontal="center"/>
    </xf>
    <xf numFmtId="10" fontId="3" fillId="0" borderId="24" xfId="2" applyNumberFormat="1" applyFont="1" applyBorder="1" applyAlignment="1">
      <alignment horizontal="center"/>
    </xf>
    <xf numFmtId="44" fontId="0" fillId="0" borderId="66" xfId="1" applyFont="1" applyBorder="1"/>
    <xf numFmtId="174" fontId="0" fillId="0" borderId="0" xfId="0" applyNumberFormat="1"/>
    <xf numFmtId="175" fontId="0" fillId="0" borderId="0" xfId="0" applyNumberFormat="1"/>
    <xf numFmtId="44" fontId="0" fillId="0" borderId="12" xfId="0" applyNumberFormat="1" applyBorder="1"/>
    <xf numFmtId="44" fontId="0" fillId="0" borderId="13" xfId="0" applyNumberFormat="1" applyBorder="1"/>
    <xf numFmtId="44" fontId="0" fillId="0" borderId="28" xfId="1" applyFont="1" applyBorder="1" applyAlignment="1">
      <alignment vertical="center"/>
    </xf>
    <xf numFmtId="0" fontId="17" fillId="0" borderId="39" xfId="0" applyFont="1" applyBorder="1" applyAlignment="1">
      <alignment horizontal="center"/>
    </xf>
    <xf numFmtId="44" fontId="0" fillId="0" borderId="0" xfId="1" applyFont="1" applyAlignment="1">
      <alignment horizontal="left"/>
    </xf>
    <xf numFmtId="0" fontId="0" fillId="0" borderId="115" xfId="0" applyBorder="1" applyAlignment="1">
      <alignment horizontal="center"/>
    </xf>
    <xf numFmtId="0" fontId="0" fillId="0" borderId="116" xfId="0" applyBorder="1" applyAlignment="1">
      <alignment horizontal="center"/>
    </xf>
    <xf numFmtId="0" fontId="0" fillId="0" borderId="15" xfId="0" applyBorder="1" applyAlignment="1">
      <alignment horizontal="center"/>
    </xf>
    <xf numFmtId="0" fontId="0" fillId="0" borderId="31" xfId="0" applyBorder="1" applyAlignment="1">
      <alignment horizontal="center"/>
    </xf>
    <xf numFmtId="0" fontId="0" fillId="0" borderId="79" xfId="0" applyBorder="1"/>
    <xf numFmtId="0" fontId="0" fillId="0" borderId="2" xfId="0" applyBorder="1" applyAlignment="1">
      <alignment horizontal="center"/>
    </xf>
    <xf numFmtId="44" fontId="0" fillId="0" borderId="2" xfId="1" applyFont="1" applyBorder="1" applyAlignment="1">
      <alignment horizontal="center"/>
    </xf>
    <xf numFmtId="44" fontId="0" fillId="0" borderId="14" xfId="1" applyFont="1" applyBorder="1" applyAlignment="1">
      <alignment horizontal="center"/>
    </xf>
    <xf numFmtId="0" fontId="15" fillId="0" borderId="2" xfId="0" applyFont="1" applyBorder="1" applyAlignment="1">
      <alignment horizontal="center"/>
    </xf>
    <xf numFmtId="0" fontId="0" fillId="0" borderId="27" xfId="0" applyBorder="1" applyAlignment="1">
      <alignment horizontal="center"/>
    </xf>
    <xf numFmtId="10" fontId="0" fillId="0" borderId="76" xfId="2" applyNumberFormat="1" applyFont="1" applyBorder="1"/>
    <xf numFmtId="10" fontId="0" fillId="0" borderId="0" xfId="2" applyNumberFormat="1" applyFont="1" applyBorder="1"/>
    <xf numFmtId="0" fontId="0" fillId="0" borderId="71" xfId="0" applyBorder="1" applyAlignment="1">
      <alignment horizontal="center"/>
    </xf>
    <xf numFmtId="0" fontId="15" fillId="0" borderId="14" xfId="0" applyFont="1" applyBorder="1" applyAlignment="1">
      <alignment horizontal="center"/>
    </xf>
    <xf numFmtId="176" fontId="0" fillId="0" borderId="0" xfId="2" applyNumberFormat="1" applyFont="1" applyBorder="1"/>
    <xf numFmtId="44" fontId="0" fillId="0" borderId="17" xfId="0" applyNumberFormat="1" applyBorder="1"/>
    <xf numFmtId="10" fontId="0" fillId="0" borderId="77" xfId="2" applyNumberFormat="1" applyFont="1" applyBorder="1"/>
    <xf numFmtId="10" fontId="0" fillId="0" borderId="13" xfId="2" applyNumberFormat="1" applyFont="1" applyBorder="1"/>
    <xf numFmtId="2" fontId="1" fillId="0" borderId="0" xfId="1" applyNumberFormat="1" applyFont="1"/>
    <xf numFmtId="44" fontId="19" fillId="0" borderId="16" xfId="1" applyFont="1" applyBorder="1" applyAlignment="1">
      <alignment horizontal="center"/>
    </xf>
    <xf numFmtId="44" fontId="18" fillId="0" borderId="16" xfId="1" applyFont="1" applyBorder="1" applyAlignment="1">
      <alignment horizontal="center"/>
    </xf>
    <xf numFmtId="173" fontId="0" fillId="0" borderId="0" xfId="2" applyNumberFormat="1" applyFont="1"/>
    <xf numFmtId="175" fontId="0" fillId="0" borderId="0" xfId="2" applyNumberFormat="1" applyFont="1"/>
    <xf numFmtId="44" fontId="1" fillId="0" borderId="16" xfId="1" applyFont="1" applyBorder="1" applyAlignment="1">
      <alignment horizontal="center"/>
    </xf>
    <xf numFmtId="1" fontId="0" fillId="0" borderId="0" xfId="1" applyNumberFormat="1" applyFont="1" applyAlignment="1">
      <alignment horizontal="center"/>
    </xf>
    <xf numFmtId="1" fontId="0" fillId="0" borderId="0" xfId="0" applyNumberFormat="1" applyAlignment="1">
      <alignment horizontal="center"/>
    </xf>
    <xf numFmtId="44" fontId="0" fillId="0" borderId="0" xfId="1" applyFont="1" applyFill="1" applyBorder="1" applyAlignment="1">
      <alignment vertical="center"/>
    </xf>
    <xf numFmtId="10" fontId="25" fillId="0" borderId="48" xfId="2" applyNumberFormat="1" applyFont="1" applyBorder="1" applyAlignment="1">
      <alignment horizontal="center"/>
    </xf>
    <xf numFmtId="44" fontId="0" fillId="0" borderId="13" xfId="1" applyFont="1" applyFill="1" applyBorder="1" applyAlignment="1">
      <alignment vertical="center"/>
    </xf>
    <xf numFmtId="22" fontId="0" fillId="0" borderId="0" xfId="0" applyNumberFormat="1"/>
    <xf numFmtId="44" fontId="26" fillId="0" borderId="0" xfId="1" applyFont="1"/>
    <xf numFmtId="0" fontId="0" fillId="0" borderId="0" xfId="0" applyAlignment="1">
      <alignment horizontal="center" vertical="center"/>
    </xf>
    <xf numFmtId="165" fontId="0" fillId="0" borderId="0" xfId="1" applyNumberFormat="1" applyFont="1"/>
    <xf numFmtId="2" fontId="1" fillId="0" borderId="0" xfId="0" applyNumberFormat="1" applyFont="1"/>
    <xf numFmtId="0" fontId="1" fillId="0" borderId="0" xfId="0" applyFont="1"/>
    <xf numFmtId="16" fontId="0" fillId="0" borderId="0" xfId="0" applyNumberFormat="1"/>
    <xf numFmtId="0" fontId="22" fillId="0" borderId="0" xfId="0" applyFont="1"/>
    <xf numFmtId="44" fontId="22" fillId="0" borderId="0" xfId="1" applyFont="1"/>
    <xf numFmtId="44" fontId="0" fillId="0" borderId="14" xfId="0" applyNumberFormat="1" applyBorder="1"/>
    <xf numFmtId="177" fontId="0" fillId="0" borderId="0" xfId="0" applyNumberFormat="1"/>
    <xf numFmtId="0" fontId="0" fillId="0" borderId="0" xfId="1" applyNumberFormat="1" applyFont="1"/>
    <xf numFmtId="44" fontId="0" fillId="0" borderId="0" xfId="1" applyFont="1" applyBorder="1" applyAlignment="1">
      <alignment horizontal="left"/>
    </xf>
    <xf numFmtId="44" fontId="0" fillId="0" borderId="17" xfId="1" applyFont="1" applyBorder="1" applyAlignment="1">
      <alignment horizontal="left"/>
    </xf>
    <xf numFmtId="2" fontId="0" fillId="0" borderId="0" xfId="2" applyNumberFormat="1" applyFont="1"/>
    <xf numFmtId="0" fontId="14" fillId="0" borderId="0" xfId="0" applyFont="1"/>
    <xf numFmtId="44" fontId="0" fillId="0" borderId="0" xfId="1" applyFont="1" applyFill="1"/>
    <xf numFmtId="44" fontId="0" fillId="0" borderId="12" xfId="1" applyFont="1" applyFill="1" applyBorder="1"/>
    <xf numFmtId="0" fontId="17" fillId="0" borderId="80" xfId="0" applyFont="1" applyBorder="1" applyAlignment="1">
      <alignment horizontal="center"/>
    </xf>
    <xf numFmtId="0" fontId="0" fillId="0" borderId="114" xfId="0" applyBorder="1" applyAlignment="1">
      <alignment horizontal="center"/>
    </xf>
    <xf numFmtId="44" fontId="3" fillId="0" borderId="49" xfId="1" applyFont="1" applyBorder="1" applyAlignment="1">
      <alignment horizontal="right"/>
    </xf>
    <xf numFmtId="44" fontId="0" fillId="0" borderId="24" xfId="0" applyNumberFormat="1" applyBorder="1"/>
    <xf numFmtId="0" fontId="3" fillId="0" borderId="0" xfId="0" applyFont="1" applyAlignment="1">
      <alignment horizontal="center"/>
    </xf>
    <xf numFmtId="0" fontId="0" fillId="0" borderId="118" xfId="0" applyBorder="1"/>
    <xf numFmtId="0" fontId="0" fillId="0" borderId="119" xfId="0" applyBorder="1"/>
    <xf numFmtId="0" fontId="0" fillId="0" borderId="119" xfId="0" applyBorder="1" applyAlignment="1">
      <alignment horizontal="right"/>
    </xf>
    <xf numFmtId="0" fontId="0" fillId="0" borderId="119" xfId="0" applyBorder="1" applyAlignment="1">
      <alignment horizontal="center"/>
    </xf>
    <xf numFmtId="0" fontId="0" fillId="0" borderId="119" xfId="0" applyBorder="1" applyAlignment="1">
      <alignment horizontal="left"/>
    </xf>
    <xf numFmtId="44" fontId="0" fillId="0" borderId="119" xfId="0" applyNumberFormat="1" applyBorder="1"/>
    <xf numFmtId="44" fontId="0" fillId="0" borderId="120" xfId="0" applyNumberFormat="1" applyBorder="1"/>
    <xf numFmtId="0" fontId="0" fillId="0" borderId="36" xfId="0" applyBorder="1"/>
    <xf numFmtId="0" fontId="0" fillId="0" borderId="30" xfId="0" applyBorder="1"/>
    <xf numFmtId="0" fontId="0" fillId="0" borderId="30" xfId="0" applyBorder="1" applyAlignment="1">
      <alignment horizontal="right"/>
    </xf>
    <xf numFmtId="0" fontId="0" fillId="0" borderId="35" xfId="0" applyBorder="1"/>
    <xf numFmtId="0" fontId="0" fillId="0" borderId="16" xfId="0" applyBorder="1"/>
    <xf numFmtId="44" fontId="0" fillId="0" borderId="30" xfId="0" applyNumberFormat="1" applyBorder="1"/>
    <xf numFmtId="44" fontId="0" fillId="0" borderId="35" xfId="0" applyNumberFormat="1" applyBorder="1"/>
    <xf numFmtId="44" fontId="0" fillId="0" borderId="119" xfId="1" applyFont="1" applyBorder="1"/>
    <xf numFmtId="44" fontId="0" fillId="0" borderId="120" xfId="1" applyFont="1" applyBorder="1"/>
    <xf numFmtId="44" fontId="1" fillId="0" borderId="119" xfId="1" applyFont="1" applyBorder="1"/>
    <xf numFmtId="44" fontId="1" fillId="0" borderId="120" xfId="1" applyFont="1" applyBorder="1"/>
    <xf numFmtId="44" fontId="1" fillId="0" borderId="30" xfId="1" applyFont="1" applyBorder="1"/>
    <xf numFmtId="44" fontId="1" fillId="0" borderId="35" xfId="1" applyFont="1" applyBorder="1"/>
    <xf numFmtId="0" fontId="27" fillId="8" borderId="0" xfId="0" applyFont="1" applyFill="1"/>
    <xf numFmtId="0" fontId="0" fillId="8" borderId="0" xfId="0" applyFill="1"/>
    <xf numFmtId="0" fontId="28" fillId="8" borderId="0" xfId="0" applyFont="1" applyFill="1"/>
    <xf numFmtId="0" fontId="29" fillId="0" borderId="0" xfId="0" applyFont="1"/>
    <xf numFmtId="0" fontId="3" fillId="9" borderId="0" xfId="0" applyFont="1" applyFill="1"/>
    <xf numFmtId="0" fontId="3" fillId="9" borderId="0" xfId="0" applyFont="1" applyFill="1" applyAlignment="1">
      <alignment horizontal="center"/>
    </xf>
    <xf numFmtId="0" fontId="0" fillId="10" borderId="0" xfId="0" applyFill="1"/>
    <xf numFmtId="0" fontId="0" fillId="10" borderId="0" xfId="0" applyFill="1" applyAlignment="1">
      <alignment horizontal="center"/>
    </xf>
    <xf numFmtId="0" fontId="0" fillId="11" borderId="0" xfId="0" applyFill="1"/>
    <xf numFmtId="0" fontId="0" fillId="11" borderId="0" xfId="0" applyFill="1" applyAlignment="1">
      <alignment horizontal="center"/>
    </xf>
    <xf numFmtId="178" fontId="0" fillId="0" borderId="0" xfId="0" applyNumberFormat="1"/>
    <xf numFmtId="178" fontId="0" fillId="0" borderId="0" xfId="0" applyNumberFormat="1" applyAlignment="1">
      <alignment horizontal="center"/>
    </xf>
    <xf numFmtId="0" fontId="30" fillId="0" borderId="0" xfId="0" applyFont="1" applyAlignment="1">
      <alignment horizontal="center"/>
    </xf>
    <xf numFmtId="0" fontId="27" fillId="12" borderId="0" xfId="0" applyFont="1" applyFill="1"/>
    <xf numFmtId="0" fontId="0" fillId="12" borderId="0" xfId="0" applyFill="1"/>
    <xf numFmtId="0" fontId="28" fillId="12" borderId="0" xfId="0" applyFont="1" applyFill="1"/>
    <xf numFmtId="0" fontId="29" fillId="0" borderId="0" xfId="0" applyFont="1" applyAlignment="1">
      <alignment horizontal="center"/>
    </xf>
    <xf numFmtId="0" fontId="28" fillId="12" borderId="0" xfId="0" applyFont="1" applyFill="1" applyAlignment="1">
      <alignment horizontal="center"/>
    </xf>
    <xf numFmtId="2" fontId="0" fillId="0" borderId="0" xfId="0" applyNumberFormat="1" applyAlignment="1">
      <alignment horizontal="center"/>
    </xf>
    <xf numFmtId="0" fontId="31" fillId="0" borderId="0" xfId="0" applyFont="1"/>
    <xf numFmtId="0" fontId="32" fillId="0" borderId="0" xfId="0" applyFont="1"/>
    <xf numFmtId="0" fontId="33" fillId="0" borderId="0" xfId="0" applyFont="1" applyAlignment="1">
      <alignment horizontal="center"/>
    </xf>
    <xf numFmtId="0" fontId="0" fillId="9" borderId="0" xfId="0" applyFill="1"/>
    <xf numFmtId="0" fontId="35" fillId="0" borderId="0" xfId="0" applyFont="1" applyAlignment="1">
      <alignment horizontal="center"/>
    </xf>
    <xf numFmtId="0" fontId="36" fillId="0" borderId="0" xfId="0" applyFont="1"/>
    <xf numFmtId="0" fontId="37" fillId="0" borderId="0" xfId="0" applyFont="1"/>
    <xf numFmtId="0" fontId="38" fillId="0" borderId="0" xfId="0" applyFont="1"/>
    <xf numFmtId="0" fontId="3" fillId="9" borderId="0" xfId="0" applyFont="1" applyFill="1" applyAlignment="1">
      <alignment horizontal="left"/>
    </xf>
    <xf numFmtId="0" fontId="39" fillId="9" borderId="0" xfId="0" applyFont="1" applyFill="1" applyAlignment="1">
      <alignment horizontal="center"/>
    </xf>
    <xf numFmtId="0" fontId="41" fillId="0" borderId="0" xfId="0" applyFont="1" applyAlignment="1">
      <alignment horizontal="center"/>
    </xf>
    <xf numFmtId="0" fontId="42" fillId="0" borderId="0" xfId="0" applyFont="1" applyAlignment="1">
      <alignment horizontal="center"/>
    </xf>
    <xf numFmtId="0" fontId="34" fillId="8" borderId="0" xfId="0" applyFont="1" applyFill="1" applyAlignment="1">
      <alignment horizontal="center"/>
    </xf>
    <xf numFmtId="0" fontId="30" fillId="10" borderId="0" xfId="0" applyFont="1" applyFill="1" applyAlignment="1">
      <alignment horizontal="center"/>
    </xf>
    <xf numFmtId="0" fontId="43" fillId="11" borderId="0" xfId="0" applyFont="1" applyFill="1"/>
    <xf numFmtId="0" fontId="40" fillId="10" borderId="0" xfId="0" applyFont="1" applyFill="1"/>
    <xf numFmtId="0" fontId="0" fillId="0" borderId="0" xfId="0" applyAlignment="1">
      <alignment horizontal="center"/>
    </xf>
    <xf numFmtId="44" fontId="0" fillId="0" borderId="0" xfId="0" applyNumberFormat="1"/>
    <xf numFmtId="0" fontId="0" fillId="0" borderId="0" xfId="0"/>
    <xf numFmtId="44" fontId="3" fillId="0" borderId="0" xfId="0" applyNumberFormat="1" applyFont="1"/>
    <xf numFmtId="44" fontId="0" fillId="0" borderId="0" xfId="0" applyNumberFormat="1" applyAlignment="1">
      <alignment horizontal="center"/>
    </xf>
    <xf numFmtId="0" fontId="0" fillId="0" borderId="0" xfId="0" applyAlignment="1">
      <alignment horizontal="left"/>
    </xf>
    <xf numFmtId="0" fontId="0" fillId="0" borderId="0" xfId="0" applyAlignment="1">
      <alignment horizontal="right"/>
    </xf>
    <xf numFmtId="44" fontId="0" fillId="0" borderId="0" xfId="0" applyNumberFormat="1" applyAlignment="1">
      <alignment horizontal="left"/>
    </xf>
    <xf numFmtId="44" fontId="0" fillId="0" borderId="0" xfId="1" applyFont="1" applyAlignment="1"/>
    <xf numFmtId="44" fontId="0" fillId="0" borderId="0" xfId="1" applyFont="1" applyFill="1" applyBorder="1"/>
    <xf numFmtId="44" fontId="0" fillId="0" borderId="13" xfId="1" applyFont="1" applyFill="1" applyBorder="1"/>
    <xf numFmtId="44" fontId="0" fillId="0" borderId="0" xfId="1" applyFont="1" applyBorder="1" applyAlignment="1">
      <alignment horizontal="left"/>
    </xf>
    <xf numFmtId="44" fontId="0" fillId="0" borderId="17" xfId="1" applyFont="1" applyBorder="1" applyAlignment="1">
      <alignment horizontal="left"/>
    </xf>
    <xf numFmtId="44" fontId="0" fillId="0" borderId="2" xfId="1" applyFont="1" applyBorder="1"/>
    <xf numFmtId="44" fontId="0" fillId="0" borderId="15" xfId="1" applyFont="1" applyBorder="1"/>
    <xf numFmtId="44" fontId="0" fillId="0" borderId="19" xfId="1" applyFont="1" applyBorder="1"/>
    <xf numFmtId="44" fontId="0" fillId="0" borderId="0" xfId="1" applyFont="1" applyBorder="1"/>
    <xf numFmtId="44" fontId="0" fillId="0" borderId="13" xfId="1" applyFont="1" applyBorder="1"/>
    <xf numFmtId="44" fontId="0" fillId="0" borderId="17" xfId="1" applyFont="1" applyBorder="1"/>
    <xf numFmtId="44" fontId="0" fillId="0" borderId="10" xfId="1" applyFont="1" applyBorder="1" applyAlignment="1">
      <alignment horizontal="center"/>
    </xf>
    <xf numFmtId="44" fontId="0" fillId="0" borderId="26" xfId="1" applyFont="1" applyBorder="1" applyAlignment="1">
      <alignment horizontal="center"/>
    </xf>
    <xf numFmtId="44" fontId="0" fillId="0" borderId="10" xfId="1" applyFont="1" applyBorder="1" applyAlignment="1">
      <alignment horizontal="left"/>
    </xf>
    <xf numFmtId="44" fontId="0" fillId="0" borderId="110" xfId="1" applyFont="1" applyBorder="1" applyAlignment="1">
      <alignment horizontal="left"/>
    </xf>
    <xf numFmtId="0" fontId="0" fillId="0" borderId="13" xfId="0" applyBorder="1"/>
    <xf numFmtId="0" fontId="3" fillId="0" borderId="3" xfId="0" applyFont="1" applyBorder="1" applyAlignment="1">
      <alignment horizontal="center"/>
    </xf>
    <xf numFmtId="0" fontId="3" fillId="0" borderId="11" xfId="0" applyFont="1" applyBorder="1" applyAlignment="1">
      <alignment horizontal="center"/>
    </xf>
    <xf numFmtId="44" fontId="0" fillId="0" borderId="10" xfId="1" applyFont="1" applyBorder="1"/>
    <xf numFmtId="44" fontId="0" fillId="0" borderId="110" xfId="1" applyFont="1" applyBorder="1"/>
    <xf numFmtId="44" fontId="1" fillId="0" borderId="10" xfId="1" applyFont="1" applyBorder="1" applyAlignment="1">
      <alignment horizontal="center"/>
    </xf>
    <xf numFmtId="44" fontId="1" fillId="0" borderId="26" xfId="1" applyFont="1" applyBorder="1" applyAlignment="1">
      <alignment horizontal="center"/>
    </xf>
    <xf numFmtId="44" fontId="3" fillId="0" borderId="10" xfId="1" applyFont="1" applyBorder="1" applyAlignment="1">
      <alignment horizontal="center"/>
    </xf>
    <xf numFmtId="44" fontId="3" fillId="0" borderId="26" xfId="1" applyFont="1" applyBorder="1" applyAlignment="1">
      <alignment horizontal="center"/>
    </xf>
    <xf numFmtId="44" fontId="3" fillId="0" borderId="10" xfId="1" applyFont="1" applyBorder="1" applyAlignment="1">
      <alignment horizontal="left"/>
    </xf>
    <xf numFmtId="44" fontId="3" fillId="0" borderId="110" xfId="1" applyFont="1" applyBorder="1" applyAlignment="1">
      <alignment horizontal="left"/>
    </xf>
    <xf numFmtId="0" fontId="7" fillId="6" borderId="42" xfId="0" quotePrefix="1" applyFont="1" applyFill="1" applyBorder="1" applyAlignment="1">
      <alignment horizontal="right"/>
    </xf>
    <xf numFmtId="0" fontId="7" fillId="6" borderId="43" xfId="0" quotePrefix="1" applyFont="1" applyFill="1" applyBorder="1" applyAlignment="1">
      <alignment horizontal="right"/>
    </xf>
    <xf numFmtId="0" fontId="7" fillId="6" borderId="60" xfId="0" quotePrefix="1" applyFont="1" applyFill="1" applyBorder="1" applyAlignment="1">
      <alignment horizontal="right"/>
    </xf>
    <xf numFmtId="0" fontId="5" fillId="6" borderId="42" xfId="0" applyFont="1" applyFill="1" applyBorder="1" applyAlignment="1">
      <alignment horizontal="left"/>
    </xf>
    <xf numFmtId="0" fontId="5" fillId="6" borderId="43" xfId="0" applyFont="1" applyFill="1" applyBorder="1" applyAlignment="1">
      <alignment horizontal="left"/>
    </xf>
    <xf numFmtId="0" fontId="5" fillId="6" borderId="60" xfId="0" applyFont="1" applyFill="1" applyBorder="1" applyAlignment="1">
      <alignment horizontal="left"/>
    </xf>
    <xf numFmtId="0" fontId="9" fillId="6" borderId="42" xfId="0" applyFont="1" applyFill="1" applyBorder="1" applyAlignment="1">
      <alignment horizontal="center"/>
    </xf>
    <xf numFmtId="0" fontId="9" fillId="6" borderId="43" xfId="0" applyFont="1" applyFill="1" applyBorder="1" applyAlignment="1">
      <alignment horizontal="center"/>
    </xf>
    <xf numFmtId="0" fontId="9" fillId="6" borderId="60" xfId="0" applyFont="1" applyFill="1" applyBorder="1" applyAlignment="1">
      <alignment horizontal="center"/>
    </xf>
    <xf numFmtId="44" fontId="0" fillId="0" borderId="5" xfId="1" applyFont="1" applyBorder="1"/>
    <xf numFmtId="44" fontId="0" fillId="0" borderId="11" xfId="1" applyFont="1" applyBorder="1"/>
    <xf numFmtId="0" fontId="3" fillId="0" borderId="5" xfId="0" applyFont="1" applyBorder="1" applyAlignment="1">
      <alignment horizontal="center"/>
    </xf>
    <xf numFmtId="0" fontId="3" fillId="0" borderId="56" xfId="0" applyFont="1" applyBorder="1" applyAlignment="1">
      <alignment horizontal="center"/>
    </xf>
    <xf numFmtId="0" fontId="3" fillId="0" borderId="98" xfId="0" applyFont="1" applyBorder="1" applyAlignment="1">
      <alignment horizontal="center"/>
    </xf>
    <xf numFmtId="44" fontId="0" fillId="0" borderId="76" xfId="1" applyFont="1" applyBorder="1"/>
    <xf numFmtId="44" fontId="0" fillId="0" borderId="77" xfId="1" applyFont="1" applyBorder="1"/>
    <xf numFmtId="0" fontId="0" fillId="0" borderId="76" xfId="0" applyBorder="1"/>
    <xf numFmtId="0" fontId="0" fillId="0" borderId="79" xfId="0" applyBorder="1"/>
    <xf numFmtId="44" fontId="3" fillId="0" borderId="100" xfId="1" applyFont="1" applyBorder="1" applyAlignment="1">
      <alignment horizontal="center"/>
    </xf>
    <xf numFmtId="44" fontId="3" fillId="0" borderId="33" xfId="1" applyFont="1" applyBorder="1" applyAlignment="1">
      <alignment horizontal="center"/>
    </xf>
    <xf numFmtId="44" fontId="3" fillId="0" borderId="111" xfId="1" applyFont="1" applyBorder="1" applyAlignment="1">
      <alignment horizontal="center"/>
    </xf>
    <xf numFmtId="0" fontId="3" fillId="0" borderId="92" xfId="0" applyFont="1" applyBorder="1" applyAlignment="1">
      <alignment horizontal="center"/>
    </xf>
    <xf numFmtId="0" fontId="3" fillId="0" borderId="95" xfId="0" applyFont="1" applyBorder="1" applyAlignment="1">
      <alignment horizontal="center"/>
    </xf>
    <xf numFmtId="44" fontId="0" fillId="0" borderId="0" xfId="1" applyFont="1" applyBorder="1" applyAlignment="1">
      <alignment horizontal="right"/>
    </xf>
    <xf numFmtId="44" fontId="0" fillId="0" borderId="17" xfId="1" applyFont="1" applyBorder="1" applyAlignment="1">
      <alignment horizontal="right"/>
    </xf>
    <xf numFmtId="0" fontId="0" fillId="0" borderId="17" xfId="0" applyBorder="1"/>
    <xf numFmtId="14" fontId="0" fillId="0" borderId="0" xfId="1" applyNumberFormat="1" applyFont="1" applyBorder="1"/>
    <xf numFmtId="14" fontId="0" fillId="0" borderId="13" xfId="1" applyNumberFormat="1" applyFont="1" applyBorder="1"/>
    <xf numFmtId="44" fontId="0" fillId="0" borderId="0" xfId="1" applyFont="1" applyBorder="1" applyAlignment="1"/>
    <xf numFmtId="44" fontId="0" fillId="0" borderId="17" xfId="1" applyFont="1" applyBorder="1" applyAlignment="1"/>
    <xf numFmtId="0" fontId="7" fillId="6" borderId="62" xfId="0" quotePrefix="1" applyFont="1" applyFill="1" applyBorder="1" applyAlignment="1">
      <alignment horizontal="right"/>
    </xf>
    <xf numFmtId="0" fontId="7" fillId="6" borderId="25" xfId="0" quotePrefix="1" applyFont="1" applyFill="1" applyBorder="1" applyAlignment="1">
      <alignment horizontal="right"/>
    </xf>
    <xf numFmtId="0" fontId="7" fillId="6" borderId="28" xfId="0" quotePrefix="1" applyFont="1" applyFill="1" applyBorder="1" applyAlignment="1">
      <alignment horizontal="right"/>
    </xf>
    <xf numFmtId="44" fontId="0" fillId="0" borderId="78" xfId="1" applyFont="1" applyBorder="1" applyAlignment="1">
      <alignment horizontal="center"/>
    </xf>
    <xf numFmtId="44" fontId="0" fillId="0" borderId="21" xfId="1" applyFont="1" applyBorder="1" applyAlignment="1">
      <alignment horizontal="center"/>
    </xf>
    <xf numFmtId="44" fontId="0" fillId="0" borderId="79" xfId="1" applyFont="1" applyBorder="1"/>
    <xf numFmtId="0" fontId="7" fillId="6" borderId="3" xfId="0" quotePrefix="1" applyFont="1" applyFill="1" applyBorder="1" applyAlignment="1">
      <alignment horizontal="center"/>
    </xf>
    <xf numFmtId="0" fontId="7" fillId="6" borderId="5" xfId="0" quotePrefix="1" applyFont="1" applyFill="1" applyBorder="1" applyAlignment="1">
      <alignment horizontal="center"/>
    </xf>
    <xf numFmtId="0" fontId="3" fillId="6" borderId="5" xfId="0" applyFont="1" applyFill="1" applyBorder="1" applyAlignment="1">
      <alignment horizontal="center"/>
    </xf>
    <xf numFmtId="0" fontId="0" fillId="0" borderId="39" xfId="0" applyBorder="1" applyAlignment="1">
      <alignment horizontal="center"/>
    </xf>
    <xf numFmtId="0" fontId="0" fillId="0" borderId="17" xfId="0" applyBorder="1" applyAlignment="1">
      <alignment horizontal="center"/>
    </xf>
    <xf numFmtId="0" fontId="0" fillId="0" borderId="40" xfId="0" applyBorder="1" applyAlignment="1">
      <alignment horizontal="center"/>
    </xf>
    <xf numFmtId="44" fontId="0" fillId="0" borderId="0" xfId="1" applyFont="1"/>
    <xf numFmtId="6" fontId="0" fillId="0" borderId="0" xfId="1" applyNumberFormat="1" applyFont="1" applyBorder="1"/>
    <xf numFmtId="6" fontId="0" fillId="0" borderId="13" xfId="1" applyNumberFormat="1" applyFont="1" applyBorder="1"/>
    <xf numFmtId="44" fontId="0" fillId="0" borderId="13" xfId="1" applyFont="1" applyBorder="1" applyAlignment="1">
      <alignment horizontal="left"/>
    </xf>
    <xf numFmtId="44" fontId="3" fillId="0" borderId="100" xfId="1" applyFont="1" applyBorder="1" applyAlignment="1">
      <alignment horizontal="left"/>
    </xf>
    <xf numFmtId="44" fontId="3" fillId="0" borderId="111" xfId="1" applyFont="1" applyBorder="1" applyAlignment="1">
      <alignment horizontal="left"/>
    </xf>
    <xf numFmtId="44" fontId="1" fillId="0" borderId="10" xfId="1" applyFont="1" applyBorder="1" applyAlignment="1">
      <alignment horizontal="left"/>
    </xf>
    <xf numFmtId="44" fontId="1" fillId="0" borderId="110" xfId="1" applyFont="1" applyBorder="1" applyAlignment="1">
      <alignment horizontal="left"/>
    </xf>
    <xf numFmtId="0" fontId="0" fillId="0" borderId="117" xfId="0" applyBorder="1" applyAlignment="1">
      <alignment horizontal="center"/>
    </xf>
    <xf numFmtId="0" fontId="0" fillId="0" borderId="99" xfId="0" applyBorder="1" applyAlignment="1">
      <alignment horizontal="center"/>
    </xf>
    <xf numFmtId="0" fontId="3" fillId="6" borderId="3" xfId="0" applyFont="1" applyFill="1" applyBorder="1" applyAlignment="1">
      <alignment horizontal="center"/>
    </xf>
    <xf numFmtId="0" fontId="3" fillId="6" borderId="11" xfId="0" applyFont="1" applyFill="1" applyBorder="1" applyAlignment="1">
      <alignment horizontal="center"/>
    </xf>
    <xf numFmtId="0" fontId="0" fillId="0" borderId="111" xfId="0" applyBorder="1" applyAlignment="1">
      <alignment horizontal="center"/>
    </xf>
    <xf numFmtId="0" fontId="0" fillId="0" borderId="100" xfId="0" applyBorder="1" applyAlignment="1">
      <alignment horizontal="center"/>
    </xf>
    <xf numFmtId="0" fontId="0" fillId="0" borderId="33" xfId="0" applyBorder="1" applyAlignment="1">
      <alignment horizontal="center"/>
    </xf>
    <xf numFmtId="0" fontId="0" fillId="0" borderId="35" xfId="0" applyBorder="1" applyAlignment="1">
      <alignment horizontal="center"/>
    </xf>
    <xf numFmtId="0" fontId="0" fillId="0" borderId="87" xfId="0" applyBorder="1" applyAlignment="1">
      <alignment horizontal="center"/>
    </xf>
    <xf numFmtId="0" fontId="0" fillId="0" borderId="9" xfId="0" applyBorder="1" applyAlignment="1">
      <alignment horizont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11" xfId="0" applyFont="1" applyBorder="1" applyAlignment="1">
      <alignment horizontal="center" vertical="center"/>
    </xf>
    <xf numFmtId="0" fontId="0" fillId="0" borderId="89" xfId="0" applyBorder="1" applyAlignment="1">
      <alignment horizontal="center"/>
    </xf>
    <xf numFmtId="0" fontId="0" fillId="0" borderId="30" xfId="0" applyBorder="1" applyAlignment="1">
      <alignment horizontal="center"/>
    </xf>
    <xf numFmtId="0" fontId="0" fillId="0" borderId="3" xfId="0" applyBorder="1"/>
    <xf numFmtId="0" fontId="0" fillId="0" borderId="56" xfId="0" applyBorder="1"/>
    <xf numFmtId="44" fontId="0" fillId="0" borderId="98" xfId="1" applyFont="1" applyBorder="1" applyAlignment="1">
      <alignment horizontal="center"/>
    </xf>
    <xf numFmtId="44" fontId="0" fillId="0" borderId="11" xfId="1" applyFont="1" applyBorder="1" applyAlignment="1">
      <alignment horizontal="center"/>
    </xf>
    <xf numFmtId="0" fontId="0" fillId="0" borderId="92" xfId="0" applyBorder="1"/>
    <xf numFmtId="0" fontId="0" fillId="0" borderId="93" xfId="0" applyBorder="1"/>
    <xf numFmtId="44" fontId="0" fillId="0" borderId="94" xfId="1" applyFont="1" applyBorder="1" applyAlignment="1"/>
    <xf numFmtId="44" fontId="0" fillId="0" borderId="95" xfId="1" applyFont="1" applyBorder="1" applyAlignment="1"/>
    <xf numFmtId="22" fontId="0" fillId="0" borderId="3" xfId="0" applyNumberFormat="1" applyBorder="1" applyAlignment="1">
      <alignment horizontal="center" vertical="center"/>
    </xf>
    <xf numFmtId="22" fontId="0" fillId="0" borderId="5" xfId="0" applyNumberFormat="1" applyBorder="1" applyAlignment="1">
      <alignment horizontal="center" vertical="center"/>
    </xf>
    <xf numFmtId="22" fontId="0" fillId="0" borderId="11" xfId="0" applyNumberFormat="1" applyBorder="1" applyAlignment="1">
      <alignment horizontal="center" vertical="center"/>
    </xf>
    <xf numFmtId="22" fontId="0" fillId="0" borderId="12" xfId="0" applyNumberFormat="1" applyBorder="1" applyAlignment="1">
      <alignment horizontal="center" vertical="center"/>
    </xf>
    <xf numFmtId="22" fontId="0" fillId="0" borderId="0" xfId="0" applyNumberFormat="1" applyAlignment="1">
      <alignment horizontal="center" vertical="center"/>
    </xf>
    <xf numFmtId="22" fontId="0" fillId="0" borderId="13" xfId="0" applyNumberFormat="1" applyBorder="1" applyAlignment="1">
      <alignment horizontal="center" vertical="center"/>
    </xf>
    <xf numFmtId="22" fontId="0" fillId="0" borderId="62" xfId="0" applyNumberFormat="1" applyBorder="1" applyAlignment="1">
      <alignment horizontal="center" vertical="center"/>
    </xf>
    <xf numFmtId="22" fontId="0" fillId="0" borderId="25" xfId="0" applyNumberFormat="1" applyBorder="1" applyAlignment="1">
      <alignment horizontal="center" vertical="center"/>
    </xf>
    <xf numFmtId="22" fontId="0" fillId="0" borderId="28" xfId="0" applyNumberFormat="1" applyBorder="1" applyAlignment="1">
      <alignment horizontal="center" vertical="center"/>
    </xf>
    <xf numFmtId="22" fontId="0" fillId="0" borderId="12" xfId="0" applyNumberFormat="1" applyBorder="1" applyAlignment="1">
      <alignment horizontal="center" vertical="center" wrapText="1"/>
    </xf>
    <xf numFmtId="22" fontId="0" fillId="0" borderId="0" xfId="0" applyNumberFormat="1" applyAlignment="1">
      <alignment horizontal="center" vertical="center" wrapText="1"/>
    </xf>
    <xf numFmtId="22" fontId="0" fillId="0" borderId="13" xfId="0" applyNumberFormat="1" applyBorder="1" applyAlignment="1">
      <alignment horizontal="center" vertical="center" wrapText="1"/>
    </xf>
    <xf numFmtId="22" fontId="0" fillId="0" borderId="62" xfId="0" applyNumberFormat="1" applyBorder="1" applyAlignment="1">
      <alignment horizontal="center" vertical="center" wrapText="1"/>
    </xf>
    <xf numFmtId="22" fontId="0" fillId="0" borderId="25" xfId="0" applyNumberFormat="1" applyBorder="1" applyAlignment="1">
      <alignment horizontal="center" vertical="center" wrapText="1"/>
    </xf>
    <xf numFmtId="22" fontId="0" fillId="0" borderId="28" xfId="0" applyNumberFormat="1" applyBorder="1" applyAlignment="1">
      <alignment horizontal="center" vertical="center" wrapText="1"/>
    </xf>
    <xf numFmtId="0" fontId="0" fillId="0" borderId="42" xfId="0" applyBorder="1"/>
    <xf numFmtId="0" fontId="0" fillId="0" borderId="97" xfId="0" applyBorder="1"/>
    <xf numFmtId="44" fontId="0" fillId="0" borderId="43" xfId="1" applyFont="1" applyFill="1" applyBorder="1" applyAlignment="1"/>
    <xf numFmtId="44" fontId="0" fillId="0" borderId="60" xfId="1" applyFont="1" applyFill="1" applyBorder="1" applyAlignment="1"/>
    <xf numFmtId="0" fontId="0" fillId="0" borderId="98" xfId="0" applyBorder="1" applyAlignment="1">
      <alignment horizontal="center" vertical="center"/>
    </xf>
    <xf numFmtId="0" fontId="0" fillId="0" borderId="56" xfId="0" applyBorder="1" applyAlignment="1">
      <alignment horizontal="center" vertical="center"/>
    </xf>
    <xf numFmtId="0" fontId="0" fillId="0" borderId="98" xfId="0" applyBorder="1" applyAlignment="1">
      <alignment horizontal="center"/>
    </xf>
    <xf numFmtId="0" fontId="0" fillId="0" borderId="56" xfId="0" applyBorder="1" applyAlignment="1">
      <alignment horizontal="center"/>
    </xf>
    <xf numFmtId="0" fontId="0" fillId="0" borderId="96" xfId="0" applyBorder="1" applyAlignment="1">
      <alignment horizontal="center" vertical="center"/>
    </xf>
    <xf numFmtId="0" fontId="0" fillId="0" borderId="44" xfId="0" applyBorder="1" applyAlignment="1">
      <alignment horizontal="center" vertical="center"/>
    </xf>
    <xf numFmtId="44" fontId="0" fillId="0" borderId="5" xfId="1" applyFont="1" applyBorder="1" applyAlignment="1"/>
    <xf numFmtId="44" fontId="0" fillId="0" borderId="11" xfId="1" applyFont="1" applyBorder="1" applyAlignment="1"/>
    <xf numFmtId="0" fontId="3" fillId="0" borderId="0" xfId="0" applyFont="1" applyAlignment="1">
      <alignment horizontal="center"/>
    </xf>
    <xf numFmtId="0" fontId="3" fillId="0" borderId="13" xfId="0" applyFont="1" applyBorder="1" applyAlignment="1">
      <alignment horizontal="center"/>
    </xf>
    <xf numFmtId="0" fontId="0" fillId="0" borderId="13" xfId="0" applyBorder="1" applyAlignment="1">
      <alignment horizontal="right"/>
    </xf>
  </cellXfs>
  <cellStyles count="3">
    <cellStyle name="Currency" xfId="1" builtinId="4"/>
    <cellStyle name="Normal" xfId="0" builtinId="0"/>
    <cellStyle name="Percent" xfId="2" builtinId="5"/>
  </cellStyles>
  <dxfs count="903">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2929"/>
      <color rgb="FFF23A00"/>
      <color rgb="FFD31717"/>
      <color rgb="FF63BE7B"/>
      <color rgb="FFF8696B"/>
      <color rgb="FFFE4F00"/>
      <color rgb="FFF4A10C"/>
      <color rgb="FFFF9900"/>
      <color rgb="FF0080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7.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6.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haredStrings" Target="sharedStrings.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1.xml"/><Relationship Id="rId22" Type="http://schemas.openxmlformats.org/officeDocument/2006/relationships/styles" Target="styles.xml"/><Relationship Id="rId27" Type="http://schemas.microsoft.com/office/2017/06/relationships/richStyles" Target="richData/richStyles.xml"/><Relationship Id="rId30" Type="http://schemas.microsoft.com/office/2017/06/relationships/rdRichValueTypes" Target="richData/rdRichValueTyp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DFD181E0-5E2F-11CE-A449-00AA004A803D}" ax:persistence="persistStreamInit" r:id="rId1"/>
</file>

<file path=xl/activeX/activeX2.xml><?xml version="1.0" encoding="utf-8"?>
<ax:ocx xmlns:ax="http://schemas.microsoft.com/office/2006/activeX" xmlns:r="http://schemas.openxmlformats.org/officeDocument/2006/relationships" ax:classid="{DFD181E0-5E2F-11CE-A449-00AA004A803D}"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Miles</a:t>
            </a:r>
            <a:r>
              <a:rPr lang="en-US" b="1" baseline="0"/>
              <a:t> Per Gallon &amp; Cost Per Gallon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Miles Per Gallon</c:v>
          </c:tx>
          <c:spPr>
            <a:ln w="25400" cap="rnd">
              <a:solidFill>
                <a:srgbClr val="0070C0"/>
              </a:solidFill>
              <a:round/>
            </a:ln>
            <a:effectLst>
              <a:glow rad="76200">
                <a:srgbClr val="0070C0">
                  <a:alpha val="20000"/>
                </a:srgbClr>
              </a:glow>
            </a:effectLst>
          </c:spPr>
          <c:marker>
            <c:symbol val="none"/>
          </c:marker>
          <c:cat>
            <c:numRef>
              <c:f>Gas!$B$4:$B$244</c:f>
              <c:numCache>
                <c:formatCode>m/d/yyyy</c:formatCode>
                <c:ptCount val="241"/>
                <c:pt idx="0">
                  <c:v>44531</c:v>
                </c:pt>
                <c:pt idx="1">
                  <c:v>44537</c:v>
                </c:pt>
                <c:pt idx="2">
                  <c:v>44544</c:v>
                </c:pt>
                <c:pt idx="3">
                  <c:v>44550</c:v>
                </c:pt>
                <c:pt idx="4">
                  <c:v>44558</c:v>
                </c:pt>
                <c:pt idx="5">
                  <c:v>44564</c:v>
                </c:pt>
                <c:pt idx="6">
                  <c:v>44571</c:v>
                </c:pt>
                <c:pt idx="7">
                  <c:v>44579</c:v>
                </c:pt>
                <c:pt idx="8">
                  <c:v>44586</c:v>
                </c:pt>
                <c:pt idx="9">
                  <c:v>44589</c:v>
                </c:pt>
                <c:pt idx="10">
                  <c:v>44592</c:v>
                </c:pt>
                <c:pt idx="11">
                  <c:v>44593</c:v>
                </c:pt>
                <c:pt idx="12">
                  <c:v>44597</c:v>
                </c:pt>
                <c:pt idx="13">
                  <c:v>44603</c:v>
                </c:pt>
                <c:pt idx="14">
                  <c:v>44609</c:v>
                </c:pt>
                <c:pt idx="15">
                  <c:v>44617</c:v>
                </c:pt>
                <c:pt idx="16">
                  <c:v>44621</c:v>
                </c:pt>
                <c:pt idx="17">
                  <c:v>44628</c:v>
                </c:pt>
                <c:pt idx="18">
                  <c:v>44631</c:v>
                </c:pt>
                <c:pt idx="19">
                  <c:v>44637</c:v>
                </c:pt>
                <c:pt idx="20">
                  <c:v>44641</c:v>
                </c:pt>
                <c:pt idx="21">
                  <c:v>44647</c:v>
                </c:pt>
                <c:pt idx="22">
                  <c:v>44652</c:v>
                </c:pt>
                <c:pt idx="23">
                  <c:v>44658</c:v>
                </c:pt>
                <c:pt idx="24">
                  <c:v>44662</c:v>
                </c:pt>
                <c:pt idx="25">
                  <c:v>44667</c:v>
                </c:pt>
                <c:pt idx="26">
                  <c:v>44675</c:v>
                </c:pt>
                <c:pt idx="27">
                  <c:v>44680</c:v>
                </c:pt>
                <c:pt idx="28">
                  <c:v>44685</c:v>
                </c:pt>
                <c:pt idx="29">
                  <c:v>44691</c:v>
                </c:pt>
                <c:pt idx="30">
                  <c:v>44697</c:v>
                </c:pt>
                <c:pt idx="31">
                  <c:v>44701</c:v>
                </c:pt>
                <c:pt idx="32">
                  <c:v>44706</c:v>
                </c:pt>
                <c:pt idx="33">
                  <c:v>44714</c:v>
                </c:pt>
                <c:pt idx="34">
                  <c:v>44721</c:v>
                </c:pt>
                <c:pt idx="35">
                  <c:v>44726</c:v>
                </c:pt>
                <c:pt idx="36">
                  <c:v>44733</c:v>
                </c:pt>
                <c:pt idx="37">
                  <c:v>44738</c:v>
                </c:pt>
                <c:pt idx="38">
                  <c:v>44747</c:v>
                </c:pt>
                <c:pt idx="39">
                  <c:v>44755</c:v>
                </c:pt>
                <c:pt idx="40">
                  <c:v>44763</c:v>
                </c:pt>
                <c:pt idx="41">
                  <c:v>44768</c:v>
                </c:pt>
                <c:pt idx="42">
                  <c:v>44774</c:v>
                </c:pt>
                <c:pt idx="43">
                  <c:v>44781</c:v>
                </c:pt>
                <c:pt idx="44">
                  <c:v>44788</c:v>
                </c:pt>
                <c:pt idx="45">
                  <c:v>44794</c:v>
                </c:pt>
                <c:pt idx="46">
                  <c:v>44801</c:v>
                </c:pt>
                <c:pt idx="47">
                  <c:v>44805</c:v>
                </c:pt>
                <c:pt idx="48">
                  <c:v>44811</c:v>
                </c:pt>
                <c:pt idx="49">
                  <c:v>44818</c:v>
                </c:pt>
                <c:pt idx="50">
                  <c:v>44825</c:v>
                </c:pt>
                <c:pt idx="51">
                  <c:v>44830</c:v>
                </c:pt>
                <c:pt idx="52">
                  <c:v>44836</c:v>
                </c:pt>
                <c:pt idx="53">
                  <c:v>44842</c:v>
                </c:pt>
                <c:pt idx="54">
                  <c:v>44852</c:v>
                </c:pt>
                <c:pt idx="55">
                  <c:v>44859</c:v>
                </c:pt>
                <c:pt idx="57">
                  <c:v>44870</c:v>
                </c:pt>
                <c:pt idx="58">
                  <c:v>44877</c:v>
                </c:pt>
                <c:pt idx="59">
                  <c:v>44883</c:v>
                </c:pt>
                <c:pt idx="60">
                  <c:v>44890</c:v>
                </c:pt>
                <c:pt idx="61">
                  <c:v>44898</c:v>
                </c:pt>
                <c:pt idx="62">
                  <c:v>44907</c:v>
                </c:pt>
                <c:pt idx="63">
                  <c:v>44915</c:v>
                </c:pt>
                <c:pt idx="64">
                  <c:v>44922</c:v>
                </c:pt>
                <c:pt idx="65">
                  <c:v>44931</c:v>
                </c:pt>
                <c:pt idx="66">
                  <c:v>44940</c:v>
                </c:pt>
                <c:pt idx="67">
                  <c:v>44946</c:v>
                </c:pt>
                <c:pt idx="68">
                  <c:v>44953</c:v>
                </c:pt>
                <c:pt idx="69">
                  <c:v>44960</c:v>
                </c:pt>
                <c:pt idx="70">
                  <c:v>44967</c:v>
                </c:pt>
                <c:pt idx="71">
                  <c:v>44973</c:v>
                </c:pt>
                <c:pt idx="72">
                  <c:v>44975</c:v>
                </c:pt>
                <c:pt idx="73">
                  <c:v>44982</c:v>
                </c:pt>
                <c:pt idx="74">
                  <c:v>44984</c:v>
                </c:pt>
                <c:pt idx="75">
                  <c:v>44986</c:v>
                </c:pt>
                <c:pt idx="76">
                  <c:v>44991</c:v>
                </c:pt>
                <c:pt idx="77">
                  <c:v>44997</c:v>
                </c:pt>
                <c:pt idx="78">
                  <c:v>45002</c:v>
                </c:pt>
                <c:pt idx="79">
                  <c:v>45008</c:v>
                </c:pt>
                <c:pt idx="80">
                  <c:v>45013</c:v>
                </c:pt>
                <c:pt idx="81">
                  <c:v>45018</c:v>
                </c:pt>
                <c:pt idx="82">
                  <c:v>45025</c:v>
                </c:pt>
                <c:pt idx="83">
                  <c:v>45031</c:v>
                </c:pt>
                <c:pt idx="84">
                  <c:v>45038</c:v>
                </c:pt>
                <c:pt idx="85">
                  <c:v>45040</c:v>
                </c:pt>
                <c:pt idx="86">
                  <c:v>45047</c:v>
                </c:pt>
                <c:pt idx="87">
                  <c:v>45051</c:v>
                </c:pt>
                <c:pt idx="88">
                  <c:v>45054</c:v>
                </c:pt>
                <c:pt idx="89">
                  <c:v>45064</c:v>
                </c:pt>
                <c:pt idx="90">
                  <c:v>45072</c:v>
                </c:pt>
                <c:pt idx="91">
                  <c:v>45077</c:v>
                </c:pt>
                <c:pt idx="92">
                  <c:v>45085</c:v>
                </c:pt>
                <c:pt idx="93">
                  <c:v>45090</c:v>
                </c:pt>
                <c:pt idx="94">
                  <c:v>45096</c:v>
                </c:pt>
                <c:pt idx="95">
                  <c:v>45100</c:v>
                </c:pt>
                <c:pt idx="96">
                  <c:v>45104</c:v>
                </c:pt>
                <c:pt idx="97">
                  <c:v>45108</c:v>
                </c:pt>
                <c:pt idx="98">
                  <c:v>45110</c:v>
                </c:pt>
                <c:pt idx="99">
                  <c:v>45110</c:v>
                </c:pt>
                <c:pt idx="100">
                  <c:v>45114</c:v>
                </c:pt>
                <c:pt idx="101">
                  <c:v>45120</c:v>
                </c:pt>
                <c:pt idx="102">
                  <c:v>45124</c:v>
                </c:pt>
                <c:pt idx="103">
                  <c:v>45128</c:v>
                </c:pt>
                <c:pt idx="104">
                  <c:v>45132</c:v>
                </c:pt>
                <c:pt idx="105">
                  <c:v>45137</c:v>
                </c:pt>
                <c:pt idx="106">
                  <c:v>45141</c:v>
                </c:pt>
                <c:pt idx="107">
                  <c:v>45145</c:v>
                </c:pt>
                <c:pt idx="108">
                  <c:v>45149</c:v>
                </c:pt>
                <c:pt idx="109">
                  <c:v>45151</c:v>
                </c:pt>
                <c:pt idx="110">
                  <c:v>45153</c:v>
                </c:pt>
                <c:pt idx="111">
                  <c:v>45158</c:v>
                </c:pt>
                <c:pt idx="112">
                  <c:v>45163</c:v>
                </c:pt>
                <c:pt idx="113">
                  <c:v>45170</c:v>
                </c:pt>
                <c:pt idx="114">
                  <c:v>45175</c:v>
                </c:pt>
                <c:pt idx="115">
                  <c:v>45180</c:v>
                </c:pt>
                <c:pt idx="116">
                  <c:v>45186</c:v>
                </c:pt>
                <c:pt idx="117">
                  <c:v>45193</c:v>
                </c:pt>
                <c:pt idx="118">
                  <c:v>45200</c:v>
                </c:pt>
                <c:pt idx="119">
                  <c:v>45208</c:v>
                </c:pt>
                <c:pt idx="120">
                  <c:v>45214</c:v>
                </c:pt>
                <c:pt idx="121">
                  <c:v>45241</c:v>
                </c:pt>
                <c:pt idx="122">
                  <c:v>45247</c:v>
                </c:pt>
                <c:pt idx="123">
                  <c:v>45254</c:v>
                </c:pt>
                <c:pt idx="124">
                  <c:v>45260</c:v>
                </c:pt>
                <c:pt idx="125">
                  <c:v>45266</c:v>
                </c:pt>
                <c:pt idx="126">
                  <c:v>45275</c:v>
                </c:pt>
                <c:pt idx="127">
                  <c:v>45283</c:v>
                </c:pt>
                <c:pt idx="128">
                  <c:v>45290</c:v>
                </c:pt>
                <c:pt idx="129">
                  <c:v>45299</c:v>
                </c:pt>
                <c:pt idx="130">
                  <c:v>45306</c:v>
                </c:pt>
                <c:pt idx="131">
                  <c:v>45314</c:v>
                </c:pt>
                <c:pt idx="132">
                  <c:v>45323</c:v>
                </c:pt>
                <c:pt idx="133">
                  <c:v>45334</c:v>
                </c:pt>
                <c:pt idx="134">
                  <c:v>45342</c:v>
                </c:pt>
                <c:pt idx="135">
                  <c:v>45352</c:v>
                </c:pt>
                <c:pt idx="136">
                  <c:v>45361</c:v>
                </c:pt>
                <c:pt idx="137">
                  <c:v>45372</c:v>
                </c:pt>
                <c:pt idx="138">
                  <c:v>45380</c:v>
                </c:pt>
                <c:pt idx="139">
                  <c:v>45384</c:v>
                </c:pt>
                <c:pt idx="140">
                  <c:v>45394</c:v>
                </c:pt>
                <c:pt idx="141">
                  <c:v>45403</c:v>
                </c:pt>
                <c:pt idx="142">
                  <c:v>45414</c:v>
                </c:pt>
                <c:pt idx="143">
                  <c:v>45421</c:v>
                </c:pt>
                <c:pt idx="144">
                  <c:v>45432</c:v>
                </c:pt>
                <c:pt idx="145">
                  <c:v>45437</c:v>
                </c:pt>
                <c:pt idx="146">
                  <c:v>45443</c:v>
                </c:pt>
                <c:pt idx="147">
                  <c:v>45444</c:v>
                </c:pt>
                <c:pt idx="148">
                  <c:v>45456</c:v>
                </c:pt>
                <c:pt idx="149">
                  <c:v>45467</c:v>
                </c:pt>
                <c:pt idx="150">
                  <c:v>45474</c:v>
                </c:pt>
                <c:pt idx="151">
                  <c:v>45486</c:v>
                </c:pt>
                <c:pt idx="152">
                  <c:v>45497</c:v>
                </c:pt>
                <c:pt idx="153">
                  <c:v>45500</c:v>
                </c:pt>
                <c:pt idx="154">
                  <c:v>45503</c:v>
                </c:pt>
                <c:pt idx="155">
                  <c:v>45517</c:v>
                </c:pt>
                <c:pt idx="156">
                  <c:v>45528</c:v>
                </c:pt>
                <c:pt idx="157">
                  <c:v>45539</c:v>
                </c:pt>
                <c:pt idx="158">
                  <c:v>45552</c:v>
                </c:pt>
                <c:pt idx="159">
                  <c:v>45561.811111111114</c:v>
                </c:pt>
                <c:pt idx="160" formatCode="m/d/yyyy\ h:mm;@">
                  <c:v>45573.413194444445</c:v>
                </c:pt>
                <c:pt idx="161" formatCode="m/d/yyyy\ h:mm;@">
                  <c:v>45581.800694444442</c:v>
                </c:pt>
                <c:pt idx="162" formatCode="m/d/yyyy\ h:mm;@">
                  <c:v>45591.720138888886</c:v>
                </c:pt>
                <c:pt idx="163" formatCode="m/d/yyyy\ h:mm;@">
                  <c:v>45597.870833333334</c:v>
                </c:pt>
                <c:pt idx="164" formatCode="m/d/yyyy\ h:mm;@">
                  <c:v>45610.369444444441</c:v>
                </c:pt>
                <c:pt idx="165" formatCode="m/d/yyyy\ h:mm;@">
                  <c:v>45622.475694444445</c:v>
                </c:pt>
                <c:pt idx="166" formatCode="m/d/yyyy\ h:mm;@">
                  <c:v>45637.683333333334</c:v>
                </c:pt>
                <c:pt idx="167" formatCode="m/d/yyyy\ h:mm;@">
                  <c:v>45648.793749999997</c:v>
                </c:pt>
                <c:pt idx="168" formatCode="m/d/yyyy\ h:mm;@">
                  <c:v>45658.743055555555</c:v>
                </c:pt>
                <c:pt idx="169" formatCode="m/d/yyyy\ h:mm;@">
                  <c:v>45672.484027777777</c:v>
                </c:pt>
                <c:pt idx="170" formatCode="m/d/yyyy\ h:mm;@">
                  <c:v>45681.845138888886</c:v>
                </c:pt>
                <c:pt idx="171" formatCode="m/d/yyyy\ h:mm;@">
                  <c:v>45686.462500000001</c:v>
                </c:pt>
                <c:pt idx="172" formatCode="m/d/yyyy\ h:mm;@">
                  <c:v>45695.855555555558</c:v>
                </c:pt>
                <c:pt idx="173" formatCode="m/d/yyyy\ h:mm;@">
                  <c:v>45707.629861111112</c:v>
                </c:pt>
                <c:pt idx="174" formatCode="m/d/yyyy\ h:mm;@">
                  <c:v>45722.322916666664</c:v>
                </c:pt>
                <c:pt idx="175" formatCode="m/d/yyyy\ h:mm;@">
                  <c:v>45739.918749999997</c:v>
                </c:pt>
                <c:pt idx="176">
                  <c:v>45750.731249999997</c:v>
                </c:pt>
                <c:pt idx="177">
                  <c:v>45762.741666666669</c:v>
                </c:pt>
                <c:pt idx="178">
                  <c:v>45773.627083333333</c:v>
                </c:pt>
              </c:numCache>
            </c:numRef>
          </c:cat>
          <c:val>
            <c:numRef>
              <c:f>Gas!$I$4:$I$244</c:f>
              <c:numCache>
                <c:formatCode>0.00</c:formatCode>
                <c:ptCount val="241"/>
                <c:pt idx="0">
                  <c:v>28.780677078281116</c:v>
                </c:pt>
                <c:pt idx="1">
                  <c:v>26.836049856184083</c:v>
                </c:pt>
                <c:pt idx="2">
                  <c:v>27.714256804613985</c:v>
                </c:pt>
                <c:pt idx="3">
                  <c:v>27.405481096219244</c:v>
                </c:pt>
                <c:pt idx="4">
                  <c:v>29.062661833247027</c:v>
                </c:pt>
                <c:pt idx="5">
                  <c:v>25.960902823684954</c:v>
                </c:pt>
                <c:pt idx="6">
                  <c:v>28.232012312427855</c:v>
                </c:pt>
                <c:pt idx="7">
                  <c:v>27.180315409462288</c:v>
                </c:pt>
                <c:pt idx="8">
                  <c:v>29.5906432748538</c:v>
                </c:pt>
                <c:pt idx="9">
                  <c:v>20.924817032601464</c:v>
                </c:pt>
                <c:pt idx="12">
                  <c:v>29.529867806381077</c:v>
                </c:pt>
                <c:pt idx="13">
                  <c:v>28.74027097146152</c:v>
                </c:pt>
                <c:pt idx="14">
                  <c:v>28.0528385600484</c:v>
                </c:pt>
                <c:pt idx="15">
                  <c:v>31.161588683351468</c:v>
                </c:pt>
                <c:pt idx="16">
                  <c:v>29.936426605939843</c:v>
                </c:pt>
                <c:pt idx="17">
                  <c:v>29.090909090909093</c:v>
                </c:pt>
                <c:pt idx="18">
                  <c:v>27.890703098967009</c:v>
                </c:pt>
                <c:pt idx="19">
                  <c:v>26.403225806451609</c:v>
                </c:pt>
                <c:pt idx="20">
                  <c:v>30.001043514557029</c:v>
                </c:pt>
                <c:pt idx="21">
                  <c:v>31.411569602965567</c:v>
                </c:pt>
                <c:pt idx="22">
                  <c:v>27.652335292298176</c:v>
                </c:pt>
                <c:pt idx="23">
                  <c:v>30.05063552753953</c:v>
                </c:pt>
                <c:pt idx="24">
                  <c:v>28.69430051813471</c:v>
                </c:pt>
                <c:pt idx="25">
                  <c:v>31.003876759844928</c:v>
                </c:pt>
                <c:pt idx="26">
                  <c:v>29.419587726797758</c:v>
                </c:pt>
                <c:pt idx="27">
                  <c:v>27.167630057803468</c:v>
                </c:pt>
                <c:pt idx="28">
                  <c:v>26.755351070214044</c:v>
                </c:pt>
                <c:pt idx="29">
                  <c:v>25.198372329603252</c:v>
                </c:pt>
                <c:pt idx="30">
                  <c:v>29.037503811362942</c:v>
                </c:pt>
                <c:pt idx="31">
                  <c:v>24.770875763747455</c:v>
                </c:pt>
                <c:pt idx="32">
                  <c:v>23.380910768035733</c:v>
                </c:pt>
                <c:pt idx="33">
                  <c:v>22.722337380317835</c:v>
                </c:pt>
                <c:pt idx="34">
                  <c:v>24.590971811551348</c:v>
                </c:pt>
                <c:pt idx="35">
                  <c:v>23.032239326169037</c:v>
                </c:pt>
                <c:pt idx="36">
                  <c:v>16.784824679057287</c:v>
                </c:pt>
                <c:pt idx="37">
                  <c:v>22.001325381047049</c:v>
                </c:pt>
                <c:pt idx="38">
                  <c:v>20.891314233742612</c:v>
                </c:pt>
                <c:pt idx="39">
                  <c:v>20.859295080442667</c:v>
                </c:pt>
                <c:pt idx="40">
                  <c:v>23.185824114007126</c:v>
                </c:pt>
                <c:pt idx="41">
                  <c:v>20.696269300853555</c:v>
                </c:pt>
                <c:pt idx="42">
                  <c:v>21.44665109034268</c:v>
                </c:pt>
                <c:pt idx="43">
                  <c:v>25.871673199917474</c:v>
                </c:pt>
                <c:pt idx="44">
                  <c:v>21.286472148541115</c:v>
                </c:pt>
                <c:pt idx="45">
                  <c:v>19.111722511545643</c:v>
                </c:pt>
                <c:pt idx="46">
                  <c:v>24.423758865248228</c:v>
                </c:pt>
                <c:pt idx="47">
                  <c:v>21.342417825246294</c:v>
                </c:pt>
                <c:pt idx="48">
                  <c:v>23.565694145290774</c:v>
                </c:pt>
                <c:pt idx="49">
                  <c:v>23.890919869578106</c:v>
                </c:pt>
                <c:pt idx="50">
                  <c:v>25.143201688272534</c:v>
                </c:pt>
                <c:pt idx="51">
                  <c:v>21.887047031611413</c:v>
                </c:pt>
                <c:pt idx="52">
                  <c:v>26.634563937934722</c:v>
                </c:pt>
                <c:pt idx="53">
                  <c:v>26.703365184877441</c:v>
                </c:pt>
                <c:pt idx="55">
                  <c:v>21.481481481481485</c:v>
                </c:pt>
                <c:pt idx="56">
                  <c:v>26.417866588304438</c:v>
                </c:pt>
                <c:pt idx="57">
                  <c:v>26.946997122435722</c:v>
                </c:pt>
                <c:pt idx="58">
                  <c:v>24.52385442202527</c:v>
                </c:pt>
                <c:pt idx="59">
                  <c:v>24.524802967083911</c:v>
                </c:pt>
                <c:pt idx="60">
                  <c:v>26.411473588526412</c:v>
                </c:pt>
                <c:pt idx="61">
                  <c:v>24.233016800584366</c:v>
                </c:pt>
                <c:pt idx="62">
                  <c:v>23.814521515122603</c:v>
                </c:pt>
                <c:pt idx="63">
                  <c:v>22.887700534759357</c:v>
                </c:pt>
                <c:pt idx="65">
                  <c:v>24.763101914523304</c:v>
                </c:pt>
                <c:pt idx="66">
                  <c:v>22.530714907613429</c:v>
                </c:pt>
                <c:pt idx="67">
                  <c:v>25.291985501409584</c:v>
                </c:pt>
                <c:pt idx="68">
                  <c:v>25.021983390327311</c:v>
                </c:pt>
                <c:pt idx="69">
                  <c:v>21.312726578897159</c:v>
                </c:pt>
                <c:pt idx="70">
                  <c:v>25.038618171605112</c:v>
                </c:pt>
                <c:pt idx="71">
                  <c:v>25.931117340808971</c:v>
                </c:pt>
                <c:pt idx="72">
                  <c:v>24.946635730858468</c:v>
                </c:pt>
                <c:pt idx="73">
                  <c:v>23.221971715515476</c:v>
                </c:pt>
                <c:pt idx="74">
                  <c:v>26.08349900596421</c:v>
                </c:pt>
                <c:pt idx="75">
                  <c:v>22.329910757125035</c:v>
                </c:pt>
                <c:pt idx="76">
                  <c:v>27.938110391748054</c:v>
                </c:pt>
                <c:pt idx="77">
                  <c:v>21.850302185030216</c:v>
                </c:pt>
                <c:pt idx="79">
                  <c:v>23.134176182707993</c:v>
                </c:pt>
                <c:pt idx="80">
                  <c:v>26.390064916737231</c:v>
                </c:pt>
                <c:pt idx="81">
                  <c:v>25.82239969575965</c:v>
                </c:pt>
                <c:pt idx="82">
                  <c:v>23.117828155611534</c:v>
                </c:pt>
                <c:pt idx="83">
                  <c:v>24.23896103896104</c:v>
                </c:pt>
                <c:pt idx="84">
                  <c:v>29.964773227653016</c:v>
                </c:pt>
                <c:pt idx="85">
                  <c:v>25.199653613008753</c:v>
                </c:pt>
                <c:pt idx="86">
                  <c:v>18.543774747030355</c:v>
                </c:pt>
                <c:pt idx="87">
                  <c:v>33.791568473422366</c:v>
                </c:pt>
                <c:pt idx="89">
                  <c:v>27.986590816741163</c:v>
                </c:pt>
                <c:pt idx="90">
                  <c:v>22.860988271486256</c:v>
                </c:pt>
                <c:pt idx="91">
                  <c:v>22.790931989924431</c:v>
                </c:pt>
                <c:pt idx="92">
                  <c:v>22.479114047017681</c:v>
                </c:pt>
                <c:pt idx="93">
                  <c:v>22.802274634100865</c:v>
                </c:pt>
                <c:pt idx="94">
                  <c:v>20.897328492972168</c:v>
                </c:pt>
                <c:pt idx="96">
                  <c:v>21.488207054894595</c:v>
                </c:pt>
                <c:pt idx="97">
                  <c:v>27.866868381240547</c:v>
                </c:pt>
                <c:pt idx="98">
                  <c:v>17.634489693313224</c:v>
                </c:pt>
                <c:pt idx="99">
                  <c:v>37.397513885215552</c:v>
                </c:pt>
                <c:pt idx="100">
                  <c:v>22.425070780044909</c:v>
                </c:pt>
                <c:pt idx="101">
                  <c:v>19.530284301606923</c:v>
                </c:pt>
                <c:pt idx="102">
                  <c:v>15.744245524296675</c:v>
                </c:pt>
                <c:pt idx="103">
                  <c:v>22.6819357222017</c:v>
                </c:pt>
                <c:pt idx="104">
                  <c:v>22.041118725689941</c:v>
                </c:pt>
                <c:pt idx="105">
                  <c:v>23.964442815249264</c:v>
                </c:pt>
                <c:pt idx="106">
                  <c:v>21.289456010745468</c:v>
                </c:pt>
                <c:pt idx="107">
                  <c:v>21.820485332813568</c:v>
                </c:pt>
                <c:pt idx="108">
                  <c:v>19.592060733558949</c:v>
                </c:pt>
                <c:pt idx="109">
                  <c:v>8.5944743185610974</c:v>
                </c:pt>
                <c:pt idx="110">
                  <c:v>73.581395348837205</c:v>
                </c:pt>
                <c:pt idx="111">
                  <c:v>20.490899062327635</c:v>
                </c:pt>
                <c:pt idx="112">
                  <c:v>20.668138619564175</c:v>
                </c:pt>
                <c:pt idx="113">
                  <c:v>20.798653324604881</c:v>
                </c:pt>
                <c:pt idx="114">
                  <c:v>20.611496913580247</c:v>
                </c:pt>
                <c:pt idx="115">
                  <c:v>24.840635434584641</c:v>
                </c:pt>
                <c:pt idx="116">
                  <c:v>24.424695977549113</c:v>
                </c:pt>
                <c:pt idx="117">
                  <c:v>23.087673530233857</c:v>
                </c:pt>
                <c:pt idx="118">
                  <c:v>27.191265835822435</c:v>
                </c:pt>
                <c:pt idx="119">
                  <c:v>26.204073862554733</c:v>
                </c:pt>
                <c:pt idx="120">
                  <c:v>24.947906800530401</c:v>
                </c:pt>
                <c:pt idx="121">
                  <c:v>25.650933848560125</c:v>
                </c:pt>
                <c:pt idx="122">
                  <c:v>27.951880307319048</c:v>
                </c:pt>
                <c:pt idx="123">
                  <c:v>24.62857142857143</c:v>
                </c:pt>
                <c:pt idx="124">
                  <c:v>26.314211473116131</c:v>
                </c:pt>
                <c:pt idx="125">
                  <c:v>23.488807809880683</c:v>
                </c:pt>
                <c:pt idx="126">
                  <c:v>26.764065899906747</c:v>
                </c:pt>
                <c:pt idx="127">
                  <c:v>26.398953301127214</c:v>
                </c:pt>
                <c:pt idx="128">
                  <c:v>28.457691129937736</c:v>
                </c:pt>
                <c:pt idx="129">
                  <c:v>25.771576418406948</c:v>
                </c:pt>
                <c:pt idx="130">
                  <c:v>22.174411933448077</c:v>
                </c:pt>
                <c:pt idx="131">
                  <c:v>26.163522012578611</c:v>
                </c:pt>
                <c:pt idx="132">
                  <c:v>25.15349381151935</c:v>
                </c:pt>
                <c:pt idx="133">
                  <c:v>23.648396718866518</c:v>
                </c:pt>
                <c:pt idx="134">
                  <c:v>28.947368421052634</c:v>
                </c:pt>
                <c:pt idx="135">
                  <c:v>23.743741887632119</c:v>
                </c:pt>
                <c:pt idx="136">
                  <c:v>30.079559363525089</c:v>
                </c:pt>
                <c:pt idx="137">
                  <c:v>25.454042592421871</c:v>
                </c:pt>
                <c:pt idx="138">
                  <c:v>31.96308724832215</c:v>
                </c:pt>
                <c:pt idx="139">
                  <c:v>28.163572976538205</c:v>
                </c:pt>
                <c:pt idx="140">
                  <c:v>27.942131132337941</c:v>
                </c:pt>
                <c:pt idx="141">
                  <c:v>26.479837217906034</c:v>
                </c:pt>
                <c:pt idx="142">
                  <c:v>24.64847751187261</c:v>
                </c:pt>
                <c:pt idx="143">
                  <c:v>29.736954662104363</c:v>
                </c:pt>
                <c:pt idx="144">
                  <c:v>14.464930621554837</c:v>
                </c:pt>
                <c:pt idx="145">
                  <c:v>49.092067537432307</c:v>
                </c:pt>
                <c:pt idx="146">
                  <c:v>29.654036243822077</c:v>
                </c:pt>
                <c:pt idx="147">
                  <c:v>28.289651445555258</c:v>
                </c:pt>
                <c:pt idx="148">
                  <c:v>26.868726245005362</c:v>
                </c:pt>
                <c:pt idx="149">
                  <c:v>28.297809645417939</c:v>
                </c:pt>
                <c:pt idx="150">
                  <c:v>28.43016069221261</c:v>
                </c:pt>
                <c:pt idx="151">
                  <c:v>27.475979305247595</c:v>
                </c:pt>
                <c:pt idx="153">
                  <c:v>27.212389380530976</c:v>
                </c:pt>
                <c:pt idx="154">
                  <c:v>27.857838364167481</c:v>
                </c:pt>
                <c:pt idx="157">
                  <c:v>26.457358762144658</c:v>
                </c:pt>
                <c:pt idx="158">
                  <c:v>27.572706935123044</c:v>
                </c:pt>
                <c:pt idx="159">
                  <c:v>25.970851814972388</c:v>
                </c:pt>
                <c:pt idx="160">
                  <c:v>27.103972299701837</c:v>
                </c:pt>
                <c:pt idx="161">
                  <c:v>26.201818969250752</c:v>
                </c:pt>
                <c:pt idx="162">
                  <c:v>26.448387412998727</c:v>
                </c:pt>
                <c:pt idx="163">
                  <c:v>27.254588986432562</c:v>
                </c:pt>
                <c:pt idx="164">
                  <c:v>25.507357891699527</c:v>
                </c:pt>
                <c:pt idx="165">
                  <c:v>26.642059435926555</c:v>
                </c:pt>
                <c:pt idx="166">
                  <c:v>26.242295839753467</c:v>
                </c:pt>
                <c:pt idx="167">
                  <c:v>27.697154859652475</c:v>
                </c:pt>
                <c:pt idx="168">
                  <c:v>25.504282951091461</c:v>
                </c:pt>
                <c:pt idx="169">
                  <c:v>24.6262341325811</c:v>
                </c:pt>
                <c:pt idx="170">
                  <c:v>7.2294955718136302</c:v>
                </c:pt>
                <c:pt idx="171">
                  <c:v>24.280633688975104</c:v>
                </c:pt>
                <c:pt idx="172">
                  <c:v>23.587876402283012</c:v>
                </c:pt>
                <c:pt idx="173">
                  <c:v>22.473832528180356</c:v>
                </c:pt>
                <c:pt idx="174">
                  <c:v>25.063168124392615</c:v>
                </c:pt>
                <c:pt idx="175">
                  <c:v>27.51872191712431</c:v>
                </c:pt>
                <c:pt idx="176">
                  <c:v>25.123630369436633</c:v>
                </c:pt>
                <c:pt idx="177">
                  <c:v>23.147726237127493</c:v>
                </c:pt>
                <c:pt idx="178">
                  <c:v>24.384293680297397</c:v>
                </c:pt>
              </c:numCache>
            </c:numRef>
          </c:val>
          <c:smooth val="0"/>
          <c:extLst>
            <c:ext xmlns:c16="http://schemas.microsoft.com/office/drawing/2014/chart" uri="{C3380CC4-5D6E-409C-BE32-E72D297353CC}">
              <c16:uniqueId val="{00000000-957A-4B02-998C-8658F4982AFC}"/>
            </c:ext>
          </c:extLst>
        </c:ser>
        <c:dLbls>
          <c:showLegendKey val="0"/>
          <c:showVal val="0"/>
          <c:showCatName val="0"/>
          <c:showSerName val="0"/>
          <c:showPercent val="0"/>
          <c:showBubbleSize val="0"/>
        </c:dLbls>
        <c:marker val="1"/>
        <c:smooth val="0"/>
        <c:axId val="397504960"/>
        <c:axId val="397503296"/>
      </c:lineChart>
      <c:lineChart>
        <c:grouping val="standard"/>
        <c:varyColors val="0"/>
        <c:ser>
          <c:idx val="0"/>
          <c:order val="1"/>
          <c:tx>
            <c:v>Cost Per Gallon</c:v>
          </c:tx>
          <c:spPr>
            <a:ln w="25400" cap="rnd">
              <a:solidFill>
                <a:srgbClr val="FFC000"/>
              </a:solidFill>
              <a:round/>
            </a:ln>
            <a:effectLst>
              <a:glow rad="76200">
                <a:srgbClr val="FFC000">
                  <a:alpha val="20000"/>
                </a:srgbClr>
              </a:glow>
            </a:effectLst>
          </c:spPr>
          <c:marker>
            <c:symbol val="none"/>
          </c:marker>
          <c:cat>
            <c:numRef>
              <c:f>Gas!$B$4:$B$55</c:f>
              <c:numCache>
                <c:formatCode>m/d/yyyy</c:formatCode>
                <c:ptCount val="52"/>
                <c:pt idx="0">
                  <c:v>44531</c:v>
                </c:pt>
                <c:pt idx="1">
                  <c:v>44537</c:v>
                </c:pt>
                <c:pt idx="2">
                  <c:v>44544</c:v>
                </c:pt>
                <c:pt idx="3">
                  <c:v>44550</c:v>
                </c:pt>
                <c:pt idx="4">
                  <c:v>44558</c:v>
                </c:pt>
                <c:pt idx="5">
                  <c:v>44564</c:v>
                </c:pt>
                <c:pt idx="6">
                  <c:v>44571</c:v>
                </c:pt>
                <c:pt idx="7">
                  <c:v>44579</c:v>
                </c:pt>
                <c:pt idx="8">
                  <c:v>44586</c:v>
                </c:pt>
                <c:pt idx="9">
                  <c:v>44589</c:v>
                </c:pt>
                <c:pt idx="10">
                  <c:v>44592</c:v>
                </c:pt>
                <c:pt idx="11">
                  <c:v>44593</c:v>
                </c:pt>
                <c:pt idx="12">
                  <c:v>44597</c:v>
                </c:pt>
                <c:pt idx="13">
                  <c:v>44603</c:v>
                </c:pt>
                <c:pt idx="14">
                  <c:v>44609</c:v>
                </c:pt>
                <c:pt idx="15">
                  <c:v>44617</c:v>
                </c:pt>
                <c:pt idx="16">
                  <c:v>44621</c:v>
                </c:pt>
                <c:pt idx="17">
                  <c:v>44628</c:v>
                </c:pt>
                <c:pt idx="18">
                  <c:v>44631</c:v>
                </c:pt>
                <c:pt idx="19">
                  <c:v>44637</c:v>
                </c:pt>
                <c:pt idx="20">
                  <c:v>44641</c:v>
                </c:pt>
                <c:pt idx="21">
                  <c:v>44647</c:v>
                </c:pt>
                <c:pt idx="22">
                  <c:v>44652</c:v>
                </c:pt>
                <c:pt idx="23">
                  <c:v>44658</c:v>
                </c:pt>
                <c:pt idx="24">
                  <c:v>44662</c:v>
                </c:pt>
                <c:pt idx="25">
                  <c:v>44667</c:v>
                </c:pt>
                <c:pt idx="26">
                  <c:v>44675</c:v>
                </c:pt>
                <c:pt idx="27">
                  <c:v>44680</c:v>
                </c:pt>
                <c:pt idx="28">
                  <c:v>44685</c:v>
                </c:pt>
                <c:pt idx="29">
                  <c:v>44691</c:v>
                </c:pt>
                <c:pt idx="30">
                  <c:v>44697</c:v>
                </c:pt>
                <c:pt idx="31">
                  <c:v>44701</c:v>
                </c:pt>
                <c:pt idx="32">
                  <c:v>44706</c:v>
                </c:pt>
                <c:pt idx="33">
                  <c:v>44714</c:v>
                </c:pt>
                <c:pt idx="34">
                  <c:v>44721</c:v>
                </c:pt>
                <c:pt idx="35">
                  <c:v>44726</c:v>
                </c:pt>
                <c:pt idx="36">
                  <c:v>44733</c:v>
                </c:pt>
                <c:pt idx="37">
                  <c:v>44738</c:v>
                </c:pt>
                <c:pt idx="38">
                  <c:v>44747</c:v>
                </c:pt>
                <c:pt idx="39">
                  <c:v>44755</c:v>
                </c:pt>
                <c:pt idx="40">
                  <c:v>44763</c:v>
                </c:pt>
                <c:pt idx="41">
                  <c:v>44768</c:v>
                </c:pt>
                <c:pt idx="42">
                  <c:v>44774</c:v>
                </c:pt>
                <c:pt idx="43">
                  <c:v>44781</c:v>
                </c:pt>
                <c:pt idx="44">
                  <c:v>44788</c:v>
                </c:pt>
                <c:pt idx="45">
                  <c:v>44794</c:v>
                </c:pt>
                <c:pt idx="46">
                  <c:v>44801</c:v>
                </c:pt>
                <c:pt idx="47">
                  <c:v>44805</c:v>
                </c:pt>
                <c:pt idx="48">
                  <c:v>44811</c:v>
                </c:pt>
                <c:pt idx="49">
                  <c:v>44818</c:v>
                </c:pt>
                <c:pt idx="50">
                  <c:v>44825</c:v>
                </c:pt>
                <c:pt idx="51">
                  <c:v>44830</c:v>
                </c:pt>
              </c:numCache>
            </c:numRef>
          </c:cat>
          <c:val>
            <c:numRef>
              <c:f>Gas!$H$3:$H$244</c:f>
              <c:numCache>
                <c:formatCode>_("$"* #,##0.00_);_("$"* \(#,##0.00\);_("$"* "-"??_);_(@_)</c:formatCode>
                <c:ptCount val="242"/>
                <c:pt idx="0">
                  <c:v>3.7987201861547413</c:v>
                </c:pt>
                <c:pt idx="1">
                  <c:v>3.4193423222427008</c:v>
                </c:pt>
                <c:pt idx="2">
                  <c:v>3.5992329817833175</c:v>
                </c:pt>
                <c:pt idx="3">
                  <c:v>3.5991095821106955</c:v>
                </c:pt>
                <c:pt idx="4">
                  <c:v>3.5987197439487897</c:v>
                </c:pt>
                <c:pt idx="5">
                  <c:v>3.7990678404971518</c:v>
                </c:pt>
                <c:pt idx="6">
                  <c:v>3.699121730097271</c:v>
                </c:pt>
                <c:pt idx="7">
                  <c:v>3.6985378991919968</c:v>
                </c:pt>
                <c:pt idx="8">
                  <c:v>3.8989169675090252</c:v>
                </c:pt>
                <c:pt idx="9">
                  <c:v>3.8986354775828458</c:v>
                </c:pt>
                <c:pt idx="10">
                  <c:v>3.3599467731204258</c:v>
                </c:pt>
                <c:pt idx="13">
                  <c:v>3.9986084882218464</c:v>
                </c:pt>
                <c:pt idx="14">
                  <c:v>4.0991640242144705</c:v>
                </c:pt>
                <c:pt idx="15">
                  <c:v>4.0990218816174249</c:v>
                </c:pt>
                <c:pt idx="16">
                  <c:v>4.0995647442872682</c:v>
                </c:pt>
                <c:pt idx="17">
                  <c:v>4.2992693803966224</c:v>
                </c:pt>
                <c:pt idx="18">
                  <c:v>4.6984848484848492</c:v>
                </c:pt>
                <c:pt idx="19">
                  <c:v>4.8983672109296901</c:v>
                </c:pt>
                <c:pt idx="20">
                  <c:v>4.838709677419355</c:v>
                </c:pt>
                <c:pt idx="21">
                  <c:v>4.899300845246791</c:v>
                </c:pt>
                <c:pt idx="22">
                  <c:v>4.899034240561897</c:v>
                </c:pt>
                <c:pt idx="23">
                  <c:v>4.6994535519125682</c:v>
                </c:pt>
                <c:pt idx="24">
                  <c:v>4.6595019117495093</c:v>
                </c:pt>
                <c:pt idx="25">
                  <c:v>4.6590673575129529</c:v>
                </c:pt>
                <c:pt idx="26">
                  <c:v>4.799020608039176</c:v>
                </c:pt>
                <c:pt idx="27">
                  <c:v>4.6793958392704473</c:v>
                </c:pt>
                <c:pt idx="28">
                  <c:v>4.7986512524084777</c:v>
                </c:pt>
                <c:pt idx="29">
                  <c:v>4.7989597919583913</c:v>
                </c:pt>
                <c:pt idx="30">
                  <c:v>4.9989827060020344</c:v>
                </c:pt>
                <c:pt idx="31">
                  <c:v>5.0990954365281027</c:v>
                </c:pt>
                <c:pt idx="32">
                  <c:v>5.0992871690427704</c:v>
                </c:pt>
                <c:pt idx="33">
                  <c:v>5.0587435673366352</c:v>
                </c:pt>
                <c:pt idx="34">
                  <c:v>5.5986575856282697</c:v>
                </c:pt>
                <c:pt idx="35">
                  <c:v>5.6987975556869701</c:v>
                </c:pt>
                <c:pt idx="36">
                  <c:v>5.7992061186949364</c:v>
                </c:pt>
                <c:pt idx="37">
                  <c:v>5.5987737114389722</c:v>
                </c:pt>
                <c:pt idx="38">
                  <c:v>5.6991385023194168</c:v>
                </c:pt>
                <c:pt idx="39">
                  <c:v>5.6789449749886316</c:v>
                </c:pt>
                <c:pt idx="40">
                  <c:v>5.3789640100437088</c:v>
                </c:pt>
                <c:pt idx="41">
                  <c:v>5.3590849428089253</c:v>
                </c:pt>
                <c:pt idx="42">
                  <c:v>4.9391004123909088</c:v>
                </c:pt>
                <c:pt idx="43">
                  <c:v>4.5989096573208723</c:v>
                </c:pt>
                <c:pt idx="44">
                  <c:v>4.5987208582628423</c:v>
                </c:pt>
                <c:pt idx="45">
                  <c:v>4.5992800303145129</c:v>
                </c:pt>
                <c:pt idx="46">
                  <c:v>4.5986046968654808</c:v>
                </c:pt>
                <c:pt idx="47">
                  <c:v>4.3986406619385345</c:v>
                </c:pt>
                <c:pt idx="48">
                  <c:v>4.3992265905533561</c:v>
                </c:pt>
                <c:pt idx="49">
                  <c:v>4.3988643038966124</c:v>
                </c:pt>
                <c:pt idx="50">
                  <c:v>4.3987748246220733</c:v>
                </c:pt>
                <c:pt idx="51">
                  <c:v>4.5985328107727863</c:v>
                </c:pt>
                <c:pt idx="52">
                  <c:v>4.4786044718581346</c:v>
                </c:pt>
                <c:pt idx="53">
                  <c:v>4.3991439272338146</c:v>
                </c:pt>
                <c:pt idx="54">
                  <c:v>4.5990859991690902</c:v>
                </c:pt>
                <c:pt idx="56">
                  <c:v>4.3988603988603989</c:v>
                </c:pt>
                <c:pt idx="57">
                  <c:v>4.3990596532471349</c:v>
                </c:pt>
                <c:pt idx="58">
                  <c:v>4.4992109904390603</c:v>
                </c:pt>
                <c:pt idx="59">
                  <c:v>4.2994531397322273</c:v>
                </c:pt>
                <c:pt idx="60">
                  <c:v>4.1993509503940656</c:v>
                </c:pt>
                <c:pt idx="61">
                  <c:v>3.9985860014139991</c:v>
                </c:pt>
                <c:pt idx="62">
                  <c:v>3.8988312636961289</c:v>
                </c:pt>
                <c:pt idx="63">
                  <c:v>3.6990745157904783</c:v>
                </c:pt>
                <c:pt idx="64">
                  <c:v>3.6985901798736021</c:v>
                </c:pt>
                <c:pt idx="66">
                  <c:v>3.9586153548636624</c:v>
                </c:pt>
                <c:pt idx="67">
                  <c:v>4.0988681435619618</c:v>
                </c:pt>
                <c:pt idx="68">
                  <c:v>4.1985501409585178</c:v>
                </c:pt>
                <c:pt idx="69">
                  <c:v>4.2989741084513922</c:v>
                </c:pt>
                <c:pt idx="70">
                  <c:v>4.198626216370922</c:v>
                </c:pt>
                <c:pt idx="71">
                  <c:v>4.1988484763375924</c:v>
                </c:pt>
                <c:pt idx="72">
                  <c:v>4.2591109331197439</c:v>
                </c:pt>
                <c:pt idx="73">
                  <c:v>4.1986078886310905</c:v>
                </c:pt>
                <c:pt idx="74">
                  <c:v>4.0992006558721057</c:v>
                </c:pt>
                <c:pt idx="75">
                  <c:v>3.9602385685884691</c:v>
                </c:pt>
                <c:pt idx="76">
                  <c:v>4.0994146435083003</c:v>
                </c:pt>
                <c:pt idx="77">
                  <c:v>4.0985405464720737</c:v>
                </c:pt>
                <c:pt idx="78">
                  <c:v>4.1989772198977215</c:v>
                </c:pt>
                <c:pt idx="80">
                  <c:v>4.1986133768352367</c:v>
                </c:pt>
                <c:pt idx="81">
                  <c:v>4.1988898297111676</c:v>
                </c:pt>
                <c:pt idx="82">
                  <c:v>4.1994675793877159</c:v>
                </c:pt>
                <c:pt idx="83">
                  <c:v>4.3987312249276984</c:v>
                </c:pt>
                <c:pt idx="84">
                  <c:v>4.498701298701298</c:v>
                </c:pt>
                <c:pt idx="85">
                  <c:v>4.3989431968295909</c:v>
                </c:pt>
                <c:pt idx="86">
                  <c:v>4.3991147888001532</c:v>
                </c:pt>
                <c:pt idx="87">
                  <c:v>4.3994720633523974</c:v>
                </c:pt>
                <c:pt idx="88">
                  <c:v>4.3990573448546746</c:v>
                </c:pt>
                <c:pt idx="90">
                  <c:v>4.3986184477854531</c:v>
                </c:pt>
                <c:pt idx="91">
                  <c:v>4.2991732359161698</c:v>
                </c:pt>
                <c:pt idx="92">
                  <c:v>4.3989924433249366</c:v>
                </c:pt>
                <c:pt idx="93">
                  <c:v>4.3986788420439087</c:v>
                </c:pt>
                <c:pt idx="94">
                  <c:v>4.2994313414747829</c:v>
                </c:pt>
                <c:pt idx="95">
                  <c:v>4.1990133109932044</c:v>
                </c:pt>
                <c:pt idx="97">
                  <c:v>4.2986850344395737</c:v>
                </c:pt>
                <c:pt idx="98">
                  <c:v>4.298537569339385</c:v>
                </c:pt>
                <c:pt idx="99">
                  <c:v>4.3991955756661634</c:v>
                </c:pt>
                <c:pt idx="100">
                  <c:v>3.599576831526051</c:v>
                </c:pt>
                <c:pt idx="101">
                  <c:v>4.2985453480425653</c:v>
                </c:pt>
                <c:pt idx="102">
                  <c:v>4.198916040696016</c:v>
                </c:pt>
                <c:pt idx="103">
                  <c:v>4.1994884910485926</c:v>
                </c:pt>
                <c:pt idx="104">
                  <c:v>4.3987809383080902</c:v>
                </c:pt>
                <c:pt idx="105">
                  <c:v>4.4989812928320054</c:v>
                </c:pt>
                <c:pt idx="106">
                  <c:v>4.5986070381231672</c:v>
                </c:pt>
                <c:pt idx="107">
                  <c:v>4.3989254533243791</c:v>
                </c:pt>
                <c:pt idx="108">
                  <c:v>4.5989669622843783</c:v>
                </c:pt>
                <c:pt idx="109">
                  <c:v>4.6986188603311074</c:v>
                </c:pt>
                <c:pt idx="110">
                  <c:v>4.4993510105692565</c:v>
                </c:pt>
                <c:pt idx="111">
                  <c:v>4.6976744186046515</c:v>
                </c:pt>
                <c:pt idx="112">
                  <c:v>4.7021511307225587</c:v>
                </c:pt>
                <c:pt idx="113">
                  <c:v>4.5992128251895936</c:v>
                </c:pt>
                <c:pt idx="114">
                  <c:v>4.6993360142149072</c:v>
                </c:pt>
                <c:pt idx="115">
                  <c:v>4.6990740740740735</c:v>
                </c:pt>
                <c:pt idx="116">
                  <c:v>4.8993220681979164</c:v>
                </c:pt>
                <c:pt idx="117">
                  <c:v>4.8989710009354539</c:v>
                </c:pt>
                <c:pt idx="118">
                  <c:v>4.7992173669989748</c:v>
                </c:pt>
                <c:pt idx="119">
                  <c:v>4.5988258317025439</c:v>
                </c:pt>
                <c:pt idx="120">
                  <c:v>4.3594136683799727</c:v>
                </c:pt>
                <c:pt idx="121">
                  <c:v>4.2991096798636104</c:v>
                </c:pt>
                <c:pt idx="122">
                  <c:v>4.0988131382831909</c:v>
                </c:pt>
                <c:pt idx="123">
                  <c:v>3.8991103922361505</c:v>
                </c:pt>
                <c:pt idx="124">
                  <c:v>3.079047619047619</c:v>
                </c:pt>
                <c:pt idx="125">
                  <c:v>3.7987207675394759</c:v>
                </c:pt>
                <c:pt idx="126">
                  <c:v>3.6988462676264664</c:v>
                </c:pt>
                <c:pt idx="127">
                  <c:v>3.6990985390115019</c:v>
                </c:pt>
                <c:pt idx="128">
                  <c:v>3.7791867954911429</c:v>
                </c:pt>
                <c:pt idx="129">
                  <c:v>3.6592834541186074</c:v>
                </c:pt>
                <c:pt idx="130">
                  <c:v>3.5187580853816303</c:v>
                </c:pt>
                <c:pt idx="131">
                  <c:v>3.6393191814878563</c:v>
                </c:pt>
                <c:pt idx="132">
                  <c:v>3.7987421383647795</c:v>
                </c:pt>
                <c:pt idx="133">
                  <c:v>3.7793587369652086</c:v>
                </c:pt>
                <c:pt idx="134">
                  <c:v>3.8991424310216254</c:v>
                </c:pt>
                <c:pt idx="135">
                  <c:v>3.9987664473684208</c:v>
                </c:pt>
                <c:pt idx="136">
                  <c:v>3.3793806786575193</c:v>
                </c:pt>
                <c:pt idx="137">
                  <c:v>4.1993064055487554</c:v>
                </c:pt>
                <c:pt idx="138">
                  <c:v>4.3993730985525952</c:v>
                </c:pt>
                <c:pt idx="139">
                  <c:v>4.1988255033557049</c:v>
                </c:pt>
                <c:pt idx="140">
                  <c:v>4.258927730142279</c:v>
                </c:pt>
                <c:pt idx="141">
                  <c:v>4.4189928591301122</c:v>
                </c:pt>
                <c:pt idx="142">
                  <c:v>4.2591564927857934</c:v>
                </c:pt>
                <c:pt idx="143">
                  <c:v>4.3393239594003168</c:v>
                </c:pt>
                <c:pt idx="144">
                  <c:v>4.1991017964071862</c:v>
                </c:pt>
                <c:pt idx="145">
                  <c:v>4.1189887854020153</c:v>
                </c:pt>
                <c:pt idx="146">
                  <c:v>4.2593182542210899</c:v>
                </c:pt>
                <c:pt idx="147">
                  <c:v>4.1598023064250409</c:v>
                </c:pt>
                <c:pt idx="148">
                  <c:v>4.239394758173467</c:v>
                </c:pt>
                <c:pt idx="149">
                  <c:v>4.1993957703927496</c:v>
                </c:pt>
                <c:pt idx="150">
                  <c:v>4.0988115116393278</c:v>
                </c:pt>
                <c:pt idx="151">
                  <c:v>4.099077683750119</c:v>
                </c:pt>
                <c:pt idx="152">
                  <c:v>4.2987804878048781</c:v>
                </c:pt>
                <c:pt idx="154">
                  <c:v>4.3805309734513278</c:v>
                </c:pt>
                <c:pt idx="155">
                  <c:v>4.3592989289191824</c:v>
                </c:pt>
                <c:pt idx="157">
                  <c:v>4.0389294403892944</c:v>
                </c:pt>
                <c:pt idx="158">
                  <c:v>3.9987405541561718</c:v>
                </c:pt>
                <c:pt idx="159">
                  <c:v>3.7788963460104399</c:v>
                </c:pt>
                <c:pt idx="160">
                  <c:v>3.9232370779397123</c:v>
                </c:pt>
                <c:pt idx="161">
                  <c:v>4.0992594017505048</c:v>
                </c:pt>
                <c:pt idx="162">
                  <c:v>3.8986574274577737</c:v>
                </c:pt>
                <c:pt idx="163">
                  <c:v>3.8986373884913244</c:v>
                </c:pt>
                <c:pt idx="164">
                  <c:v>3.7390263367916998</c:v>
                </c:pt>
                <c:pt idx="165">
                  <c:v>3.6991439838414926</c:v>
                </c:pt>
                <c:pt idx="166">
                  <c:v>3.5992807117168275</c:v>
                </c:pt>
                <c:pt idx="167">
                  <c:v>3.6989599383667175</c:v>
                </c:pt>
                <c:pt idx="168">
                  <c:v>3.5993889631468399</c:v>
                </c:pt>
                <c:pt idx="169">
                  <c:v>3.5792576218108136</c:v>
                </c:pt>
                <c:pt idx="170">
                  <c:v>3.8993888105312648</c:v>
                </c:pt>
                <c:pt idx="171">
                  <c:v>3.7591451675009626</c:v>
                </c:pt>
                <c:pt idx="172">
                  <c:v>3.8991270611057227</c:v>
                </c:pt>
                <c:pt idx="173">
                  <c:v>3.898838811257626</c:v>
                </c:pt>
                <c:pt idx="174">
                  <c:v>3.9794685990338166</c:v>
                </c:pt>
                <c:pt idx="175">
                  <c:v>3.9990281827016525</c:v>
                </c:pt>
                <c:pt idx="176">
                  <c:v>3.7993010484273584</c:v>
                </c:pt>
                <c:pt idx="177">
                  <c:v>3.8989624745466887</c:v>
                </c:pt>
                <c:pt idx="178">
                  <c:v>3.7993256174245871</c:v>
                </c:pt>
                <c:pt idx="179">
                  <c:v>3.6988847583643119</c:v>
                </c:pt>
              </c:numCache>
            </c:numRef>
          </c:val>
          <c:smooth val="0"/>
          <c:extLst>
            <c:ext xmlns:c16="http://schemas.microsoft.com/office/drawing/2014/chart" uri="{C3380CC4-5D6E-409C-BE32-E72D297353CC}">
              <c16:uniqueId val="{00000001-957A-4B02-998C-8658F4982AFC}"/>
            </c:ext>
          </c:extLst>
        </c:ser>
        <c:dLbls>
          <c:showLegendKey val="0"/>
          <c:showVal val="0"/>
          <c:showCatName val="0"/>
          <c:showSerName val="0"/>
          <c:showPercent val="0"/>
          <c:showBubbleSize val="0"/>
        </c:dLbls>
        <c:marker val="1"/>
        <c:smooth val="0"/>
        <c:axId val="400768560"/>
        <c:axId val="400771056"/>
      </c:lineChart>
      <c:dateAx>
        <c:axId val="397504960"/>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03296"/>
        <c:crosses val="autoZero"/>
        <c:auto val="1"/>
        <c:lblOffset val="100"/>
        <c:baseTimeUnit val="days"/>
      </c:dateAx>
      <c:valAx>
        <c:axId val="397503296"/>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04960"/>
        <c:crosses val="autoZero"/>
        <c:crossBetween val="between"/>
      </c:valAx>
      <c:valAx>
        <c:axId val="400771056"/>
        <c:scaling>
          <c:orientation val="minMax"/>
        </c:scaling>
        <c:delete val="0"/>
        <c:axPos val="r"/>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68560"/>
        <c:crosses val="max"/>
        <c:crossBetween val="between"/>
      </c:valAx>
      <c:dateAx>
        <c:axId val="400768560"/>
        <c:scaling>
          <c:orientation val="minMax"/>
        </c:scaling>
        <c:delete val="1"/>
        <c:axPos val="b"/>
        <c:numFmt formatCode="m/d/yyyy" sourceLinked="1"/>
        <c:majorTickMark val="out"/>
        <c:minorTickMark val="none"/>
        <c:tickLblPos val="nextTo"/>
        <c:crossAx val="400771056"/>
        <c:crosses val="autoZero"/>
        <c:auto val="1"/>
        <c:lblOffset val="100"/>
        <c:baseTimeUnit val="days"/>
      </c:dateAx>
      <c:spPr>
        <a:noFill/>
        <a:ln>
          <a:noFill/>
        </a:ln>
        <a:effectLst/>
      </c:spPr>
    </c:plotArea>
    <c:legend>
      <c:legendPos val="tr"/>
      <c:layout>
        <c:manualLayout>
          <c:xMode val="edge"/>
          <c:yMode val="edge"/>
          <c:x val="0.75700339353780333"/>
          <c:y val="7.7716790724741122E-2"/>
          <c:w val="0.15376520091750112"/>
          <c:h val="0.1730782742404799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solidFill>
                  <a:schemeClr val="dk1"/>
                </a:solidFill>
                <a:latin typeface="+mn-lt"/>
                <a:ea typeface="+mn-ea"/>
                <a:cs typeface="+mn-cs"/>
              </a:rPr>
              <a:t>Economy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lotArea>
      <c:layout>
        <c:manualLayout>
          <c:layoutTarget val="inner"/>
          <c:xMode val="edge"/>
          <c:yMode val="edge"/>
          <c:x val="7.5737870058577988E-2"/>
          <c:y val="0.10843462544941319"/>
          <c:w val="0.89995736711481955"/>
          <c:h val="0.69189612248342103"/>
        </c:manualLayout>
      </c:layout>
      <c:lineChart>
        <c:grouping val="standard"/>
        <c:varyColors val="0"/>
        <c:ser>
          <c:idx val="0"/>
          <c:order val="0"/>
          <c:tx>
            <c:v>Predicted Total</c:v>
          </c:tx>
          <c:spPr>
            <a:ln w="15875" cap="rnd">
              <a:solidFill>
                <a:srgbClr val="FF000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Analysis'!$D$5:$D$132</c:f>
              <c:numCache>
                <c:formatCode>_("$"* #,##0.00_);_("$"* \(#,##0.00\);_("$"* "-"??_);_(@_)</c:formatCode>
                <c:ptCount val="128"/>
                <c:pt idx="0">
                  <c:v>750.59999999999991</c:v>
                </c:pt>
                <c:pt idx="1">
                  <c:v>654.61000000000013</c:v>
                </c:pt>
                <c:pt idx="2">
                  <c:v>1008.5300000000001</c:v>
                </c:pt>
                <c:pt idx="3">
                  <c:v>491.65999999999997</c:v>
                </c:pt>
                <c:pt idx="4">
                  <c:v>3965.719999999998</c:v>
                </c:pt>
                <c:pt idx="5">
                  <c:v>3870.1699999999983</c:v>
                </c:pt>
                <c:pt idx="6">
                  <c:v>3437.1099999999979</c:v>
                </c:pt>
                <c:pt idx="7">
                  <c:v>2359.0599999999981</c:v>
                </c:pt>
                <c:pt idx="8">
                  <c:v>1667.1199999999981</c:v>
                </c:pt>
                <c:pt idx="9">
                  <c:v>698.05999999999813</c:v>
                </c:pt>
                <c:pt idx="10">
                  <c:v>1048.5199999999982</c:v>
                </c:pt>
                <c:pt idx="11">
                  <c:v>426.56999999999806</c:v>
                </c:pt>
                <c:pt idx="12">
                  <c:v>2958.9499999999975</c:v>
                </c:pt>
                <c:pt idx="13">
                  <c:v>3999.2899999999972</c:v>
                </c:pt>
                <c:pt idx="14">
                  <c:v>6005.9299999999976</c:v>
                </c:pt>
                <c:pt idx="15">
                  <c:v>6793.159999999998</c:v>
                </c:pt>
                <c:pt idx="16">
                  <c:v>7868.2599999999975</c:v>
                </c:pt>
                <c:pt idx="17">
                  <c:v>8916.6699999999983</c:v>
                </c:pt>
                <c:pt idx="18">
                  <c:v>9629.7299999999977</c:v>
                </c:pt>
                <c:pt idx="19">
                  <c:v>11743.839999999997</c:v>
                </c:pt>
                <c:pt idx="20">
                  <c:v>12613.769999999997</c:v>
                </c:pt>
                <c:pt idx="21">
                  <c:v>13715.389999999998</c:v>
                </c:pt>
                <c:pt idx="22">
                  <c:v>14195.839999999997</c:v>
                </c:pt>
                <c:pt idx="23">
                  <c:v>10253.699999999997</c:v>
                </c:pt>
                <c:pt idx="24">
                  <c:v>9798.6399999999976</c:v>
                </c:pt>
                <c:pt idx="25">
                  <c:v>9319.5399999999972</c:v>
                </c:pt>
                <c:pt idx="26">
                  <c:v>8643.5699999999979</c:v>
                </c:pt>
                <c:pt idx="27">
                  <c:v>6215.3299999999981</c:v>
                </c:pt>
                <c:pt idx="28">
                  <c:v>5591.1499999999978</c:v>
                </c:pt>
                <c:pt idx="29">
                  <c:v>4637.2599999999975</c:v>
                </c:pt>
                <c:pt idx="30">
                  <c:v>3809.6399999999976</c:v>
                </c:pt>
                <c:pt idx="31">
                  <c:v>2792.5299999999975</c:v>
                </c:pt>
                <c:pt idx="32">
                  <c:v>988.78999999999735</c:v>
                </c:pt>
                <c:pt idx="33">
                  <c:v>1469.3299999999974</c:v>
                </c:pt>
                <c:pt idx="34">
                  <c:v>1951.4299999999971</c:v>
                </c:pt>
                <c:pt idx="35">
                  <c:v>2535.8799999999974</c:v>
                </c:pt>
                <c:pt idx="36">
                  <c:v>2893.1099999999969</c:v>
                </c:pt>
                <c:pt idx="37">
                  <c:v>3259.4699999999966</c:v>
                </c:pt>
                <c:pt idx="38">
                  <c:v>2177.0599999999963</c:v>
                </c:pt>
                <c:pt idx="39">
                  <c:v>3319.9199999999964</c:v>
                </c:pt>
                <c:pt idx="40">
                  <c:v>3608.8199999999965</c:v>
                </c:pt>
                <c:pt idx="41">
                  <c:v>2908.9499999999966</c:v>
                </c:pt>
                <c:pt idx="42">
                  <c:v>2540.8499999999967</c:v>
                </c:pt>
                <c:pt idx="43">
                  <c:v>1619.999999999997</c:v>
                </c:pt>
                <c:pt idx="44">
                  <c:v>1881.8473044585264</c:v>
                </c:pt>
                <c:pt idx="45">
                  <c:v>1434.2373044585261</c:v>
                </c:pt>
                <c:pt idx="46">
                  <c:v>1425.8873044585257</c:v>
                </c:pt>
                <c:pt idx="47">
                  <c:v>1690.1373044585257</c:v>
                </c:pt>
                <c:pt idx="48">
                  <c:v>1636.0073044585261</c:v>
                </c:pt>
                <c:pt idx="49">
                  <c:v>2355.3473044585262</c:v>
                </c:pt>
                <c:pt idx="50">
                  <c:v>3121.7073044585259</c:v>
                </c:pt>
                <c:pt idx="51">
                  <c:v>3071.1173044585257</c:v>
                </c:pt>
                <c:pt idx="52">
                  <c:v>2948.0073044585256</c:v>
                </c:pt>
                <c:pt idx="53">
                  <c:v>2965.7673044585254</c:v>
                </c:pt>
                <c:pt idx="54">
                  <c:v>2711.4873044585261</c:v>
                </c:pt>
                <c:pt idx="55">
                  <c:v>2758.3873044585262</c:v>
                </c:pt>
                <c:pt idx="56">
                  <c:v>3187.6473044585264</c:v>
                </c:pt>
                <c:pt idx="57">
                  <c:v>4023.4973044585263</c:v>
                </c:pt>
                <c:pt idx="58">
                  <c:v>4559.2373044585265</c:v>
                </c:pt>
                <c:pt idx="59">
                  <c:v>4987.7873044585267</c:v>
                </c:pt>
                <c:pt idx="60">
                  <c:v>4924.6573044585266</c:v>
                </c:pt>
                <c:pt idx="61">
                  <c:v>5285.1573044585266</c:v>
                </c:pt>
                <c:pt idx="62">
                  <c:v>5308.2673044585263</c:v>
                </c:pt>
                <c:pt idx="63">
                  <c:v>7067.5773044585258</c:v>
                </c:pt>
                <c:pt idx="64">
                  <c:v>8252.8573044585264</c:v>
                </c:pt>
                <c:pt idx="65">
                  <c:v>9248.2273044585272</c:v>
                </c:pt>
                <c:pt idx="66">
                  <c:v>10014.807304458529</c:v>
                </c:pt>
                <c:pt idx="67">
                  <c:v>10186.287304458527</c:v>
                </c:pt>
                <c:pt idx="68">
                  <c:v>10659.787304458529</c:v>
                </c:pt>
                <c:pt idx="69">
                  <c:v>11074.437304458528</c:v>
                </c:pt>
                <c:pt idx="70">
                  <c:v>11136.677304458528</c:v>
                </c:pt>
                <c:pt idx="71">
                  <c:v>11825.707304458527</c:v>
                </c:pt>
                <c:pt idx="72">
                  <c:v>12514.737304458527</c:v>
                </c:pt>
                <c:pt idx="73">
                  <c:v>13203.767304458526</c:v>
                </c:pt>
                <c:pt idx="74">
                  <c:v>13892.797304458527</c:v>
                </c:pt>
                <c:pt idx="75">
                  <c:v>14581.827304458526</c:v>
                </c:pt>
                <c:pt idx="76">
                  <c:v>15270.857304458526</c:v>
                </c:pt>
                <c:pt idx="77">
                  <c:v>15959.887304458525</c:v>
                </c:pt>
                <c:pt idx="78">
                  <c:v>16648.917304458526</c:v>
                </c:pt>
                <c:pt idx="79">
                  <c:v>17337.947304458525</c:v>
                </c:pt>
                <c:pt idx="80">
                  <c:v>18026.977304458524</c:v>
                </c:pt>
                <c:pt idx="81">
                  <c:v>18716.007304458526</c:v>
                </c:pt>
                <c:pt idx="82">
                  <c:v>19405.037304458525</c:v>
                </c:pt>
                <c:pt idx="83">
                  <c:v>20094.067304458524</c:v>
                </c:pt>
                <c:pt idx="84">
                  <c:v>20783.097304458523</c:v>
                </c:pt>
                <c:pt idx="85">
                  <c:v>21472.127304458525</c:v>
                </c:pt>
                <c:pt idx="86">
                  <c:v>22161.157304458524</c:v>
                </c:pt>
                <c:pt idx="87">
                  <c:v>22850.187304458523</c:v>
                </c:pt>
                <c:pt idx="88">
                  <c:v>23539.217304458522</c:v>
                </c:pt>
                <c:pt idx="89">
                  <c:v>24228.247304458524</c:v>
                </c:pt>
                <c:pt idx="90">
                  <c:v>24917.277304458523</c:v>
                </c:pt>
                <c:pt idx="91">
                  <c:v>25606.307304458522</c:v>
                </c:pt>
                <c:pt idx="92">
                  <c:v>26295.337304458521</c:v>
                </c:pt>
                <c:pt idx="93">
                  <c:v>26984.367304458523</c:v>
                </c:pt>
                <c:pt idx="94">
                  <c:v>27673.397304458522</c:v>
                </c:pt>
                <c:pt idx="95">
                  <c:v>28362.427304458521</c:v>
                </c:pt>
                <c:pt idx="96">
                  <c:v>29051.457304458523</c:v>
                </c:pt>
                <c:pt idx="97">
                  <c:v>29740.487304458522</c:v>
                </c:pt>
                <c:pt idx="98">
                  <c:v>30429.517304458521</c:v>
                </c:pt>
                <c:pt idx="99">
                  <c:v>31118.54730445852</c:v>
                </c:pt>
                <c:pt idx="100">
                  <c:v>31807.577304458522</c:v>
                </c:pt>
                <c:pt idx="101">
                  <c:v>32496.607304458521</c:v>
                </c:pt>
                <c:pt idx="102">
                  <c:v>33185.63730445852</c:v>
                </c:pt>
                <c:pt idx="103">
                  <c:v>33874.667304458519</c:v>
                </c:pt>
                <c:pt idx="104">
                  <c:v>34563.697304458517</c:v>
                </c:pt>
                <c:pt idx="105">
                  <c:v>35252.727304458516</c:v>
                </c:pt>
                <c:pt idx="106">
                  <c:v>35941.757304458515</c:v>
                </c:pt>
                <c:pt idx="107">
                  <c:v>36630.787304458514</c:v>
                </c:pt>
                <c:pt idx="108">
                  <c:v>37319.81730445852</c:v>
                </c:pt>
                <c:pt idx="109">
                  <c:v>38008.847304458519</c:v>
                </c:pt>
                <c:pt idx="110">
                  <c:v>38697.877304458518</c:v>
                </c:pt>
                <c:pt idx="111">
                  <c:v>39386.907304458517</c:v>
                </c:pt>
                <c:pt idx="112">
                  <c:v>40075.937304458523</c:v>
                </c:pt>
                <c:pt idx="113">
                  <c:v>40764.967304458522</c:v>
                </c:pt>
                <c:pt idx="114">
                  <c:v>41453.99730445852</c:v>
                </c:pt>
                <c:pt idx="115">
                  <c:v>42143.027304458519</c:v>
                </c:pt>
                <c:pt idx="116">
                  <c:v>42832.057304458518</c:v>
                </c:pt>
                <c:pt idx="117">
                  <c:v>43521.087304458517</c:v>
                </c:pt>
                <c:pt idx="118">
                  <c:v>44210.117304458516</c:v>
                </c:pt>
                <c:pt idx="119">
                  <c:v>44899.147304458515</c:v>
                </c:pt>
                <c:pt idx="120">
                  <c:v>45588.177304458513</c:v>
                </c:pt>
                <c:pt idx="121">
                  <c:v>46277.207304458512</c:v>
                </c:pt>
                <c:pt idx="122">
                  <c:v>46966.237304458518</c:v>
                </c:pt>
                <c:pt idx="123">
                  <c:v>47655.267304458517</c:v>
                </c:pt>
                <c:pt idx="124">
                  <c:v>48344.297304458516</c:v>
                </c:pt>
                <c:pt idx="125">
                  <c:v>49033.327304458522</c:v>
                </c:pt>
                <c:pt idx="126">
                  <c:v>49722.357304458521</c:v>
                </c:pt>
                <c:pt idx="127">
                  <c:v>50411.38730445852</c:v>
                </c:pt>
              </c:numCache>
            </c:numRef>
          </c:val>
          <c:smooth val="0"/>
          <c:extLst>
            <c:ext xmlns:c16="http://schemas.microsoft.com/office/drawing/2014/chart" uri="{C3380CC4-5D6E-409C-BE32-E72D297353CC}">
              <c16:uniqueId val="{00000000-8A56-4E75-8154-27EF3681633D}"/>
            </c:ext>
          </c:extLst>
        </c:ser>
        <c:ser>
          <c:idx val="1"/>
          <c:order val="1"/>
          <c:tx>
            <c:v>Total</c:v>
          </c:tx>
          <c:spPr>
            <a:ln w="19050" cap="rnd">
              <a:solidFill>
                <a:srgbClr val="FF0000"/>
              </a:solidFill>
            </a:ln>
            <a:effectLst>
              <a:glow rad="76200">
                <a:srgbClr val="FF00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Analysis'!$K$5:$K$132</c:f>
              <c:numCache>
                <c:formatCode>_("$"* #,##0.00_);_("$"* \(#,##0.00\);_("$"* "-"??_);_(@_)</c:formatCode>
                <c:ptCount val="128"/>
                <c:pt idx="0">
                  <c:v>750.59999999999991</c:v>
                </c:pt>
                <c:pt idx="1">
                  <c:v>583.88</c:v>
                </c:pt>
                <c:pt idx="2">
                  <c:v>930.91</c:v>
                </c:pt>
                <c:pt idx="3">
                  <c:v>422.03999999999996</c:v>
                </c:pt>
                <c:pt idx="4">
                  <c:v>3890.58</c:v>
                </c:pt>
                <c:pt idx="5">
                  <c:v>3800.58</c:v>
                </c:pt>
                <c:pt idx="6">
                  <c:v>3373.57</c:v>
                </c:pt>
                <c:pt idx="7">
                  <c:v>2303.56</c:v>
                </c:pt>
                <c:pt idx="8">
                  <c:v>1604.65</c:v>
                </c:pt>
                <c:pt idx="9">
                  <c:v>649.4</c:v>
                </c:pt>
                <c:pt idx="10">
                  <c:v>998.88</c:v>
                </c:pt>
                <c:pt idx="11">
                  <c:v>400.4</c:v>
                </c:pt>
                <c:pt idx="12">
                  <c:v>2941.7300000000005</c:v>
                </c:pt>
                <c:pt idx="13">
                  <c:v>3978.31</c:v>
                </c:pt>
                <c:pt idx="14">
                  <c:v>5984.61</c:v>
                </c:pt>
                <c:pt idx="15">
                  <c:v>6797.52</c:v>
                </c:pt>
                <c:pt idx="16">
                  <c:v>7862.1299999999992</c:v>
                </c:pt>
                <c:pt idx="17">
                  <c:v>8946.91</c:v>
                </c:pt>
                <c:pt idx="18">
                  <c:v>9667.27</c:v>
                </c:pt>
                <c:pt idx="19">
                  <c:v>11781.54</c:v>
                </c:pt>
                <c:pt idx="20">
                  <c:v>12636.22</c:v>
                </c:pt>
                <c:pt idx="21">
                  <c:v>13751.38</c:v>
                </c:pt>
                <c:pt idx="22">
                  <c:v>14238.869999999999</c:v>
                </c:pt>
                <c:pt idx="23">
                  <c:v>10251.92</c:v>
                </c:pt>
                <c:pt idx="24">
                  <c:v>9752.84</c:v>
                </c:pt>
                <c:pt idx="25">
                  <c:v>9247.67</c:v>
                </c:pt>
                <c:pt idx="26">
                  <c:v>8597.33</c:v>
                </c:pt>
                <c:pt idx="27">
                  <c:v>6162.22</c:v>
                </c:pt>
                <c:pt idx="28">
                  <c:v>5542.64</c:v>
                </c:pt>
                <c:pt idx="29">
                  <c:v>4538.42</c:v>
                </c:pt>
                <c:pt idx="30">
                  <c:v>3683.5499999999997</c:v>
                </c:pt>
                <c:pt idx="31">
                  <c:v>2636.23</c:v>
                </c:pt>
                <c:pt idx="32">
                  <c:v>872.24</c:v>
                </c:pt>
                <c:pt idx="33">
                  <c:v>1435.6799999999998</c:v>
                </c:pt>
                <c:pt idx="34">
                  <c:v>1838.62</c:v>
                </c:pt>
                <c:pt idx="35">
                  <c:v>2343.7199999999998</c:v>
                </c:pt>
                <c:pt idx="36">
                  <c:v>2688.79</c:v>
                </c:pt>
                <c:pt idx="37">
                  <c:v>3018.0099999999998</c:v>
                </c:pt>
                <c:pt idx="38">
                  <c:v>1918.61</c:v>
                </c:pt>
                <c:pt idx="39">
                  <c:v>3111.71</c:v>
                </c:pt>
                <c:pt idx="40">
                  <c:v>3342.2</c:v>
                </c:pt>
                <c:pt idx="41">
                  <c:v>2622.8700000000003</c:v>
                </c:pt>
                <c:pt idx="42">
                  <c:v>2227.1999999999998</c:v>
                </c:pt>
                <c:pt idx="43">
                  <c:v>1597.87</c:v>
                </c:pt>
                <c:pt idx="44">
                  <c:v>1881.8473044585289</c:v>
                </c:pt>
                <c:pt idx="45">
                  <c:v>1447.2329096787446</c:v>
                </c:pt>
                <c:pt idx="46">
                  <c:v>1432.4183028019122</c:v>
                </c:pt>
                <c:pt idx="47">
                  <c:v>1656.6737274045008</c:v>
                </c:pt>
                <c:pt idx="48">
                  <c:v>1634.777754436926</c:v>
                </c:pt>
                <c:pt idx="49">
                  <c:v>2387.6522190403316</c:v>
                </c:pt>
                <c:pt idx="50">
                  <c:v>3095.4943346100795</c:v>
                </c:pt>
                <c:pt idx="51">
                  <c:v>2986.8221447107226</c:v>
                </c:pt>
                <c:pt idx="52">
                  <c:v>3071.6829358028908</c:v>
                </c:pt>
                <c:pt idx="53">
                  <c:v>3160.6220632655213</c:v>
                </c:pt>
                <c:pt idx="54">
                  <c:v>2837.1333418842196</c:v>
                </c:pt>
                <c:pt idx="55">
                  <c:v>3021.5527676458823</c:v>
                </c:pt>
                <c:pt idx="56">
                  <c:v>3492.5629585844481</c:v>
                </c:pt>
                <c:pt idx="57">
                  <c:v>4240.9214397242749</c:v>
                </c:pt>
                <c:pt idx="58">
                  <c:v>4587.2582649474243</c:v>
                </c:pt>
                <c:pt idx="59">
                  <c:v>4984.6457351281224</c:v>
                </c:pt>
                <c:pt idx="60">
                  <c:v>5380.5015937695453</c:v>
                </c:pt>
                <c:pt idx="61">
                  <c:v>6149.8598910606397</c:v>
                </c:pt>
                <c:pt idx="62">
                  <c:v>6375.0683082704236</c:v>
                </c:pt>
                <c:pt idx="63">
                  <c:v>8117.7670232685396</c:v>
                </c:pt>
                <c:pt idx="64">
                  <c:v>9965.8154197173062</c:v>
                </c:pt>
                <c:pt idx="65">
                  <c:v>11844.417093045793</c:v>
                </c:pt>
                <c:pt idx="66">
                  <c:v>11578.014941589654</c:v>
                </c:pt>
                <c:pt idx="67">
                  <c:v>11837.537089878568</c:v>
                </c:pt>
                <c:pt idx="68">
                  <c:v>12768.810905551683</c:v>
                </c:pt>
                <c:pt idx="69">
                  <c:v>11384.587572923638</c:v>
                </c:pt>
              </c:numCache>
            </c:numRef>
          </c:val>
          <c:smooth val="0"/>
          <c:extLst>
            <c:ext xmlns:c16="http://schemas.microsoft.com/office/drawing/2014/chart" uri="{C3380CC4-5D6E-409C-BE32-E72D297353CC}">
              <c16:uniqueId val="{00000001-8A56-4E75-8154-27EF3681633D}"/>
            </c:ext>
          </c:extLst>
        </c:ser>
        <c:ser>
          <c:idx val="2"/>
          <c:order val="2"/>
          <c:tx>
            <c:v>Predicted Balance</c:v>
          </c:tx>
          <c:spPr>
            <a:ln w="15875" cap="rnd">
              <a:solidFill>
                <a:srgbClr val="00B05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Analysis'!$E$5:$E$132</c:f>
              <c:numCache>
                <c:formatCode>_("$"* #,##0.00_);_("$"* \(#,##0.00\);_("$"* "-"??_);_(@_)</c:formatCode>
                <c:ptCount val="128"/>
                <c:pt idx="0">
                  <c:v>104.64</c:v>
                </c:pt>
                <c:pt idx="1">
                  <c:v>8.6500000000001052</c:v>
                </c:pt>
                <c:pt idx="2">
                  <c:v>332.57000000000005</c:v>
                </c:pt>
                <c:pt idx="3">
                  <c:v>15.699999999999932</c:v>
                </c:pt>
                <c:pt idx="4">
                  <c:v>604.75999999999794</c:v>
                </c:pt>
                <c:pt idx="5">
                  <c:v>509.20999999999799</c:v>
                </c:pt>
                <c:pt idx="6">
                  <c:v>476.14999999999799</c:v>
                </c:pt>
                <c:pt idx="7">
                  <c:v>218.09999999999803</c:v>
                </c:pt>
                <c:pt idx="8">
                  <c:v>126.15999999999798</c:v>
                </c:pt>
                <c:pt idx="9">
                  <c:v>57.099999999998033</c:v>
                </c:pt>
                <c:pt idx="10">
                  <c:v>457.55999999999807</c:v>
                </c:pt>
                <c:pt idx="11">
                  <c:v>156.60999999999802</c:v>
                </c:pt>
                <c:pt idx="12">
                  <c:v>868.98999999999751</c:v>
                </c:pt>
                <c:pt idx="13">
                  <c:v>1089.3299999999974</c:v>
                </c:pt>
                <c:pt idx="14">
                  <c:v>1095.9699999999975</c:v>
                </c:pt>
                <c:pt idx="15">
                  <c:v>563.19999999999754</c:v>
                </c:pt>
                <c:pt idx="16">
                  <c:v>638.29999999999745</c:v>
                </c:pt>
                <c:pt idx="17">
                  <c:v>666.70999999999731</c:v>
                </c:pt>
                <c:pt idx="18">
                  <c:v>379.76999999999748</c:v>
                </c:pt>
                <c:pt idx="19">
                  <c:v>493.87999999999738</c:v>
                </c:pt>
                <c:pt idx="20">
                  <c:v>563.80999999999744</c:v>
                </c:pt>
                <c:pt idx="21">
                  <c:v>965.42999999999734</c:v>
                </c:pt>
                <c:pt idx="22">
                  <c:v>745.87999999999715</c:v>
                </c:pt>
                <c:pt idx="23">
                  <c:v>503.73999999999705</c:v>
                </c:pt>
                <c:pt idx="24">
                  <c:v>1548.6799999999973</c:v>
                </c:pt>
                <c:pt idx="25">
                  <c:v>2069.5799999999972</c:v>
                </c:pt>
                <c:pt idx="26">
                  <c:v>1793.6099999999974</c:v>
                </c:pt>
                <c:pt idx="27">
                  <c:v>225.36999999999762</c:v>
                </c:pt>
                <c:pt idx="28">
                  <c:v>1501.1899999999973</c:v>
                </c:pt>
                <c:pt idx="29">
                  <c:v>1647.2999999999975</c:v>
                </c:pt>
                <c:pt idx="30">
                  <c:v>1519.6799999999973</c:v>
                </c:pt>
                <c:pt idx="31">
                  <c:v>807.56999999999755</c:v>
                </c:pt>
                <c:pt idx="32">
                  <c:v>353.82999999999731</c:v>
                </c:pt>
                <c:pt idx="33">
                  <c:v>1134.3699999999974</c:v>
                </c:pt>
                <c:pt idx="34">
                  <c:v>1456.4699999999971</c:v>
                </c:pt>
                <c:pt idx="35">
                  <c:v>2035.9199999999971</c:v>
                </c:pt>
                <c:pt idx="36">
                  <c:v>2393.1499999999969</c:v>
                </c:pt>
                <c:pt idx="37">
                  <c:v>1825.7599999999966</c:v>
                </c:pt>
                <c:pt idx="38">
                  <c:v>1543.3499999999963</c:v>
                </c:pt>
                <c:pt idx="39">
                  <c:v>2686.2099999999964</c:v>
                </c:pt>
                <c:pt idx="40">
                  <c:v>2970.1099999999965</c:v>
                </c:pt>
                <c:pt idx="41">
                  <c:v>2470.2399999999966</c:v>
                </c:pt>
                <c:pt idx="42">
                  <c:v>1802.1399999999967</c:v>
                </c:pt>
                <c:pt idx="43">
                  <c:v>332.97999999999706</c:v>
                </c:pt>
                <c:pt idx="44">
                  <c:v>1016.6099999999972</c:v>
                </c:pt>
                <c:pt idx="45">
                  <c:v>578.74999999999682</c:v>
                </c:pt>
                <c:pt idx="46">
                  <c:v>470.39999999999668</c:v>
                </c:pt>
                <c:pt idx="47">
                  <c:v>709.94999999999663</c:v>
                </c:pt>
                <c:pt idx="48">
                  <c:v>648.1399999999968</c:v>
                </c:pt>
                <c:pt idx="49">
                  <c:v>126.31999999999687</c:v>
                </c:pt>
                <c:pt idx="50">
                  <c:v>1185.7199999999966</c:v>
                </c:pt>
                <c:pt idx="51">
                  <c:v>737.9599999999964</c:v>
                </c:pt>
                <c:pt idx="52">
                  <c:v>415.69999999999629</c:v>
                </c:pt>
                <c:pt idx="53">
                  <c:v>236.07999999999606</c:v>
                </c:pt>
                <c:pt idx="54">
                  <c:v>276.85999999999655</c:v>
                </c:pt>
                <c:pt idx="55">
                  <c:v>-33.960000000003362</c:v>
                </c:pt>
                <c:pt idx="56">
                  <c:v>295.29999999999688</c:v>
                </c:pt>
                <c:pt idx="57">
                  <c:v>681.14999999999691</c:v>
                </c:pt>
                <c:pt idx="58">
                  <c:v>526.88999999999714</c:v>
                </c:pt>
                <c:pt idx="59">
                  <c:v>656.65999999999713</c:v>
                </c:pt>
                <c:pt idx="60">
                  <c:v>293.52999999999724</c:v>
                </c:pt>
                <c:pt idx="61">
                  <c:v>664.02999999999724</c:v>
                </c:pt>
                <c:pt idx="62">
                  <c:v>312.13999999999714</c:v>
                </c:pt>
                <c:pt idx="63">
                  <c:v>822.41999999999666</c:v>
                </c:pt>
                <c:pt idx="64">
                  <c:v>1221.5599999999968</c:v>
                </c:pt>
                <c:pt idx="65">
                  <c:v>1459.4899999999975</c:v>
                </c:pt>
                <c:pt idx="66">
                  <c:v>884.8899999999976</c:v>
                </c:pt>
                <c:pt idx="67">
                  <c:v>387.98999999999751</c:v>
                </c:pt>
                <c:pt idx="68">
                  <c:v>943.46999999999753</c:v>
                </c:pt>
                <c:pt idx="69">
                  <c:v>918.09999999999718</c:v>
                </c:pt>
                <c:pt idx="70">
                  <c:v>430.33999999999696</c:v>
                </c:pt>
                <c:pt idx="71">
                  <c:v>569.36999999999671</c:v>
                </c:pt>
                <c:pt idx="72">
                  <c:v>708.39999999999645</c:v>
                </c:pt>
                <c:pt idx="73">
                  <c:v>847.4299999999962</c:v>
                </c:pt>
                <c:pt idx="74">
                  <c:v>986.45999999999594</c:v>
                </c:pt>
                <c:pt idx="75">
                  <c:v>1125.4899999999957</c:v>
                </c:pt>
                <c:pt idx="76">
                  <c:v>1264.5199999999954</c:v>
                </c:pt>
                <c:pt idx="77">
                  <c:v>1403.5499999999952</c:v>
                </c:pt>
                <c:pt idx="78">
                  <c:v>1542.5799999999949</c:v>
                </c:pt>
                <c:pt idx="79">
                  <c:v>1681.6099999999947</c:v>
                </c:pt>
                <c:pt idx="80">
                  <c:v>1820.6399999999944</c:v>
                </c:pt>
                <c:pt idx="81">
                  <c:v>1959.6699999999942</c:v>
                </c:pt>
                <c:pt idx="82">
                  <c:v>2098.6999999999939</c:v>
                </c:pt>
                <c:pt idx="83">
                  <c:v>2237.7299999999937</c:v>
                </c:pt>
                <c:pt idx="84">
                  <c:v>2376.7599999999934</c:v>
                </c:pt>
                <c:pt idx="85">
                  <c:v>2515.7899999999931</c:v>
                </c:pt>
                <c:pt idx="86">
                  <c:v>2654.8199999999929</c:v>
                </c:pt>
                <c:pt idx="87">
                  <c:v>2793.8499999999926</c:v>
                </c:pt>
                <c:pt idx="88">
                  <c:v>2932.8799999999924</c:v>
                </c:pt>
                <c:pt idx="89">
                  <c:v>3071.9099999999921</c:v>
                </c:pt>
                <c:pt idx="90">
                  <c:v>3210.9399999999919</c:v>
                </c:pt>
                <c:pt idx="91">
                  <c:v>3349.9699999999916</c:v>
                </c:pt>
                <c:pt idx="92">
                  <c:v>3488.9999999999914</c:v>
                </c:pt>
                <c:pt idx="93">
                  <c:v>3628.0299999999916</c:v>
                </c:pt>
                <c:pt idx="94">
                  <c:v>3767.0599999999913</c:v>
                </c:pt>
                <c:pt idx="95">
                  <c:v>3906.0899999999911</c:v>
                </c:pt>
                <c:pt idx="96">
                  <c:v>4045.1199999999908</c:v>
                </c:pt>
                <c:pt idx="97">
                  <c:v>4184.1499999999905</c:v>
                </c:pt>
                <c:pt idx="98">
                  <c:v>4323.1799999999903</c:v>
                </c:pt>
                <c:pt idx="99">
                  <c:v>4462.20999999999</c:v>
                </c:pt>
                <c:pt idx="100">
                  <c:v>4601.2399999999898</c:v>
                </c:pt>
                <c:pt idx="101">
                  <c:v>4740.2699999999895</c:v>
                </c:pt>
                <c:pt idx="102">
                  <c:v>4879.2999999999893</c:v>
                </c:pt>
                <c:pt idx="103">
                  <c:v>5018.329999999989</c:v>
                </c:pt>
                <c:pt idx="104">
                  <c:v>5157.3599999999888</c:v>
                </c:pt>
                <c:pt idx="105">
                  <c:v>5296.3899999999885</c:v>
                </c:pt>
                <c:pt idx="106">
                  <c:v>5435.4199999999882</c:v>
                </c:pt>
                <c:pt idx="107">
                  <c:v>5574.449999999988</c:v>
                </c:pt>
                <c:pt idx="108">
                  <c:v>5713.4799999999877</c:v>
                </c:pt>
                <c:pt idx="109">
                  <c:v>5852.5099999999875</c:v>
                </c:pt>
                <c:pt idx="110">
                  <c:v>5991.5399999999872</c:v>
                </c:pt>
                <c:pt idx="111">
                  <c:v>6130.569999999987</c:v>
                </c:pt>
                <c:pt idx="112">
                  <c:v>6269.5999999999867</c:v>
                </c:pt>
                <c:pt idx="113">
                  <c:v>6408.6299999999865</c:v>
                </c:pt>
                <c:pt idx="114">
                  <c:v>6547.6599999999862</c:v>
                </c:pt>
                <c:pt idx="115">
                  <c:v>6686.689999999986</c:v>
                </c:pt>
                <c:pt idx="116">
                  <c:v>6825.7199999999857</c:v>
                </c:pt>
                <c:pt idx="117">
                  <c:v>6964.7499999999854</c:v>
                </c:pt>
                <c:pt idx="118">
                  <c:v>7103.7799999999852</c:v>
                </c:pt>
                <c:pt idx="119">
                  <c:v>7242.8099999999849</c:v>
                </c:pt>
                <c:pt idx="120">
                  <c:v>7381.8399999999847</c:v>
                </c:pt>
                <c:pt idx="121">
                  <c:v>7520.8699999999844</c:v>
                </c:pt>
                <c:pt idx="122">
                  <c:v>7659.8999999999851</c:v>
                </c:pt>
                <c:pt idx="123">
                  <c:v>7798.9299999999857</c:v>
                </c:pt>
                <c:pt idx="124">
                  <c:v>7937.9599999999864</c:v>
                </c:pt>
                <c:pt idx="125">
                  <c:v>8076.989999999987</c:v>
                </c:pt>
                <c:pt idx="126">
                  <c:v>8216.0199999999877</c:v>
                </c:pt>
                <c:pt idx="127">
                  <c:v>8355.0499999999884</c:v>
                </c:pt>
              </c:numCache>
            </c:numRef>
          </c:val>
          <c:smooth val="0"/>
          <c:extLst>
            <c:ext xmlns:c16="http://schemas.microsoft.com/office/drawing/2014/chart" uri="{C3380CC4-5D6E-409C-BE32-E72D297353CC}">
              <c16:uniqueId val="{00000002-8A56-4E75-8154-27EF3681633D}"/>
            </c:ext>
          </c:extLst>
        </c:ser>
        <c:ser>
          <c:idx val="3"/>
          <c:order val="3"/>
          <c:tx>
            <c:v>Balance</c:v>
          </c:tx>
          <c:spPr>
            <a:ln w="19050" cap="rnd">
              <a:solidFill>
                <a:srgbClr val="00B050"/>
              </a:solidFill>
            </a:ln>
            <a:effectLst>
              <a:glow rad="76200">
                <a:srgbClr val="00B05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Analysis'!$L$5:$L$132</c:f>
              <c:numCache>
                <c:formatCode>_("$"* #,##0.00_);_("$"* \(#,##0.00\);_("$"* "-"??_);_(@_)</c:formatCode>
                <c:ptCount val="128"/>
                <c:pt idx="0">
                  <c:v>104.64</c:v>
                </c:pt>
                <c:pt idx="1">
                  <c:v>85.92</c:v>
                </c:pt>
                <c:pt idx="2">
                  <c:v>367.95</c:v>
                </c:pt>
                <c:pt idx="3">
                  <c:v>51.08</c:v>
                </c:pt>
                <c:pt idx="4">
                  <c:v>629.58999999999992</c:v>
                </c:pt>
                <c:pt idx="5">
                  <c:v>533.54</c:v>
                </c:pt>
                <c:pt idx="6">
                  <c:v>500.48</c:v>
                </c:pt>
                <c:pt idx="7">
                  <c:v>244.43</c:v>
                </c:pt>
                <c:pt idx="8">
                  <c:v>127.49</c:v>
                </c:pt>
                <c:pt idx="9">
                  <c:v>64.22999999999999</c:v>
                </c:pt>
                <c:pt idx="10">
                  <c:v>459.71000000000004</c:v>
                </c:pt>
                <c:pt idx="11">
                  <c:v>174.23</c:v>
                </c:pt>
                <c:pt idx="12">
                  <c:v>889.55</c:v>
                </c:pt>
                <c:pt idx="13">
                  <c:v>1100.0900000000001</c:v>
                </c:pt>
                <c:pt idx="14">
                  <c:v>1102.3399999999999</c:v>
                </c:pt>
                <c:pt idx="15">
                  <c:v>587.19000000000005</c:v>
                </c:pt>
                <c:pt idx="16">
                  <c:v>643.74</c:v>
                </c:pt>
                <c:pt idx="17">
                  <c:v>666.70999999999731</c:v>
                </c:pt>
                <c:pt idx="18">
                  <c:v>409.73</c:v>
                </c:pt>
                <c:pt idx="19">
                  <c:v>519.91</c:v>
                </c:pt>
                <c:pt idx="20">
                  <c:v>568.53000000000009</c:v>
                </c:pt>
                <c:pt idx="21">
                  <c:v>975.63999999999987</c:v>
                </c:pt>
                <c:pt idx="22">
                  <c:v>754.06999999999994</c:v>
                </c:pt>
                <c:pt idx="23">
                  <c:v>457.08000000000004</c:v>
                </c:pt>
                <c:pt idx="24">
                  <c:v>1455.98</c:v>
                </c:pt>
                <c:pt idx="25">
                  <c:v>1947.8000000000002</c:v>
                </c:pt>
                <c:pt idx="26">
                  <c:v>1688.45</c:v>
                </c:pt>
                <c:pt idx="27">
                  <c:v>149.32999999999998</c:v>
                </c:pt>
                <c:pt idx="28">
                  <c:v>1521.7500000000002</c:v>
                </c:pt>
                <c:pt idx="29">
                  <c:v>1647.2999999999975</c:v>
                </c:pt>
                <c:pt idx="30">
                  <c:v>1443.6599999999999</c:v>
                </c:pt>
                <c:pt idx="31">
                  <c:v>693.32999999999993</c:v>
                </c:pt>
                <c:pt idx="32">
                  <c:v>274.34000000000003</c:v>
                </c:pt>
                <c:pt idx="33">
                  <c:v>1138.78</c:v>
                </c:pt>
                <c:pt idx="34">
                  <c:v>1373.71</c:v>
                </c:pt>
                <c:pt idx="35">
                  <c:v>1874.79</c:v>
                </c:pt>
                <c:pt idx="36">
                  <c:v>2212.8200000000002</c:v>
                </c:pt>
                <c:pt idx="37">
                  <c:v>1710.85</c:v>
                </c:pt>
                <c:pt idx="38">
                  <c:v>1404.1799999999998</c:v>
                </c:pt>
                <c:pt idx="39">
                  <c:v>2593.19</c:v>
                </c:pt>
                <c:pt idx="40">
                  <c:v>2807.56</c:v>
                </c:pt>
                <c:pt idx="41">
                  <c:v>2285.1200000000003</c:v>
                </c:pt>
                <c:pt idx="42">
                  <c:v>1584.41</c:v>
                </c:pt>
                <c:pt idx="43">
                  <c:v>202.9</c:v>
                </c:pt>
                <c:pt idx="44">
                  <c:v>1014.6099999999999</c:v>
                </c:pt>
                <c:pt idx="45">
                  <c:v>797.37000000000012</c:v>
                </c:pt>
                <c:pt idx="46">
                  <c:v>706.02</c:v>
                </c:pt>
                <c:pt idx="47">
                  <c:v>976.59999999999991</c:v>
                </c:pt>
                <c:pt idx="48">
                  <c:v>1014.75</c:v>
                </c:pt>
                <c:pt idx="49">
                  <c:v>559.70000000000005</c:v>
                </c:pt>
                <c:pt idx="50">
                  <c:v>1592.48</c:v>
                </c:pt>
                <c:pt idx="51">
                  <c:v>1151.33</c:v>
                </c:pt>
                <c:pt idx="52">
                  <c:v>937.78</c:v>
                </c:pt>
                <c:pt idx="53">
                  <c:v>908.55999999999972</c:v>
                </c:pt>
                <c:pt idx="54">
                  <c:v>944.51</c:v>
                </c:pt>
                <c:pt idx="55">
                  <c:v>574.57999999999993</c:v>
                </c:pt>
                <c:pt idx="56">
                  <c:v>883.49</c:v>
                </c:pt>
                <c:pt idx="57">
                  <c:v>1257.6399999999999</c:v>
                </c:pt>
                <c:pt idx="58">
                  <c:v>1079.45</c:v>
                </c:pt>
                <c:pt idx="59">
                  <c:v>1083.46</c:v>
                </c:pt>
                <c:pt idx="60">
                  <c:v>1011.1499999999999</c:v>
                </c:pt>
                <c:pt idx="61">
                  <c:v>1419.3600000000001</c:v>
                </c:pt>
                <c:pt idx="62">
                  <c:v>815.63999999999965</c:v>
                </c:pt>
                <c:pt idx="63">
                  <c:v>1404.41</c:v>
                </c:pt>
                <c:pt idx="64">
                  <c:v>1802.9299999999994</c:v>
                </c:pt>
                <c:pt idx="65">
                  <c:v>1931.31</c:v>
                </c:pt>
                <c:pt idx="66">
                  <c:v>1727.5500000000009</c:v>
                </c:pt>
                <c:pt idx="67">
                  <c:v>1319.8400000000001</c:v>
                </c:pt>
                <c:pt idx="68">
                  <c:v>1887.5300000000004</c:v>
                </c:pt>
                <c:pt idx="69">
                  <c:v>283.66000000000003</c:v>
                </c:pt>
              </c:numCache>
            </c:numRef>
          </c:val>
          <c:smooth val="0"/>
          <c:extLst>
            <c:ext xmlns:c16="http://schemas.microsoft.com/office/drawing/2014/chart" uri="{C3380CC4-5D6E-409C-BE32-E72D297353CC}">
              <c16:uniqueId val="{00000003-8A56-4E75-8154-27EF3681633D}"/>
            </c:ext>
          </c:extLst>
        </c:ser>
        <c:ser>
          <c:idx val="4"/>
          <c:order val="4"/>
          <c:tx>
            <c:v>Predicted Savings</c:v>
          </c:tx>
          <c:spPr>
            <a:ln w="22225" cap="rnd">
              <a:solidFill>
                <a:schemeClr val="accent4"/>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Analysis'!$F$5:$F$132</c:f>
              <c:numCache>
                <c:formatCode>_("$"* #,##0.00_);_("$"* \(#,##0.00\);_("$"* "-"??_);_(@_)</c:formatCode>
                <c:ptCount val="128"/>
                <c:pt idx="0">
                  <c:v>645.96</c:v>
                </c:pt>
                <c:pt idx="1">
                  <c:v>645.96</c:v>
                </c:pt>
                <c:pt idx="2">
                  <c:v>675.96</c:v>
                </c:pt>
                <c:pt idx="3">
                  <c:v>475.96000000000004</c:v>
                </c:pt>
                <c:pt idx="4">
                  <c:v>3360.96</c:v>
                </c:pt>
                <c:pt idx="5">
                  <c:v>3360.96</c:v>
                </c:pt>
                <c:pt idx="6">
                  <c:v>2960.96</c:v>
                </c:pt>
                <c:pt idx="7">
                  <c:v>2140.96</c:v>
                </c:pt>
                <c:pt idx="8">
                  <c:v>1540.96</c:v>
                </c:pt>
                <c:pt idx="9">
                  <c:v>640.96</c:v>
                </c:pt>
                <c:pt idx="10">
                  <c:v>590.96</c:v>
                </c:pt>
                <c:pt idx="11">
                  <c:v>269.96000000000004</c:v>
                </c:pt>
                <c:pt idx="12">
                  <c:v>2089.96</c:v>
                </c:pt>
                <c:pt idx="13">
                  <c:v>2909.96</c:v>
                </c:pt>
                <c:pt idx="14">
                  <c:v>3809.96</c:v>
                </c:pt>
                <c:pt idx="15">
                  <c:v>4229.96</c:v>
                </c:pt>
                <c:pt idx="16">
                  <c:v>4729.96</c:v>
                </c:pt>
                <c:pt idx="17">
                  <c:v>5249.96</c:v>
                </c:pt>
                <c:pt idx="18">
                  <c:v>5749.96</c:v>
                </c:pt>
                <c:pt idx="19">
                  <c:v>6749.96</c:v>
                </c:pt>
                <c:pt idx="20">
                  <c:v>7149.96</c:v>
                </c:pt>
                <c:pt idx="21">
                  <c:v>7449.96</c:v>
                </c:pt>
                <c:pt idx="22">
                  <c:v>7749.96</c:v>
                </c:pt>
                <c:pt idx="23">
                  <c:v>3749.96</c:v>
                </c:pt>
                <c:pt idx="24">
                  <c:v>2249.96</c:v>
                </c:pt>
                <c:pt idx="25">
                  <c:v>1249.96</c:v>
                </c:pt>
                <c:pt idx="26">
                  <c:v>849.96</c:v>
                </c:pt>
                <c:pt idx="27">
                  <c:v>289.96000000000004</c:v>
                </c:pt>
                <c:pt idx="28">
                  <c:v>489.96000000000004</c:v>
                </c:pt>
                <c:pt idx="29">
                  <c:v>489.96000000000004</c:v>
                </c:pt>
                <c:pt idx="30">
                  <c:v>489.96000000000004</c:v>
                </c:pt>
                <c:pt idx="31">
                  <c:v>484.96000000000004</c:v>
                </c:pt>
                <c:pt idx="32">
                  <c:v>434.96000000000004</c:v>
                </c:pt>
                <c:pt idx="33">
                  <c:v>334.96000000000004</c:v>
                </c:pt>
                <c:pt idx="34">
                  <c:v>494.96000000000004</c:v>
                </c:pt>
                <c:pt idx="35">
                  <c:v>499.96000000000004</c:v>
                </c:pt>
                <c:pt idx="36">
                  <c:v>499.96000000000004</c:v>
                </c:pt>
                <c:pt idx="37">
                  <c:v>1233.71</c:v>
                </c:pt>
                <c:pt idx="38">
                  <c:v>433.71000000000004</c:v>
                </c:pt>
                <c:pt idx="39">
                  <c:v>433.71000000000004</c:v>
                </c:pt>
                <c:pt idx="40">
                  <c:v>538.71</c:v>
                </c:pt>
                <c:pt idx="41">
                  <c:v>338.71000000000004</c:v>
                </c:pt>
                <c:pt idx="42">
                  <c:v>438.71000000000004</c:v>
                </c:pt>
                <c:pt idx="43">
                  <c:v>193.71000000000004</c:v>
                </c:pt>
                <c:pt idx="44">
                  <c:v>3.8800000000000239</c:v>
                </c:pt>
                <c:pt idx="45">
                  <c:v>3.8800000000000239</c:v>
                </c:pt>
                <c:pt idx="46">
                  <c:v>103.88000000000002</c:v>
                </c:pt>
                <c:pt idx="47">
                  <c:v>103.88000000000002</c:v>
                </c:pt>
                <c:pt idx="48">
                  <c:v>103.88000000000002</c:v>
                </c:pt>
                <c:pt idx="49">
                  <c:v>503.88</c:v>
                </c:pt>
                <c:pt idx="50">
                  <c:v>513.88</c:v>
                </c:pt>
                <c:pt idx="51">
                  <c:v>513.88</c:v>
                </c:pt>
                <c:pt idx="52">
                  <c:v>513.88</c:v>
                </c:pt>
                <c:pt idx="53">
                  <c:v>513.88</c:v>
                </c:pt>
                <c:pt idx="54">
                  <c:v>213.88</c:v>
                </c:pt>
                <c:pt idx="55">
                  <c:v>313.88</c:v>
                </c:pt>
                <c:pt idx="56">
                  <c:v>213.88</c:v>
                </c:pt>
                <c:pt idx="57">
                  <c:v>563.88</c:v>
                </c:pt>
                <c:pt idx="58">
                  <c:v>1063.8800000000001</c:v>
                </c:pt>
                <c:pt idx="59">
                  <c:v>1063.8800000000001</c:v>
                </c:pt>
                <c:pt idx="60">
                  <c:v>1063.8800000000001</c:v>
                </c:pt>
                <c:pt idx="61">
                  <c:v>1063.8800000000001</c:v>
                </c:pt>
                <c:pt idx="62">
                  <c:v>1063.8800000000001</c:v>
                </c:pt>
                <c:pt idx="63">
                  <c:v>1063.8800000000001</c:v>
                </c:pt>
                <c:pt idx="64">
                  <c:v>1063.8800000000001</c:v>
                </c:pt>
                <c:pt idx="65">
                  <c:v>363.88000000000011</c:v>
                </c:pt>
                <c:pt idx="66">
                  <c:v>508.88000000000011</c:v>
                </c:pt>
                <c:pt idx="67">
                  <c:v>158.88000000000011</c:v>
                </c:pt>
                <c:pt idx="68">
                  <c:v>8.8800000000001091</c:v>
                </c:pt>
                <c:pt idx="69">
                  <c:v>108.88000000000011</c:v>
                </c:pt>
                <c:pt idx="70">
                  <c:v>258.88000000000011</c:v>
                </c:pt>
                <c:pt idx="71">
                  <c:v>408.88000000000011</c:v>
                </c:pt>
                <c:pt idx="72">
                  <c:v>558.88000000000011</c:v>
                </c:pt>
                <c:pt idx="73">
                  <c:v>708.88000000000011</c:v>
                </c:pt>
                <c:pt idx="74">
                  <c:v>858.88000000000011</c:v>
                </c:pt>
                <c:pt idx="75">
                  <c:v>1008.8800000000001</c:v>
                </c:pt>
                <c:pt idx="76">
                  <c:v>1158.8800000000001</c:v>
                </c:pt>
                <c:pt idx="77">
                  <c:v>1308.8800000000001</c:v>
                </c:pt>
                <c:pt idx="78">
                  <c:v>1458.88</c:v>
                </c:pt>
                <c:pt idx="79">
                  <c:v>1608.88</c:v>
                </c:pt>
                <c:pt idx="80">
                  <c:v>1758.88</c:v>
                </c:pt>
                <c:pt idx="81">
                  <c:v>1908.88</c:v>
                </c:pt>
                <c:pt idx="82">
                  <c:v>2058.88</c:v>
                </c:pt>
                <c:pt idx="83">
                  <c:v>2208.88</c:v>
                </c:pt>
                <c:pt idx="84">
                  <c:v>2358.88</c:v>
                </c:pt>
                <c:pt idx="85">
                  <c:v>2508.88</c:v>
                </c:pt>
                <c:pt idx="86">
                  <c:v>2658.88</c:v>
                </c:pt>
                <c:pt idx="87">
                  <c:v>2808.88</c:v>
                </c:pt>
                <c:pt idx="88">
                  <c:v>2958.88</c:v>
                </c:pt>
                <c:pt idx="89">
                  <c:v>3108.88</c:v>
                </c:pt>
                <c:pt idx="90">
                  <c:v>3258.88</c:v>
                </c:pt>
                <c:pt idx="91">
                  <c:v>3408.88</c:v>
                </c:pt>
                <c:pt idx="92">
                  <c:v>3558.88</c:v>
                </c:pt>
                <c:pt idx="93">
                  <c:v>3708.88</c:v>
                </c:pt>
                <c:pt idx="94">
                  <c:v>3858.88</c:v>
                </c:pt>
                <c:pt idx="95">
                  <c:v>4008.88</c:v>
                </c:pt>
                <c:pt idx="96">
                  <c:v>4158.88</c:v>
                </c:pt>
                <c:pt idx="97">
                  <c:v>4308.88</c:v>
                </c:pt>
                <c:pt idx="98">
                  <c:v>4458.88</c:v>
                </c:pt>
                <c:pt idx="99">
                  <c:v>4608.88</c:v>
                </c:pt>
                <c:pt idx="100">
                  <c:v>4758.88</c:v>
                </c:pt>
                <c:pt idx="101">
                  <c:v>4908.88</c:v>
                </c:pt>
                <c:pt idx="102">
                  <c:v>5058.88</c:v>
                </c:pt>
                <c:pt idx="103">
                  <c:v>5208.88</c:v>
                </c:pt>
                <c:pt idx="104">
                  <c:v>5358.88</c:v>
                </c:pt>
                <c:pt idx="105">
                  <c:v>5508.88</c:v>
                </c:pt>
                <c:pt idx="106">
                  <c:v>5658.88</c:v>
                </c:pt>
                <c:pt idx="107">
                  <c:v>5808.88</c:v>
                </c:pt>
                <c:pt idx="108">
                  <c:v>5958.88</c:v>
                </c:pt>
                <c:pt idx="109">
                  <c:v>6108.88</c:v>
                </c:pt>
                <c:pt idx="110">
                  <c:v>6258.88</c:v>
                </c:pt>
                <c:pt idx="111">
                  <c:v>6408.88</c:v>
                </c:pt>
                <c:pt idx="112">
                  <c:v>6558.88</c:v>
                </c:pt>
                <c:pt idx="113">
                  <c:v>6708.88</c:v>
                </c:pt>
                <c:pt idx="114">
                  <c:v>6858.88</c:v>
                </c:pt>
                <c:pt idx="115">
                  <c:v>7008.88</c:v>
                </c:pt>
                <c:pt idx="116">
                  <c:v>7158.88</c:v>
                </c:pt>
                <c:pt idx="117">
                  <c:v>7308.88</c:v>
                </c:pt>
                <c:pt idx="118">
                  <c:v>7458.88</c:v>
                </c:pt>
                <c:pt idx="119">
                  <c:v>7608.88</c:v>
                </c:pt>
                <c:pt idx="120">
                  <c:v>7758.88</c:v>
                </c:pt>
                <c:pt idx="121">
                  <c:v>7908.88</c:v>
                </c:pt>
                <c:pt idx="122">
                  <c:v>8058.88</c:v>
                </c:pt>
                <c:pt idx="123">
                  <c:v>8208.880000000001</c:v>
                </c:pt>
                <c:pt idx="124">
                  <c:v>8358.880000000001</c:v>
                </c:pt>
                <c:pt idx="125">
                  <c:v>8508.880000000001</c:v>
                </c:pt>
                <c:pt idx="126">
                  <c:v>8658.880000000001</c:v>
                </c:pt>
                <c:pt idx="127">
                  <c:v>8808.880000000001</c:v>
                </c:pt>
              </c:numCache>
            </c:numRef>
          </c:val>
          <c:smooth val="0"/>
          <c:extLst>
            <c:ext xmlns:c16="http://schemas.microsoft.com/office/drawing/2014/chart" uri="{C3380CC4-5D6E-409C-BE32-E72D297353CC}">
              <c16:uniqueId val="{00000004-8A56-4E75-8154-27EF3681633D}"/>
            </c:ext>
          </c:extLst>
        </c:ser>
        <c:ser>
          <c:idx val="7"/>
          <c:order val="5"/>
          <c:tx>
            <c:v>Savings A</c:v>
          </c:tx>
          <c:spPr>
            <a:ln w="25400" cap="rnd">
              <a:solidFill>
                <a:srgbClr val="00B0F0"/>
              </a:solidFill>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Analysis'!$M$5:$M$132</c:f>
              <c:numCache>
                <c:formatCode>_("$"* #,##0.00_);_("$"* \(#,##0.00\);_("$"* "-"??_);_(@_)</c:formatCode>
                <c:ptCount val="128"/>
                <c:pt idx="14">
                  <c:v>1100</c:v>
                </c:pt>
                <c:pt idx="15">
                  <c:v>2000</c:v>
                </c:pt>
                <c:pt idx="16">
                  <c:v>2500</c:v>
                </c:pt>
                <c:pt idx="17">
                  <c:v>3000</c:v>
                </c:pt>
                <c:pt idx="18">
                  <c:v>3500</c:v>
                </c:pt>
                <c:pt idx="19">
                  <c:v>4500</c:v>
                </c:pt>
                <c:pt idx="20">
                  <c:v>4900</c:v>
                </c:pt>
                <c:pt idx="21">
                  <c:v>5300</c:v>
                </c:pt>
                <c:pt idx="22">
                  <c:v>5700</c:v>
                </c:pt>
                <c:pt idx="23">
                  <c:v>6000</c:v>
                </c:pt>
                <c:pt idx="24">
                  <c:v>6000</c:v>
                </c:pt>
                <c:pt idx="25">
                  <c:v>6000</c:v>
                </c:pt>
                <c:pt idx="26">
                  <c:v>6000</c:v>
                </c:pt>
                <c:pt idx="27">
                  <c:v>5700</c:v>
                </c:pt>
                <c:pt idx="28">
                  <c:v>3600</c:v>
                </c:pt>
                <c:pt idx="29">
                  <c:v>2500</c:v>
                </c:pt>
                <c:pt idx="30">
                  <c:v>1800</c:v>
                </c:pt>
                <c:pt idx="31">
                  <c:v>1500</c:v>
                </c:pt>
                <c:pt idx="32">
                  <c:v>200</c:v>
                </c:pt>
                <c:pt idx="33">
                  <c:v>0</c:v>
                </c:pt>
                <c:pt idx="34">
                  <c:v>0</c:v>
                </c:pt>
                <c:pt idx="35">
                  <c:v>0</c:v>
                </c:pt>
                <c:pt idx="36">
                  <c:v>0</c:v>
                </c:pt>
                <c:pt idx="37">
                  <c:v>200</c:v>
                </c:pt>
                <c:pt idx="38">
                  <c:v>200</c:v>
                </c:pt>
                <c:pt idx="39">
                  <c:v>200</c:v>
                </c:pt>
                <c:pt idx="40">
                  <c:v>100</c:v>
                </c:pt>
                <c:pt idx="41">
                  <c:v>100</c:v>
                </c:pt>
                <c:pt idx="42">
                  <c:v>300</c:v>
                </c:pt>
                <c:pt idx="43">
                  <c:v>200</c:v>
                </c:pt>
                <c:pt idx="44">
                  <c:v>147</c:v>
                </c:pt>
                <c:pt idx="45">
                  <c:v>147</c:v>
                </c:pt>
                <c:pt idx="46">
                  <c:v>147</c:v>
                </c:pt>
                <c:pt idx="47">
                  <c:v>89</c:v>
                </c:pt>
                <c:pt idx="48">
                  <c:v>89</c:v>
                </c:pt>
                <c:pt idx="49">
                  <c:v>589</c:v>
                </c:pt>
                <c:pt idx="50">
                  <c:v>94</c:v>
                </c:pt>
                <c:pt idx="51">
                  <c:v>74</c:v>
                </c:pt>
                <c:pt idx="52">
                  <c:v>74</c:v>
                </c:pt>
                <c:pt idx="53">
                  <c:v>77</c:v>
                </c:pt>
                <c:pt idx="54">
                  <c:v>77</c:v>
                </c:pt>
                <c:pt idx="55">
                  <c:v>227</c:v>
                </c:pt>
                <c:pt idx="56">
                  <c:v>427</c:v>
                </c:pt>
                <c:pt idx="57">
                  <c:v>527</c:v>
                </c:pt>
                <c:pt idx="58">
                  <c:v>530</c:v>
                </c:pt>
                <c:pt idx="59">
                  <c:v>630</c:v>
                </c:pt>
                <c:pt idx="60">
                  <c:v>630</c:v>
                </c:pt>
                <c:pt idx="61">
                  <c:v>290</c:v>
                </c:pt>
                <c:pt idx="62">
                  <c:v>130</c:v>
                </c:pt>
                <c:pt idx="63">
                  <c:v>480</c:v>
                </c:pt>
                <c:pt idx="64">
                  <c:v>480</c:v>
                </c:pt>
                <c:pt idx="65">
                  <c:v>240</c:v>
                </c:pt>
                <c:pt idx="66">
                  <c:v>80</c:v>
                </c:pt>
                <c:pt idx="67">
                  <c:v>80</c:v>
                </c:pt>
                <c:pt idx="68">
                  <c:v>80</c:v>
                </c:pt>
                <c:pt idx="69">
                  <c:v>80</c:v>
                </c:pt>
              </c:numCache>
            </c:numRef>
          </c:val>
          <c:smooth val="0"/>
          <c:extLst>
            <c:ext xmlns:c16="http://schemas.microsoft.com/office/drawing/2014/chart" uri="{C3380CC4-5D6E-409C-BE32-E72D297353CC}">
              <c16:uniqueId val="{00000007-8A56-4E75-8154-27EF3681633D}"/>
            </c:ext>
          </c:extLst>
        </c:ser>
        <c:ser>
          <c:idx val="5"/>
          <c:order val="6"/>
          <c:tx>
            <c:v>Savings B</c:v>
          </c:tx>
          <c:spPr>
            <a:ln w="19050" cap="rnd">
              <a:solidFill>
                <a:srgbClr val="FFC000"/>
              </a:solidFill>
            </a:ln>
            <a:effectLst>
              <a:glow rad="76200">
                <a:srgbClr val="FFC0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Analysis'!$N$5:$N$132</c:f>
              <c:numCache>
                <c:formatCode>_("$"* #,##0.00_);_("$"* \(#,##0.00\);_("$"* "-"??_);_(@_)</c:formatCode>
                <c:ptCount val="128"/>
                <c:pt idx="0">
                  <c:v>645.96</c:v>
                </c:pt>
                <c:pt idx="1">
                  <c:v>497.96</c:v>
                </c:pt>
                <c:pt idx="2">
                  <c:v>562.96</c:v>
                </c:pt>
                <c:pt idx="3">
                  <c:v>370.96</c:v>
                </c:pt>
                <c:pt idx="4">
                  <c:v>3260.99</c:v>
                </c:pt>
                <c:pt idx="5">
                  <c:v>3267.04</c:v>
                </c:pt>
                <c:pt idx="6">
                  <c:v>2873.09</c:v>
                </c:pt>
                <c:pt idx="7">
                  <c:v>2059.13</c:v>
                </c:pt>
                <c:pt idx="8">
                  <c:v>1477.16</c:v>
                </c:pt>
                <c:pt idx="9">
                  <c:v>585.16999999999996</c:v>
                </c:pt>
                <c:pt idx="10">
                  <c:v>539.16999999999996</c:v>
                </c:pt>
                <c:pt idx="11">
                  <c:v>226.17000000000002</c:v>
                </c:pt>
                <c:pt idx="12">
                  <c:v>2052.1800000000003</c:v>
                </c:pt>
                <c:pt idx="13">
                  <c:v>2878.22</c:v>
                </c:pt>
                <c:pt idx="14">
                  <c:v>3782.27</c:v>
                </c:pt>
                <c:pt idx="15">
                  <c:v>4210.33</c:v>
                </c:pt>
                <c:pt idx="16">
                  <c:v>4718.3899999999994</c:v>
                </c:pt>
                <c:pt idx="17">
                  <c:v>5249.46</c:v>
                </c:pt>
                <c:pt idx="18">
                  <c:v>5757.54</c:v>
                </c:pt>
                <c:pt idx="19">
                  <c:v>6761.63</c:v>
                </c:pt>
                <c:pt idx="20">
                  <c:v>7167.69</c:v>
                </c:pt>
                <c:pt idx="21">
                  <c:v>7475.74</c:v>
                </c:pt>
                <c:pt idx="22">
                  <c:v>7784.8</c:v>
                </c:pt>
                <c:pt idx="23">
                  <c:v>3794.84</c:v>
                </c:pt>
                <c:pt idx="24">
                  <c:v>2296.8599999999997</c:v>
                </c:pt>
                <c:pt idx="25">
                  <c:v>1299.8699999999999</c:v>
                </c:pt>
                <c:pt idx="26">
                  <c:v>908.88</c:v>
                </c:pt>
                <c:pt idx="27">
                  <c:v>312.89</c:v>
                </c:pt>
                <c:pt idx="28">
                  <c:v>420.89</c:v>
                </c:pt>
                <c:pt idx="29">
                  <c:v>489.96000000000004</c:v>
                </c:pt>
                <c:pt idx="30">
                  <c:v>439.89</c:v>
                </c:pt>
                <c:pt idx="31">
                  <c:v>442.9</c:v>
                </c:pt>
                <c:pt idx="32">
                  <c:v>397.9</c:v>
                </c:pt>
                <c:pt idx="33">
                  <c:v>296.89999999999998</c:v>
                </c:pt>
                <c:pt idx="34">
                  <c:v>464.90999999999997</c:v>
                </c:pt>
                <c:pt idx="35">
                  <c:v>468.93</c:v>
                </c:pt>
                <c:pt idx="36">
                  <c:v>475.97</c:v>
                </c:pt>
                <c:pt idx="37">
                  <c:v>1107.1599999999999</c:v>
                </c:pt>
                <c:pt idx="38">
                  <c:v>314.43</c:v>
                </c:pt>
                <c:pt idx="39">
                  <c:v>318.52</c:v>
                </c:pt>
                <c:pt idx="40">
                  <c:v>434.64</c:v>
                </c:pt>
                <c:pt idx="41">
                  <c:v>237.75</c:v>
                </c:pt>
                <c:pt idx="42">
                  <c:v>342.78999999999996</c:v>
                </c:pt>
                <c:pt idx="43">
                  <c:v>248.87</c:v>
                </c:pt>
                <c:pt idx="44">
                  <c:v>3.88</c:v>
                </c:pt>
                <c:pt idx="45">
                  <c:v>3.88</c:v>
                </c:pt>
                <c:pt idx="46">
                  <c:v>103.9</c:v>
                </c:pt>
                <c:pt idx="47">
                  <c:v>103.91</c:v>
                </c:pt>
                <c:pt idx="48">
                  <c:v>103.94</c:v>
                </c:pt>
                <c:pt idx="49">
                  <c:v>503.98</c:v>
                </c:pt>
                <c:pt idx="50">
                  <c:v>514.03</c:v>
                </c:pt>
                <c:pt idx="51">
                  <c:v>514.25</c:v>
                </c:pt>
                <c:pt idx="52">
                  <c:v>514.4</c:v>
                </c:pt>
                <c:pt idx="53">
                  <c:v>514.59</c:v>
                </c:pt>
                <c:pt idx="54">
                  <c:v>214.71</c:v>
                </c:pt>
                <c:pt idx="55">
                  <c:v>314.8</c:v>
                </c:pt>
                <c:pt idx="56">
                  <c:v>214.84</c:v>
                </c:pt>
                <c:pt idx="57">
                  <c:v>564.89</c:v>
                </c:pt>
                <c:pt idx="58">
                  <c:v>1065.1199999999999</c:v>
                </c:pt>
                <c:pt idx="59">
                  <c:v>1065.48</c:v>
                </c:pt>
                <c:pt idx="60">
                  <c:v>1065.79</c:v>
                </c:pt>
                <c:pt idx="61">
                  <c:v>1066.0899999999999</c:v>
                </c:pt>
                <c:pt idx="62">
                  <c:v>1066.3900000000001</c:v>
                </c:pt>
                <c:pt idx="63">
                  <c:v>1066.49</c:v>
                </c:pt>
                <c:pt idx="64">
                  <c:v>1066.67</c:v>
                </c:pt>
                <c:pt idx="65">
                  <c:v>366.85</c:v>
                </c:pt>
                <c:pt idx="66">
                  <c:v>511.9</c:v>
                </c:pt>
                <c:pt idx="67">
                  <c:v>161.97</c:v>
                </c:pt>
                <c:pt idx="68">
                  <c:v>12.01</c:v>
                </c:pt>
                <c:pt idx="69">
                  <c:v>112.01</c:v>
                </c:pt>
              </c:numCache>
            </c:numRef>
          </c:val>
          <c:smooth val="0"/>
          <c:extLst>
            <c:ext xmlns:c16="http://schemas.microsoft.com/office/drawing/2014/chart" uri="{C3380CC4-5D6E-409C-BE32-E72D297353CC}">
              <c16:uniqueId val="{00000005-8A56-4E75-8154-27EF3681633D}"/>
            </c:ext>
          </c:extLst>
        </c:ser>
        <c:ser>
          <c:idx val="6"/>
          <c:order val="7"/>
          <c:tx>
            <c:v>Predictive Savings 2</c:v>
          </c:tx>
          <c:spPr>
            <a:ln w="19050" cap="rnd">
              <a:solidFill>
                <a:srgbClr val="00B0F0"/>
              </a:solidFill>
              <a:prstDash val="sysDash"/>
            </a:ln>
            <a:effectLst>
              <a:glow rad="76200">
                <a:srgbClr val="0070C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Analysis'!$G$5:$G$132</c:f>
              <c:numCache>
                <c:formatCode>_("$"* #,##0.00_);_("$"* \(#,##0.00\);_("$"* "-"??_);_(@_)</c:formatCode>
                <c:ptCount val="128"/>
                <c:pt idx="14">
                  <c:v>1100</c:v>
                </c:pt>
                <c:pt idx="15">
                  <c:v>2000</c:v>
                </c:pt>
                <c:pt idx="16">
                  <c:v>2500</c:v>
                </c:pt>
                <c:pt idx="17">
                  <c:v>3000</c:v>
                </c:pt>
                <c:pt idx="18">
                  <c:v>3500</c:v>
                </c:pt>
                <c:pt idx="19">
                  <c:v>4500</c:v>
                </c:pt>
                <c:pt idx="20">
                  <c:v>4900</c:v>
                </c:pt>
                <c:pt idx="21">
                  <c:v>5300</c:v>
                </c:pt>
                <c:pt idx="22">
                  <c:v>5700</c:v>
                </c:pt>
                <c:pt idx="23">
                  <c:v>6000</c:v>
                </c:pt>
                <c:pt idx="24">
                  <c:v>6000</c:v>
                </c:pt>
                <c:pt idx="25">
                  <c:v>6000</c:v>
                </c:pt>
                <c:pt idx="26">
                  <c:v>6000</c:v>
                </c:pt>
                <c:pt idx="27">
                  <c:v>5700</c:v>
                </c:pt>
                <c:pt idx="28">
                  <c:v>3600</c:v>
                </c:pt>
                <c:pt idx="29">
                  <c:v>2500</c:v>
                </c:pt>
                <c:pt idx="30">
                  <c:v>1800</c:v>
                </c:pt>
                <c:pt idx="31">
                  <c:v>1500</c:v>
                </c:pt>
                <c:pt idx="32">
                  <c:v>200</c:v>
                </c:pt>
                <c:pt idx="33">
                  <c:v>0</c:v>
                </c:pt>
                <c:pt idx="34">
                  <c:v>0</c:v>
                </c:pt>
                <c:pt idx="35">
                  <c:v>0</c:v>
                </c:pt>
                <c:pt idx="36">
                  <c:v>0</c:v>
                </c:pt>
                <c:pt idx="37">
                  <c:v>200</c:v>
                </c:pt>
                <c:pt idx="38">
                  <c:v>200</c:v>
                </c:pt>
                <c:pt idx="39">
                  <c:v>200</c:v>
                </c:pt>
                <c:pt idx="40">
                  <c:v>100</c:v>
                </c:pt>
                <c:pt idx="41">
                  <c:v>100</c:v>
                </c:pt>
                <c:pt idx="42">
                  <c:v>300</c:v>
                </c:pt>
                <c:pt idx="43">
                  <c:v>345</c:v>
                </c:pt>
                <c:pt idx="44">
                  <c:v>145</c:v>
                </c:pt>
                <c:pt idx="45">
                  <c:v>145</c:v>
                </c:pt>
                <c:pt idx="46">
                  <c:v>145</c:v>
                </c:pt>
                <c:pt idx="47">
                  <c:v>85</c:v>
                </c:pt>
                <c:pt idx="48">
                  <c:v>85</c:v>
                </c:pt>
                <c:pt idx="49">
                  <c:v>585</c:v>
                </c:pt>
                <c:pt idx="50">
                  <c:v>85</c:v>
                </c:pt>
                <c:pt idx="51">
                  <c:v>85</c:v>
                </c:pt>
                <c:pt idx="52">
                  <c:v>85</c:v>
                </c:pt>
                <c:pt idx="53">
                  <c:v>85</c:v>
                </c:pt>
                <c:pt idx="54">
                  <c:v>85</c:v>
                </c:pt>
                <c:pt idx="55">
                  <c:v>235</c:v>
                </c:pt>
                <c:pt idx="56">
                  <c:v>435</c:v>
                </c:pt>
                <c:pt idx="57">
                  <c:v>535</c:v>
                </c:pt>
                <c:pt idx="58">
                  <c:v>535</c:v>
                </c:pt>
                <c:pt idx="59">
                  <c:v>635</c:v>
                </c:pt>
                <c:pt idx="60">
                  <c:v>635</c:v>
                </c:pt>
                <c:pt idx="61">
                  <c:v>295</c:v>
                </c:pt>
                <c:pt idx="62">
                  <c:v>135</c:v>
                </c:pt>
                <c:pt idx="63">
                  <c:v>535</c:v>
                </c:pt>
                <c:pt idx="64">
                  <c:v>535</c:v>
                </c:pt>
                <c:pt idx="65">
                  <c:v>295</c:v>
                </c:pt>
                <c:pt idx="66">
                  <c:v>135</c:v>
                </c:pt>
                <c:pt idx="67">
                  <c:v>135</c:v>
                </c:pt>
                <c:pt idx="68">
                  <c:v>135</c:v>
                </c:pt>
                <c:pt idx="69">
                  <c:v>135</c:v>
                </c:pt>
                <c:pt idx="70">
                  <c:v>335</c:v>
                </c:pt>
                <c:pt idx="71">
                  <c:v>535</c:v>
                </c:pt>
                <c:pt idx="72">
                  <c:v>735</c:v>
                </c:pt>
                <c:pt idx="73">
                  <c:v>935</c:v>
                </c:pt>
                <c:pt idx="74">
                  <c:v>1135</c:v>
                </c:pt>
                <c:pt idx="75">
                  <c:v>1335</c:v>
                </c:pt>
                <c:pt idx="76">
                  <c:v>1535</c:v>
                </c:pt>
                <c:pt idx="77">
                  <c:v>1735</c:v>
                </c:pt>
                <c:pt idx="78">
                  <c:v>1935</c:v>
                </c:pt>
                <c:pt idx="79">
                  <c:v>2135</c:v>
                </c:pt>
                <c:pt idx="80">
                  <c:v>2335</c:v>
                </c:pt>
                <c:pt idx="81">
                  <c:v>2535</c:v>
                </c:pt>
                <c:pt idx="82">
                  <c:v>2735</c:v>
                </c:pt>
                <c:pt idx="83">
                  <c:v>2935</c:v>
                </c:pt>
                <c:pt idx="84">
                  <c:v>3135</c:v>
                </c:pt>
                <c:pt idx="85">
                  <c:v>3335</c:v>
                </c:pt>
                <c:pt idx="86">
                  <c:v>3535</c:v>
                </c:pt>
                <c:pt idx="87">
                  <c:v>3735</c:v>
                </c:pt>
                <c:pt idx="88">
                  <c:v>3935</c:v>
                </c:pt>
                <c:pt idx="89">
                  <c:v>4135</c:v>
                </c:pt>
                <c:pt idx="90">
                  <c:v>4335</c:v>
                </c:pt>
                <c:pt idx="91">
                  <c:v>4535</c:v>
                </c:pt>
                <c:pt idx="92">
                  <c:v>4735</c:v>
                </c:pt>
                <c:pt idx="93">
                  <c:v>4935</c:v>
                </c:pt>
                <c:pt idx="94">
                  <c:v>5135</c:v>
                </c:pt>
                <c:pt idx="95">
                  <c:v>5335</c:v>
                </c:pt>
                <c:pt idx="96">
                  <c:v>5535</c:v>
                </c:pt>
                <c:pt idx="97">
                  <c:v>5735</c:v>
                </c:pt>
                <c:pt idx="98">
                  <c:v>5935</c:v>
                </c:pt>
                <c:pt idx="99">
                  <c:v>6135</c:v>
                </c:pt>
                <c:pt idx="100">
                  <c:v>6335</c:v>
                </c:pt>
                <c:pt idx="101">
                  <c:v>6535</c:v>
                </c:pt>
                <c:pt idx="102">
                  <c:v>6735</c:v>
                </c:pt>
                <c:pt idx="103">
                  <c:v>6935</c:v>
                </c:pt>
                <c:pt idx="104">
                  <c:v>7135</c:v>
                </c:pt>
                <c:pt idx="105">
                  <c:v>7335</c:v>
                </c:pt>
                <c:pt idx="106">
                  <c:v>7535</c:v>
                </c:pt>
                <c:pt idx="107">
                  <c:v>7735</c:v>
                </c:pt>
                <c:pt idx="108">
                  <c:v>7935</c:v>
                </c:pt>
                <c:pt idx="109">
                  <c:v>8135</c:v>
                </c:pt>
                <c:pt idx="110">
                  <c:v>8335</c:v>
                </c:pt>
                <c:pt idx="111">
                  <c:v>8535</c:v>
                </c:pt>
                <c:pt idx="112">
                  <c:v>8735</c:v>
                </c:pt>
                <c:pt idx="113">
                  <c:v>8935</c:v>
                </c:pt>
                <c:pt idx="114">
                  <c:v>9135</c:v>
                </c:pt>
                <c:pt idx="115">
                  <c:v>9335</c:v>
                </c:pt>
                <c:pt idx="116">
                  <c:v>9535</c:v>
                </c:pt>
                <c:pt idx="117">
                  <c:v>9735</c:v>
                </c:pt>
                <c:pt idx="118">
                  <c:v>9935</c:v>
                </c:pt>
                <c:pt idx="119">
                  <c:v>10135</c:v>
                </c:pt>
                <c:pt idx="120">
                  <c:v>10335</c:v>
                </c:pt>
                <c:pt idx="121">
                  <c:v>10535</c:v>
                </c:pt>
                <c:pt idx="122">
                  <c:v>10735</c:v>
                </c:pt>
                <c:pt idx="123">
                  <c:v>10935</c:v>
                </c:pt>
                <c:pt idx="124">
                  <c:v>11135</c:v>
                </c:pt>
                <c:pt idx="125">
                  <c:v>11335</c:v>
                </c:pt>
                <c:pt idx="126">
                  <c:v>11535</c:v>
                </c:pt>
                <c:pt idx="127">
                  <c:v>11735</c:v>
                </c:pt>
              </c:numCache>
            </c:numRef>
          </c:val>
          <c:smooth val="0"/>
          <c:extLst>
            <c:ext xmlns:c16="http://schemas.microsoft.com/office/drawing/2014/chart" uri="{C3380CC4-5D6E-409C-BE32-E72D297353CC}">
              <c16:uniqueId val="{00000006-8A56-4E75-8154-27EF3681633D}"/>
            </c:ext>
          </c:extLst>
        </c:ser>
        <c:ser>
          <c:idx val="8"/>
          <c:order val="8"/>
          <c:tx>
            <c:v>Predicted Market</c:v>
          </c:tx>
          <c:spPr>
            <a:ln w="15875" cap="rnd">
              <a:solidFill>
                <a:srgbClr val="7030A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Analysis'!$H$5:$H$132</c:f>
              <c:numCache>
                <c:formatCode>_("$"* #,##0.00_);_("$"* \(#,##0.00\);_("$"* "-"??_);_(@_)</c:formatCode>
                <c:ptCount val="128"/>
                <c:pt idx="42">
                  <c:v>0</c:v>
                </c:pt>
                <c:pt idx="43">
                  <c:v>748.31</c:v>
                </c:pt>
                <c:pt idx="44">
                  <c:v>716.35730445852914</c:v>
                </c:pt>
                <c:pt idx="45">
                  <c:v>706.60730445852914</c:v>
                </c:pt>
                <c:pt idx="46">
                  <c:v>706.60730445852914</c:v>
                </c:pt>
                <c:pt idx="47">
                  <c:v>791.30730445852919</c:v>
                </c:pt>
                <c:pt idx="48">
                  <c:v>798.98730445852914</c:v>
                </c:pt>
                <c:pt idx="49">
                  <c:v>1140.1473044585291</c:v>
                </c:pt>
                <c:pt idx="50">
                  <c:v>1337.1073044585291</c:v>
                </c:pt>
                <c:pt idx="51">
                  <c:v>1734.2773044585292</c:v>
                </c:pt>
                <c:pt idx="52">
                  <c:v>1933.4273044585293</c:v>
                </c:pt>
                <c:pt idx="53">
                  <c:v>2130.8073044585294</c:v>
                </c:pt>
                <c:pt idx="54">
                  <c:v>2135.7473044585295</c:v>
                </c:pt>
                <c:pt idx="55">
                  <c:v>2243.4673044585293</c:v>
                </c:pt>
                <c:pt idx="56">
                  <c:v>2243.4673044585293</c:v>
                </c:pt>
                <c:pt idx="57">
                  <c:v>2243.4673044585293</c:v>
                </c:pt>
                <c:pt idx="58">
                  <c:v>2433.4673044585293</c:v>
                </c:pt>
                <c:pt idx="59">
                  <c:v>2632.2473044585295</c:v>
                </c:pt>
                <c:pt idx="60">
                  <c:v>2932.2473044585295</c:v>
                </c:pt>
                <c:pt idx="61">
                  <c:v>3262.2473044585295</c:v>
                </c:pt>
                <c:pt idx="62">
                  <c:v>3797.2473044585295</c:v>
                </c:pt>
                <c:pt idx="63">
                  <c:v>4646.2773044585292</c:v>
                </c:pt>
                <c:pt idx="64">
                  <c:v>5432.4173044585295</c:v>
                </c:pt>
                <c:pt idx="65">
                  <c:v>7129.8573044585301</c:v>
                </c:pt>
                <c:pt idx="66">
                  <c:v>8486.0373044585303</c:v>
                </c:pt>
                <c:pt idx="67">
                  <c:v>9504.4173044585295</c:v>
                </c:pt>
                <c:pt idx="68">
                  <c:v>9572.43730445853</c:v>
                </c:pt>
                <c:pt idx="69">
                  <c:v>9912.4573044585304</c:v>
                </c:pt>
                <c:pt idx="70">
                  <c:v>10112.45730445853</c:v>
                </c:pt>
                <c:pt idx="71">
                  <c:v>10312.45730445853</c:v>
                </c:pt>
                <c:pt idx="72">
                  <c:v>10512.45730445853</c:v>
                </c:pt>
                <c:pt idx="73">
                  <c:v>10712.45730445853</c:v>
                </c:pt>
                <c:pt idx="74">
                  <c:v>10912.45730445853</c:v>
                </c:pt>
                <c:pt idx="75">
                  <c:v>11112.45730445853</c:v>
                </c:pt>
                <c:pt idx="76">
                  <c:v>11312.45730445853</c:v>
                </c:pt>
                <c:pt idx="77">
                  <c:v>11512.45730445853</c:v>
                </c:pt>
                <c:pt idx="78">
                  <c:v>11712.45730445853</c:v>
                </c:pt>
                <c:pt idx="79">
                  <c:v>11912.45730445853</c:v>
                </c:pt>
                <c:pt idx="80">
                  <c:v>12112.45730445853</c:v>
                </c:pt>
                <c:pt idx="81">
                  <c:v>12312.45730445853</c:v>
                </c:pt>
                <c:pt idx="82">
                  <c:v>12512.45730445853</c:v>
                </c:pt>
                <c:pt idx="83">
                  <c:v>12712.45730445853</c:v>
                </c:pt>
                <c:pt idx="84">
                  <c:v>12912.45730445853</c:v>
                </c:pt>
                <c:pt idx="85">
                  <c:v>13112.45730445853</c:v>
                </c:pt>
                <c:pt idx="86">
                  <c:v>13312.45730445853</c:v>
                </c:pt>
                <c:pt idx="87">
                  <c:v>13512.45730445853</c:v>
                </c:pt>
                <c:pt idx="88">
                  <c:v>13712.45730445853</c:v>
                </c:pt>
                <c:pt idx="89">
                  <c:v>13912.45730445853</c:v>
                </c:pt>
                <c:pt idx="90">
                  <c:v>14112.45730445853</c:v>
                </c:pt>
                <c:pt idx="91">
                  <c:v>14312.45730445853</c:v>
                </c:pt>
                <c:pt idx="92">
                  <c:v>14512.45730445853</c:v>
                </c:pt>
                <c:pt idx="93">
                  <c:v>14712.45730445853</c:v>
                </c:pt>
                <c:pt idx="94">
                  <c:v>14912.45730445853</c:v>
                </c:pt>
                <c:pt idx="95">
                  <c:v>15112.45730445853</c:v>
                </c:pt>
                <c:pt idx="96">
                  <c:v>15312.45730445853</c:v>
                </c:pt>
                <c:pt idx="97">
                  <c:v>15512.45730445853</c:v>
                </c:pt>
                <c:pt idx="98">
                  <c:v>15712.45730445853</c:v>
                </c:pt>
                <c:pt idx="99">
                  <c:v>15912.45730445853</c:v>
                </c:pt>
                <c:pt idx="100">
                  <c:v>16112.45730445853</c:v>
                </c:pt>
                <c:pt idx="101">
                  <c:v>16312.45730445853</c:v>
                </c:pt>
                <c:pt idx="102">
                  <c:v>16512.45730445853</c:v>
                </c:pt>
                <c:pt idx="103">
                  <c:v>16712.45730445853</c:v>
                </c:pt>
                <c:pt idx="104">
                  <c:v>16912.45730445853</c:v>
                </c:pt>
                <c:pt idx="105">
                  <c:v>17112.45730445853</c:v>
                </c:pt>
                <c:pt idx="106">
                  <c:v>17312.45730445853</c:v>
                </c:pt>
                <c:pt idx="107">
                  <c:v>17512.45730445853</c:v>
                </c:pt>
                <c:pt idx="108">
                  <c:v>17712.45730445853</c:v>
                </c:pt>
                <c:pt idx="109">
                  <c:v>17912.45730445853</c:v>
                </c:pt>
                <c:pt idx="110">
                  <c:v>18112.45730445853</c:v>
                </c:pt>
                <c:pt idx="111">
                  <c:v>18312.45730445853</c:v>
                </c:pt>
                <c:pt idx="112">
                  <c:v>18512.45730445853</c:v>
                </c:pt>
                <c:pt idx="113">
                  <c:v>18712.45730445853</c:v>
                </c:pt>
                <c:pt idx="114">
                  <c:v>18912.45730445853</c:v>
                </c:pt>
                <c:pt idx="115">
                  <c:v>19112.45730445853</c:v>
                </c:pt>
                <c:pt idx="116">
                  <c:v>19312.45730445853</c:v>
                </c:pt>
                <c:pt idx="117">
                  <c:v>19512.45730445853</c:v>
                </c:pt>
                <c:pt idx="118">
                  <c:v>19712.45730445853</c:v>
                </c:pt>
                <c:pt idx="119">
                  <c:v>19912.45730445853</c:v>
                </c:pt>
                <c:pt idx="120">
                  <c:v>20112.45730445853</c:v>
                </c:pt>
                <c:pt idx="121">
                  <c:v>20312.45730445853</c:v>
                </c:pt>
                <c:pt idx="122">
                  <c:v>20512.45730445853</c:v>
                </c:pt>
                <c:pt idx="123">
                  <c:v>20712.45730445853</c:v>
                </c:pt>
                <c:pt idx="124">
                  <c:v>20912.45730445853</c:v>
                </c:pt>
                <c:pt idx="125">
                  <c:v>21112.45730445853</c:v>
                </c:pt>
                <c:pt idx="126">
                  <c:v>21312.45730445853</c:v>
                </c:pt>
                <c:pt idx="127">
                  <c:v>21512.45730445853</c:v>
                </c:pt>
              </c:numCache>
            </c:numRef>
          </c:val>
          <c:smooth val="0"/>
          <c:extLst xmlns:c15="http://schemas.microsoft.com/office/drawing/2012/chart">
            <c:ext xmlns:c16="http://schemas.microsoft.com/office/drawing/2014/chart" uri="{C3380CC4-5D6E-409C-BE32-E72D297353CC}">
              <c16:uniqueId val="{00000002-0592-4D20-83C6-AD836B4E2940}"/>
            </c:ext>
          </c:extLst>
        </c:ser>
        <c:ser>
          <c:idx val="9"/>
          <c:order val="9"/>
          <c:tx>
            <c:v>Market</c:v>
          </c:tx>
          <c:spPr>
            <a:ln w="19050" cap="rnd">
              <a:solidFill>
                <a:srgbClr val="7030A0"/>
              </a:solidFill>
            </a:ln>
            <a:effectLst>
              <a:glow rad="76200">
                <a:srgbClr val="7030A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Analysis'!$Q$5:$Q$132</c:f>
              <c:numCache>
                <c:formatCode>_("$"* #,##0.00_);_("$"* \(#,##0.00\);_("$"* "-"??_);_(@_)</c:formatCode>
                <c:ptCount val="128"/>
                <c:pt idx="42">
                  <c:v>0</c:v>
                </c:pt>
                <c:pt idx="43">
                  <c:v>946.1</c:v>
                </c:pt>
                <c:pt idx="44">
                  <c:v>716.35730445852914</c:v>
                </c:pt>
                <c:pt idx="45">
                  <c:v>498.98290967874453</c:v>
                </c:pt>
                <c:pt idx="46">
                  <c:v>475.49830280191225</c:v>
                </c:pt>
                <c:pt idx="47">
                  <c:v>487.16372740450089</c:v>
                </c:pt>
                <c:pt idx="48">
                  <c:v>427.08775443692605</c:v>
                </c:pt>
                <c:pt idx="49">
                  <c:v>734.97221904033154</c:v>
                </c:pt>
                <c:pt idx="50">
                  <c:v>894.98433461007926</c:v>
                </c:pt>
                <c:pt idx="51">
                  <c:v>1247.2421447107226</c:v>
                </c:pt>
                <c:pt idx="52">
                  <c:v>1545.5029358028912</c:v>
                </c:pt>
                <c:pt idx="53">
                  <c:v>1660.4720632655217</c:v>
                </c:pt>
                <c:pt idx="54">
                  <c:v>1600.9133418842193</c:v>
                </c:pt>
                <c:pt idx="55">
                  <c:v>1905.1727676458825</c:v>
                </c:pt>
                <c:pt idx="56">
                  <c:v>1967.2329585844482</c:v>
                </c:pt>
                <c:pt idx="57">
                  <c:v>1891.3914397242754</c:v>
                </c:pt>
                <c:pt idx="58">
                  <c:v>1912.6882649474242</c:v>
                </c:pt>
                <c:pt idx="59">
                  <c:v>2205.7057351281219</c:v>
                </c:pt>
                <c:pt idx="60">
                  <c:v>2673.5615937695457</c:v>
                </c:pt>
                <c:pt idx="61">
                  <c:v>3374.4098910606403</c:v>
                </c:pt>
                <c:pt idx="62">
                  <c:v>4363.0383082704238</c:v>
                </c:pt>
                <c:pt idx="63">
                  <c:v>5166.8670232685399</c:v>
                </c:pt>
                <c:pt idx="64">
                  <c:v>6616.2154197173068</c:v>
                </c:pt>
                <c:pt idx="65">
                  <c:v>9306.2570930457932</c:v>
                </c:pt>
                <c:pt idx="66">
                  <c:v>9258.5649415896532</c:v>
                </c:pt>
                <c:pt idx="67">
                  <c:v>10275.727089878568</c:v>
                </c:pt>
                <c:pt idx="68">
                  <c:v>10789.270905551683</c:v>
                </c:pt>
                <c:pt idx="69">
                  <c:v>10908.917572923638</c:v>
                </c:pt>
              </c:numCache>
            </c:numRef>
          </c:val>
          <c:smooth val="0"/>
          <c:extLst>
            <c:ext xmlns:c16="http://schemas.microsoft.com/office/drawing/2014/chart" uri="{C3380CC4-5D6E-409C-BE32-E72D297353CC}">
              <c16:uniqueId val="{00000003-0592-4D20-83C6-AD836B4E2940}"/>
            </c:ext>
          </c:extLst>
        </c:ser>
        <c:dLbls>
          <c:showLegendKey val="0"/>
          <c:showVal val="0"/>
          <c:showCatName val="0"/>
          <c:showSerName val="0"/>
          <c:showPercent val="0"/>
          <c:showBubbleSize val="0"/>
        </c:dLbls>
        <c:smooth val="0"/>
        <c:axId val="1835843071"/>
        <c:axId val="1835543695"/>
        <c:extLst/>
      </c:lineChart>
      <c:dateAx>
        <c:axId val="1835843071"/>
        <c:scaling>
          <c:orientation val="minMax"/>
        </c:scaling>
        <c:delete val="0"/>
        <c:axPos val="b"/>
        <c:numFmt formatCode="[$-409]mmm\-yy;@" sourceLinked="0"/>
        <c:majorTickMark val="out"/>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lgn="ctr">
              <a:defRPr lang="en-US" sz="900" b="0" i="0" u="none" strike="noStrike" kern="1200" baseline="0">
                <a:solidFill>
                  <a:schemeClr val="tx1"/>
                </a:solidFill>
                <a:effectLst/>
                <a:latin typeface="+mn-lt"/>
                <a:ea typeface="+mn-ea"/>
                <a:cs typeface="+mn-cs"/>
              </a:defRPr>
            </a:pPr>
            <a:endParaRPr lang="en-US"/>
          </a:p>
        </c:txPr>
        <c:crossAx val="1835543695"/>
        <c:crossesAt val="0"/>
        <c:auto val="0"/>
        <c:lblOffset val="100"/>
        <c:baseTimeUnit val="months"/>
        <c:minorUnit val="1"/>
      </c:dateAx>
      <c:valAx>
        <c:axId val="1835543695"/>
        <c:scaling>
          <c:orientation val="minMax"/>
          <c:max val="50000"/>
          <c:min val="0"/>
        </c:scaling>
        <c:delete val="0"/>
        <c:axPos val="l"/>
        <c:numFmt formatCode="_(&quot;$&quot;* #,##0_);_(&quot;$&quot;* \(#,##0\);_(&quot;$&quot;* &quot;-&quot;_);_(@_)" sourceLinked="0"/>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35843071"/>
        <c:crosses val="autoZero"/>
        <c:crossBetween val="midCat"/>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b"/>
      <c:legendEntry>
        <c:idx val="0"/>
        <c:delete val="1"/>
      </c:legendEntry>
      <c:legendEntry>
        <c:idx val="2"/>
        <c:delete val="1"/>
      </c:legendEntry>
      <c:legendEntry>
        <c:idx val="4"/>
        <c:delete val="1"/>
      </c:legendEntry>
      <c:legendEntry>
        <c:idx val="7"/>
        <c:delete val="1"/>
      </c:legendEntry>
      <c:layout>
        <c:manualLayout>
          <c:xMode val="edge"/>
          <c:yMode val="edge"/>
          <c:x val="6.5894028871391078E-2"/>
          <c:y val="0.90210117729247585"/>
          <c:w val="0.88467786730147102"/>
          <c:h val="7.0093971461875695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Student Loan </a:t>
            </a:r>
            <a:r>
              <a:rPr lang="en-US" sz="1400" b="1" i="0" u="none" strike="noStrike" baseline="0">
                <a:effectLst/>
              </a:rPr>
              <a:t>Repayment </a:t>
            </a:r>
            <a:r>
              <a:rPr lang="en-US" b="1"/>
              <a:t>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58475877216526"/>
          <c:y val="0.22478787878787879"/>
          <c:w val="0.79520619929019698"/>
          <c:h val="0.59202802663919785"/>
        </c:manualLayout>
      </c:layout>
      <c:lineChart>
        <c:grouping val="standard"/>
        <c:varyColors val="0"/>
        <c:ser>
          <c:idx val="1"/>
          <c:order val="1"/>
          <c:tx>
            <c:v>Principal</c:v>
          </c:tx>
          <c:spPr>
            <a:ln w="25400" cap="rnd">
              <a:solidFill>
                <a:schemeClr val="accent2"/>
              </a:solidFill>
              <a:round/>
            </a:ln>
            <a:effectLst>
              <a:glow rad="76200">
                <a:schemeClr val="accent2">
                  <a:alpha val="20000"/>
                </a:schemeClr>
              </a:glow>
            </a:effectLst>
          </c:spPr>
          <c:marker>
            <c:symbol val="none"/>
          </c:marker>
          <c:cat>
            <c:numRef>
              <c:f>'Student Loans'!$B$19:$B$156</c:f>
              <c:numCache>
                <c:formatCode>mmm\-yy</c:formatCode>
                <c:ptCount val="138"/>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Loans'!$D$19:$D$156</c:f>
              <c:numCache>
                <c:formatCode>_("$"* #,##0.00_);_("$"* \(#,##0.00\);_("$"* "-"??_);_(@_)</c:formatCode>
                <c:ptCount val="138"/>
                <c:pt idx="0">
                  <c:v>42637.54</c:v>
                </c:pt>
                <c:pt idx="1">
                  <c:v>42195.64</c:v>
                </c:pt>
                <c:pt idx="2">
                  <c:v>41495.339999999997</c:v>
                </c:pt>
                <c:pt idx="3">
                  <c:v>40635.64</c:v>
                </c:pt>
                <c:pt idx="4">
                  <c:v>39795.64</c:v>
                </c:pt>
                <c:pt idx="5">
                  <c:v>38975.64</c:v>
                </c:pt>
                <c:pt idx="6">
                  <c:v>38175.64</c:v>
                </c:pt>
                <c:pt idx="7">
                  <c:v>37393.64</c:v>
                </c:pt>
                <c:pt idx="8">
                  <c:v>36629.64</c:v>
                </c:pt>
                <c:pt idx="9">
                  <c:v>35883.64</c:v>
                </c:pt>
                <c:pt idx="10">
                  <c:v>35153.64</c:v>
                </c:pt>
                <c:pt idx="11">
                  <c:v>34437.64</c:v>
                </c:pt>
                <c:pt idx="12">
                  <c:v>33737.64</c:v>
                </c:pt>
                <c:pt idx="13">
                  <c:v>33051.64</c:v>
                </c:pt>
                <c:pt idx="14">
                  <c:v>32379.64</c:v>
                </c:pt>
                <c:pt idx="15">
                  <c:v>31721.64</c:v>
                </c:pt>
                <c:pt idx="16">
                  <c:v>31077.64</c:v>
                </c:pt>
                <c:pt idx="17">
                  <c:v>30447.64</c:v>
                </c:pt>
                <c:pt idx="18">
                  <c:v>29829.64</c:v>
                </c:pt>
                <c:pt idx="19">
                  <c:v>29225.64</c:v>
                </c:pt>
                <c:pt idx="20">
                  <c:v>28633.64</c:v>
                </c:pt>
                <c:pt idx="21">
                  <c:v>28053.64</c:v>
                </c:pt>
                <c:pt idx="22">
                  <c:v>28053.64</c:v>
                </c:pt>
                <c:pt idx="23">
                  <c:v>28053.64</c:v>
                </c:pt>
                <c:pt idx="24">
                  <c:v>28053.64</c:v>
                </c:pt>
                <c:pt idx="25">
                  <c:v>28053.64</c:v>
                </c:pt>
                <c:pt idx="26">
                  <c:v>28053.64</c:v>
                </c:pt>
                <c:pt idx="27">
                  <c:v>28053.64</c:v>
                </c:pt>
                <c:pt idx="28">
                  <c:v>28054.829999999998</c:v>
                </c:pt>
                <c:pt idx="29">
                  <c:v>27668.970782279997</c:v>
                </c:pt>
                <c:pt idx="30">
                  <c:v>27374.833423550492</c:v>
                </c:pt>
                <c:pt idx="31">
                  <c:v>27181.823423550493</c:v>
                </c:pt>
                <c:pt idx="32">
                  <c:v>26985.223423550495</c:v>
                </c:pt>
                <c:pt idx="33">
                  <c:v>26787.433423550494</c:v>
                </c:pt>
                <c:pt idx="34">
                  <c:v>26645.943423550492</c:v>
                </c:pt>
                <c:pt idx="35">
                  <c:v>26296.09</c:v>
                </c:pt>
                <c:pt idx="36">
                  <c:v>26071.74</c:v>
                </c:pt>
                <c:pt idx="37">
                  <c:v>25838.09</c:v>
                </c:pt>
                <c:pt idx="38">
                  <c:v>25641.279999999999</c:v>
                </c:pt>
                <c:pt idx="39">
                  <c:v>25382.880000000001</c:v>
                </c:pt>
                <c:pt idx="40">
                  <c:v>25112</c:v>
                </c:pt>
                <c:pt idx="41">
                  <c:v>24887.119999999999</c:v>
                </c:pt>
                <c:pt idx="42">
                  <c:v>24666.87</c:v>
                </c:pt>
                <c:pt idx="43">
                  <c:v>24445.91</c:v>
                </c:pt>
                <c:pt idx="44">
                  <c:v>24226.93</c:v>
                </c:pt>
                <c:pt idx="45">
                  <c:v>24001.94</c:v>
                </c:pt>
                <c:pt idx="46">
                  <c:v>23789.09</c:v>
                </c:pt>
                <c:pt idx="47">
                  <c:v>23560.15</c:v>
                </c:pt>
                <c:pt idx="48">
                  <c:v>23333.050000000003</c:v>
                </c:pt>
                <c:pt idx="49">
                  <c:v>23009.83</c:v>
                </c:pt>
                <c:pt idx="50">
                  <c:v>22687.9</c:v>
                </c:pt>
                <c:pt idx="51">
                  <c:v>22364.400000000001</c:v>
                </c:pt>
                <c:pt idx="52">
                  <c:v>22135.800000000003</c:v>
                </c:pt>
                <c:pt idx="53">
                  <c:v>21971.890000000003</c:v>
                </c:pt>
                <c:pt idx="54">
                  <c:v>21442.610000000004</c:v>
                </c:pt>
                <c:pt idx="55">
                  <c:v>21334.240000000002</c:v>
                </c:pt>
                <c:pt idx="56">
                  <c:v>21107.140000000003</c:v>
                </c:pt>
                <c:pt idx="57">
                  <c:v>20814.904275000004</c:v>
                </c:pt>
                <c:pt idx="58">
                  <c:v>20521.572666031254</c:v>
                </c:pt>
                <c:pt idx="59">
                  <c:v>20227.14106352887</c:v>
                </c:pt>
                <c:pt idx="60">
                  <c:v>19931.605342517105</c:v>
                </c:pt>
                <c:pt idx="61">
                  <c:v>19634.961362551545</c:v>
                </c:pt>
                <c:pt idx="62">
                  <c:v>19337.204967661113</c:v>
                </c:pt>
                <c:pt idx="63">
                  <c:v>19038.331986289842</c:v>
                </c:pt>
                <c:pt idx="64">
                  <c:v>18738.338231238431</c:v>
                </c:pt>
                <c:pt idx="65">
                  <c:v>18437.219499605577</c:v>
                </c:pt>
                <c:pt idx="66">
                  <c:v>18134.971572729097</c:v>
                </c:pt>
                <c:pt idx="67">
                  <c:v>17831.590216126831</c:v>
                </c:pt>
                <c:pt idx="68">
                  <c:v>17527.071179437306</c:v>
                </c:pt>
                <c:pt idx="69">
                  <c:v>17221.410196360197</c:v>
                </c:pt>
                <c:pt idx="70">
                  <c:v>16914.60298459655</c:v>
                </c:pt>
                <c:pt idx="71">
                  <c:v>16606.645245788786</c:v>
                </c:pt>
                <c:pt idx="72">
                  <c:v>16297.532665460494</c:v>
                </c:pt>
                <c:pt idx="73">
                  <c:v>15987.260912955971</c:v>
                </c:pt>
                <c:pt idx="74">
                  <c:v>15675.825641379557</c:v>
                </c:pt>
                <c:pt idx="75">
                  <c:v>15363.222487534731</c:v>
                </c:pt>
                <c:pt idx="76">
                  <c:v>15049.447071862985</c:v>
                </c:pt>
                <c:pt idx="77">
                  <c:v>14734.494998382472</c:v>
                </c:pt>
                <c:pt idx="78">
                  <c:v>14418.361854626406</c:v>
                </c:pt>
                <c:pt idx="79">
                  <c:v>14101.043211581255</c:v>
                </c:pt>
                <c:pt idx="80">
                  <c:v>13782.534623624684</c:v>
                </c:pt>
                <c:pt idx="81">
                  <c:v>13462.831628463277</c:v>
                </c:pt>
                <c:pt idx="82">
                  <c:v>13141.929747070013</c:v>
                </c:pt>
                <c:pt idx="83">
                  <c:v>12819.824483621525</c:v>
                </c:pt>
                <c:pt idx="84">
                  <c:v>12496.511325435105</c:v>
                </c:pt>
                <c:pt idx="85">
                  <c:v>12171.985742905486</c:v>
                </c:pt>
                <c:pt idx="86">
                  <c:v>11846.243189441382</c:v>
                </c:pt>
                <c:pt idx="87">
                  <c:v>11519.279101401788</c:v>
                </c:pt>
                <c:pt idx="88">
                  <c:v>11191.088898032045</c:v>
                </c:pt>
                <c:pt idx="89">
                  <c:v>10861.667981399665</c:v>
                </c:pt>
                <c:pt idx="90">
                  <c:v>10531.011736329914</c:v>
                </c:pt>
                <c:pt idx="91">
                  <c:v>10199.115530341151</c:v>
                </c:pt>
                <c:pt idx="92">
                  <c:v>9865.9747135799298</c:v>
                </c:pt>
                <c:pt idx="93">
                  <c:v>9531.5846187558545</c:v>
                </c:pt>
                <c:pt idx="94">
                  <c:v>9195.9405610761896</c:v>
                </c:pt>
                <c:pt idx="95">
                  <c:v>8859.0378381802257</c:v>
                </c:pt>
                <c:pt idx="96">
                  <c:v>8520.8717300734006</c:v>
                </c:pt>
                <c:pt idx="97">
                  <c:v>8181.4374990611768</c:v>
                </c:pt>
                <c:pt idx="98">
                  <c:v>7840.7303896826561</c:v>
                </c:pt>
                <c:pt idx="99">
                  <c:v>7498.7456286439665</c:v>
                </c:pt>
                <c:pt idx="100">
                  <c:v>7155.4784247513817</c:v>
                </c:pt>
                <c:pt idx="101">
                  <c:v>6810.9239688441994</c:v>
                </c:pt>
                <c:pt idx="102">
                  <c:v>6465.0774337273651</c:v>
                </c:pt>
                <c:pt idx="103">
                  <c:v>6117.933974103843</c:v>
                </c:pt>
                <c:pt idx="104">
                  <c:v>5769.4887265067327</c:v>
                </c:pt>
                <c:pt idx="105">
                  <c:v>5419.7368092311326</c:v>
                </c:pt>
                <c:pt idx="106">
                  <c:v>5068.6733222657494</c:v>
                </c:pt>
                <c:pt idx="107">
                  <c:v>4716.2933472242457</c:v>
                </c:pt>
                <c:pt idx="108">
                  <c:v>4362.5919472763362</c:v>
                </c:pt>
                <c:pt idx="109">
                  <c:v>4007.5641670786231</c:v>
                </c:pt>
                <c:pt idx="110">
                  <c:v>3651.2050327051679</c:v>
                </c:pt>
                <c:pt idx="111">
                  <c:v>3293.5095515778121</c:v>
                </c:pt>
                <c:pt idx="112">
                  <c:v>2934.4727123962289</c:v>
                </c:pt>
                <c:pt idx="113">
                  <c:v>2574.0894850677146</c:v>
                </c:pt>
                <c:pt idx="114">
                  <c:v>2212.3548206367186</c:v>
                </c:pt>
                <c:pt idx="115">
                  <c:v>1849.2636512141064</c:v>
                </c:pt>
                <c:pt idx="116">
                  <c:v>1484.810889906159</c:v>
                </c:pt>
                <c:pt idx="117">
                  <c:v>1118.9914307433071</c:v>
                </c:pt>
                <c:pt idx="118">
                  <c:v>751.80014860859444</c:v>
                </c:pt>
                <c:pt idx="119">
                  <c:v>383.23189916587671</c:v>
                </c:pt>
                <c:pt idx="120">
                  <c:v>13.28151878774875</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0-758D-4DB1-93FB-9BECCB623975}"/>
            </c:ext>
          </c:extLst>
        </c:ser>
        <c:ser>
          <c:idx val="3"/>
          <c:order val="3"/>
          <c:tx>
            <c:v>Balance</c:v>
          </c:tx>
          <c:spPr>
            <a:ln w="25400" cap="rnd">
              <a:solidFill>
                <a:schemeClr val="accent4"/>
              </a:solidFill>
              <a:round/>
            </a:ln>
            <a:effectLst>
              <a:glow rad="76200">
                <a:schemeClr val="accent4">
                  <a:alpha val="20000"/>
                </a:schemeClr>
              </a:glow>
            </a:effectLst>
          </c:spPr>
          <c:marker>
            <c:symbol val="none"/>
          </c:marker>
          <c:cat>
            <c:numRef>
              <c:f>'Student Loans'!$B$19:$B$156</c:f>
              <c:numCache>
                <c:formatCode>mmm\-yy</c:formatCode>
                <c:ptCount val="138"/>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Loans'!$F$19:$F$156</c:f>
              <c:numCache>
                <c:formatCode>_("$"* #,##0.00_);_("$"* \(#,##0.00\);_("$"* "-"??_);_(@_)</c:formatCode>
                <c:ptCount val="138"/>
                <c:pt idx="0">
                  <c:v>42195.54</c:v>
                </c:pt>
                <c:pt idx="1">
                  <c:v>41495.64</c:v>
                </c:pt>
                <c:pt idx="2">
                  <c:v>40635.339999999997</c:v>
                </c:pt>
                <c:pt idx="3">
                  <c:v>39795.64</c:v>
                </c:pt>
                <c:pt idx="4">
                  <c:v>38975.64</c:v>
                </c:pt>
                <c:pt idx="5">
                  <c:v>38175.64</c:v>
                </c:pt>
                <c:pt idx="6">
                  <c:v>37393.64</c:v>
                </c:pt>
                <c:pt idx="7">
                  <c:v>36629.64</c:v>
                </c:pt>
                <c:pt idx="8">
                  <c:v>35883.64</c:v>
                </c:pt>
                <c:pt idx="9">
                  <c:v>35153.64</c:v>
                </c:pt>
                <c:pt idx="10">
                  <c:v>34437.64</c:v>
                </c:pt>
                <c:pt idx="11">
                  <c:v>33737.64</c:v>
                </c:pt>
                <c:pt idx="12">
                  <c:v>33051.64</c:v>
                </c:pt>
                <c:pt idx="13">
                  <c:v>32379.64</c:v>
                </c:pt>
                <c:pt idx="14">
                  <c:v>31721.64</c:v>
                </c:pt>
                <c:pt idx="15">
                  <c:v>31077.64</c:v>
                </c:pt>
                <c:pt idx="16">
                  <c:v>30447.64</c:v>
                </c:pt>
                <c:pt idx="17">
                  <c:v>29829.64</c:v>
                </c:pt>
                <c:pt idx="18">
                  <c:v>29225.64</c:v>
                </c:pt>
                <c:pt idx="19">
                  <c:v>28633.64</c:v>
                </c:pt>
                <c:pt idx="20">
                  <c:v>28053.64</c:v>
                </c:pt>
                <c:pt idx="21">
                  <c:v>28053.64</c:v>
                </c:pt>
                <c:pt idx="22">
                  <c:v>28053.64</c:v>
                </c:pt>
                <c:pt idx="23">
                  <c:v>28053.64</c:v>
                </c:pt>
                <c:pt idx="24">
                  <c:v>28053.64</c:v>
                </c:pt>
                <c:pt idx="25">
                  <c:v>28053.64</c:v>
                </c:pt>
                <c:pt idx="26">
                  <c:v>28053.64</c:v>
                </c:pt>
                <c:pt idx="27">
                  <c:v>28054.829999999998</c:v>
                </c:pt>
                <c:pt idx="28">
                  <c:v>27668.970782279997</c:v>
                </c:pt>
                <c:pt idx="29">
                  <c:v>27374.833423550492</c:v>
                </c:pt>
                <c:pt idx="30">
                  <c:v>27181.823423550493</c:v>
                </c:pt>
                <c:pt idx="31">
                  <c:v>26985.223423550495</c:v>
                </c:pt>
                <c:pt idx="32">
                  <c:v>26787.433423550494</c:v>
                </c:pt>
                <c:pt idx="33">
                  <c:v>26645.943423550492</c:v>
                </c:pt>
                <c:pt idx="34">
                  <c:v>26503.553423550493</c:v>
                </c:pt>
                <c:pt idx="35">
                  <c:v>26208.79</c:v>
                </c:pt>
                <c:pt idx="36">
                  <c:v>25990.49</c:v>
                </c:pt>
                <c:pt idx="37">
                  <c:v>25751.74</c:v>
                </c:pt>
                <c:pt idx="38">
                  <c:v>25538.09</c:v>
                </c:pt>
                <c:pt idx="39">
                  <c:v>25297.68</c:v>
                </c:pt>
                <c:pt idx="40">
                  <c:v>25044.28</c:v>
                </c:pt>
                <c:pt idx="41">
                  <c:v>24812</c:v>
                </c:pt>
                <c:pt idx="42">
                  <c:v>24587.119999999999</c:v>
                </c:pt>
                <c:pt idx="43">
                  <c:v>24366.87</c:v>
                </c:pt>
                <c:pt idx="44">
                  <c:v>24161.65</c:v>
                </c:pt>
                <c:pt idx="45">
                  <c:v>23926.93</c:v>
                </c:pt>
                <c:pt idx="46">
                  <c:v>23704.51</c:v>
                </c:pt>
                <c:pt idx="47">
                  <c:v>23489.09</c:v>
                </c:pt>
                <c:pt idx="48">
                  <c:v>23260.15</c:v>
                </c:pt>
                <c:pt idx="49">
                  <c:v>22933.050000000003</c:v>
                </c:pt>
                <c:pt idx="50">
                  <c:v>22609.83</c:v>
                </c:pt>
                <c:pt idx="51">
                  <c:v>22287.9</c:v>
                </c:pt>
                <c:pt idx="52">
                  <c:v>22064.400000000001</c:v>
                </c:pt>
                <c:pt idx="53">
                  <c:v>21885.800000000003</c:v>
                </c:pt>
                <c:pt idx="54">
                  <c:v>21386.370000000003</c:v>
                </c:pt>
                <c:pt idx="55">
                  <c:v>21270.140000000003</c:v>
                </c:pt>
                <c:pt idx="56">
                  <c:v>21107.140000000003</c:v>
                </c:pt>
                <c:pt idx="57">
                  <c:v>20737.140000000003</c:v>
                </c:pt>
                <c:pt idx="58">
                  <c:v>20444.904275000004</c:v>
                </c:pt>
                <c:pt idx="59">
                  <c:v>20151.572666031254</c:v>
                </c:pt>
                <c:pt idx="60">
                  <c:v>19857.14106352887</c:v>
                </c:pt>
                <c:pt idx="61">
                  <c:v>19561.605342517105</c:v>
                </c:pt>
                <c:pt idx="62">
                  <c:v>19264.961362551545</c:v>
                </c:pt>
                <c:pt idx="63">
                  <c:v>18967.204967661113</c:v>
                </c:pt>
                <c:pt idx="64">
                  <c:v>18668.331986289842</c:v>
                </c:pt>
                <c:pt idx="65">
                  <c:v>18368.338231238431</c:v>
                </c:pt>
                <c:pt idx="66">
                  <c:v>18067.219499605577</c:v>
                </c:pt>
                <c:pt idx="67">
                  <c:v>17764.971572729097</c:v>
                </c:pt>
                <c:pt idx="68">
                  <c:v>17461.590216126831</c:v>
                </c:pt>
                <c:pt idx="69">
                  <c:v>17157.071179437306</c:v>
                </c:pt>
                <c:pt idx="70">
                  <c:v>16851.410196360197</c:v>
                </c:pt>
                <c:pt idx="71">
                  <c:v>16544.60298459655</c:v>
                </c:pt>
                <c:pt idx="72">
                  <c:v>16236.645245788786</c:v>
                </c:pt>
                <c:pt idx="73">
                  <c:v>15927.532665460494</c:v>
                </c:pt>
                <c:pt idx="74">
                  <c:v>15617.260912955971</c:v>
                </c:pt>
                <c:pt idx="75">
                  <c:v>15305.825641379557</c:v>
                </c:pt>
                <c:pt idx="76">
                  <c:v>14993.222487534731</c:v>
                </c:pt>
                <c:pt idx="77">
                  <c:v>14679.447071862985</c:v>
                </c:pt>
                <c:pt idx="78">
                  <c:v>14364.494998382472</c:v>
                </c:pt>
                <c:pt idx="79">
                  <c:v>14048.361854626406</c:v>
                </c:pt>
                <c:pt idx="80">
                  <c:v>13731.043211581255</c:v>
                </c:pt>
                <c:pt idx="81">
                  <c:v>13412.534623624684</c:v>
                </c:pt>
                <c:pt idx="82">
                  <c:v>13092.831628463277</c:v>
                </c:pt>
                <c:pt idx="83">
                  <c:v>12771.929747070013</c:v>
                </c:pt>
                <c:pt idx="84">
                  <c:v>12449.824483621525</c:v>
                </c:pt>
                <c:pt idx="85">
                  <c:v>12126.511325435105</c:v>
                </c:pt>
                <c:pt idx="86">
                  <c:v>11801.985742905486</c:v>
                </c:pt>
                <c:pt idx="87">
                  <c:v>11476.243189441382</c:v>
                </c:pt>
                <c:pt idx="88">
                  <c:v>11149.279101401788</c:v>
                </c:pt>
                <c:pt idx="89">
                  <c:v>10821.088898032045</c:v>
                </c:pt>
                <c:pt idx="90">
                  <c:v>10491.667981399665</c:v>
                </c:pt>
                <c:pt idx="91">
                  <c:v>10161.011736329914</c:v>
                </c:pt>
                <c:pt idx="92">
                  <c:v>9829.1155303411506</c:v>
                </c:pt>
                <c:pt idx="93">
                  <c:v>9495.9747135799298</c:v>
                </c:pt>
                <c:pt idx="94">
                  <c:v>9161.5846187558545</c:v>
                </c:pt>
                <c:pt idx="95">
                  <c:v>8825.9405610761896</c:v>
                </c:pt>
                <c:pt idx="96">
                  <c:v>8489.0378381802257</c:v>
                </c:pt>
                <c:pt idx="97">
                  <c:v>8150.8717300734015</c:v>
                </c:pt>
                <c:pt idx="98">
                  <c:v>7811.4374990611768</c:v>
                </c:pt>
                <c:pt idx="99">
                  <c:v>7470.7303896826561</c:v>
                </c:pt>
                <c:pt idx="100">
                  <c:v>7128.7456286439665</c:v>
                </c:pt>
                <c:pt idx="101">
                  <c:v>6785.4784247513817</c:v>
                </c:pt>
                <c:pt idx="102">
                  <c:v>6440.9239688441994</c:v>
                </c:pt>
                <c:pt idx="103">
                  <c:v>6095.0774337273651</c:v>
                </c:pt>
                <c:pt idx="104">
                  <c:v>5747.933974103843</c:v>
                </c:pt>
                <c:pt idx="105">
                  <c:v>5399.4887265067327</c:v>
                </c:pt>
                <c:pt idx="106">
                  <c:v>5049.7368092311326</c:v>
                </c:pt>
                <c:pt idx="107">
                  <c:v>4698.6733222657494</c:v>
                </c:pt>
                <c:pt idx="108">
                  <c:v>4346.2933472242457</c:v>
                </c:pt>
                <c:pt idx="109">
                  <c:v>3992.5919472763367</c:v>
                </c:pt>
                <c:pt idx="110">
                  <c:v>3637.5641670786231</c:v>
                </c:pt>
                <c:pt idx="111">
                  <c:v>3281.2050327051679</c:v>
                </c:pt>
                <c:pt idx="112">
                  <c:v>2923.5095515778121</c:v>
                </c:pt>
                <c:pt idx="113">
                  <c:v>2564.4727123962289</c:v>
                </c:pt>
                <c:pt idx="114">
                  <c:v>2204.0894850677146</c:v>
                </c:pt>
                <c:pt idx="115">
                  <c:v>1842.3548206367186</c:v>
                </c:pt>
                <c:pt idx="116">
                  <c:v>1479.2636512141062</c:v>
                </c:pt>
                <c:pt idx="117">
                  <c:v>1114.810889906159</c:v>
                </c:pt>
                <c:pt idx="118">
                  <c:v>748.99143074330709</c:v>
                </c:pt>
                <c:pt idx="119">
                  <c:v>381.8001486085945</c:v>
                </c:pt>
                <c:pt idx="120">
                  <c:v>13.231899165876712</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1-758D-4DB1-93FB-9BECCB623975}"/>
            </c:ext>
          </c:extLst>
        </c:ser>
        <c:dLbls>
          <c:showLegendKey val="0"/>
          <c:showVal val="0"/>
          <c:showCatName val="0"/>
          <c:showSerName val="0"/>
          <c:showPercent val="0"/>
          <c:showBubbleSize val="0"/>
        </c:dLbls>
        <c:marker val="1"/>
        <c:smooth val="0"/>
        <c:axId val="255206512"/>
        <c:axId val="255209840"/>
      </c:lineChart>
      <c:lineChart>
        <c:grouping val="standard"/>
        <c:varyColors val="0"/>
        <c:ser>
          <c:idx val="0"/>
          <c:order val="0"/>
          <c:tx>
            <c:v>Payment</c:v>
          </c:tx>
          <c:spPr>
            <a:ln w="25400" cap="rnd">
              <a:solidFill>
                <a:srgbClr val="00B050"/>
              </a:solidFill>
              <a:round/>
            </a:ln>
            <a:effectLst>
              <a:glow rad="76200">
                <a:srgbClr val="00B050">
                  <a:alpha val="20000"/>
                </a:srgbClr>
              </a:glow>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Loans'!$C$19:$C$156</c:f>
              <c:numCache>
                <c:formatCode>_("$"* #,##0.00_);_("$"* \(#,##0.00\);_("$"* "-"??_);_(@_)</c:formatCode>
                <c:ptCount val="138"/>
                <c:pt idx="0">
                  <c:v>442</c:v>
                </c:pt>
                <c:pt idx="1">
                  <c:v>700</c:v>
                </c:pt>
                <c:pt idx="2">
                  <c:v>860</c:v>
                </c:pt>
                <c:pt idx="3">
                  <c:v>840</c:v>
                </c:pt>
                <c:pt idx="4">
                  <c:v>820</c:v>
                </c:pt>
                <c:pt idx="5">
                  <c:v>800</c:v>
                </c:pt>
                <c:pt idx="6">
                  <c:v>782</c:v>
                </c:pt>
                <c:pt idx="7">
                  <c:v>764</c:v>
                </c:pt>
                <c:pt idx="8">
                  <c:v>746</c:v>
                </c:pt>
                <c:pt idx="9">
                  <c:v>730</c:v>
                </c:pt>
                <c:pt idx="10">
                  <c:v>716</c:v>
                </c:pt>
                <c:pt idx="11">
                  <c:v>700</c:v>
                </c:pt>
                <c:pt idx="12">
                  <c:v>686</c:v>
                </c:pt>
                <c:pt idx="13">
                  <c:v>672</c:v>
                </c:pt>
                <c:pt idx="14">
                  <c:v>658</c:v>
                </c:pt>
                <c:pt idx="15">
                  <c:v>644</c:v>
                </c:pt>
                <c:pt idx="16">
                  <c:v>630</c:v>
                </c:pt>
                <c:pt idx="17">
                  <c:v>618</c:v>
                </c:pt>
                <c:pt idx="18">
                  <c:v>604</c:v>
                </c:pt>
                <c:pt idx="19">
                  <c:v>592</c:v>
                </c:pt>
                <c:pt idx="20">
                  <c:v>580</c:v>
                </c:pt>
                <c:pt idx="28">
                  <c:v>500</c:v>
                </c:pt>
                <c:pt idx="29">
                  <c:v>400</c:v>
                </c:pt>
                <c:pt idx="30">
                  <c:v>300</c:v>
                </c:pt>
                <c:pt idx="31">
                  <c:v>300</c:v>
                </c:pt>
                <c:pt idx="32">
                  <c:v>300</c:v>
                </c:pt>
                <c:pt idx="33">
                  <c:v>240</c:v>
                </c:pt>
                <c:pt idx="34">
                  <c:v>240</c:v>
                </c:pt>
                <c:pt idx="35">
                  <c:v>280</c:v>
                </c:pt>
                <c:pt idx="36">
                  <c:v>310</c:v>
                </c:pt>
                <c:pt idx="37">
                  <c:v>320</c:v>
                </c:pt>
                <c:pt idx="38">
                  <c:v>300</c:v>
                </c:pt>
                <c:pt idx="39">
                  <c:v>343.6</c:v>
                </c:pt>
                <c:pt idx="40">
                  <c:v>338.6</c:v>
                </c:pt>
                <c:pt idx="41">
                  <c:v>300</c:v>
                </c:pt>
                <c:pt idx="42">
                  <c:v>300</c:v>
                </c:pt>
                <c:pt idx="43">
                  <c:v>300</c:v>
                </c:pt>
                <c:pt idx="44">
                  <c:v>300</c:v>
                </c:pt>
                <c:pt idx="45">
                  <c:v>300</c:v>
                </c:pt>
                <c:pt idx="46">
                  <c:v>300</c:v>
                </c:pt>
                <c:pt idx="47">
                  <c:v>300</c:v>
                </c:pt>
                <c:pt idx="48">
                  <c:v>300</c:v>
                </c:pt>
                <c:pt idx="49">
                  <c:v>400</c:v>
                </c:pt>
                <c:pt idx="50">
                  <c:v>400</c:v>
                </c:pt>
                <c:pt idx="51">
                  <c:v>400</c:v>
                </c:pt>
                <c:pt idx="52">
                  <c:v>300</c:v>
                </c:pt>
                <c:pt idx="53">
                  <c:v>250</c:v>
                </c:pt>
                <c:pt idx="54">
                  <c:v>585.52</c:v>
                </c:pt>
                <c:pt idx="55">
                  <c:v>172.47</c:v>
                </c:pt>
                <c:pt idx="56">
                  <c:v>227.1</c:v>
                </c:pt>
                <c:pt idx="57">
                  <c:v>370</c:v>
                </c:pt>
                <c:pt idx="58">
                  <c:v>370</c:v>
                </c:pt>
                <c:pt idx="59">
                  <c:v>370</c:v>
                </c:pt>
                <c:pt idx="60">
                  <c:v>370</c:v>
                </c:pt>
                <c:pt idx="61">
                  <c:v>370</c:v>
                </c:pt>
                <c:pt idx="62">
                  <c:v>370</c:v>
                </c:pt>
                <c:pt idx="63">
                  <c:v>370</c:v>
                </c:pt>
                <c:pt idx="64">
                  <c:v>370</c:v>
                </c:pt>
                <c:pt idx="65">
                  <c:v>370</c:v>
                </c:pt>
                <c:pt idx="66">
                  <c:v>370</c:v>
                </c:pt>
                <c:pt idx="67">
                  <c:v>370</c:v>
                </c:pt>
                <c:pt idx="68">
                  <c:v>370</c:v>
                </c:pt>
                <c:pt idx="69">
                  <c:v>370</c:v>
                </c:pt>
                <c:pt idx="70">
                  <c:v>370</c:v>
                </c:pt>
                <c:pt idx="71">
                  <c:v>370</c:v>
                </c:pt>
                <c:pt idx="72">
                  <c:v>370</c:v>
                </c:pt>
                <c:pt idx="73">
                  <c:v>370</c:v>
                </c:pt>
                <c:pt idx="74">
                  <c:v>370</c:v>
                </c:pt>
                <c:pt idx="75">
                  <c:v>370</c:v>
                </c:pt>
                <c:pt idx="76">
                  <c:v>370</c:v>
                </c:pt>
                <c:pt idx="77">
                  <c:v>370</c:v>
                </c:pt>
                <c:pt idx="78">
                  <c:v>370</c:v>
                </c:pt>
                <c:pt idx="79">
                  <c:v>370</c:v>
                </c:pt>
                <c:pt idx="80">
                  <c:v>370</c:v>
                </c:pt>
                <c:pt idx="81">
                  <c:v>370</c:v>
                </c:pt>
                <c:pt idx="82">
                  <c:v>370</c:v>
                </c:pt>
                <c:pt idx="83">
                  <c:v>370</c:v>
                </c:pt>
                <c:pt idx="84">
                  <c:v>370</c:v>
                </c:pt>
                <c:pt idx="85">
                  <c:v>370</c:v>
                </c:pt>
                <c:pt idx="86">
                  <c:v>370</c:v>
                </c:pt>
                <c:pt idx="87">
                  <c:v>370</c:v>
                </c:pt>
                <c:pt idx="88">
                  <c:v>370</c:v>
                </c:pt>
                <c:pt idx="89">
                  <c:v>370</c:v>
                </c:pt>
                <c:pt idx="90">
                  <c:v>370</c:v>
                </c:pt>
                <c:pt idx="91">
                  <c:v>370</c:v>
                </c:pt>
                <c:pt idx="92">
                  <c:v>370</c:v>
                </c:pt>
                <c:pt idx="93">
                  <c:v>370</c:v>
                </c:pt>
                <c:pt idx="94">
                  <c:v>370</c:v>
                </c:pt>
                <c:pt idx="95">
                  <c:v>370</c:v>
                </c:pt>
                <c:pt idx="96">
                  <c:v>370</c:v>
                </c:pt>
                <c:pt idx="97">
                  <c:v>370</c:v>
                </c:pt>
                <c:pt idx="98">
                  <c:v>370</c:v>
                </c:pt>
                <c:pt idx="99">
                  <c:v>370</c:v>
                </c:pt>
                <c:pt idx="100">
                  <c:v>370</c:v>
                </c:pt>
                <c:pt idx="101">
                  <c:v>370</c:v>
                </c:pt>
                <c:pt idx="102">
                  <c:v>370</c:v>
                </c:pt>
                <c:pt idx="103">
                  <c:v>370</c:v>
                </c:pt>
                <c:pt idx="104">
                  <c:v>370</c:v>
                </c:pt>
                <c:pt idx="105">
                  <c:v>370</c:v>
                </c:pt>
                <c:pt idx="106">
                  <c:v>370</c:v>
                </c:pt>
                <c:pt idx="107">
                  <c:v>370</c:v>
                </c:pt>
                <c:pt idx="108">
                  <c:v>370</c:v>
                </c:pt>
                <c:pt idx="109">
                  <c:v>370</c:v>
                </c:pt>
                <c:pt idx="110">
                  <c:v>370</c:v>
                </c:pt>
                <c:pt idx="111">
                  <c:v>370</c:v>
                </c:pt>
                <c:pt idx="112">
                  <c:v>370</c:v>
                </c:pt>
                <c:pt idx="113">
                  <c:v>370</c:v>
                </c:pt>
                <c:pt idx="114">
                  <c:v>370</c:v>
                </c:pt>
                <c:pt idx="115">
                  <c:v>370</c:v>
                </c:pt>
                <c:pt idx="116">
                  <c:v>370</c:v>
                </c:pt>
                <c:pt idx="117">
                  <c:v>370</c:v>
                </c:pt>
                <c:pt idx="118">
                  <c:v>370</c:v>
                </c:pt>
                <c:pt idx="119">
                  <c:v>370</c:v>
                </c:pt>
                <c:pt idx="120">
                  <c:v>370</c:v>
                </c:pt>
                <c:pt idx="121">
                  <c:v>370</c:v>
                </c:pt>
                <c:pt idx="122">
                  <c:v>370</c:v>
                </c:pt>
                <c:pt idx="123">
                  <c:v>370</c:v>
                </c:pt>
                <c:pt idx="124">
                  <c:v>370</c:v>
                </c:pt>
                <c:pt idx="125">
                  <c:v>370</c:v>
                </c:pt>
                <c:pt idx="126">
                  <c:v>370</c:v>
                </c:pt>
              </c:numCache>
            </c:numRef>
          </c:val>
          <c:smooth val="0"/>
          <c:extLst>
            <c:ext xmlns:c16="http://schemas.microsoft.com/office/drawing/2014/chart" uri="{C3380CC4-5D6E-409C-BE32-E72D297353CC}">
              <c16:uniqueId val="{00000002-758D-4DB1-93FB-9BECCB623975}"/>
            </c:ext>
          </c:extLst>
        </c:ser>
        <c:ser>
          <c:idx val="2"/>
          <c:order val="2"/>
          <c:tx>
            <c:v>Interest</c:v>
          </c:tx>
          <c:spPr>
            <a:ln w="25400" cap="rnd">
              <a:solidFill>
                <a:srgbClr val="0070C0"/>
              </a:solidFill>
              <a:round/>
            </a:ln>
            <a:effectLst>
              <a:glow rad="76200">
                <a:srgbClr val="0070C0">
                  <a:alpha val="20000"/>
                </a:srgbClr>
              </a:glow>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Loans'!$E$19:$E$156</c:f>
              <c:numCache>
                <c:formatCode>_("$"* #,##0.00_);_("$"* \(#,##0.00\);_("$"* "-"??_);_(@_)</c:formatCode>
                <c:ptCount val="138"/>
                <c:pt idx="27">
                  <c:v>1.19</c:v>
                </c:pt>
                <c:pt idx="28">
                  <c:v>114.14078228</c:v>
                </c:pt>
                <c:pt idx="29">
                  <c:v>105.862641270496</c:v>
                </c:pt>
                <c:pt idx="30">
                  <c:v>106.99</c:v>
                </c:pt>
                <c:pt idx="31">
                  <c:v>103.4</c:v>
                </c:pt>
                <c:pt idx="32">
                  <c:v>102.21000000000001</c:v>
                </c:pt>
                <c:pt idx="33">
                  <c:v>98.51</c:v>
                </c:pt>
                <c:pt idx="34">
                  <c:v>97.61</c:v>
                </c:pt>
                <c:pt idx="35">
                  <c:v>87.3</c:v>
                </c:pt>
                <c:pt idx="36">
                  <c:v>81.25</c:v>
                </c:pt>
                <c:pt idx="37">
                  <c:v>86.35</c:v>
                </c:pt>
                <c:pt idx="38">
                  <c:v>103.19000000000001</c:v>
                </c:pt>
                <c:pt idx="39">
                  <c:v>85.199999999999989</c:v>
                </c:pt>
                <c:pt idx="40">
                  <c:v>67.72</c:v>
                </c:pt>
                <c:pt idx="41">
                  <c:v>75.12</c:v>
                </c:pt>
                <c:pt idx="42">
                  <c:v>79.75</c:v>
                </c:pt>
                <c:pt idx="43">
                  <c:v>79.040000000000006</c:v>
                </c:pt>
                <c:pt idx="44">
                  <c:v>65.28</c:v>
                </c:pt>
                <c:pt idx="45">
                  <c:v>75.010000000000005</c:v>
                </c:pt>
                <c:pt idx="46">
                  <c:v>84.58</c:v>
                </c:pt>
                <c:pt idx="47">
                  <c:v>71.06</c:v>
                </c:pt>
                <c:pt idx="48">
                  <c:v>72.900000000000006</c:v>
                </c:pt>
                <c:pt idx="49">
                  <c:v>76.78</c:v>
                </c:pt>
                <c:pt idx="50">
                  <c:v>78.070000000000007</c:v>
                </c:pt>
                <c:pt idx="51">
                  <c:v>76.5</c:v>
                </c:pt>
                <c:pt idx="52">
                  <c:v>71.400000000000006</c:v>
                </c:pt>
                <c:pt idx="53">
                  <c:v>86.09</c:v>
                </c:pt>
                <c:pt idx="54">
                  <c:v>56.24</c:v>
                </c:pt>
                <c:pt idx="55">
                  <c:v>64.099999999999994</c:v>
                </c:pt>
                <c:pt idx="56">
                  <c:v>0</c:v>
                </c:pt>
                <c:pt idx="57">
                  <c:v>77.764275000000012</c:v>
                </c:pt>
                <c:pt idx="58">
                  <c:v>76.66839103125001</c:v>
                </c:pt>
                <c:pt idx="59">
                  <c:v>75.568397497617198</c:v>
                </c:pt>
                <c:pt idx="60">
                  <c:v>74.464278988233261</c:v>
                </c:pt>
                <c:pt idx="61">
                  <c:v>73.35602003443914</c:v>
                </c:pt>
                <c:pt idx="62">
                  <c:v>72.243605109568293</c:v>
                </c:pt>
                <c:pt idx="63">
                  <c:v>71.127018628729175</c:v>
                </c:pt>
                <c:pt idx="64">
                  <c:v>70.006244948586911</c:v>
                </c:pt>
                <c:pt idx="65">
                  <c:v>68.881268367144116</c:v>
                </c:pt>
                <c:pt idx="66">
                  <c:v>67.752073123520915</c:v>
                </c:pt>
                <c:pt idx="67">
                  <c:v>66.618643397734104</c:v>
                </c:pt>
                <c:pt idx="68">
                  <c:v>65.480963310475616</c:v>
                </c:pt>
                <c:pt idx="69">
                  <c:v>64.339016922889897</c:v>
                </c:pt>
                <c:pt idx="70">
                  <c:v>63.192788236350736</c:v>
                </c:pt>
                <c:pt idx="71">
                  <c:v>62.042261192237056</c:v>
                </c:pt>
                <c:pt idx="72">
                  <c:v>60.887419671707946</c:v>
                </c:pt>
                <c:pt idx="73">
                  <c:v>59.72824749547685</c:v>
                </c:pt>
                <c:pt idx="74">
                  <c:v>58.564728423584889</c:v>
                </c:pt>
                <c:pt idx="75">
                  <c:v>57.396846155173336</c:v>
                </c:pt>
                <c:pt idx="76">
                  <c:v>56.22458432825524</c:v>
                </c:pt>
                <c:pt idx="77">
                  <c:v>55.047926519486197</c:v>
                </c:pt>
                <c:pt idx="78">
                  <c:v>53.866856243934265</c:v>
                </c:pt>
                <c:pt idx="79">
                  <c:v>52.681356954849022</c:v>
                </c:pt>
                <c:pt idx="80">
                  <c:v>51.491412043429705</c:v>
                </c:pt>
                <c:pt idx="81">
                  <c:v>50.297004838592564</c:v>
                </c:pt>
                <c:pt idx="82">
                  <c:v>49.098118606737287</c:v>
                </c:pt>
                <c:pt idx="83">
                  <c:v>47.894736551512544</c:v>
                </c:pt>
                <c:pt idx="84">
                  <c:v>46.68684181358072</c:v>
                </c:pt>
                <c:pt idx="85">
                  <c:v>45.474417470381646</c:v>
                </c:pt>
                <c:pt idx="86">
                  <c:v>44.257446535895575</c:v>
                </c:pt>
                <c:pt idx="87">
                  <c:v>43.03591196040518</c:v>
                </c:pt>
                <c:pt idx="88">
                  <c:v>41.809796630256699</c:v>
                </c:pt>
                <c:pt idx="89">
                  <c:v>40.579083367620164</c:v>
                </c:pt>
                <c:pt idx="90">
                  <c:v>39.343754930248743</c:v>
                </c:pt>
                <c:pt idx="91">
                  <c:v>38.103794011237177</c:v>
                </c:pt>
                <c:pt idx="92">
                  <c:v>36.859183238779316</c:v>
                </c:pt>
                <c:pt idx="93">
                  <c:v>35.609905175924737</c:v>
                </c:pt>
                <c:pt idx="94">
                  <c:v>34.355942320334456</c:v>
                </c:pt>
                <c:pt idx="95">
                  <c:v>33.097277104035712</c:v>
                </c:pt>
                <c:pt idx="96">
                  <c:v>31.833891893175846</c:v>
                </c:pt>
                <c:pt idx="97">
                  <c:v>30.565768987775254</c:v>
                </c:pt>
                <c:pt idx="98">
                  <c:v>29.292890621479412</c:v>
                </c:pt>
                <c:pt idx="99">
                  <c:v>28.015238961309958</c:v>
                </c:pt>
                <c:pt idx="100">
                  <c:v>26.732796107414874</c:v>
                </c:pt>
                <c:pt idx="101">
                  <c:v>25.445544092817681</c:v>
                </c:pt>
                <c:pt idx="102">
                  <c:v>24.153464883165746</c:v>
                </c:pt>
                <c:pt idx="103">
                  <c:v>22.856540376477618</c:v>
                </c:pt>
                <c:pt idx="104">
                  <c:v>21.55475240288941</c:v>
                </c:pt>
                <c:pt idx="105">
                  <c:v>20.248082724400248</c:v>
                </c:pt>
                <c:pt idx="106">
                  <c:v>18.936513034616748</c:v>
                </c:pt>
                <c:pt idx="107">
                  <c:v>17.620024958496561</c:v>
                </c:pt>
                <c:pt idx="108">
                  <c:v>16.298600052090922</c:v>
                </c:pt>
                <c:pt idx="109">
                  <c:v>14.972219802286261</c:v>
                </c:pt>
                <c:pt idx="110">
                  <c:v>13.640865626544835</c:v>
                </c:pt>
                <c:pt idx="111">
                  <c:v>12.30451887264438</c:v>
                </c:pt>
                <c:pt idx="112">
                  <c:v>10.963160818416794</c:v>
                </c:pt>
                <c:pt idx="113">
                  <c:v>9.6167726714858581</c:v>
                </c:pt>
                <c:pt idx="114">
                  <c:v>8.2653355690039287</c:v>
                </c:pt>
                <c:pt idx="115">
                  <c:v>6.9088305773876941</c:v>
                </c:pt>
                <c:pt idx="116">
                  <c:v>5.5472386920528978</c:v>
                </c:pt>
                <c:pt idx="117">
                  <c:v>4.1805408371480963</c:v>
                </c:pt>
                <c:pt idx="118">
                  <c:v>2.8087178652874014</c:v>
                </c:pt>
                <c:pt idx="119">
                  <c:v>1.4317505572822293</c:v>
                </c:pt>
                <c:pt idx="120">
                  <c:v>4.9619621872037667E-2</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3-758D-4DB1-93FB-9BECCB623975}"/>
            </c:ext>
          </c:extLst>
        </c:ser>
        <c:ser>
          <c:idx val="4"/>
          <c:order val="4"/>
          <c:tx>
            <c:v>Original Payment</c:v>
          </c:tx>
          <c:spPr>
            <a:ln w="25400" cap="rnd">
              <a:solidFill>
                <a:srgbClr val="C00000"/>
              </a:solidFill>
              <a:round/>
            </a:ln>
            <a:effectLst>
              <a:glow rad="76200">
                <a:srgbClr val="FF0000">
                  <a:alpha val="20000"/>
                </a:srgbClr>
              </a:glow>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Loans'!$AA$19:$AA$156</c:f>
              <c:numCache>
                <c:formatCode>_("$"* #,##0.00_);_("$"* \(#,##0.00\);_("$"* "-"??_);_(@_)</c:formatCode>
                <c:ptCount val="138"/>
                <c:pt idx="0">
                  <c:v>442</c:v>
                </c:pt>
                <c:pt idx="1">
                  <c:v>442</c:v>
                </c:pt>
                <c:pt idx="2">
                  <c:v>442</c:v>
                </c:pt>
                <c:pt idx="3">
                  <c:v>442</c:v>
                </c:pt>
                <c:pt idx="4">
                  <c:v>442</c:v>
                </c:pt>
                <c:pt idx="5">
                  <c:v>442</c:v>
                </c:pt>
                <c:pt idx="6">
                  <c:v>442</c:v>
                </c:pt>
                <c:pt idx="7">
                  <c:v>442</c:v>
                </c:pt>
                <c:pt idx="8">
                  <c:v>442</c:v>
                </c:pt>
                <c:pt idx="9">
                  <c:v>442</c:v>
                </c:pt>
                <c:pt idx="10">
                  <c:v>442</c:v>
                </c:pt>
                <c:pt idx="11">
                  <c:v>442</c:v>
                </c:pt>
                <c:pt idx="12">
                  <c:v>442</c:v>
                </c:pt>
                <c:pt idx="13">
                  <c:v>442</c:v>
                </c:pt>
                <c:pt idx="14">
                  <c:v>442</c:v>
                </c:pt>
                <c:pt idx="15">
                  <c:v>442</c:v>
                </c:pt>
                <c:pt idx="16">
                  <c:v>442</c:v>
                </c:pt>
                <c:pt idx="17">
                  <c:v>442</c:v>
                </c:pt>
                <c:pt idx="18">
                  <c:v>442</c:v>
                </c:pt>
                <c:pt idx="19">
                  <c:v>442</c:v>
                </c:pt>
                <c:pt idx="20">
                  <c:v>442</c:v>
                </c:pt>
                <c:pt idx="21">
                  <c:v>442</c:v>
                </c:pt>
                <c:pt idx="22">
                  <c:v>442</c:v>
                </c:pt>
                <c:pt idx="23">
                  <c:v>442</c:v>
                </c:pt>
                <c:pt idx="24">
                  <c:v>442</c:v>
                </c:pt>
                <c:pt idx="25">
                  <c:v>442</c:v>
                </c:pt>
                <c:pt idx="26">
                  <c:v>442</c:v>
                </c:pt>
                <c:pt idx="27">
                  <c:v>442</c:v>
                </c:pt>
                <c:pt idx="28">
                  <c:v>442</c:v>
                </c:pt>
                <c:pt idx="29">
                  <c:v>442</c:v>
                </c:pt>
                <c:pt idx="30">
                  <c:v>442</c:v>
                </c:pt>
                <c:pt idx="31">
                  <c:v>442</c:v>
                </c:pt>
                <c:pt idx="32">
                  <c:v>442</c:v>
                </c:pt>
                <c:pt idx="33">
                  <c:v>442</c:v>
                </c:pt>
                <c:pt idx="34">
                  <c:v>442</c:v>
                </c:pt>
                <c:pt idx="35">
                  <c:v>442</c:v>
                </c:pt>
                <c:pt idx="36">
                  <c:v>442</c:v>
                </c:pt>
                <c:pt idx="37">
                  <c:v>442</c:v>
                </c:pt>
                <c:pt idx="38">
                  <c:v>442</c:v>
                </c:pt>
                <c:pt idx="39">
                  <c:v>442</c:v>
                </c:pt>
                <c:pt idx="40">
                  <c:v>442</c:v>
                </c:pt>
                <c:pt idx="41">
                  <c:v>442</c:v>
                </c:pt>
                <c:pt idx="42">
                  <c:v>442</c:v>
                </c:pt>
                <c:pt idx="43">
                  <c:v>442</c:v>
                </c:pt>
                <c:pt idx="44">
                  <c:v>442</c:v>
                </c:pt>
                <c:pt idx="45">
                  <c:v>442</c:v>
                </c:pt>
                <c:pt idx="46">
                  <c:v>442</c:v>
                </c:pt>
                <c:pt idx="47">
                  <c:v>442</c:v>
                </c:pt>
                <c:pt idx="48">
                  <c:v>442</c:v>
                </c:pt>
                <c:pt idx="49">
                  <c:v>442</c:v>
                </c:pt>
                <c:pt idx="50">
                  <c:v>442</c:v>
                </c:pt>
                <c:pt idx="51">
                  <c:v>442</c:v>
                </c:pt>
                <c:pt idx="52">
                  <c:v>442</c:v>
                </c:pt>
                <c:pt idx="53">
                  <c:v>442</c:v>
                </c:pt>
                <c:pt idx="54">
                  <c:v>442</c:v>
                </c:pt>
                <c:pt idx="55">
                  <c:v>442</c:v>
                </c:pt>
                <c:pt idx="56">
                  <c:v>442</c:v>
                </c:pt>
                <c:pt idx="57">
                  <c:v>442</c:v>
                </c:pt>
                <c:pt idx="58">
                  <c:v>442</c:v>
                </c:pt>
                <c:pt idx="59">
                  <c:v>442</c:v>
                </c:pt>
                <c:pt idx="60">
                  <c:v>442</c:v>
                </c:pt>
                <c:pt idx="61">
                  <c:v>442</c:v>
                </c:pt>
                <c:pt idx="62">
                  <c:v>442</c:v>
                </c:pt>
                <c:pt idx="63">
                  <c:v>442</c:v>
                </c:pt>
                <c:pt idx="64">
                  <c:v>442</c:v>
                </c:pt>
                <c:pt idx="65">
                  <c:v>442</c:v>
                </c:pt>
                <c:pt idx="66">
                  <c:v>442</c:v>
                </c:pt>
                <c:pt idx="67">
                  <c:v>442</c:v>
                </c:pt>
                <c:pt idx="68">
                  <c:v>442</c:v>
                </c:pt>
                <c:pt idx="69">
                  <c:v>442</c:v>
                </c:pt>
                <c:pt idx="70">
                  <c:v>442</c:v>
                </c:pt>
                <c:pt idx="71">
                  <c:v>442</c:v>
                </c:pt>
                <c:pt idx="72">
                  <c:v>442</c:v>
                </c:pt>
                <c:pt idx="73">
                  <c:v>442</c:v>
                </c:pt>
                <c:pt idx="74">
                  <c:v>442</c:v>
                </c:pt>
                <c:pt idx="75">
                  <c:v>442</c:v>
                </c:pt>
                <c:pt idx="76">
                  <c:v>442</c:v>
                </c:pt>
                <c:pt idx="77">
                  <c:v>442</c:v>
                </c:pt>
                <c:pt idx="78">
                  <c:v>442</c:v>
                </c:pt>
                <c:pt idx="79">
                  <c:v>442</c:v>
                </c:pt>
                <c:pt idx="80">
                  <c:v>442</c:v>
                </c:pt>
                <c:pt idx="81">
                  <c:v>442</c:v>
                </c:pt>
                <c:pt idx="82">
                  <c:v>442</c:v>
                </c:pt>
                <c:pt idx="83">
                  <c:v>442</c:v>
                </c:pt>
                <c:pt idx="84">
                  <c:v>442</c:v>
                </c:pt>
                <c:pt idx="85">
                  <c:v>442</c:v>
                </c:pt>
                <c:pt idx="86">
                  <c:v>442</c:v>
                </c:pt>
                <c:pt idx="87">
                  <c:v>442</c:v>
                </c:pt>
                <c:pt idx="88">
                  <c:v>442</c:v>
                </c:pt>
                <c:pt idx="89">
                  <c:v>442</c:v>
                </c:pt>
                <c:pt idx="90">
                  <c:v>442</c:v>
                </c:pt>
                <c:pt idx="91">
                  <c:v>442</c:v>
                </c:pt>
                <c:pt idx="92">
                  <c:v>442</c:v>
                </c:pt>
                <c:pt idx="93">
                  <c:v>442</c:v>
                </c:pt>
                <c:pt idx="94">
                  <c:v>442</c:v>
                </c:pt>
                <c:pt idx="95">
                  <c:v>442</c:v>
                </c:pt>
                <c:pt idx="96">
                  <c:v>442</c:v>
                </c:pt>
                <c:pt idx="97">
                  <c:v>442</c:v>
                </c:pt>
                <c:pt idx="98">
                  <c:v>442</c:v>
                </c:pt>
                <c:pt idx="99">
                  <c:v>442</c:v>
                </c:pt>
                <c:pt idx="100">
                  <c:v>442</c:v>
                </c:pt>
                <c:pt idx="101">
                  <c:v>442</c:v>
                </c:pt>
                <c:pt idx="102">
                  <c:v>442</c:v>
                </c:pt>
                <c:pt idx="103">
                  <c:v>442</c:v>
                </c:pt>
                <c:pt idx="104">
                  <c:v>442</c:v>
                </c:pt>
                <c:pt idx="105">
                  <c:v>442</c:v>
                </c:pt>
                <c:pt idx="106">
                  <c:v>442</c:v>
                </c:pt>
                <c:pt idx="107">
                  <c:v>442</c:v>
                </c:pt>
                <c:pt idx="108">
                  <c:v>442</c:v>
                </c:pt>
                <c:pt idx="109">
                  <c:v>442</c:v>
                </c:pt>
                <c:pt idx="110">
                  <c:v>442</c:v>
                </c:pt>
                <c:pt idx="111">
                  <c:v>442</c:v>
                </c:pt>
                <c:pt idx="112">
                  <c:v>442</c:v>
                </c:pt>
                <c:pt idx="113">
                  <c:v>442</c:v>
                </c:pt>
                <c:pt idx="114">
                  <c:v>442</c:v>
                </c:pt>
                <c:pt idx="115">
                  <c:v>442</c:v>
                </c:pt>
                <c:pt idx="116">
                  <c:v>442</c:v>
                </c:pt>
                <c:pt idx="117">
                  <c:v>442</c:v>
                </c:pt>
                <c:pt idx="118">
                  <c:v>442</c:v>
                </c:pt>
                <c:pt idx="119">
                  <c:v>442</c:v>
                </c:pt>
                <c:pt idx="120">
                  <c:v>442</c:v>
                </c:pt>
              </c:numCache>
            </c:numRef>
          </c:val>
          <c:smooth val="0"/>
          <c:extLst>
            <c:ext xmlns:c16="http://schemas.microsoft.com/office/drawing/2014/chart" uri="{C3380CC4-5D6E-409C-BE32-E72D297353CC}">
              <c16:uniqueId val="{00000004-758D-4DB1-93FB-9BECCB623975}"/>
            </c:ext>
          </c:extLst>
        </c:ser>
        <c:dLbls>
          <c:showLegendKey val="0"/>
          <c:showVal val="0"/>
          <c:showCatName val="0"/>
          <c:showSerName val="0"/>
          <c:showPercent val="0"/>
          <c:showBubbleSize val="0"/>
        </c:dLbls>
        <c:marker val="1"/>
        <c:smooth val="0"/>
        <c:axId val="748691168"/>
        <c:axId val="748693248"/>
      </c:lineChart>
      <c:dateAx>
        <c:axId val="255206512"/>
        <c:scaling>
          <c:orientation val="minMax"/>
        </c:scaling>
        <c:delete val="0"/>
        <c:axPos val="b"/>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9840"/>
        <c:crosses val="autoZero"/>
        <c:auto val="1"/>
        <c:lblOffset val="100"/>
        <c:baseTimeUnit val="months"/>
        <c:majorUnit val="6"/>
        <c:majorTimeUnit val="months"/>
      </c:dateAx>
      <c:valAx>
        <c:axId val="255209840"/>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6512"/>
        <c:crosses val="autoZero"/>
        <c:crossBetween val="between"/>
      </c:valAx>
      <c:valAx>
        <c:axId val="748693248"/>
        <c:scaling>
          <c:orientation val="minMax"/>
          <c:max val="1000"/>
        </c:scaling>
        <c:delete val="0"/>
        <c:axPos val="r"/>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91168"/>
        <c:crosses val="max"/>
        <c:crossBetween val="between"/>
      </c:valAx>
      <c:dateAx>
        <c:axId val="748691168"/>
        <c:scaling>
          <c:orientation val="minMax"/>
        </c:scaling>
        <c:delete val="1"/>
        <c:axPos val="b"/>
        <c:numFmt formatCode="mmm\-yy" sourceLinked="1"/>
        <c:majorTickMark val="out"/>
        <c:minorTickMark val="none"/>
        <c:tickLblPos val="nextTo"/>
        <c:crossAx val="748693248"/>
        <c:crosses val="autoZero"/>
        <c:auto val="1"/>
        <c:lblOffset val="100"/>
        <c:baseTimeUnit val="months"/>
      </c:dateAx>
      <c:spPr>
        <a:noFill/>
        <a:ln>
          <a:noFill/>
        </a:ln>
        <a:effectLst/>
      </c:spPr>
    </c:plotArea>
    <c:legend>
      <c:legendPos val="r"/>
      <c:layout>
        <c:manualLayout>
          <c:xMode val="edge"/>
          <c:yMode val="edge"/>
          <c:x val="0.68292591940536285"/>
          <c:y val="8.388326917695571E-2"/>
          <c:w val="0.2540189431105519"/>
          <c:h val="0.273720866658240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&amp;LCREAM Dashboard&amp;Ras of December 2024
</c:oddHeader>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Income and Expenditures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lotArea>
      <c:layout>
        <c:manualLayout>
          <c:layoutTarget val="inner"/>
          <c:xMode val="edge"/>
          <c:yMode val="edge"/>
          <c:x val="7.2549497287228912E-2"/>
          <c:y val="7.4910060472822226E-2"/>
          <c:w val="0.89995736711481955"/>
          <c:h val="0.66783732678576468"/>
        </c:manualLayout>
      </c:layout>
      <c:lineChart>
        <c:grouping val="standard"/>
        <c:varyColors val="0"/>
        <c:ser>
          <c:idx val="6"/>
          <c:order val="0"/>
          <c:tx>
            <c:v>Income</c:v>
          </c:tx>
          <c:spPr>
            <a:ln w="19050" cap="rnd">
              <a:solidFill>
                <a:srgbClr val="00B0F0"/>
              </a:solidFill>
            </a:ln>
            <a:effectLst>
              <a:glow rad="76200">
                <a:srgbClr val="00B0F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Analysis'!$C$5:$C$132</c:f>
              <c:numCache>
                <c:formatCode>_("$"* #,##0.00_);_("$"* \(#,##0.00\);_("$"* "-"??_);_(@_)</c:formatCode>
                <c:ptCount val="128"/>
                <c:pt idx="0">
                  <c:v>814.17</c:v>
                </c:pt>
                <c:pt idx="1">
                  <c:v>1325.2</c:v>
                </c:pt>
                <c:pt idx="2">
                  <c:v>1609.21</c:v>
                </c:pt>
                <c:pt idx="3">
                  <c:v>524.9</c:v>
                </c:pt>
                <c:pt idx="4">
                  <c:v>9067.5999999999985</c:v>
                </c:pt>
                <c:pt idx="5">
                  <c:v>995.74</c:v>
                </c:pt>
                <c:pt idx="6">
                  <c:v>458.92</c:v>
                </c:pt>
                <c:pt idx="7">
                  <c:v>703.92000000000007</c:v>
                </c:pt>
                <c:pt idx="8">
                  <c:v>720</c:v>
                </c:pt>
                <c:pt idx="9">
                  <c:v>120</c:v>
                </c:pt>
                <c:pt idx="10">
                  <c:v>1507.95</c:v>
                </c:pt>
                <c:pt idx="11">
                  <c:v>300</c:v>
                </c:pt>
                <c:pt idx="12">
                  <c:v>3513.2799999999997</c:v>
                </c:pt>
                <c:pt idx="13">
                  <c:v>2925</c:v>
                </c:pt>
                <c:pt idx="14">
                  <c:v>3965</c:v>
                </c:pt>
                <c:pt idx="15">
                  <c:v>3065</c:v>
                </c:pt>
                <c:pt idx="16">
                  <c:v>3000</c:v>
                </c:pt>
                <c:pt idx="17">
                  <c:v>3140</c:v>
                </c:pt>
                <c:pt idx="18">
                  <c:v>3000</c:v>
                </c:pt>
                <c:pt idx="19">
                  <c:v>4870</c:v>
                </c:pt>
                <c:pt idx="20">
                  <c:v>3000</c:v>
                </c:pt>
                <c:pt idx="21">
                  <c:v>3000</c:v>
                </c:pt>
                <c:pt idx="22">
                  <c:v>3200</c:v>
                </c:pt>
                <c:pt idx="23">
                  <c:v>3000</c:v>
                </c:pt>
                <c:pt idx="24">
                  <c:v>2169</c:v>
                </c:pt>
                <c:pt idx="25">
                  <c:v>1582.04</c:v>
                </c:pt>
                <c:pt idx="26">
                  <c:v>1567.04</c:v>
                </c:pt>
                <c:pt idx="27">
                  <c:v>0</c:v>
                </c:pt>
                <c:pt idx="28">
                  <c:v>1507.04</c:v>
                </c:pt>
                <c:pt idx="29">
                  <c:v>1507.04</c:v>
                </c:pt>
                <c:pt idx="30">
                  <c:v>1507.04</c:v>
                </c:pt>
                <c:pt idx="31">
                  <c:v>1557.04</c:v>
                </c:pt>
                <c:pt idx="32">
                  <c:v>0</c:v>
                </c:pt>
                <c:pt idx="33">
                  <c:v>1917.79</c:v>
                </c:pt>
                <c:pt idx="34">
                  <c:v>1917.79</c:v>
                </c:pt>
                <c:pt idx="35">
                  <c:v>1917.79</c:v>
                </c:pt>
                <c:pt idx="36">
                  <c:v>1917.79</c:v>
                </c:pt>
                <c:pt idx="37">
                  <c:v>2154.54</c:v>
                </c:pt>
                <c:pt idx="38">
                  <c:v>1799.55</c:v>
                </c:pt>
                <c:pt idx="39">
                  <c:v>2668.82</c:v>
                </c:pt>
                <c:pt idx="40">
                  <c:v>2790.04</c:v>
                </c:pt>
                <c:pt idx="41">
                  <c:v>2870.05</c:v>
                </c:pt>
                <c:pt idx="42">
                  <c:v>2790.04</c:v>
                </c:pt>
                <c:pt idx="43">
                  <c:v>3130.1800000000003</c:v>
                </c:pt>
                <c:pt idx="44">
                  <c:v>2788.91</c:v>
                </c:pt>
                <c:pt idx="45">
                  <c:v>2526.4899999999998</c:v>
                </c:pt>
                <c:pt idx="46">
                  <c:v>2562.4899999999998</c:v>
                </c:pt>
                <c:pt idx="47">
                  <c:v>2938.48</c:v>
                </c:pt>
                <c:pt idx="48">
                  <c:v>2554.25</c:v>
                </c:pt>
                <c:pt idx="49">
                  <c:v>3573.27</c:v>
                </c:pt>
                <c:pt idx="50">
                  <c:v>3579.38</c:v>
                </c:pt>
                <c:pt idx="51">
                  <c:v>2526.5</c:v>
                </c:pt>
                <c:pt idx="52">
                  <c:v>2910.46</c:v>
                </c:pt>
                <c:pt idx="53">
                  <c:v>3436.62</c:v>
                </c:pt>
                <c:pt idx="54">
                  <c:v>2929.9700000000003</c:v>
                </c:pt>
                <c:pt idx="55">
                  <c:v>3491.27</c:v>
                </c:pt>
                <c:pt idx="56">
                  <c:v>2932.32</c:v>
                </c:pt>
                <c:pt idx="57">
                  <c:v>3406.2999999999997</c:v>
                </c:pt>
                <c:pt idx="58">
                  <c:v>3301.88</c:v>
                </c:pt>
                <c:pt idx="59">
                  <c:v>3270.95</c:v>
                </c:pt>
                <c:pt idx="60">
                  <c:v>3255.71</c:v>
                </c:pt>
                <c:pt idx="61">
                  <c:v>4062.63</c:v>
                </c:pt>
                <c:pt idx="62">
                  <c:v>4045.7200000000003</c:v>
                </c:pt>
                <c:pt idx="63">
                  <c:v>4738.7499999999991</c:v>
                </c:pt>
                <c:pt idx="64">
                  <c:v>5292.21</c:v>
                </c:pt>
                <c:pt idx="65">
                  <c:v>5290.05</c:v>
                </c:pt>
                <c:pt idx="66">
                  <c:v>5289.95</c:v>
                </c:pt>
                <c:pt idx="67">
                  <c:v>5284.96</c:v>
                </c:pt>
                <c:pt idx="68">
                  <c:v>4949.0199999999995</c:v>
                </c:pt>
                <c:pt idx="69">
                  <c:v>4830.78</c:v>
                </c:pt>
                <c:pt idx="70">
                  <c:v>4775.66</c:v>
                </c:pt>
                <c:pt idx="71">
                  <c:v>4775.66</c:v>
                </c:pt>
                <c:pt idx="72">
                  <c:v>4775.66</c:v>
                </c:pt>
                <c:pt idx="73">
                  <c:v>4775.66</c:v>
                </c:pt>
                <c:pt idx="74">
                  <c:v>4775.66</c:v>
                </c:pt>
                <c:pt idx="75">
                  <c:v>4775.66</c:v>
                </c:pt>
                <c:pt idx="76">
                  <c:v>4775.66</c:v>
                </c:pt>
                <c:pt idx="77">
                  <c:v>4775.66</c:v>
                </c:pt>
                <c:pt idx="78">
                  <c:v>4775.66</c:v>
                </c:pt>
                <c:pt idx="79">
                  <c:v>4775.66</c:v>
                </c:pt>
                <c:pt idx="80">
                  <c:v>4775.66</c:v>
                </c:pt>
                <c:pt idx="81">
                  <c:v>4775.66</c:v>
                </c:pt>
                <c:pt idx="82">
                  <c:v>4775.66</c:v>
                </c:pt>
                <c:pt idx="83">
                  <c:v>4775.66</c:v>
                </c:pt>
                <c:pt idx="84">
                  <c:v>4775.66</c:v>
                </c:pt>
                <c:pt idx="85">
                  <c:v>4775.66</c:v>
                </c:pt>
                <c:pt idx="86">
                  <c:v>4775.66</c:v>
                </c:pt>
                <c:pt idx="87">
                  <c:v>4775.66</c:v>
                </c:pt>
                <c:pt idx="88">
                  <c:v>4775.66</c:v>
                </c:pt>
                <c:pt idx="89">
                  <c:v>4775.66</c:v>
                </c:pt>
                <c:pt idx="90">
                  <c:v>4775.66</c:v>
                </c:pt>
                <c:pt idx="91">
                  <c:v>4775.66</c:v>
                </c:pt>
                <c:pt idx="92">
                  <c:v>4775.66</c:v>
                </c:pt>
                <c:pt idx="93">
                  <c:v>4775.66</c:v>
                </c:pt>
                <c:pt idx="94">
                  <c:v>4775.66</c:v>
                </c:pt>
                <c:pt idx="95">
                  <c:v>4775.66</c:v>
                </c:pt>
                <c:pt idx="96">
                  <c:v>4775.66</c:v>
                </c:pt>
                <c:pt idx="97">
                  <c:v>4775.66</c:v>
                </c:pt>
                <c:pt idx="98">
                  <c:v>4775.66</c:v>
                </c:pt>
                <c:pt idx="99">
                  <c:v>4775.66</c:v>
                </c:pt>
                <c:pt idx="100">
                  <c:v>4775.66</c:v>
                </c:pt>
                <c:pt idx="101">
                  <c:v>4775.66</c:v>
                </c:pt>
                <c:pt idx="102">
                  <c:v>4775.66</c:v>
                </c:pt>
                <c:pt idx="103">
                  <c:v>4775.66</c:v>
                </c:pt>
                <c:pt idx="104">
                  <c:v>4775.66</c:v>
                </c:pt>
                <c:pt idx="105">
                  <c:v>4775.66</c:v>
                </c:pt>
                <c:pt idx="106">
                  <c:v>4775.66</c:v>
                </c:pt>
                <c:pt idx="107">
                  <c:v>4775.66</c:v>
                </c:pt>
                <c:pt idx="108">
                  <c:v>4775.66</c:v>
                </c:pt>
                <c:pt idx="109">
                  <c:v>4775.66</c:v>
                </c:pt>
                <c:pt idx="110">
                  <c:v>4775.66</c:v>
                </c:pt>
                <c:pt idx="111">
                  <c:v>4775.66</c:v>
                </c:pt>
                <c:pt idx="112">
                  <c:v>4775.66</c:v>
                </c:pt>
                <c:pt idx="113">
                  <c:v>4775.66</c:v>
                </c:pt>
                <c:pt idx="114">
                  <c:v>4775.66</c:v>
                </c:pt>
                <c:pt idx="115">
                  <c:v>4775.66</c:v>
                </c:pt>
                <c:pt idx="116">
                  <c:v>4775.66</c:v>
                </c:pt>
                <c:pt idx="117">
                  <c:v>4775.66</c:v>
                </c:pt>
                <c:pt idx="118">
                  <c:v>4775.66</c:v>
                </c:pt>
                <c:pt idx="119">
                  <c:v>4775.66</c:v>
                </c:pt>
                <c:pt idx="120">
                  <c:v>4775.66</c:v>
                </c:pt>
                <c:pt idx="121">
                  <c:v>4775.66</c:v>
                </c:pt>
                <c:pt idx="122">
                  <c:v>4775.66</c:v>
                </c:pt>
                <c:pt idx="123">
                  <c:v>4775.66</c:v>
                </c:pt>
                <c:pt idx="124">
                  <c:v>4775.66</c:v>
                </c:pt>
                <c:pt idx="125">
                  <c:v>4775.66</c:v>
                </c:pt>
                <c:pt idx="126">
                  <c:v>4775.66</c:v>
                </c:pt>
                <c:pt idx="127">
                  <c:v>4775.66</c:v>
                </c:pt>
              </c:numCache>
            </c:numRef>
          </c:val>
          <c:smooth val="0"/>
          <c:extLst>
            <c:ext xmlns:c16="http://schemas.microsoft.com/office/drawing/2014/chart" uri="{C3380CC4-5D6E-409C-BE32-E72D297353CC}">
              <c16:uniqueId val="{00000000-906F-4AA8-BB6F-C3B5FAFB8654}"/>
            </c:ext>
          </c:extLst>
        </c:ser>
        <c:ser>
          <c:idx val="0"/>
          <c:order val="1"/>
          <c:tx>
            <c:v>Necessary Expenditures</c:v>
          </c:tx>
          <c:spPr>
            <a:ln w="19050" cap="rnd">
              <a:solidFill>
                <a:srgbClr val="FFC000"/>
              </a:solidFill>
              <a:prstDash val="solid"/>
            </a:ln>
            <a:effectLst>
              <a:glow rad="76200">
                <a:srgbClr val="FFC0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Analysis'!$AD$5:$AD$132</c:f>
              <c:numCache>
                <c:formatCode>_("$"* #,##0.00_);_("$"* \(#,##0.00\);_("$"* "-"??_);_(@_)</c:formatCode>
                <c:ptCount val="128"/>
                <c:pt idx="0">
                  <c:v>1072.8600000000001</c:v>
                </c:pt>
                <c:pt idx="1">
                  <c:v>1013.81</c:v>
                </c:pt>
                <c:pt idx="2">
                  <c:v>632.31000000000006</c:v>
                </c:pt>
                <c:pt idx="3">
                  <c:v>474.82</c:v>
                </c:pt>
                <c:pt idx="4">
                  <c:v>4906.7700000000004</c:v>
                </c:pt>
                <c:pt idx="5">
                  <c:v>648.33999999999992</c:v>
                </c:pt>
                <c:pt idx="6">
                  <c:v>494.02</c:v>
                </c:pt>
                <c:pt idx="7">
                  <c:v>1115</c:v>
                </c:pt>
                <c:pt idx="8">
                  <c:v>531.70000000000005</c:v>
                </c:pt>
                <c:pt idx="9">
                  <c:v>436.95</c:v>
                </c:pt>
                <c:pt idx="10">
                  <c:v>403.72999999999996</c:v>
                </c:pt>
                <c:pt idx="11">
                  <c:v>524.22</c:v>
                </c:pt>
                <c:pt idx="12">
                  <c:v>573.84</c:v>
                </c:pt>
                <c:pt idx="13">
                  <c:v>1179.5900000000001</c:v>
                </c:pt>
                <c:pt idx="14">
                  <c:v>1303.1500000000001</c:v>
                </c:pt>
                <c:pt idx="15">
                  <c:v>1587.56</c:v>
                </c:pt>
                <c:pt idx="16">
                  <c:v>1556.77</c:v>
                </c:pt>
                <c:pt idx="17">
                  <c:v>1422.69</c:v>
                </c:pt>
                <c:pt idx="18">
                  <c:v>1855.3899999999999</c:v>
                </c:pt>
                <c:pt idx="19">
                  <c:v>2529.5500000000002</c:v>
                </c:pt>
                <c:pt idx="20">
                  <c:v>1762.54</c:v>
                </c:pt>
                <c:pt idx="21">
                  <c:v>1609.13</c:v>
                </c:pt>
                <c:pt idx="22">
                  <c:v>1878.0600000000002</c:v>
                </c:pt>
                <c:pt idx="23">
                  <c:v>6522.13</c:v>
                </c:pt>
                <c:pt idx="24">
                  <c:v>2202.7599999999998</c:v>
                </c:pt>
                <c:pt idx="25">
                  <c:v>1818.6599999999999</c:v>
                </c:pt>
                <c:pt idx="26">
                  <c:v>1735.6699999999998</c:v>
                </c:pt>
                <c:pt idx="27">
                  <c:v>1727.78</c:v>
                </c:pt>
                <c:pt idx="28">
                  <c:v>1798.7800000000002</c:v>
                </c:pt>
                <c:pt idx="29">
                  <c:v>2032.5299999999997</c:v>
                </c:pt>
                <c:pt idx="30">
                  <c:v>2053.63</c:v>
                </c:pt>
                <c:pt idx="31">
                  <c:v>2048.0299999999997</c:v>
                </c:pt>
                <c:pt idx="32">
                  <c:v>1465.5400000000002</c:v>
                </c:pt>
                <c:pt idx="33">
                  <c:v>1148.08</c:v>
                </c:pt>
                <c:pt idx="34">
                  <c:v>959.06000000000017</c:v>
                </c:pt>
                <c:pt idx="35">
                  <c:v>630.01</c:v>
                </c:pt>
                <c:pt idx="36">
                  <c:v>706.29</c:v>
                </c:pt>
                <c:pt idx="37">
                  <c:v>1343.48</c:v>
                </c:pt>
                <c:pt idx="38">
                  <c:v>2377.4700000000003</c:v>
                </c:pt>
                <c:pt idx="39">
                  <c:v>945.24</c:v>
                </c:pt>
                <c:pt idx="40">
                  <c:v>2049.46</c:v>
                </c:pt>
                <c:pt idx="41">
                  <c:v>3032.65</c:v>
                </c:pt>
                <c:pt idx="42">
                  <c:v>2196.41</c:v>
                </c:pt>
                <c:pt idx="43">
                  <c:v>1986.66</c:v>
                </c:pt>
                <c:pt idx="44">
                  <c:v>1654.9899999999998</c:v>
                </c:pt>
                <c:pt idx="45">
                  <c:v>1616.0900000000001</c:v>
                </c:pt>
                <c:pt idx="46">
                  <c:v>1485.6399999999999</c:v>
                </c:pt>
                <c:pt idx="47">
                  <c:v>1469.96</c:v>
                </c:pt>
                <c:pt idx="48">
                  <c:v>1428.41</c:v>
                </c:pt>
                <c:pt idx="49">
                  <c:v>1791.26</c:v>
                </c:pt>
                <c:pt idx="50">
                  <c:v>1660.39</c:v>
                </c:pt>
                <c:pt idx="51">
                  <c:v>1442.3700000000001</c:v>
                </c:pt>
                <c:pt idx="52">
                  <c:v>1578.48</c:v>
                </c:pt>
                <c:pt idx="53">
                  <c:v>1964.19</c:v>
                </c:pt>
                <c:pt idx="54">
                  <c:v>1692.4899999999998</c:v>
                </c:pt>
                <c:pt idx="55">
                  <c:v>1990.04</c:v>
                </c:pt>
                <c:pt idx="56">
                  <c:v>1404.28</c:v>
                </c:pt>
                <c:pt idx="57">
                  <c:v>1442.9099999999999</c:v>
                </c:pt>
                <c:pt idx="58">
                  <c:v>1488.1599999999999</c:v>
                </c:pt>
                <c:pt idx="59">
                  <c:v>1653.2199999999998</c:v>
                </c:pt>
                <c:pt idx="60">
                  <c:v>1891.84</c:v>
                </c:pt>
                <c:pt idx="61">
                  <c:v>1783.79</c:v>
                </c:pt>
                <c:pt idx="62">
                  <c:v>1990.97</c:v>
                </c:pt>
                <c:pt idx="63">
                  <c:v>1982.74</c:v>
                </c:pt>
                <c:pt idx="64">
                  <c:v>2680.99</c:v>
                </c:pt>
                <c:pt idx="65">
                  <c:v>2559.9899999999998</c:v>
                </c:pt>
                <c:pt idx="66">
                  <c:v>2722.08</c:v>
                </c:pt>
                <c:pt idx="67">
                  <c:v>3070.88</c:v>
                </c:pt>
                <c:pt idx="68">
                  <c:v>2714.7699999999995</c:v>
                </c:pt>
                <c:pt idx="69">
                  <c:v>2884.17</c:v>
                </c:pt>
              </c:numCache>
            </c:numRef>
          </c:val>
          <c:smooth val="0"/>
          <c:extLst>
            <c:ext xmlns:c16="http://schemas.microsoft.com/office/drawing/2014/chart" uri="{C3380CC4-5D6E-409C-BE32-E72D297353CC}">
              <c16:uniqueId val="{00000000-4B26-4574-90CC-21C01C0848B0}"/>
            </c:ext>
          </c:extLst>
        </c:ser>
        <c:ser>
          <c:idx val="1"/>
          <c:order val="2"/>
          <c:tx>
            <c:v>Unnecessary Expenditures</c:v>
          </c:tx>
          <c:spPr>
            <a:ln w="19050" cap="rnd">
              <a:solidFill>
                <a:srgbClr val="00B050"/>
              </a:solidFill>
            </a:ln>
            <a:effectLst>
              <a:glow rad="76200">
                <a:srgbClr val="00B05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Analysis'!$AE$5:$AE$132</c:f>
              <c:numCache>
                <c:formatCode>_("$"* #,##0.00_);_("$"* \(#,##0.00\);_("$"* "-"??_);_(@_)</c:formatCode>
                <c:ptCount val="128"/>
                <c:pt idx="0">
                  <c:v>221.98000000000002</c:v>
                </c:pt>
                <c:pt idx="1">
                  <c:v>407.38</c:v>
                </c:pt>
                <c:pt idx="2">
                  <c:v>622.98</c:v>
                </c:pt>
                <c:pt idx="3">
                  <c:v>566.95000000000005</c:v>
                </c:pt>
                <c:pt idx="4">
                  <c:v>686.77</c:v>
                </c:pt>
                <c:pt idx="5">
                  <c:v>442.95000000000005</c:v>
                </c:pt>
                <c:pt idx="6">
                  <c:v>397.96000000000004</c:v>
                </c:pt>
                <c:pt idx="7">
                  <c:v>666.97</c:v>
                </c:pt>
                <c:pt idx="8">
                  <c:v>880.24</c:v>
                </c:pt>
                <c:pt idx="9">
                  <c:v>652.11</c:v>
                </c:pt>
                <c:pt idx="10">
                  <c:v>753.76</c:v>
                </c:pt>
                <c:pt idx="11">
                  <c:v>397.73</c:v>
                </c:pt>
                <c:pt idx="12">
                  <c:v>407.06</c:v>
                </c:pt>
                <c:pt idx="13">
                  <c:v>705.06999999999994</c:v>
                </c:pt>
                <c:pt idx="14">
                  <c:v>655.20999999999992</c:v>
                </c:pt>
                <c:pt idx="15">
                  <c:v>670.20999999999992</c:v>
                </c:pt>
                <c:pt idx="16">
                  <c:v>368.13</c:v>
                </c:pt>
                <c:pt idx="17">
                  <c:v>668.9</c:v>
                </c:pt>
                <c:pt idx="18">
                  <c:v>431.55</c:v>
                </c:pt>
                <c:pt idx="19">
                  <c:v>226.34000000000003</c:v>
                </c:pt>
                <c:pt idx="20">
                  <c:v>367.53000000000003</c:v>
                </c:pt>
                <c:pt idx="21">
                  <c:v>289.25</c:v>
                </c:pt>
                <c:pt idx="22">
                  <c:v>841.49</c:v>
                </c:pt>
                <c:pt idx="23">
                  <c:v>420.01</c:v>
                </c:pt>
                <c:pt idx="24">
                  <c:v>421.3</c:v>
                </c:pt>
                <c:pt idx="25">
                  <c:v>242.48000000000005</c:v>
                </c:pt>
                <c:pt idx="26">
                  <c:v>507.34</c:v>
                </c:pt>
                <c:pt idx="27">
                  <c:v>700.45999999999992</c:v>
                </c:pt>
                <c:pt idx="28">
                  <c:v>332.44</c:v>
                </c:pt>
                <c:pt idx="29">
                  <c:v>428.4</c:v>
                </c:pt>
                <c:pt idx="30">
                  <c:v>281.02999999999997</c:v>
                </c:pt>
                <c:pt idx="31">
                  <c:v>521.12</c:v>
                </c:pt>
                <c:pt idx="32">
                  <c:v>338.2</c:v>
                </c:pt>
                <c:pt idx="33">
                  <c:v>289.17</c:v>
                </c:pt>
                <c:pt idx="34">
                  <c:v>476.63</c:v>
                </c:pt>
                <c:pt idx="35">
                  <c:v>703.32999999999993</c:v>
                </c:pt>
                <c:pt idx="36">
                  <c:v>854.27</c:v>
                </c:pt>
                <c:pt idx="37">
                  <c:v>444.70000000000005</c:v>
                </c:pt>
                <c:pt idx="38">
                  <c:v>504.49</c:v>
                </c:pt>
                <c:pt idx="39">
                  <c:v>580.72</c:v>
                </c:pt>
                <c:pt idx="40">
                  <c:v>451.67999999999995</c:v>
                </c:pt>
                <c:pt idx="41">
                  <c:v>537.27</c:v>
                </c:pt>
                <c:pt idx="42">
                  <c:v>961.73</c:v>
                </c:pt>
                <c:pt idx="43">
                  <c:v>1782.5</c:v>
                </c:pt>
                <c:pt idx="44">
                  <c:v>884.5899999999998</c:v>
                </c:pt>
                <c:pt idx="45">
                  <c:v>1358.01</c:v>
                </c:pt>
                <c:pt idx="46">
                  <c:v>1085.2</c:v>
                </c:pt>
                <c:pt idx="47">
                  <c:v>1204.27</c:v>
                </c:pt>
                <c:pt idx="48">
                  <c:v>1179.9699999999998</c:v>
                </c:pt>
                <c:pt idx="49">
                  <c:v>1062.67</c:v>
                </c:pt>
                <c:pt idx="50">
                  <c:v>1152.6300000000001</c:v>
                </c:pt>
                <c:pt idx="51">
                  <c:v>1134.72</c:v>
                </c:pt>
                <c:pt idx="52">
                  <c:v>1455.0900000000001</c:v>
                </c:pt>
                <c:pt idx="53">
                  <c:v>1454.67</c:v>
                </c:pt>
                <c:pt idx="54">
                  <c:v>1491.76</c:v>
                </c:pt>
                <c:pt idx="55">
                  <c:v>1454.33</c:v>
                </c:pt>
                <c:pt idx="56">
                  <c:v>1098.78</c:v>
                </c:pt>
                <c:pt idx="57">
                  <c:v>1127.54</c:v>
                </c:pt>
                <c:pt idx="58">
                  <c:v>1277.98</c:v>
                </c:pt>
                <c:pt idx="59">
                  <c:v>1189.18</c:v>
                </c:pt>
                <c:pt idx="60">
                  <c:v>1427</c:v>
                </c:pt>
                <c:pt idx="61">
                  <c:v>1918.3400000000001</c:v>
                </c:pt>
                <c:pt idx="62">
                  <c:v>2031.64</c:v>
                </c:pt>
                <c:pt idx="63">
                  <c:v>996.69999999999993</c:v>
                </c:pt>
                <c:pt idx="64">
                  <c:v>1425.94</c:v>
                </c:pt>
                <c:pt idx="65">
                  <c:v>1734.6899999999998</c:v>
                </c:pt>
                <c:pt idx="66">
                  <c:v>1801.29</c:v>
                </c:pt>
                <c:pt idx="67">
                  <c:v>2042.6000000000001</c:v>
                </c:pt>
                <c:pt idx="68">
                  <c:v>1760.75</c:v>
                </c:pt>
                <c:pt idx="69">
                  <c:v>1531.96</c:v>
                </c:pt>
              </c:numCache>
            </c:numRef>
          </c:val>
          <c:smooth val="0"/>
          <c:extLst>
            <c:ext xmlns:c16="http://schemas.microsoft.com/office/drawing/2014/chart" uri="{C3380CC4-5D6E-409C-BE32-E72D297353CC}">
              <c16:uniqueId val="{00000001-4B26-4574-90CC-21C01C0848B0}"/>
            </c:ext>
          </c:extLst>
        </c:ser>
        <c:ser>
          <c:idx val="2"/>
          <c:order val="3"/>
          <c:tx>
            <c:v>Total Expenditures</c:v>
          </c:tx>
          <c:spPr>
            <a:ln w="19050" cap="rnd">
              <a:solidFill>
                <a:srgbClr val="F23A00"/>
              </a:solidFill>
              <a:prstDash val="solid"/>
            </a:ln>
            <a:effectLst>
              <a:glow rad="76200">
                <a:srgbClr val="FF00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Analysis'!$AF$5:$AF$132</c:f>
              <c:numCache>
                <c:formatCode>_("$"* #,##0.00_);_("$"* \(#,##0.00\);_("$"* "-"??_);_(@_)</c:formatCode>
                <c:ptCount val="128"/>
                <c:pt idx="0">
                  <c:v>1294.8400000000001</c:v>
                </c:pt>
                <c:pt idx="1">
                  <c:v>1421.19</c:v>
                </c:pt>
                <c:pt idx="2">
                  <c:v>1255.29</c:v>
                </c:pt>
                <c:pt idx="3">
                  <c:v>1041.77</c:v>
                </c:pt>
                <c:pt idx="4">
                  <c:v>5593.5400000000009</c:v>
                </c:pt>
                <c:pt idx="5">
                  <c:v>1091.29</c:v>
                </c:pt>
                <c:pt idx="6">
                  <c:v>891.98</c:v>
                </c:pt>
                <c:pt idx="7">
                  <c:v>1781.97</c:v>
                </c:pt>
                <c:pt idx="8">
                  <c:v>1411.94</c:v>
                </c:pt>
                <c:pt idx="9">
                  <c:v>1089.06</c:v>
                </c:pt>
                <c:pt idx="10">
                  <c:v>1157.49</c:v>
                </c:pt>
                <c:pt idx="11">
                  <c:v>921.95</c:v>
                </c:pt>
                <c:pt idx="12">
                  <c:v>980.90000000000009</c:v>
                </c:pt>
                <c:pt idx="13">
                  <c:v>1884.66</c:v>
                </c:pt>
                <c:pt idx="14">
                  <c:v>1958.3600000000001</c:v>
                </c:pt>
                <c:pt idx="15">
                  <c:v>2257.77</c:v>
                </c:pt>
                <c:pt idx="16">
                  <c:v>1924.9</c:v>
                </c:pt>
                <c:pt idx="17">
                  <c:v>2091.59</c:v>
                </c:pt>
                <c:pt idx="18">
                  <c:v>2286.94</c:v>
                </c:pt>
                <c:pt idx="19">
                  <c:v>2755.8900000000003</c:v>
                </c:pt>
                <c:pt idx="20">
                  <c:v>2130.0700000000002</c:v>
                </c:pt>
                <c:pt idx="21">
                  <c:v>1898.38</c:v>
                </c:pt>
                <c:pt idx="22">
                  <c:v>2719.55</c:v>
                </c:pt>
                <c:pt idx="23">
                  <c:v>6942.14</c:v>
                </c:pt>
                <c:pt idx="24">
                  <c:v>2624.06</c:v>
                </c:pt>
                <c:pt idx="25">
                  <c:v>2061.14</c:v>
                </c:pt>
                <c:pt idx="26">
                  <c:v>2243.0099999999998</c:v>
                </c:pt>
                <c:pt idx="27">
                  <c:v>2428.2399999999998</c:v>
                </c:pt>
                <c:pt idx="28">
                  <c:v>2131.2200000000003</c:v>
                </c:pt>
                <c:pt idx="29">
                  <c:v>2460.9299999999998</c:v>
                </c:pt>
                <c:pt idx="30">
                  <c:v>2334.66</c:v>
                </c:pt>
                <c:pt idx="31">
                  <c:v>2569.1499999999996</c:v>
                </c:pt>
                <c:pt idx="32">
                  <c:v>1803.7400000000002</c:v>
                </c:pt>
                <c:pt idx="33">
                  <c:v>1437.25</c:v>
                </c:pt>
                <c:pt idx="34">
                  <c:v>1435.69</c:v>
                </c:pt>
                <c:pt idx="35">
                  <c:v>1333.34</c:v>
                </c:pt>
                <c:pt idx="36">
                  <c:v>1560.56</c:v>
                </c:pt>
                <c:pt idx="37">
                  <c:v>1788.18</c:v>
                </c:pt>
                <c:pt idx="38">
                  <c:v>2881.96</c:v>
                </c:pt>
                <c:pt idx="39">
                  <c:v>1525.96</c:v>
                </c:pt>
                <c:pt idx="40">
                  <c:v>2501.14</c:v>
                </c:pt>
                <c:pt idx="41">
                  <c:v>3569.92</c:v>
                </c:pt>
                <c:pt idx="42">
                  <c:v>3158.14</c:v>
                </c:pt>
                <c:pt idx="43">
                  <c:v>3769.16</c:v>
                </c:pt>
                <c:pt idx="44">
                  <c:v>2539.5799999999995</c:v>
                </c:pt>
                <c:pt idx="45">
                  <c:v>2974.1000000000004</c:v>
                </c:pt>
                <c:pt idx="46">
                  <c:v>2570.84</c:v>
                </c:pt>
                <c:pt idx="47">
                  <c:v>2674.23</c:v>
                </c:pt>
                <c:pt idx="48">
                  <c:v>2608.38</c:v>
                </c:pt>
                <c:pt idx="49">
                  <c:v>2853.9300000000003</c:v>
                </c:pt>
                <c:pt idx="50">
                  <c:v>2813.0200000000004</c:v>
                </c:pt>
                <c:pt idx="51">
                  <c:v>2577.09</c:v>
                </c:pt>
                <c:pt idx="52">
                  <c:v>3033.57</c:v>
                </c:pt>
                <c:pt idx="53">
                  <c:v>3418.86</c:v>
                </c:pt>
                <c:pt idx="54">
                  <c:v>3184.25</c:v>
                </c:pt>
                <c:pt idx="55">
                  <c:v>3444.37</c:v>
                </c:pt>
                <c:pt idx="56">
                  <c:v>2503.06</c:v>
                </c:pt>
                <c:pt idx="57">
                  <c:v>2570.4499999999998</c:v>
                </c:pt>
                <c:pt idx="58">
                  <c:v>2766.14</c:v>
                </c:pt>
                <c:pt idx="59">
                  <c:v>2842.3999999999996</c:v>
                </c:pt>
                <c:pt idx="60">
                  <c:v>3318.84</c:v>
                </c:pt>
                <c:pt idx="61">
                  <c:v>3702.13</c:v>
                </c:pt>
                <c:pt idx="62">
                  <c:v>4022.61</c:v>
                </c:pt>
                <c:pt idx="63">
                  <c:v>2979.44</c:v>
                </c:pt>
                <c:pt idx="64">
                  <c:v>4106.93</c:v>
                </c:pt>
                <c:pt idx="65">
                  <c:v>4294.6799999999994</c:v>
                </c:pt>
                <c:pt idx="66">
                  <c:v>4523.37</c:v>
                </c:pt>
                <c:pt idx="67">
                  <c:v>5113.4800000000005</c:v>
                </c:pt>
                <c:pt idx="68">
                  <c:v>4475.5199999999995</c:v>
                </c:pt>
                <c:pt idx="69">
                  <c:v>4416.13</c:v>
                </c:pt>
              </c:numCache>
            </c:numRef>
          </c:val>
          <c:smooth val="0"/>
          <c:extLst>
            <c:ext xmlns:c16="http://schemas.microsoft.com/office/drawing/2014/chart" uri="{C3380CC4-5D6E-409C-BE32-E72D297353CC}">
              <c16:uniqueId val="{00000002-4B26-4574-90CC-21C01C0848B0}"/>
            </c:ext>
          </c:extLst>
        </c:ser>
        <c:ser>
          <c:idx val="3"/>
          <c:order val="4"/>
          <c:tx>
            <c:v>Predicted NE's</c:v>
          </c:tx>
          <c:spPr>
            <a:ln w="15875" cap="rnd">
              <a:solidFill>
                <a:srgbClr val="FFC00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Analysis'!$W$5:$W$132</c:f>
              <c:numCache>
                <c:formatCode>_("$"* #,##0.00_);_("$"* \(#,##0.00\);_("$"* "-"??_);_(@_)</c:formatCode>
                <c:ptCount val="128"/>
                <c:pt idx="47">
                  <c:v>1469.96</c:v>
                </c:pt>
                <c:pt idx="48">
                  <c:v>1428.41</c:v>
                </c:pt>
                <c:pt idx="49">
                  <c:v>1791.26</c:v>
                </c:pt>
                <c:pt idx="50">
                  <c:v>1660.39</c:v>
                </c:pt>
                <c:pt idx="51">
                  <c:v>1442.3700000000001</c:v>
                </c:pt>
                <c:pt idx="52">
                  <c:v>1578.48</c:v>
                </c:pt>
                <c:pt idx="53">
                  <c:v>1964.19</c:v>
                </c:pt>
                <c:pt idx="54">
                  <c:v>1692.4899999999998</c:v>
                </c:pt>
                <c:pt idx="55">
                  <c:v>1990.04</c:v>
                </c:pt>
                <c:pt idx="56">
                  <c:v>1404.28</c:v>
                </c:pt>
                <c:pt idx="57">
                  <c:v>1442.9099999999999</c:v>
                </c:pt>
                <c:pt idx="58">
                  <c:v>1488.1599999999999</c:v>
                </c:pt>
                <c:pt idx="59">
                  <c:v>1653.2199999999998</c:v>
                </c:pt>
                <c:pt idx="60">
                  <c:v>1891.84</c:v>
                </c:pt>
                <c:pt idx="61">
                  <c:v>1783.79</c:v>
                </c:pt>
                <c:pt idx="62">
                  <c:v>1990.97</c:v>
                </c:pt>
                <c:pt idx="63">
                  <c:v>1982.74</c:v>
                </c:pt>
                <c:pt idx="64">
                  <c:v>2680.99</c:v>
                </c:pt>
                <c:pt idx="65">
                  <c:v>2559.9899999999998</c:v>
                </c:pt>
                <c:pt idx="66">
                  <c:v>2722.08</c:v>
                </c:pt>
                <c:pt idx="67">
                  <c:v>3070.88</c:v>
                </c:pt>
                <c:pt idx="68">
                  <c:v>2714.7699999999995</c:v>
                </c:pt>
                <c:pt idx="69">
                  <c:v>2884.17</c:v>
                </c:pt>
                <c:pt idx="70">
                  <c:v>3330.75</c:v>
                </c:pt>
                <c:pt idx="71">
                  <c:v>3330.75</c:v>
                </c:pt>
                <c:pt idx="72">
                  <c:v>3330.75</c:v>
                </c:pt>
                <c:pt idx="73">
                  <c:v>3330.75</c:v>
                </c:pt>
                <c:pt idx="74">
                  <c:v>3330.75</c:v>
                </c:pt>
                <c:pt idx="75">
                  <c:v>3330.75</c:v>
                </c:pt>
                <c:pt idx="76">
                  <c:v>3330.75</c:v>
                </c:pt>
                <c:pt idx="77">
                  <c:v>3330.75</c:v>
                </c:pt>
                <c:pt idx="78">
                  <c:v>3330.75</c:v>
                </c:pt>
                <c:pt idx="79">
                  <c:v>3330.75</c:v>
                </c:pt>
                <c:pt idx="80">
                  <c:v>3330.75</c:v>
                </c:pt>
                <c:pt idx="81">
                  <c:v>3330.75</c:v>
                </c:pt>
                <c:pt idx="82">
                  <c:v>3330.75</c:v>
                </c:pt>
                <c:pt idx="83">
                  <c:v>3330.75</c:v>
                </c:pt>
                <c:pt idx="84">
                  <c:v>3330.75</c:v>
                </c:pt>
                <c:pt idx="85">
                  <c:v>3330.75</c:v>
                </c:pt>
                <c:pt idx="86">
                  <c:v>3330.75</c:v>
                </c:pt>
                <c:pt idx="87">
                  <c:v>3330.75</c:v>
                </c:pt>
                <c:pt idx="88">
                  <c:v>3330.75</c:v>
                </c:pt>
                <c:pt idx="89">
                  <c:v>3330.75</c:v>
                </c:pt>
                <c:pt idx="90">
                  <c:v>3330.75</c:v>
                </c:pt>
                <c:pt idx="91">
                  <c:v>3330.75</c:v>
                </c:pt>
                <c:pt idx="92">
                  <c:v>3330.75</c:v>
                </c:pt>
                <c:pt idx="93">
                  <c:v>3330.75</c:v>
                </c:pt>
                <c:pt idx="94">
                  <c:v>3330.75</c:v>
                </c:pt>
                <c:pt idx="95">
                  <c:v>3330.75</c:v>
                </c:pt>
                <c:pt idx="96">
                  <c:v>3330.75</c:v>
                </c:pt>
                <c:pt idx="97">
                  <c:v>3330.75</c:v>
                </c:pt>
                <c:pt idx="98">
                  <c:v>3330.75</c:v>
                </c:pt>
                <c:pt idx="99">
                  <c:v>3330.75</c:v>
                </c:pt>
                <c:pt idx="100">
                  <c:v>3330.75</c:v>
                </c:pt>
                <c:pt idx="101">
                  <c:v>3330.75</c:v>
                </c:pt>
                <c:pt idx="102">
                  <c:v>3330.75</c:v>
                </c:pt>
                <c:pt idx="103">
                  <c:v>3330.75</c:v>
                </c:pt>
                <c:pt idx="104">
                  <c:v>3330.75</c:v>
                </c:pt>
                <c:pt idx="105">
                  <c:v>3330.75</c:v>
                </c:pt>
                <c:pt idx="106">
                  <c:v>3330.75</c:v>
                </c:pt>
                <c:pt idx="107">
                  <c:v>3330.75</c:v>
                </c:pt>
                <c:pt idx="108">
                  <c:v>3330.75</c:v>
                </c:pt>
                <c:pt idx="109">
                  <c:v>3330.75</c:v>
                </c:pt>
                <c:pt idx="110">
                  <c:v>3330.75</c:v>
                </c:pt>
                <c:pt idx="111">
                  <c:v>3330.75</c:v>
                </c:pt>
                <c:pt idx="112">
                  <c:v>3330.75</c:v>
                </c:pt>
                <c:pt idx="113">
                  <c:v>3330.75</c:v>
                </c:pt>
                <c:pt idx="114">
                  <c:v>3330.75</c:v>
                </c:pt>
                <c:pt idx="115">
                  <c:v>3330.75</c:v>
                </c:pt>
                <c:pt idx="116">
                  <c:v>3330.75</c:v>
                </c:pt>
                <c:pt idx="117">
                  <c:v>3330.75</c:v>
                </c:pt>
                <c:pt idx="118">
                  <c:v>3330.75</c:v>
                </c:pt>
                <c:pt idx="119">
                  <c:v>3330.75</c:v>
                </c:pt>
                <c:pt idx="120">
                  <c:v>3330.75</c:v>
                </c:pt>
                <c:pt idx="121">
                  <c:v>3330.75</c:v>
                </c:pt>
                <c:pt idx="122">
                  <c:v>3330.75</c:v>
                </c:pt>
                <c:pt idx="123">
                  <c:v>3330.75</c:v>
                </c:pt>
                <c:pt idx="124">
                  <c:v>3330.75</c:v>
                </c:pt>
                <c:pt idx="125">
                  <c:v>3330.75</c:v>
                </c:pt>
                <c:pt idx="126">
                  <c:v>3330.75</c:v>
                </c:pt>
                <c:pt idx="127">
                  <c:v>3330.75</c:v>
                </c:pt>
              </c:numCache>
            </c:numRef>
          </c:val>
          <c:smooth val="0"/>
          <c:extLst>
            <c:ext xmlns:c16="http://schemas.microsoft.com/office/drawing/2014/chart" uri="{C3380CC4-5D6E-409C-BE32-E72D297353CC}">
              <c16:uniqueId val="{00000003-4B26-4574-90CC-21C01C0848B0}"/>
            </c:ext>
          </c:extLst>
        </c:ser>
        <c:ser>
          <c:idx val="4"/>
          <c:order val="5"/>
          <c:tx>
            <c:v>Predicted UE's</c:v>
          </c:tx>
          <c:spPr>
            <a:ln w="15875" cap="rnd">
              <a:solidFill>
                <a:srgbClr val="00B05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Analysis'!$X$5:$X$132</c:f>
              <c:numCache>
                <c:formatCode>_("$"* #,##0.00_);_("$"* \(#,##0.00\);_("$"* "-"??_);_(@_)</c:formatCode>
                <c:ptCount val="128"/>
                <c:pt idx="47">
                  <c:v>1204.27</c:v>
                </c:pt>
                <c:pt idx="48">
                  <c:v>1179.9699999999998</c:v>
                </c:pt>
                <c:pt idx="49">
                  <c:v>1062.67</c:v>
                </c:pt>
                <c:pt idx="50">
                  <c:v>1152.6300000000001</c:v>
                </c:pt>
                <c:pt idx="51">
                  <c:v>1134.72</c:v>
                </c:pt>
                <c:pt idx="52">
                  <c:v>1455.0900000000001</c:v>
                </c:pt>
                <c:pt idx="53">
                  <c:v>1454.67</c:v>
                </c:pt>
                <c:pt idx="54">
                  <c:v>1491.76</c:v>
                </c:pt>
                <c:pt idx="55">
                  <c:v>1454.33</c:v>
                </c:pt>
                <c:pt idx="56">
                  <c:v>1098.78</c:v>
                </c:pt>
                <c:pt idx="57">
                  <c:v>1127.54</c:v>
                </c:pt>
                <c:pt idx="58">
                  <c:v>1277.98</c:v>
                </c:pt>
                <c:pt idx="59">
                  <c:v>1189.18</c:v>
                </c:pt>
                <c:pt idx="60">
                  <c:v>1427</c:v>
                </c:pt>
                <c:pt idx="61">
                  <c:v>1918.3400000000001</c:v>
                </c:pt>
                <c:pt idx="62">
                  <c:v>2031.64</c:v>
                </c:pt>
                <c:pt idx="63">
                  <c:v>996.69999999999993</c:v>
                </c:pt>
                <c:pt idx="64">
                  <c:v>1425.94</c:v>
                </c:pt>
                <c:pt idx="65">
                  <c:v>1734.6899999999998</c:v>
                </c:pt>
                <c:pt idx="66">
                  <c:v>1801.29</c:v>
                </c:pt>
                <c:pt idx="67">
                  <c:v>2042.6000000000001</c:v>
                </c:pt>
                <c:pt idx="68">
                  <c:v>1760.75</c:v>
                </c:pt>
                <c:pt idx="69">
                  <c:v>1531.96</c:v>
                </c:pt>
                <c:pt idx="70">
                  <c:v>1382.67</c:v>
                </c:pt>
                <c:pt idx="71">
                  <c:v>755.88</c:v>
                </c:pt>
                <c:pt idx="72">
                  <c:v>755.88</c:v>
                </c:pt>
                <c:pt idx="73">
                  <c:v>755.88</c:v>
                </c:pt>
                <c:pt idx="74">
                  <c:v>755.88</c:v>
                </c:pt>
                <c:pt idx="75">
                  <c:v>755.88</c:v>
                </c:pt>
                <c:pt idx="76">
                  <c:v>755.88</c:v>
                </c:pt>
                <c:pt idx="77">
                  <c:v>755.88</c:v>
                </c:pt>
                <c:pt idx="78">
                  <c:v>755.88</c:v>
                </c:pt>
                <c:pt idx="79">
                  <c:v>755.88</c:v>
                </c:pt>
                <c:pt idx="80">
                  <c:v>755.88</c:v>
                </c:pt>
                <c:pt idx="81">
                  <c:v>755.88</c:v>
                </c:pt>
                <c:pt idx="82">
                  <c:v>755.88</c:v>
                </c:pt>
                <c:pt idx="83">
                  <c:v>755.88</c:v>
                </c:pt>
                <c:pt idx="84">
                  <c:v>755.88</c:v>
                </c:pt>
                <c:pt idx="85">
                  <c:v>755.88</c:v>
                </c:pt>
                <c:pt idx="86">
                  <c:v>755.88</c:v>
                </c:pt>
                <c:pt idx="87">
                  <c:v>755.88</c:v>
                </c:pt>
                <c:pt idx="88">
                  <c:v>755.88</c:v>
                </c:pt>
                <c:pt idx="89">
                  <c:v>755.88</c:v>
                </c:pt>
                <c:pt idx="90">
                  <c:v>755.88</c:v>
                </c:pt>
                <c:pt idx="91">
                  <c:v>755.88</c:v>
                </c:pt>
                <c:pt idx="92">
                  <c:v>755.88</c:v>
                </c:pt>
                <c:pt idx="93">
                  <c:v>755.88</c:v>
                </c:pt>
                <c:pt idx="94">
                  <c:v>755.88</c:v>
                </c:pt>
                <c:pt idx="95">
                  <c:v>755.88</c:v>
                </c:pt>
                <c:pt idx="96">
                  <c:v>755.88</c:v>
                </c:pt>
                <c:pt idx="97">
                  <c:v>755.88</c:v>
                </c:pt>
                <c:pt idx="98">
                  <c:v>755.88</c:v>
                </c:pt>
                <c:pt idx="99">
                  <c:v>755.88</c:v>
                </c:pt>
                <c:pt idx="100">
                  <c:v>755.88</c:v>
                </c:pt>
                <c:pt idx="101">
                  <c:v>755.88</c:v>
                </c:pt>
                <c:pt idx="102">
                  <c:v>755.88</c:v>
                </c:pt>
                <c:pt idx="103">
                  <c:v>755.88</c:v>
                </c:pt>
                <c:pt idx="104">
                  <c:v>755.88</c:v>
                </c:pt>
                <c:pt idx="105">
                  <c:v>755.88</c:v>
                </c:pt>
                <c:pt idx="106">
                  <c:v>755.88</c:v>
                </c:pt>
                <c:pt idx="107">
                  <c:v>755.88</c:v>
                </c:pt>
                <c:pt idx="108">
                  <c:v>755.88</c:v>
                </c:pt>
                <c:pt idx="109">
                  <c:v>755.88</c:v>
                </c:pt>
                <c:pt idx="110">
                  <c:v>755.88</c:v>
                </c:pt>
                <c:pt idx="111">
                  <c:v>755.88</c:v>
                </c:pt>
                <c:pt idx="112">
                  <c:v>755.88</c:v>
                </c:pt>
                <c:pt idx="113">
                  <c:v>755.88</c:v>
                </c:pt>
                <c:pt idx="114">
                  <c:v>755.88</c:v>
                </c:pt>
                <c:pt idx="115">
                  <c:v>755.88</c:v>
                </c:pt>
                <c:pt idx="116">
                  <c:v>755.88</c:v>
                </c:pt>
                <c:pt idx="117">
                  <c:v>755.88</c:v>
                </c:pt>
                <c:pt idx="118">
                  <c:v>755.88</c:v>
                </c:pt>
                <c:pt idx="119">
                  <c:v>755.88</c:v>
                </c:pt>
                <c:pt idx="120">
                  <c:v>755.88</c:v>
                </c:pt>
                <c:pt idx="121">
                  <c:v>755.88</c:v>
                </c:pt>
                <c:pt idx="122">
                  <c:v>755.88</c:v>
                </c:pt>
                <c:pt idx="123">
                  <c:v>755.88</c:v>
                </c:pt>
                <c:pt idx="124">
                  <c:v>755.88</c:v>
                </c:pt>
                <c:pt idx="125">
                  <c:v>755.88</c:v>
                </c:pt>
                <c:pt idx="126">
                  <c:v>755.88</c:v>
                </c:pt>
                <c:pt idx="127">
                  <c:v>755.88</c:v>
                </c:pt>
              </c:numCache>
            </c:numRef>
          </c:val>
          <c:smooth val="0"/>
          <c:extLst>
            <c:ext xmlns:c16="http://schemas.microsoft.com/office/drawing/2014/chart" uri="{C3380CC4-5D6E-409C-BE32-E72D297353CC}">
              <c16:uniqueId val="{00000004-4B26-4574-90CC-21C01C0848B0}"/>
            </c:ext>
          </c:extLst>
        </c:ser>
        <c:ser>
          <c:idx val="5"/>
          <c:order val="6"/>
          <c:tx>
            <c:v>Predicted Total</c:v>
          </c:tx>
          <c:spPr>
            <a:ln w="15875" cap="rnd">
              <a:solidFill>
                <a:srgbClr val="FF2929"/>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Analysis'!$Y$5:$Y$132</c:f>
              <c:numCache>
                <c:formatCode>_("$"* #,##0.00_);_("$"* \(#,##0.00\);_("$"* "-"??_);_(@_)</c:formatCode>
                <c:ptCount val="128"/>
                <c:pt idx="47">
                  <c:v>2674.23</c:v>
                </c:pt>
                <c:pt idx="48">
                  <c:v>2608.38</c:v>
                </c:pt>
                <c:pt idx="49">
                  <c:v>2853.9300000000003</c:v>
                </c:pt>
                <c:pt idx="50">
                  <c:v>2813.0200000000004</c:v>
                </c:pt>
                <c:pt idx="51">
                  <c:v>2577.09</c:v>
                </c:pt>
                <c:pt idx="52">
                  <c:v>3033.57</c:v>
                </c:pt>
                <c:pt idx="53">
                  <c:v>3418.86</c:v>
                </c:pt>
                <c:pt idx="54">
                  <c:v>3184.25</c:v>
                </c:pt>
                <c:pt idx="55">
                  <c:v>3444.37</c:v>
                </c:pt>
                <c:pt idx="56">
                  <c:v>2503.06</c:v>
                </c:pt>
                <c:pt idx="57">
                  <c:v>2570.4499999999998</c:v>
                </c:pt>
                <c:pt idx="58">
                  <c:v>2766.14</c:v>
                </c:pt>
                <c:pt idx="59">
                  <c:v>2842.3999999999996</c:v>
                </c:pt>
                <c:pt idx="60">
                  <c:v>3318.84</c:v>
                </c:pt>
                <c:pt idx="61">
                  <c:v>3702.13</c:v>
                </c:pt>
                <c:pt idx="62">
                  <c:v>4022.61</c:v>
                </c:pt>
                <c:pt idx="63">
                  <c:v>2979.44</c:v>
                </c:pt>
                <c:pt idx="64">
                  <c:v>4106.93</c:v>
                </c:pt>
                <c:pt idx="65">
                  <c:v>4294.6799999999994</c:v>
                </c:pt>
                <c:pt idx="66">
                  <c:v>4523.37</c:v>
                </c:pt>
                <c:pt idx="67">
                  <c:v>5113.4800000000005</c:v>
                </c:pt>
                <c:pt idx="68">
                  <c:v>4475.5199999999995</c:v>
                </c:pt>
                <c:pt idx="69">
                  <c:v>4416.13</c:v>
                </c:pt>
                <c:pt idx="70">
                  <c:v>4713.42</c:v>
                </c:pt>
                <c:pt idx="71">
                  <c:v>4086.63</c:v>
                </c:pt>
                <c:pt idx="72">
                  <c:v>4086.63</c:v>
                </c:pt>
                <c:pt idx="73">
                  <c:v>4086.63</c:v>
                </c:pt>
                <c:pt idx="74">
                  <c:v>4086.63</c:v>
                </c:pt>
                <c:pt idx="75">
                  <c:v>4086.63</c:v>
                </c:pt>
                <c:pt idx="76">
                  <c:v>4086.63</c:v>
                </c:pt>
                <c:pt idx="77">
                  <c:v>4086.63</c:v>
                </c:pt>
                <c:pt idx="78">
                  <c:v>4086.63</c:v>
                </c:pt>
                <c:pt idx="79">
                  <c:v>4086.63</c:v>
                </c:pt>
                <c:pt idx="80">
                  <c:v>4086.63</c:v>
                </c:pt>
                <c:pt idx="81">
                  <c:v>4086.63</c:v>
                </c:pt>
                <c:pt idx="82">
                  <c:v>4086.63</c:v>
                </c:pt>
                <c:pt idx="83">
                  <c:v>4086.63</c:v>
                </c:pt>
                <c:pt idx="84">
                  <c:v>4086.63</c:v>
                </c:pt>
                <c:pt idx="85">
                  <c:v>4086.63</c:v>
                </c:pt>
                <c:pt idx="86">
                  <c:v>4086.63</c:v>
                </c:pt>
                <c:pt idx="87">
                  <c:v>4086.63</c:v>
                </c:pt>
                <c:pt idx="88">
                  <c:v>4086.63</c:v>
                </c:pt>
                <c:pt idx="89">
                  <c:v>4086.63</c:v>
                </c:pt>
                <c:pt idx="90">
                  <c:v>4086.63</c:v>
                </c:pt>
                <c:pt idx="91">
                  <c:v>4086.63</c:v>
                </c:pt>
                <c:pt idx="92">
                  <c:v>4086.63</c:v>
                </c:pt>
                <c:pt idx="93">
                  <c:v>4086.63</c:v>
                </c:pt>
                <c:pt idx="94">
                  <c:v>4086.63</c:v>
                </c:pt>
                <c:pt idx="95">
                  <c:v>4086.63</c:v>
                </c:pt>
                <c:pt idx="96">
                  <c:v>4086.63</c:v>
                </c:pt>
                <c:pt idx="97">
                  <c:v>4086.63</c:v>
                </c:pt>
                <c:pt idx="98">
                  <c:v>4086.63</c:v>
                </c:pt>
                <c:pt idx="99">
                  <c:v>4086.63</c:v>
                </c:pt>
                <c:pt idx="100">
                  <c:v>4086.63</c:v>
                </c:pt>
                <c:pt idx="101">
                  <c:v>4086.63</c:v>
                </c:pt>
                <c:pt idx="102">
                  <c:v>4086.63</c:v>
                </c:pt>
                <c:pt idx="103">
                  <c:v>4086.63</c:v>
                </c:pt>
                <c:pt idx="104">
                  <c:v>4086.63</c:v>
                </c:pt>
                <c:pt idx="105">
                  <c:v>4086.63</c:v>
                </c:pt>
                <c:pt idx="106">
                  <c:v>4086.63</c:v>
                </c:pt>
                <c:pt idx="107">
                  <c:v>4086.63</c:v>
                </c:pt>
                <c:pt idx="108">
                  <c:v>4086.63</c:v>
                </c:pt>
                <c:pt idx="109">
                  <c:v>4086.63</c:v>
                </c:pt>
                <c:pt idx="110">
                  <c:v>4086.63</c:v>
                </c:pt>
                <c:pt idx="111">
                  <c:v>4086.63</c:v>
                </c:pt>
                <c:pt idx="112">
                  <c:v>4086.63</c:v>
                </c:pt>
                <c:pt idx="113">
                  <c:v>4086.63</c:v>
                </c:pt>
                <c:pt idx="114">
                  <c:v>4086.63</c:v>
                </c:pt>
                <c:pt idx="115">
                  <c:v>4086.63</c:v>
                </c:pt>
                <c:pt idx="116">
                  <c:v>4086.63</c:v>
                </c:pt>
                <c:pt idx="117">
                  <c:v>4086.63</c:v>
                </c:pt>
                <c:pt idx="118">
                  <c:v>4086.63</c:v>
                </c:pt>
                <c:pt idx="119">
                  <c:v>4086.63</c:v>
                </c:pt>
                <c:pt idx="120">
                  <c:v>4086.63</c:v>
                </c:pt>
                <c:pt idx="121">
                  <c:v>4086.63</c:v>
                </c:pt>
                <c:pt idx="122">
                  <c:v>4086.63</c:v>
                </c:pt>
                <c:pt idx="123">
                  <c:v>4086.63</c:v>
                </c:pt>
                <c:pt idx="124">
                  <c:v>4086.63</c:v>
                </c:pt>
                <c:pt idx="125">
                  <c:v>4086.63</c:v>
                </c:pt>
                <c:pt idx="126">
                  <c:v>4086.63</c:v>
                </c:pt>
                <c:pt idx="127">
                  <c:v>4086.63</c:v>
                </c:pt>
              </c:numCache>
            </c:numRef>
          </c:val>
          <c:smooth val="0"/>
          <c:extLst>
            <c:ext xmlns:c16="http://schemas.microsoft.com/office/drawing/2014/chart" uri="{C3380CC4-5D6E-409C-BE32-E72D297353CC}">
              <c16:uniqueId val="{00000005-4B26-4574-90CC-21C01C0848B0}"/>
            </c:ext>
          </c:extLst>
        </c:ser>
        <c:dLbls>
          <c:showLegendKey val="0"/>
          <c:showVal val="0"/>
          <c:showCatName val="0"/>
          <c:showSerName val="0"/>
          <c:showPercent val="0"/>
          <c:showBubbleSize val="0"/>
        </c:dLbls>
        <c:smooth val="0"/>
        <c:axId val="1835843071"/>
        <c:axId val="1835543695"/>
      </c:lineChart>
      <c:dateAx>
        <c:axId val="1835843071"/>
        <c:scaling>
          <c:orientation val="minMax"/>
        </c:scaling>
        <c:delete val="0"/>
        <c:axPos val="b"/>
        <c:numFmt formatCode="[$-409]mmm\-yy;@" sourceLinked="0"/>
        <c:majorTickMark val="out"/>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lgn="ctr">
              <a:defRPr lang="en-US" sz="900" b="0" i="0" u="none" strike="noStrike" kern="1200" baseline="0">
                <a:solidFill>
                  <a:schemeClr val="tx1"/>
                </a:solidFill>
                <a:effectLst/>
                <a:latin typeface="+mn-lt"/>
                <a:ea typeface="+mn-ea"/>
                <a:cs typeface="+mn-cs"/>
              </a:defRPr>
            </a:pPr>
            <a:endParaRPr lang="en-US"/>
          </a:p>
        </c:txPr>
        <c:crossAx val="1835543695"/>
        <c:crossesAt val="0"/>
        <c:auto val="0"/>
        <c:lblOffset val="100"/>
        <c:baseTimeUnit val="months"/>
        <c:minorUnit val="1"/>
      </c:dateAx>
      <c:valAx>
        <c:axId val="1835543695"/>
        <c:scaling>
          <c:orientation val="minMax"/>
          <c:min val="0"/>
        </c:scaling>
        <c:delete val="0"/>
        <c:axPos val="l"/>
        <c:numFmt formatCode="_(&quot;$&quot;* #,##0_);_(&quot;$&quot;* \(#,##0\);_(&quot;$&quot;* &quot;-&quot;_);_(@_)" sourceLinked="0"/>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35843071"/>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Commoditties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lotArea>
      <c:layout>
        <c:manualLayout>
          <c:layoutTarget val="inner"/>
          <c:xMode val="edge"/>
          <c:yMode val="edge"/>
          <c:x val="7.7769848995054194E-2"/>
          <c:y val="7.4909944620274255E-2"/>
          <c:w val="0.89995736711481955"/>
          <c:h val="0.64991397427634712"/>
        </c:manualLayout>
      </c:layout>
      <c:lineChart>
        <c:grouping val="standard"/>
        <c:varyColors val="0"/>
        <c:ser>
          <c:idx val="0"/>
          <c:order val="0"/>
          <c:tx>
            <c:v>Predicted Grub</c:v>
          </c:tx>
          <c:spPr>
            <a:ln w="15875" cap="rnd">
              <a:solidFill>
                <a:srgbClr val="FF000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Analysis'!$T$5:$T$132</c:f>
              <c:numCache>
                <c:formatCode>_("$"* #,##0.00_);_("$"* \(#,##0.00\);_("$"* "-"??_);_(@_)</c:formatCode>
                <c:ptCount val="128"/>
                <c:pt idx="0">
                  <c:v>250</c:v>
                </c:pt>
                <c:pt idx="1">
                  <c:v>250</c:v>
                </c:pt>
                <c:pt idx="2">
                  <c:v>250</c:v>
                </c:pt>
                <c:pt idx="3">
                  <c:v>300</c:v>
                </c:pt>
                <c:pt idx="4">
                  <c:v>300</c:v>
                </c:pt>
                <c:pt idx="5">
                  <c:v>350</c:v>
                </c:pt>
                <c:pt idx="6">
                  <c:v>350</c:v>
                </c:pt>
                <c:pt idx="7">
                  <c:v>350</c:v>
                </c:pt>
                <c:pt idx="8">
                  <c:v>350</c:v>
                </c:pt>
                <c:pt idx="9">
                  <c:v>250</c:v>
                </c:pt>
                <c:pt idx="10">
                  <c:v>300</c:v>
                </c:pt>
                <c:pt idx="11">
                  <c:v>250</c:v>
                </c:pt>
                <c:pt idx="12">
                  <c:v>250</c:v>
                </c:pt>
                <c:pt idx="13">
                  <c:v>300</c:v>
                </c:pt>
                <c:pt idx="14">
                  <c:v>300</c:v>
                </c:pt>
                <c:pt idx="15">
                  <c:v>300</c:v>
                </c:pt>
                <c:pt idx="16">
                  <c:v>300</c:v>
                </c:pt>
                <c:pt idx="17">
                  <c:v>300</c:v>
                </c:pt>
                <c:pt idx="18">
                  <c:v>300</c:v>
                </c:pt>
                <c:pt idx="19">
                  <c:v>300</c:v>
                </c:pt>
                <c:pt idx="20">
                  <c:v>350</c:v>
                </c:pt>
                <c:pt idx="21">
                  <c:v>350</c:v>
                </c:pt>
                <c:pt idx="22">
                  <c:v>350</c:v>
                </c:pt>
                <c:pt idx="23">
                  <c:v>400</c:v>
                </c:pt>
                <c:pt idx="24">
                  <c:v>400</c:v>
                </c:pt>
                <c:pt idx="25">
                  <c:v>400</c:v>
                </c:pt>
                <c:pt idx="26">
                  <c:v>500</c:v>
                </c:pt>
                <c:pt idx="27">
                  <c:v>500</c:v>
                </c:pt>
                <c:pt idx="28">
                  <c:v>500</c:v>
                </c:pt>
                <c:pt idx="29">
                  <c:v>400</c:v>
                </c:pt>
                <c:pt idx="30">
                  <c:v>350</c:v>
                </c:pt>
                <c:pt idx="31">
                  <c:v>350</c:v>
                </c:pt>
                <c:pt idx="32">
                  <c:v>350</c:v>
                </c:pt>
                <c:pt idx="33">
                  <c:v>350</c:v>
                </c:pt>
                <c:pt idx="34">
                  <c:v>350</c:v>
                </c:pt>
                <c:pt idx="35">
                  <c:v>350</c:v>
                </c:pt>
                <c:pt idx="36">
                  <c:v>350</c:v>
                </c:pt>
                <c:pt idx="37">
                  <c:v>350</c:v>
                </c:pt>
                <c:pt idx="38">
                  <c:v>350</c:v>
                </c:pt>
                <c:pt idx="39">
                  <c:v>350</c:v>
                </c:pt>
                <c:pt idx="40">
                  <c:v>350</c:v>
                </c:pt>
                <c:pt idx="41">
                  <c:v>350</c:v>
                </c:pt>
                <c:pt idx="42">
                  <c:v>350</c:v>
                </c:pt>
                <c:pt idx="43">
                  <c:v>350</c:v>
                </c:pt>
                <c:pt idx="44">
                  <c:v>400</c:v>
                </c:pt>
                <c:pt idx="45">
                  <c:v>400</c:v>
                </c:pt>
                <c:pt idx="46">
                  <c:v>400</c:v>
                </c:pt>
                <c:pt idx="47">
                  <c:v>400</c:v>
                </c:pt>
                <c:pt idx="48">
                  <c:v>400</c:v>
                </c:pt>
                <c:pt idx="49">
                  <c:v>400</c:v>
                </c:pt>
                <c:pt idx="50">
                  <c:v>400</c:v>
                </c:pt>
                <c:pt idx="51">
                  <c:v>400</c:v>
                </c:pt>
                <c:pt idx="52">
                  <c:v>400</c:v>
                </c:pt>
                <c:pt idx="53">
                  <c:v>400</c:v>
                </c:pt>
                <c:pt idx="54">
                  <c:v>400</c:v>
                </c:pt>
                <c:pt idx="55">
                  <c:v>400</c:v>
                </c:pt>
                <c:pt idx="56">
                  <c:v>400</c:v>
                </c:pt>
                <c:pt idx="57">
                  <c:v>400</c:v>
                </c:pt>
                <c:pt idx="58">
                  <c:v>400</c:v>
                </c:pt>
                <c:pt idx="59">
                  <c:v>400</c:v>
                </c:pt>
                <c:pt idx="60">
                  <c:v>400</c:v>
                </c:pt>
                <c:pt idx="61">
                  <c:v>400</c:v>
                </c:pt>
                <c:pt idx="62">
                  <c:v>400</c:v>
                </c:pt>
                <c:pt idx="63">
                  <c:v>400</c:v>
                </c:pt>
                <c:pt idx="64">
                  <c:v>400</c:v>
                </c:pt>
                <c:pt idx="65">
                  <c:v>400</c:v>
                </c:pt>
                <c:pt idx="66">
                  <c:v>400</c:v>
                </c:pt>
                <c:pt idx="67">
                  <c:v>400</c:v>
                </c:pt>
                <c:pt idx="68">
                  <c:v>400</c:v>
                </c:pt>
                <c:pt idx="69">
                  <c:v>400</c:v>
                </c:pt>
                <c:pt idx="70">
                  <c:v>400</c:v>
                </c:pt>
                <c:pt idx="71">
                  <c:v>400</c:v>
                </c:pt>
                <c:pt idx="72">
                  <c:v>400</c:v>
                </c:pt>
                <c:pt idx="73">
                  <c:v>400</c:v>
                </c:pt>
                <c:pt idx="74">
                  <c:v>400</c:v>
                </c:pt>
                <c:pt idx="75">
                  <c:v>400</c:v>
                </c:pt>
                <c:pt idx="76">
                  <c:v>400</c:v>
                </c:pt>
                <c:pt idx="77">
                  <c:v>400</c:v>
                </c:pt>
                <c:pt idx="78">
                  <c:v>400</c:v>
                </c:pt>
                <c:pt idx="79">
                  <c:v>400</c:v>
                </c:pt>
                <c:pt idx="80">
                  <c:v>400</c:v>
                </c:pt>
                <c:pt idx="81">
                  <c:v>400</c:v>
                </c:pt>
                <c:pt idx="82">
                  <c:v>400</c:v>
                </c:pt>
                <c:pt idx="83">
                  <c:v>400</c:v>
                </c:pt>
                <c:pt idx="84">
                  <c:v>400</c:v>
                </c:pt>
                <c:pt idx="85">
                  <c:v>400</c:v>
                </c:pt>
                <c:pt idx="86">
                  <c:v>400</c:v>
                </c:pt>
                <c:pt idx="87">
                  <c:v>400</c:v>
                </c:pt>
                <c:pt idx="88">
                  <c:v>400</c:v>
                </c:pt>
                <c:pt idx="89">
                  <c:v>400</c:v>
                </c:pt>
                <c:pt idx="90">
                  <c:v>400</c:v>
                </c:pt>
                <c:pt idx="91">
                  <c:v>400</c:v>
                </c:pt>
                <c:pt idx="92">
                  <c:v>400</c:v>
                </c:pt>
                <c:pt idx="93">
                  <c:v>400</c:v>
                </c:pt>
                <c:pt idx="94">
                  <c:v>400</c:v>
                </c:pt>
                <c:pt idx="95">
                  <c:v>400</c:v>
                </c:pt>
                <c:pt idx="96">
                  <c:v>400</c:v>
                </c:pt>
                <c:pt idx="97">
                  <c:v>400</c:v>
                </c:pt>
                <c:pt idx="98">
                  <c:v>400</c:v>
                </c:pt>
                <c:pt idx="99">
                  <c:v>400</c:v>
                </c:pt>
                <c:pt idx="100">
                  <c:v>400</c:v>
                </c:pt>
                <c:pt idx="101">
                  <c:v>400</c:v>
                </c:pt>
                <c:pt idx="102">
                  <c:v>400</c:v>
                </c:pt>
                <c:pt idx="103">
                  <c:v>400</c:v>
                </c:pt>
                <c:pt idx="104">
                  <c:v>400</c:v>
                </c:pt>
                <c:pt idx="105">
                  <c:v>400</c:v>
                </c:pt>
                <c:pt idx="106">
                  <c:v>400</c:v>
                </c:pt>
                <c:pt idx="107">
                  <c:v>400</c:v>
                </c:pt>
                <c:pt idx="108">
                  <c:v>400</c:v>
                </c:pt>
                <c:pt idx="109">
                  <c:v>400</c:v>
                </c:pt>
                <c:pt idx="110">
                  <c:v>400</c:v>
                </c:pt>
                <c:pt idx="111">
                  <c:v>400</c:v>
                </c:pt>
                <c:pt idx="112">
                  <c:v>400</c:v>
                </c:pt>
                <c:pt idx="113">
                  <c:v>400</c:v>
                </c:pt>
                <c:pt idx="114">
                  <c:v>400</c:v>
                </c:pt>
                <c:pt idx="115">
                  <c:v>400</c:v>
                </c:pt>
                <c:pt idx="116">
                  <c:v>400</c:v>
                </c:pt>
                <c:pt idx="117">
                  <c:v>400</c:v>
                </c:pt>
                <c:pt idx="118">
                  <c:v>400</c:v>
                </c:pt>
                <c:pt idx="119">
                  <c:v>400</c:v>
                </c:pt>
                <c:pt idx="120">
                  <c:v>400</c:v>
                </c:pt>
                <c:pt idx="121">
                  <c:v>400</c:v>
                </c:pt>
                <c:pt idx="122">
                  <c:v>400</c:v>
                </c:pt>
                <c:pt idx="123">
                  <c:v>400</c:v>
                </c:pt>
                <c:pt idx="124">
                  <c:v>400</c:v>
                </c:pt>
                <c:pt idx="125">
                  <c:v>400</c:v>
                </c:pt>
                <c:pt idx="126">
                  <c:v>400</c:v>
                </c:pt>
                <c:pt idx="127">
                  <c:v>400</c:v>
                </c:pt>
              </c:numCache>
            </c:numRef>
          </c:val>
          <c:smooth val="0"/>
          <c:extLst>
            <c:ext xmlns:c16="http://schemas.microsoft.com/office/drawing/2014/chart" uri="{C3380CC4-5D6E-409C-BE32-E72D297353CC}">
              <c16:uniqueId val="{00000000-103D-436B-9880-45064DB7C778}"/>
            </c:ext>
          </c:extLst>
        </c:ser>
        <c:ser>
          <c:idx val="1"/>
          <c:order val="1"/>
          <c:tx>
            <c:v>Food/Drink</c:v>
          </c:tx>
          <c:spPr>
            <a:ln w="19050" cap="rnd">
              <a:solidFill>
                <a:srgbClr val="F23A00"/>
              </a:solidFill>
            </a:ln>
            <a:effectLst>
              <a:glow rad="76200">
                <a:srgbClr val="FF00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Analysis'!$AA$5:$AA$132</c:f>
              <c:numCache>
                <c:formatCode>_("$"* #,##0.00_);_("$"* \(#,##0.00\);_("$"* "-"??_);_(@_)</c:formatCode>
                <c:ptCount val="128"/>
                <c:pt idx="0">
                  <c:v>240</c:v>
                </c:pt>
                <c:pt idx="1">
                  <c:v>247.76</c:v>
                </c:pt>
                <c:pt idx="2">
                  <c:v>280.15000000000003</c:v>
                </c:pt>
                <c:pt idx="3">
                  <c:v>335.02</c:v>
                </c:pt>
                <c:pt idx="4">
                  <c:v>350.76999999999992</c:v>
                </c:pt>
                <c:pt idx="5">
                  <c:v>289.27999999999997</c:v>
                </c:pt>
                <c:pt idx="6">
                  <c:v>280.55</c:v>
                </c:pt>
                <c:pt idx="7">
                  <c:v>269</c:v>
                </c:pt>
                <c:pt idx="8">
                  <c:v>249.27000000000004</c:v>
                </c:pt>
                <c:pt idx="9">
                  <c:v>218.02</c:v>
                </c:pt>
                <c:pt idx="10">
                  <c:v>195.14999999999998</c:v>
                </c:pt>
                <c:pt idx="11">
                  <c:v>250.29000000000002</c:v>
                </c:pt>
                <c:pt idx="12">
                  <c:v>263.29000000000002</c:v>
                </c:pt>
                <c:pt idx="13">
                  <c:v>307.92</c:v>
                </c:pt>
                <c:pt idx="14">
                  <c:v>290.85000000000002</c:v>
                </c:pt>
                <c:pt idx="15">
                  <c:v>305.31</c:v>
                </c:pt>
                <c:pt idx="16">
                  <c:v>396.15999999999991</c:v>
                </c:pt>
                <c:pt idx="17">
                  <c:v>273.86</c:v>
                </c:pt>
                <c:pt idx="18">
                  <c:v>405.91999999999996</c:v>
                </c:pt>
                <c:pt idx="19">
                  <c:v>451.51</c:v>
                </c:pt>
                <c:pt idx="20">
                  <c:v>348.52000000000004</c:v>
                </c:pt>
                <c:pt idx="21">
                  <c:v>307.10000000000002</c:v>
                </c:pt>
                <c:pt idx="22">
                  <c:v>564.87000000000012</c:v>
                </c:pt>
                <c:pt idx="23">
                  <c:v>383.9</c:v>
                </c:pt>
                <c:pt idx="24">
                  <c:v>581.73999999999978</c:v>
                </c:pt>
                <c:pt idx="25">
                  <c:v>674.57999999999993</c:v>
                </c:pt>
                <c:pt idx="26">
                  <c:v>543.71999999999991</c:v>
                </c:pt>
                <c:pt idx="27">
                  <c:v>498.76</c:v>
                </c:pt>
                <c:pt idx="28">
                  <c:v>673.68000000000006</c:v>
                </c:pt>
                <c:pt idx="29">
                  <c:v>619.19999999999982</c:v>
                </c:pt>
                <c:pt idx="30">
                  <c:v>523.5200000000001</c:v>
                </c:pt>
                <c:pt idx="31">
                  <c:v>397.55999999999995</c:v>
                </c:pt>
                <c:pt idx="32">
                  <c:v>408.37</c:v>
                </c:pt>
                <c:pt idx="33">
                  <c:v>232.7</c:v>
                </c:pt>
                <c:pt idx="34">
                  <c:v>473.38000000000011</c:v>
                </c:pt>
                <c:pt idx="35">
                  <c:v>296</c:v>
                </c:pt>
                <c:pt idx="36">
                  <c:v>337.46</c:v>
                </c:pt>
                <c:pt idx="37">
                  <c:v>531</c:v>
                </c:pt>
                <c:pt idx="38">
                  <c:v>832.00000000000011</c:v>
                </c:pt>
                <c:pt idx="39">
                  <c:v>481.11</c:v>
                </c:pt>
                <c:pt idx="40">
                  <c:v>631.79</c:v>
                </c:pt>
                <c:pt idx="41">
                  <c:v>610.11000000000013</c:v>
                </c:pt>
                <c:pt idx="42">
                  <c:v>455.66000000000008</c:v>
                </c:pt>
                <c:pt idx="43">
                  <c:v>400.14</c:v>
                </c:pt>
                <c:pt idx="44">
                  <c:v>170.99</c:v>
                </c:pt>
                <c:pt idx="45">
                  <c:v>131.58000000000001</c:v>
                </c:pt>
                <c:pt idx="46">
                  <c:v>56.28</c:v>
                </c:pt>
                <c:pt idx="47">
                  <c:v>107.05000000000001</c:v>
                </c:pt>
                <c:pt idx="48">
                  <c:v>187.41</c:v>
                </c:pt>
                <c:pt idx="49">
                  <c:v>144.37</c:v>
                </c:pt>
                <c:pt idx="50">
                  <c:v>211.00000000000003</c:v>
                </c:pt>
                <c:pt idx="51">
                  <c:v>88.83</c:v>
                </c:pt>
                <c:pt idx="52">
                  <c:v>141.15</c:v>
                </c:pt>
                <c:pt idx="53">
                  <c:v>273.12</c:v>
                </c:pt>
                <c:pt idx="54">
                  <c:v>147.35</c:v>
                </c:pt>
                <c:pt idx="55">
                  <c:v>92.64</c:v>
                </c:pt>
                <c:pt idx="56">
                  <c:v>37.840000000000003</c:v>
                </c:pt>
                <c:pt idx="57">
                  <c:v>43.75</c:v>
                </c:pt>
                <c:pt idx="58">
                  <c:v>28.96</c:v>
                </c:pt>
                <c:pt idx="59">
                  <c:v>56.800000000000004</c:v>
                </c:pt>
                <c:pt idx="60">
                  <c:v>228.29999999999998</c:v>
                </c:pt>
                <c:pt idx="61">
                  <c:v>197.93999999999997</c:v>
                </c:pt>
                <c:pt idx="62">
                  <c:v>324.09999999999997</c:v>
                </c:pt>
                <c:pt idx="63">
                  <c:v>273.81</c:v>
                </c:pt>
                <c:pt idx="64">
                  <c:v>254.91999999999996</c:v>
                </c:pt>
                <c:pt idx="65">
                  <c:v>234.86</c:v>
                </c:pt>
                <c:pt idx="66">
                  <c:v>209.14000000000001</c:v>
                </c:pt>
                <c:pt idx="67">
                  <c:v>154.29000000000002</c:v>
                </c:pt>
                <c:pt idx="68">
                  <c:v>105.60999999999999</c:v>
                </c:pt>
                <c:pt idx="69">
                  <c:v>62.830000000000013</c:v>
                </c:pt>
                <c:pt idx="70">
                  <c:v>400</c:v>
                </c:pt>
                <c:pt idx="71">
                  <c:v>400</c:v>
                </c:pt>
                <c:pt idx="72">
                  <c:v>400</c:v>
                </c:pt>
                <c:pt idx="73">
                  <c:v>400</c:v>
                </c:pt>
                <c:pt idx="74">
                  <c:v>400</c:v>
                </c:pt>
                <c:pt idx="75">
                  <c:v>400</c:v>
                </c:pt>
                <c:pt idx="76">
                  <c:v>400</c:v>
                </c:pt>
                <c:pt idx="77">
                  <c:v>400</c:v>
                </c:pt>
                <c:pt idx="78">
                  <c:v>400</c:v>
                </c:pt>
                <c:pt idx="79">
                  <c:v>400</c:v>
                </c:pt>
                <c:pt idx="80">
                  <c:v>400</c:v>
                </c:pt>
                <c:pt idx="81">
                  <c:v>400</c:v>
                </c:pt>
                <c:pt idx="82">
                  <c:v>400</c:v>
                </c:pt>
                <c:pt idx="83">
                  <c:v>400</c:v>
                </c:pt>
                <c:pt idx="84">
                  <c:v>400</c:v>
                </c:pt>
                <c:pt idx="85">
                  <c:v>400</c:v>
                </c:pt>
                <c:pt idx="86">
                  <c:v>400</c:v>
                </c:pt>
                <c:pt idx="87">
                  <c:v>400</c:v>
                </c:pt>
                <c:pt idx="88">
                  <c:v>400</c:v>
                </c:pt>
                <c:pt idx="89">
                  <c:v>400</c:v>
                </c:pt>
                <c:pt idx="90">
                  <c:v>400</c:v>
                </c:pt>
                <c:pt idx="91">
                  <c:v>400</c:v>
                </c:pt>
                <c:pt idx="92">
                  <c:v>400</c:v>
                </c:pt>
                <c:pt idx="93">
                  <c:v>400</c:v>
                </c:pt>
                <c:pt idx="94">
                  <c:v>400</c:v>
                </c:pt>
                <c:pt idx="95">
                  <c:v>400</c:v>
                </c:pt>
                <c:pt idx="96">
                  <c:v>400</c:v>
                </c:pt>
                <c:pt idx="97">
                  <c:v>400</c:v>
                </c:pt>
                <c:pt idx="98">
                  <c:v>400</c:v>
                </c:pt>
                <c:pt idx="99">
                  <c:v>400</c:v>
                </c:pt>
                <c:pt idx="100">
                  <c:v>400</c:v>
                </c:pt>
                <c:pt idx="101">
                  <c:v>400</c:v>
                </c:pt>
                <c:pt idx="102">
                  <c:v>400</c:v>
                </c:pt>
                <c:pt idx="103">
                  <c:v>400</c:v>
                </c:pt>
                <c:pt idx="104">
                  <c:v>400</c:v>
                </c:pt>
                <c:pt idx="105">
                  <c:v>400</c:v>
                </c:pt>
                <c:pt idx="106">
                  <c:v>400</c:v>
                </c:pt>
                <c:pt idx="107">
                  <c:v>400</c:v>
                </c:pt>
                <c:pt idx="108">
                  <c:v>400</c:v>
                </c:pt>
                <c:pt idx="109">
                  <c:v>400</c:v>
                </c:pt>
                <c:pt idx="110">
                  <c:v>400</c:v>
                </c:pt>
                <c:pt idx="111">
                  <c:v>400</c:v>
                </c:pt>
                <c:pt idx="112">
                  <c:v>400</c:v>
                </c:pt>
                <c:pt idx="113">
                  <c:v>400</c:v>
                </c:pt>
                <c:pt idx="114">
                  <c:v>400</c:v>
                </c:pt>
                <c:pt idx="115">
                  <c:v>400</c:v>
                </c:pt>
                <c:pt idx="116">
                  <c:v>400</c:v>
                </c:pt>
                <c:pt idx="117">
                  <c:v>400</c:v>
                </c:pt>
                <c:pt idx="118">
                  <c:v>400</c:v>
                </c:pt>
                <c:pt idx="119">
                  <c:v>400</c:v>
                </c:pt>
                <c:pt idx="120">
                  <c:v>400</c:v>
                </c:pt>
                <c:pt idx="121">
                  <c:v>400</c:v>
                </c:pt>
                <c:pt idx="122">
                  <c:v>400</c:v>
                </c:pt>
                <c:pt idx="123">
                  <c:v>400</c:v>
                </c:pt>
                <c:pt idx="124">
                  <c:v>400</c:v>
                </c:pt>
                <c:pt idx="125">
                  <c:v>400</c:v>
                </c:pt>
                <c:pt idx="126">
                  <c:v>400</c:v>
                </c:pt>
                <c:pt idx="127">
                  <c:v>400</c:v>
                </c:pt>
              </c:numCache>
            </c:numRef>
          </c:val>
          <c:smooth val="0"/>
          <c:extLst>
            <c:ext xmlns:c16="http://schemas.microsoft.com/office/drawing/2014/chart" uri="{C3380CC4-5D6E-409C-BE32-E72D297353CC}">
              <c16:uniqueId val="{00000001-103D-436B-9880-45064DB7C778}"/>
            </c:ext>
          </c:extLst>
        </c:ser>
        <c:ser>
          <c:idx val="2"/>
          <c:order val="2"/>
          <c:tx>
            <c:v>Predicted Gas</c:v>
          </c:tx>
          <c:spPr>
            <a:ln w="15875" cap="rnd">
              <a:solidFill>
                <a:srgbClr val="FFC00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Analysis'!$S$5:$S$132</c:f>
              <c:numCache>
                <c:formatCode>_("$"* #,##0.00_);_("$"* \(#,##0.00\);_("$"* "-"??_);_(@_)</c:formatCode>
                <c:ptCount val="128"/>
                <c:pt idx="0">
                  <c:v>50</c:v>
                </c:pt>
                <c:pt idx="1">
                  <c:v>50</c:v>
                </c:pt>
                <c:pt idx="2">
                  <c:v>50</c:v>
                </c:pt>
                <c:pt idx="3">
                  <c:v>60</c:v>
                </c:pt>
                <c:pt idx="4">
                  <c:v>60</c:v>
                </c:pt>
                <c:pt idx="5">
                  <c:v>60</c:v>
                </c:pt>
                <c:pt idx="6">
                  <c:v>60</c:v>
                </c:pt>
                <c:pt idx="7">
                  <c:v>60</c:v>
                </c:pt>
                <c:pt idx="8">
                  <c:v>60</c:v>
                </c:pt>
                <c:pt idx="9">
                  <c:v>60</c:v>
                </c:pt>
                <c:pt idx="10">
                  <c:v>60</c:v>
                </c:pt>
                <c:pt idx="11">
                  <c:v>60</c:v>
                </c:pt>
                <c:pt idx="12">
                  <c:v>100</c:v>
                </c:pt>
                <c:pt idx="13">
                  <c:v>160</c:v>
                </c:pt>
                <c:pt idx="14">
                  <c:v>160</c:v>
                </c:pt>
                <c:pt idx="15">
                  <c:v>160</c:v>
                </c:pt>
                <c:pt idx="16">
                  <c:v>160</c:v>
                </c:pt>
                <c:pt idx="17">
                  <c:v>160</c:v>
                </c:pt>
                <c:pt idx="18">
                  <c:v>160</c:v>
                </c:pt>
                <c:pt idx="19">
                  <c:v>160</c:v>
                </c:pt>
                <c:pt idx="20">
                  <c:v>160</c:v>
                </c:pt>
                <c:pt idx="21">
                  <c:v>160</c:v>
                </c:pt>
                <c:pt idx="22">
                  <c:v>160</c:v>
                </c:pt>
                <c:pt idx="23">
                  <c:v>200</c:v>
                </c:pt>
                <c:pt idx="24">
                  <c:v>200</c:v>
                </c:pt>
                <c:pt idx="25">
                  <c:v>200</c:v>
                </c:pt>
                <c:pt idx="26">
                  <c:v>200</c:v>
                </c:pt>
                <c:pt idx="27">
                  <c:v>200</c:v>
                </c:pt>
                <c:pt idx="28">
                  <c:v>200</c:v>
                </c:pt>
                <c:pt idx="29">
                  <c:v>200</c:v>
                </c:pt>
                <c:pt idx="30">
                  <c:v>160</c:v>
                </c:pt>
                <c:pt idx="31">
                  <c:v>160</c:v>
                </c:pt>
                <c:pt idx="32">
                  <c:v>160</c:v>
                </c:pt>
                <c:pt idx="33">
                  <c:v>160</c:v>
                </c:pt>
                <c:pt idx="34">
                  <c:v>160</c:v>
                </c:pt>
                <c:pt idx="35">
                  <c:v>160</c:v>
                </c:pt>
                <c:pt idx="36">
                  <c:v>160</c:v>
                </c:pt>
                <c:pt idx="37">
                  <c:v>160</c:v>
                </c:pt>
                <c:pt idx="38">
                  <c:v>160</c:v>
                </c:pt>
                <c:pt idx="39">
                  <c:v>160</c:v>
                </c:pt>
                <c:pt idx="40">
                  <c:v>160</c:v>
                </c:pt>
                <c:pt idx="41">
                  <c:v>160</c:v>
                </c:pt>
                <c:pt idx="42">
                  <c:v>160</c:v>
                </c:pt>
                <c:pt idx="43">
                  <c:v>160</c:v>
                </c:pt>
                <c:pt idx="44">
                  <c:v>150</c:v>
                </c:pt>
                <c:pt idx="45">
                  <c:v>150</c:v>
                </c:pt>
                <c:pt idx="46">
                  <c:v>150</c:v>
                </c:pt>
                <c:pt idx="47">
                  <c:v>150</c:v>
                </c:pt>
                <c:pt idx="48">
                  <c:v>150</c:v>
                </c:pt>
                <c:pt idx="49">
                  <c:v>150</c:v>
                </c:pt>
                <c:pt idx="50">
                  <c:v>150</c:v>
                </c:pt>
                <c:pt idx="51">
                  <c:v>150</c:v>
                </c:pt>
                <c:pt idx="52">
                  <c:v>150</c:v>
                </c:pt>
                <c:pt idx="53">
                  <c:v>150</c:v>
                </c:pt>
                <c:pt idx="54">
                  <c:v>150</c:v>
                </c:pt>
                <c:pt idx="55">
                  <c:v>150</c:v>
                </c:pt>
                <c:pt idx="56">
                  <c:v>150</c:v>
                </c:pt>
                <c:pt idx="57">
                  <c:v>150</c:v>
                </c:pt>
                <c:pt idx="58">
                  <c:v>150</c:v>
                </c:pt>
                <c:pt idx="59">
                  <c:v>150</c:v>
                </c:pt>
                <c:pt idx="60">
                  <c:v>150</c:v>
                </c:pt>
                <c:pt idx="61">
                  <c:v>150</c:v>
                </c:pt>
                <c:pt idx="62">
                  <c:v>150</c:v>
                </c:pt>
                <c:pt idx="63">
                  <c:v>150</c:v>
                </c:pt>
                <c:pt idx="64">
                  <c:v>150</c:v>
                </c:pt>
                <c:pt idx="65">
                  <c:v>150</c:v>
                </c:pt>
                <c:pt idx="66">
                  <c:v>150</c:v>
                </c:pt>
                <c:pt idx="67">
                  <c:v>150</c:v>
                </c:pt>
                <c:pt idx="68">
                  <c:v>150</c:v>
                </c:pt>
                <c:pt idx="69">
                  <c:v>150</c:v>
                </c:pt>
                <c:pt idx="70">
                  <c:v>150</c:v>
                </c:pt>
                <c:pt idx="71">
                  <c:v>150</c:v>
                </c:pt>
                <c:pt idx="72">
                  <c:v>150</c:v>
                </c:pt>
                <c:pt idx="73">
                  <c:v>150</c:v>
                </c:pt>
                <c:pt idx="74">
                  <c:v>150</c:v>
                </c:pt>
                <c:pt idx="75">
                  <c:v>150</c:v>
                </c:pt>
                <c:pt idx="76">
                  <c:v>150</c:v>
                </c:pt>
                <c:pt idx="77">
                  <c:v>150</c:v>
                </c:pt>
                <c:pt idx="78">
                  <c:v>150</c:v>
                </c:pt>
                <c:pt idx="79">
                  <c:v>150</c:v>
                </c:pt>
                <c:pt idx="80">
                  <c:v>150</c:v>
                </c:pt>
                <c:pt idx="81">
                  <c:v>150</c:v>
                </c:pt>
                <c:pt idx="82">
                  <c:v>150</c:v>
                </c:pt>
                <c:pt idx="83">
                  <c:v>150</c:v>
                </c:pt>
                <c:pt idx="84">
                  <c:v>150</c:v>
                </c:pt>
                <c:pt idx="85">
                  <c:v>150</c:v>
                </c:pt>
                <c:pt idx="86">
                  <c:v>150</c:v>
                </c:pt>
                <c:pt idx="87">
                  <c:v>150</c:v>
                </c:pt>
                <c:pt idx="88">
                  <c:v>150</c:v>
                </c:pt>
                <c:pt idx="89">
                  <c:v>150</c:v>
                </c:pt>
                <c:pt idx="90">
                  <c:v>150</c:v>
                </c:pt>
                <c:pt idx="91">
                  <c:v>150</c:v>
                </c:pt>
                <c:pt idx="92">
                  <c:v>150</c:v>
                </c:pt>
                <c:pt idx="93">
                  <c:v>150</c:v>
                </c:pt>
                <c:pt idx="94">
                  <c:v>150</c:v>
                </c:pt>
                <c:pt idx="95">
                  <c:v>150</c:v>
                </c:pt>
                <c:pt idx="96">
                  <c:v>150</c:v>
                </c:pt>
                <c:pt idx="97">
                  <c:v>150</c:v>
                </c:pt>
                <c:pt idx="98">
                  <c:v>150</c:v>
                </c:pt>
                <c:pt idx="99">
                  <c:v>150</c:v>
                </c:pt>
                <c:pt idx="100">
                  <c:v>150</c:v>
                </c:pt>
                <c:pt idx="101">
                  <c:v>150</c:v>
                </c:pt>
                <c:pt idx="102">
                  <c:v>150</c:v>
                </c:pt>
                <c:pt idx="103">
                  <c:v>150</c:v>
                </c:pt>
                <c:pt idx="104">
                  <c:v>150</c:v>
                </c:pt>
                <c:pt idx="105">
                  <c:v>150</c:v>
                </c:pt>
                <c:pt idx="106">
                  <c:v>150</c:v>
                </c:pt>
                <c:pt idx="107">
                  <c:v>150</c:v>
                </c:pt>
                <c:pt idx="108">
                  <c:v>150</c:v>
                </c:pt>
                <c:pt idx="109">
                  <c:v>150</c:v>
                </c:pt>
                <c:pt idx="110">
                  <c:v>150</c:v>
                </c:pt>
                <c:pt idx="111">
                  <c:v>150</c:v>
                </c:pt>
                <c:pt idx="112">
                  <c:v>150</c:v>
                </c:pt>
                <c:pt idx="113">
                  <c:v>150</c:v>
                </c:pt>
                <c:pt idx="114">
                  <c:v>150</c:v>
                </c:pt>
                <c:pt idx="115">
                  <c:v>150</c:v>
                </c:pt>
                <c:pt idx="116">
                  <c:v>150</c:v>
                </c:pt>
                <c:pt idx="117">
                  <c:v>150</c:v>
                </c:pt>
                <c:pt idx="118">
                  <c:v>150</c:v>
                </c:pt>
                <c:pt idx="119">
                  <c:v>150</c:v>
                </c:pt>
                <c:pt idx="120">
                  <c:v>150</c:v>
                </c:pt>
                <c:pt idx="121">
                  <c:v>150</c:v>
                </c:pt>
                <c:pt idx="122">
                  <c:v>150</c:v>
                </c:pt>
                <c:pt idx="123">
                  <c:v>150</c:v>
                </c:pt>
                <c:pt idx="124">
                  <c:v>150</c:v>
                </c:pt>
                <c:pt idx="125">
                  <c:v>150</c:v>
                </c:pt>
                <c:pt idx="126">
                  <c:v>150</c:v>
                </c:pt>
                <c:pt idx="127">
                  <c:v>150</c:v>
                </c:pt>
              </c:numCache>
            </c:numRef>
          </c:val>
          <c:smooth val="0"/>
          <c:extLst>
            <c:ext xmlns:c16="http://schemas.microsoft.com/office/drawing/2014/chart" uri="{C3380CC4-5D6E-409C-BE32-E72D297353CC}">
              <c16:uniqueId val="{00000002-103D-436B-9880-45064DB7C778}"/>
            </c:ext>
          </c:extLst>
        </c:ser>
        <c:ser>
          <c:idx val="3"/>
          <c:order val="3"/>
          <c:tx>
            <c:v>Gas</c:v>
          </c:tx>
          <c:spPr>
            <a:ln w="19050" cap="rnd">
              <a:solidFill>
                <a:srgbClr val="FFC000"/>
              </a:solidFill>
            </a:ln>
            <a:effectLst>
              <a:glow rad="76200">
                <a:srgbClr val="FFC0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Analysis'!$Z$5:$Z$132</c:f>
              <c:numCache>
                <c:formatCode>_("$"* #,##0.00_);_("$"* \(#,##0.00\);_("$"* "-"??_);_(@_)</c:formatCode>
                <c:ptCount val="128"/>
                <c:pt idx="0">
                  <c:v>120</c:v>
                </c:pt>
                <c:pt idx="1">
                  <c:v>43.19</c:v>
                </c:pt>
                <c:pt idx="2">
                  <c:v>52.16</c:v>
                </c:pt>
                <c:pt idx="3">
                  <c:v>59.81</c:v>
                </c:pt>
                <c:pt idx="4">
                  <c:v>88.49</c:v>
                </c:pt>
                <c:pt idx="5">
                  <c:v>45.56</c:v>
                </c:pt>
                <c:pt idx="6">
                  <c:v>48.47</c:v>
                </c:pt>
                <c:pt idx="7">
                  <c:v>82.66</c:v>
                </c:pt>
                <c:pt idx="8">
                  <c:v>28.43</c:v>
                </c:pt>
                <c:pt idx="9">
                  <c:v>55.980000000000004</c:v>
                </c:pt>
                <c:pt idx="10">
                  <c:v>53.58</c:v>
                </c:pt>
                <c:pt idx="11">
                  <c:v>70.930000000000007</c:v>
                </c:pt>
                <c:pt idx="12">
                  <c:v>145.55000000000001</c:v>
                </c:pt>
                <c:pt idx="13">
                  <c:v>160.44</c:v>
                </c:pt>
                <c:pt idx="14">
                  <c:v>147.30000000000001</c:v>
                </c:pt>
                <c:pt idx="15">
                  <c:v>188.83999999999997</c:v>
                </c:pt>
                <c:pt idx="16">
                  <c:v>155.61000000000001</c:v>
                </c:pt>
                <c:pt idx="17">
                  <c:v>163.82999999999998</c:v>
                </c:pt>
                <c:pt idx="18">
                  <c:v>153.47000000000003</c:v>
                </c:pt>
                <c:pt idx="19">
                  <c:v>181.01999999999998</c:v>
                </c:pt>
                <c:pt idx="20">
                  <c:v>200.76999999999998</c:v>
                </c:pt>
                <c:pt idx="21">
                  <c:v>191.02999999999997</c:v>
                </c:pt>
                <c:pt idx="22">
                  <c:v>218.19000000000003</c:v>
                </c:pt>
                <c:pt idx="23">
                  <c:v>281.74</c:v>
                </c:pt>
                <c:pt idx="24">
                  <c:v>239.45000000000002</c:v>
                </c:pt>
                <c:pt idx="25">
                  <c:v>293.08</c:v>
                </c:pt>
                <c:pt idx="26">
                  <c:v>228.94</c:v>
                </c:pt>
                <c:pt idx="27">
                  <c:v>216.94000000000003</c:v>
                </c:pt>
                <c:pt idx="28">
                  <c:v>184.94</c:v>
                </c:pt>
                <c:pt idx="29">
                  <c:v>205.16</c:v>
                </c:pt>
                <c:pt idx="30">
                  <c:v>178.95</c:v>
                </c:pt>
                <c:pt idx="31">
                  <c:v>157</c:v>
                </c:pt>
                <c:pt idx="32">
                  <c:v>169.01</c:v>
                </c:pt>
                <c:pt idx="33">
                  <c:v>170.38</c:v>
                </c:pt>
                <c:pt idx="34">
                  <c:v>250.6</c:v>
                </c:pt>
                <c:pt idx="35">
                  <c:v>153.17000000000002</c:v>
                </c:pt>
                <c:pt idx="36">
                  <c:v>203.83</c:v>
                </c:pt>
                <c:pt idx="37">
                  <c:v>263.52</c:v>
                </c:pt>
                <c:pt idx="38">
                  <c:v>380.46999999999997</c:v>
                </c:pt>
                <c:pt idx="39">
                  <c:v>291.97000000000003</c:v>
                </c:pt>
                <c:pt idx="40">
                  <c:v>251.67</c:v>
                </c:pt>
                <c:pt idx="41">
                  <c:v>211.77999999999997</c:v>
                </c:pt>
                <c:pt idx="42">
                  <c:v>195.75</c:v>
                </c:pt>
                <c:pt idx="43">
                  <c:v>146.61000000000001</c:v>
                </c:pt>
                <c:pt idx="44">
                  <c:v>115.4</c:v>
                </c:pt>
                <c:pt idx="45">
                  <c:v>119.50999999999999</c:v>
                </c:pt>
                <c:pt idx="46">
                  <c:v>145.36000000000001</c:v>
                </c:pt>
                <c:pt idx="47">
                  <c:v>138.89999999999998</c:v>
                </c:pt>
                <c:pt idx="48">
                  <c:v>161.00000000000003</c:v>
                </c:pt>
                <c:pt idx="49">
                  <c:v>131.88999999999999</c:v>
                </c:pt>
                <c:pt idx="50">
                  <c:v>164.39000000000001</c:v>
                </c:pt>
                <c:pt idx="51">
                  <c:v>84.86</c:v>
                </c:pt>
                <c:pt idx="52">
                  <c:v>128.73000000000002</c:v>
                </c:pt>
                <c:pt idx="53">
                  <c:v>127.4</c:v>
                </c:pt>
                <c:pt idx="54">
                  <c:v>113.97</c:v>
                </c:pt>
                <c:pt idx="55">
                  <c:v>76.11</c:v>
                </c:pt>
                <c:pt idx="56">
                  <c:v>131.44</c:v>
                </c:pt>
                <c:pt idx="57">
                  <c:v>79.16</c:v>
                </c:pt>
                <c:pt idx="58">
                  <c:v>79.199999999999989</c:v>
                </c:pt>
                <c:pt idx="59">
                  <c:v>113.74000000000001</c:v>
                </c:pt>
                <c:pt idx="60">
                  <c:v>111.79999999999998</c:v>
                </c:pt>
                <c:pt idx="61">
                  <c:v>84.37</c:v>
                </c:pt>
                <c:pt idx="62">
                  <c:v>111.87</c:v>
                </c:pt>
                <c:pt idx="63">
                  <c:v>111.97999999999999</c:v>
                </c:pt>
                <c:pt idx="64">
                  <c:v>77.72999999999999</c:v>
                </c:pt>
                <c:pt idx="65">
                  <c:v>77.13</c:v>
                </c:pt>
                <c:pt idx="66">
                  <c:v>37.71</c:v>
                </c:pt>
                <c:pt idx="67">
                  <c:v>72.789999999999992</c:v>
                </c:pt>
                <c:pt idx="68">
                  <c:v>71.91</c:v>
                </c:pt>
                <c:pt idx="69">
                  <c:v>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100</c:v>
                </c:pt>
                <c:pt idx="125">
                  <c:v>100</c:v>
                </c:pt>
                <c:pt idx="126">
                  <c:v>100</c:v>
                </c:pt>
                <c:pt idx="127">
                  <c:v>100</c:v>
                </c:pt>
              </c:numCache>
            </c:numRef>
          </c:val>
          <c:smooth val="0"/>
          <c:extLst>
            <c:ext xmlns:c16="http://schemas.microsoft.com/office/drawing/2014/chart" uri="{C3380CC4-5D6E-409C-BE32-E72D297353CC}">
              <c16:uniqueId val="{00000003-103D-436B-9880-45064DB7C778}"/>
            </c:ext>
          </c:extLst>
        </c:ser>
        <c:ser>
          <c:idx val="5"/>
          <c:order val="5"/>
          <c:tx>
            <c:v>Actual Green</c:v>
          </c:tx>
          <c:spPr>
            <a:ln w="19050" cap="rnd">
              <a:solidFill>
                <a:srgbClr val="00B050"/>
              </a:solidFill>
            </a:ln>
            <a:effectLst>
              <a:glow rad="76200">
                <a:srgbClr val="00B05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Analysis'!$AB$5:$AB$132</c:f>
              <c:numCache>
                <c:formatCode>_("$"* #,##0.00_);_("$"* \(#,##0.00\);_("$"* "-"??_);_(@_)</c:formatCode>
                <c:ptCount val="128"/>
                <c:pt idx="0">
                  <c:v>205</c:v>
                </c:pt>
                <c:pt idx="1">
                  <c:v>195</c:v>
                </c:pt>
                <c:pt idx="2">
                  <c:v>470</c:v>
                </c:pt>
                <c:pt idx="3">
                  <c:v>375</c:v>
                </c:pt>
                <c:pt idx="4">
                  <c:v>385</c:v>
                </c:pt>
                <c:pt idx="5">
                  <c:v>235</c:v>
                </c:pt>
                <c:pt idx="6">
                  <c:v>340</c:v>
                </c:pt>
                <c:pt idx="7">
                  <c:v>590</c:v>
                </c:pt>
                <c:pt idx="8">
                  <c:v>655</c:v>
                </c:pt>
                <c:pt idx="9">
                  <c:v>480</c:v>
                </c:pt>
                <c:pt idx="10">
                  <c:v>300</c:v>
                </c:pt>
                <c:pt idx="11">
                  <c:v>305</c:v>
                </c:pt>
                <c:pt idx="12">
                  <c:v>320</c:v>
                </c:pt>
                <c:pt idx="13">
                  <c:v>510</c:v>
                </c:pt>
                <c:pt idx="14">
                  <c:v>450</c:v>
                </c:pt>
                <c:pt idx="15">
                  <c:v>390</c:v>
                </c:pt>
                <c:pt idx="16">
                  <c:v>338</c:v>
                </c:pt>
                <c:pt idx="17">
                  <c:v>300</c:v>
                </c:pt>
                <c:pt idx="18">
                  <c:v>260</c:v>
                </c:pt>
                <c:pt idx="19">
                  <c:v>140</c:v>
                </c:pt>
                <c:pt idx="20">
                  <c:v>110</c:v>
                </c:pt>
                <c:pt idx="21">
                  <c:v>175</c:v>
                </c:pt>
                <c:pt idx="22">
                  <c:v>170</c:v>
                </c:pt>
                <c:pt idx="23">
                  <c:v>120</c:v>
                </c:pt>
                <c:pt idx="24">
                  <c:v>140</c:v>
                </c:pt>
                <c:pt idx="25">
                  <c:v>160</c:v>
                </c:pt>
                <c:pt idx="26">
                  <c:v>140</c:v>
                </c:pt>
                <c:pt idx="27">
                  <c:v>100</c:v>
                </c:pt>
                <c:pt idx="28">
                  <c:v>0</c:v>
                </c:pt>
                <c:pt idx="29">
                  <c:v>0</c:v>
                </c:pt>
                <c:pt idx="30">
                  <c:v>0</c:v>
                </c:pt>
                <c:pt idx="31">
                  <c:v>70</c:v>
                </c:pt>
                <c:pt idx="32">
                  <c:v>0</c:v>
                </c:pt>
                <c:pt idx="33">
                  <c:v>0</c:v>
                </c:pt>
                <c:pt idx="34">
                  <c:v>40</c:v>
                </c:pt>
                <c:pt idx="35">
                  <c:v>90</c:v>
                </c:pt>
                <c:pt idx="36">
                  <c:v>200</c:v>
                </c:pt>
                <c:pt idx="37">
                  <c:v>40</c:v>
                </c:pt>
                <c:pt idx="38">
                  <c:v>0</c:v>
                </c:pt>
                <c:pt idx="39">
                  <c:v>0</c:v>
                </c:pt>
                <c:pt idx="40">
                  <c:v>0</c:v>
                </c:pt>
                <c:pt idx="41">
                  <c:v>0</c:v>
                </c:pt>
                <c:pt idx="42">
                  <c:v>60</c:v>
                </c:pt>
                <c:pt idx="43">
                  <c:v>315</c:v>
                </c:pt>
                <c:pt idx="44">
                  <c:v>232</c:v>
                </c:pt>
                <c:pt idx="45">
                  <c:v>295</c:v>
                </c:pt>
                <c:pt idx="46">
                  <c:v>300</c:v>
                </c:pt>
                <c:pt idx="47">
                  <c:v>321</c:v>
                </c:pt>
                <c:pt idx="48">
                  <c:v>440</c:v>
                </c:pt>
                <c:pt idx="49">
                  <c:v>425</c:v>
                </c:pt>
                <c:pt idx="50">
                  <c:v>536</c:v>
                </c:pt>
                <c:pt idx="51">
                  <c:v>360</c:v>
                </c:pt>
                <c:pt idx="52">
                  <c:v>331</c:v>
                </c:pt>
                <c:pt idx="53">
                  <c:v>207</c:v>
                </c:pt>
                <c:pt idx="54">
                  <c:v>289</c:v>
                </c:pt>
                <c:pt idx="55">
                  <c:v>312</c:v>
                </c:pt>
                <c:pt idx="56">
                  <c:v>287</c:v>
                </c:pt>
                <c:pt idx="57">
                  <c:v>141</c:v>
                </c:pt>
                <c:pt idx="58">
                  <c:v>289</c:v>
                </c:pt>
                <c:pt idx="59">
                  <c:v>180</c:v>
                </c:pt>
                <c:pt idx="60">
                  <c:v>542</c:v>
                </c:pt>
                <c:pt idx="61">
                  <c:v>298</c:v>
                </c:pt>
                <c:pt idx="62">
                  <c:v>210</c:v>
                </c:pt>
                <c:pt idx="63">
                  <c:v>160</c:v>
                </c:pt>
                <c:pt idx="64">
                  <c:v>240</c:v>
                </c:pt>
                <c:pt idx="65">
                  <c:v>240</c:v>
                </c:pt>
                <c:pt idx="66">
                  <c:v>260</c:v>
                </c:pt>
                <c:pt idx="67">
                  <c:v>560</c:v>
                </c:pt>
                <c:pt idx="68">
                  <c:v>485</c:v>
                </c:pt>
                <c:pt idx="69">
                  <c:v>0</c:v>
                </c:pt>
              </c:numCache>
            </c:numRef>
          </c:val>
          <c:smooth val="0"/>
          <c:extLst xmlns:c15="http://schemas.microsoft.com/office/drawing/2012/chart">
            <c:ext xmlns:c16="http://schemas.microsoft.com/office/drawing/2014/chart" uri="{C3380CC4-5D6E-409C-BE32-E72D297353CC}">
              <c16:uniqueId val="{00000007-103D-436B-9880-45064DB7C778}"/>
            </c:ext>
          </c:extLst>
        </c:ser>
        <c:ser>
          <c:idx val="6"/>
          <c:order val="6"/>
          <c:tx>
            <c:v>Predicted Other</c:v>
          </c:tx>
          <c:spPr>
            <a:ln w="15875" cap="rnd">
              <a:solidFill>
                <a:srgbClr val="00B0F0"/>
              </a:solidFill>
              <a:prstDash val="sysDash"/>
            </a:ln>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Analysis'!$V$5:$V$132</c:f>
              <c:numCache>
                <c:formatCode>_("$"* #,##0.00_);_("$"* \(#,##0.00\);_("$"* "-"??_);_(@_)</c:formatCode>
                <c:ptCount val="128"/>
                <c:pt idx="0">
                  <c:v>50</c:v>
                </c:pt>
                <c:pt idx="1">
                  <c:v>50</c:v>
                </c:pt>
                <c:pt idx="2">
                  <c:v>50</c:v>
                </c:pt>
                <c:pt idx="3">
                  <c:v>50</c:v>
                </c:pt>
                <c:pt idx="4">
                  <c:v>50</c:v>
                </c:pt>
                <c:pt idx="5">
                  <c:v>50</c:v>
                </c:pt>
                <c:pt idx="6">
                  <c:v>50</c:v>
                </c:pt>
                <c:pt idx="7">
                  <c:v>100</c:v>
                </c:pt>
                <c:pt idx="8">
                  <c:v>50</c:v>
                </c:pt>
                <c:pt idx="9">
                  <c:v>60</c:v>
                </c:pt>
                <c:pt idx="10">
                  <c:v>60</c:v>
                </c:pt>
                <c:pt idx="11">
                  <c:v>60</c:v>
                </c:pt>
                <c:pt idx="12">
                  <c:v>60</c:v>
                </c:pt>
                <c:pt idx="13">
                  <c:v>80</c:v>
                </c:pt>
                <c:pt idx="14">
                  <c:v>80</c:v>
                </c:pt>
                <c:pt idx="15">
                  <c:v>120</c:v>
                </c:pt>
                <c:pt idx="16">
                  <c:v>120</c:v>
                </c:pt>
                <c:pt idx="17">
                  <c:v>200</c:v>
                </c:pt>
                <c:pt idx="18">
                  <c:v>200</c:v>
                </c:pt>
                <c:pt idx="19">
                  <c:v>200</c:v>
                </c:pt>
                <c:pt idx="20">
                  <c:v>150</c:v>
                </c:pt>
                <c:pt idx="21">
                  <c:v>150</c:v>
                </c:pt>
                <c:pt idx="22">
                  <c:v>150</c:v>
                </c:pt>
                <c:pt idx="23">
                  <c:v>150</c:v>
                </c:pt>
                <c:pt idx="24">
                  <c:v>150</c:v>
                </c:pt>
                <c:pt idx="25">
                  <c:v>150</c:v>
                </c:pt>
                <c:pt idx="26">
                  <c:v>150</c:v>
                </c:pt>
                <c:pt idx="27">
                  <c:v>150</c:v>
                </c:pt>
                <c:pt idx="28">
                  <c:v>150</c:v>
                </c:pt>
                <c:pt idx="29">
                  <c:v>150</c:v>
                </c:pt>
                <c:pt idx="30">
                  <c:v>150</c:v>
                </c:pt>
                <c:pt idx="31">
                  <c:v>150</c:v>
                </c:pt>
                <c:pt idx="32">
                  <c:v>150</c:v>
                </c:pt>
                <c:pt idx="33">
                  <c:v>150</c:v>
                </c:pt>
                <c:pt idx="34">
                  <c:v>150</c:v>
                </c:pt>
                <c:pt idx="35">
                  <c:v>150</c:v>
                </c:pt>
                <c:pt idx="36">
                  <c:v>150</c:v>
                </c:pt>
                <c:pt idx="37">
                  <c:v>150</c:v>
                </c:pt>
                <c:pt idx="38">
                  <c:v>150</c:v>
                </c:pt>
                <c:pt idx="39">
                  <c:v>150</c:v>
                </c:pt>
                <c:pt idx="40">
                  <c:v>150</c:v>
                </c:pt>
                <c:pt idx="41">
                  <c:v>150</c:v>
                </c:pt>
                <c:pt idx="42">
                  <c:v>150</c:v>
                </c:pt>
                <c:pt idx="43">
                  <c:v>150</c:v>
                </c:pt>
                <c:pt idx="44">
                  <c:v>200</c:v>
                </c:pt>
                <c:pt idx="45">
                  <c:v>200</c:v>
                </c:pt>
                <c:pt idx="46">
                  <c:v>200</c:v>
                </c:pt>
                <c:pt idx="47">
                  <c:v>200</c:v>
                </c:pt>
                <c:pt idx="48">
                  <c:v>200</c:v>
                </c:pt>
                <c:pt idx="49">
                  <c:v>200</c:v>
                </c:pt>
                <c:pt idx="50">
                  <c:v>200</c:v>
                </c:pt>
                <c:pt idx="51">
                  <c:v>200</c:v>
                </c:pt>
                <c:pt idx="52">
                  <c:v>200</c:v>
                </c:pt>
                <c:pt idx="53">
                  <c:v>200</c:v>
                </c:pt>
                <c:pt idx="54">
                  <c:v>200</c:v>
                </c:pt>
                <c:pt idx="55">
                  <c:v>200</c:v>
                </c:pt>
                <c:pt idx="56">
                  <c:v>200</c:v>
                </c:pt>
                <c:pt idx="57">
                  <c:v>200</c:v>
                </c:pt>
                <c:pt idx="58">
                  <c:v>200</c:v>
                </c:pt>
                <c:pt idx="59">
                  <c:v>200</c:v>
                </c:pt>
                <c:pt idx="60">
                  <c:v>200</c:v>
                </c:pt>
                <c:pt idx="61">
                  <c:v>200</c:v>
                </c:pt>
                <c:pt idx="62">
                  <c:v>200</c:v>
                </c:pt>
                <c:pt idx="63">
                  <c:v>200</c:v>
                </c:pt>
                <c:pt idx="64">
                  <c:v>200</c:v>
                </c:pt>
                <c:pt idx="65">
                  <c:v>200</c:v>
                </c:pt>
                <c:pt idx="66">
                  <c:v>200</c:v>
                </c:pt>
                <c:pt idx="67">
                  <c:v>200</c:v>
                </c:pt>
                <c:pt idx="68">
                  <c:v>200</c:v>
                </c:pt>
                <c:pt idx="69">
                  <c:v>200</c:v>
                </c:pt>
                <c:pt idx="70">
                  <c:v>200</c:v>
                </c:pt>
                <c:pt idx="71">
                  <c:v>200</c:v>
                </c:pt>
                <c:pt idx="72">
                  <c:v>200</c:v>
                </c:pt>
                <c:pt idx="73">
                  <c:v>200</c:v>
                </c:pt>
                <c:pt idx="74">
                  <c:v>200</c:v>
                </c:pt>
                <c:pt idx="75">
                  <c:v>200</c:v>
                </c:pt>
                <c:pt idx="76">
                  <c:v>200</c:v>
                </c:pt>
                <c:pt idx="77">
                  <c:v>200</c:v>
                </c:pt>
                <c:pt idx="78">
                  <c:v>200</c:v>
                </c:pt>
                <c:pt idx="79">
                  <c:v>200</c:v>
                </c:pt>
                <c:pt idx="80">
                  <c:v>200</c:v>
                </c:pt>
                <c:pt idx="81">
                  <c:v>200</c:v>
                </c:pt>
                <c:pt idx="82">
                  <c:v>200</c:v>
                </c:pt>
                <c:pt idx="83">
                  <c:v>200</c:v>
                </c:pt>
                <c:pt idx="84">
                  <c:v>200</c:v>
                </c:pt>
                <c:pt idx="85">
                  <c:v>200</c:v>
                </c:pt>
                <c:pt idx="86">
                  <c:v>200</c:v>
                </c:pt>
                <c:pt idx="87">
                  <c:v>200</c:v>
                </c:pt>
                <c:pt idx="88">
                  <c:v>200</c:v>
                </c:pt>
                <c:pt idx="89">
                  <c:v>200</c:v>
                </c:pt>
                <c:pt idx="90">
                  <c:v>200</c:v>
                </c:pt>
                <c:pt idx="91">
                  <c:v>200</c:v>
                </c:pt>
                <c:pt idx="92">
                  <c:v>200</c:v>
                </c:pt>
                <c:pt idx="93">
                  <c:v>200</c:v>
                </c:pt>
                <c:pt idx="94">
                  <c:v>200</c:v>
                </c:pt>
                <c:pt idx="95">
                  <c:v>200</c:v>
                </c:pt>
                <c:pt idx="96">
                  <c:v>200</c:v>
                </c:pt>
                <c:pt idx="97">
                  <c:v>200</c:v>
                </c:pt>
                <c:pt idx="98">
                  <c:v>200</c:v>
                </c:pt>
                <c:pt idx="99">
                  <c:v>200</c:v>
                </c:pt>
                <c:pt idx="100">
                  <c:v>200</c:v>
                </c:pt>
                <c:pt idx="101">
                  <c:v>200</c:v>
                </c:pt>
                <c:pt idx="102">
                  <c:v>200</c:v>
                </c:pt>
                <c:pt idx="103">
                  <c:v>200</c:v>
                </c:pt>
                <c:pt idx="104">
                  <c:v>200</c:v>
                </c:pt>
                <c:pt idx="105">
                  <c:v>200</c:v>
                </c:pt>
                <c:pt idx="106">
                  <c:v>200</c:v>
                </c:pt>
                <c:pt idx="107">
                  <c:v>200</c:v>
                </c:pt>
                <c:pt idx="108">
                  <c:v>200</c:v>
                </c:pt>
                <c:pt idx="109">
                  <c:v>200</c:v>
                </c:pt>
                <c:pt idx="110">
                  <c:v>200</c:v>
                </c:pt>
                <c:pt idx="111">
                  <c:v>200</c:v>
                </c:pt>
                <c:pt idx="112">
                  <c:v>200</c:v>
                </c:pt>
                <c:pt idx="113">
                  <c:v>200</c:v>
                </c:pt>
                <c:pt idx="114">
                  <c:v>200</c:v>
                </c:pt>
                <c:pt idx="115">
                  <c:v>200</c:v>
                </c:pt>
                <c:pt idx="116">
                  <c:v>200</c:v>
                </c:pt>
                <c:pt idx="117">
                  <c:v>200</c:v>
                </c:pt>
                <c:pt idx="118">
                  <c:v>200</c:v>
                </c:pt>
                <c:pt idx="119">
                  <c:v>200</c:v>
                </c:pt>
                <c:pt idx="120">
                  <c:v>200</c:v>
                </c:pt>
                <c:pt idx="121">
                  <c:v>200</c:v>
                </c:pt>
                <c:pt idx="122">
                  <c:v>200</c:v>
                </c:pt>
                <c:pt idx="123">
                  <c:v>200</c:v>
                </c:pt>
                <c:pt idx="124">
                  <c:v>200</c:v>
                </c:pt>
                <c:pt idx="125">
                  <c:v>200</c:v>
                </c:pt>
                <c:pt idx="126">
                  <c:v>200</c:v>
                </c:pt>
                <c:pt idx="127">
                  <c:v>200</c:v>
                </c:pt>
              </c:numCache>
            </c:numRef>
          </c:val>
          <c:smooth val="0"/>
          <c:extLst>
            <c:ext xmlns:c16="http://schemas.microsoft.com/office/drawing/2014/chart" uri="{C3380CC4-5D6E-409C-BE32-E72D297353CC}">
              <c16:uniqueId val="{00000004-103D-436B-9880-45064DB7C778}"/>
            </c:ext>
          </c:extLst>
        </c:ser>
        <c:ser>
          <c:idx val="7"/>
          <c:order val="7"/>
          <c:tx>
            <c:v>Other</c:v>
          </c:tx>
          <c:spPr>
            <a:ln w="19050" cap="rnd">
              <a:solidFill>
                <a:srgbClr val="00B0F0"/>
              </a:solidFill>
            </a:ln>
            <a:effectLst>
              <a:glow rad="76200">
                <a:srgbClr val="0070C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Analysis'!$AC$5:$AC$132</c:f>
              <c:numCache>
                <c:formatCode>_("$"* #,##0.00_);_("$"* \(#,##0.00\);_("$"* "-"??_);_(@_)</c:formatCode>
                <c:ptCount val="128"/>
                <c:pt idx="0">
                  <c:v>16.98</c:v>
                </c:pt>
                <c:pt idx="1">
                  <c:v>32.380000000000003</c:v>
                </c:pt>
                <c:pt idx="2">
                  <c:v>17.98</c:v>
                </c:pt>
                <c:pt idx="3">
                  <c:v>71.949999999999989</c:v>
                </c:pt>
                <c:pt idx="4">
                  <c:v>151.77000000000001</c:v>
                </c:pt>
                <c:pt idx="5">
                  <c:v>77.95</c:v>
                </c:pt>
                <c:pt idx="6">
                  <c:v>37.959999999999994</c:v>
                </c:pt>
                <c:pt idx="7">
                  <c:v>36.97</c:v>
                </c:pt>
                <c:pt idx="8">
                  <c:v>105.23999999999998</c:v>
                </c:pt>
                <c:pt idx="9">
                  <c:v>52.11</c:v>
                </c:pt>
                <c:pt idx="10">
                  <c:v>453.76</c:v>
                </c:pt>
                <c:pt idx="11">
                  <c:v>92.73</c:v>
                </c:pt>
                <c:pt idx="12">
                  <c:v>87.06</c:v>
                </c:pt>
                <c:pt idx="13">
                  <c:v>195.07000000000002</c:v>
                </c:pt>
                <c:pt idx="14">
                  <c:v>205.21</c:v>
                </c:pt>
                <c:pt idx="15">
                  <c:v>280.20999999999998</c:v>
                </c:pt>
                <c:pt idx="16">
                  <c:v>30.130000000000003</c:v>
                </c:pt>
                <c:pt idx="17">
                  <c:v>368.9</c:v>
                </c:pt>
                <c:pt idx="18">
                  <c:v>171.55000000000004</c:v>
                </c:pt>
                <c:pt idx="19">
                  <c:v>86.34</c:v>
                </c:pt>
                <c:pt idx="20">
                  <c:v>257.52999999999997</c:v>
                </c:pt>
                <c:pt idx="21">
                  <c:v>114.25000000000001</c:v>
                </c:pt>
                <c:pt idx="22">
                  <c:v>671.49</c:v>
                </c:pt>
                <c:pt idx="23">
                  <c:v>300.01</c:v>
                </c:pt>
                <c:pt idx="24">
                  <c:v>281.3</c:v>
                </c:pt>
                <c:pt idx="25">
                  <c:v>242.48000000000005</c:v>
                </c:pt>
                <c:pt idx="26">
                  <c:v>367.34</c:v>
                </c:pt>
                <c:pt idx="27">
                  <c:v>600.46</c:v>
                </c:pt>
                <c:pt idx="28">
                  <c:v>332.44</c:v>
                </c:pt>
                <c:pt idx="29">
                  <c:v>428.4</c:v>
                </c:pt>
                <c:pt idx="30">
                  <c:v>281.02999999999997</c:v>
                </c:pt>
                <c:pt idx="31">
                  <c:v>521.12</c:v>
                </c:pt>
                <c:pt idx="32">
                  <c:v>338.2</c:v>
                </c:pt>
                <c:pt idx="33">
                  <c:v>289.17</c:v>
                </c:pt>
                <c:pt idx="34">
                  <c:v>476.63</c:v>
                </c:pt>
                <c:pt idx="35">
                  <c:v>703.32999999999993</c:v>
                </c:pt>
                <c:pt idx="36">
                  <c:v>654.27</c:v>
                </c:pt>
                <c:pt idx="37">
                  <c:v>444.70000000000005</c:v>
                </c:pt>
                <c:pt idx="38">
                  <c:v>504.49</c:v>
                </c:pt>
                <c:pt idx="39">
                  <c:v>580.72</c:v>
                </c:pt>
                <c:pt idx="40">
                  <c:v>451.67999999999995</c:v>
                </c:pt>
                <c:pt idx="41">
                  <c:v>537.27</c:v>
                </c:pt>
                <c:pt idx="42">
                  <c:v>961.73</c:v>
                </c:pt>
                <c:pt idx="43">
                  <c:v>1467.5</c:v>
                </c:pt>
                <c:pt idx="44">
                  <c:v>884.5899999999998</c:v>
                </c:pt>
                <c:pt idx="45">
                  <c:v>1063.01</c:v>
                </c:pt>
                <c:pt idx="46">
                  <c:v>785.2</c:v>
                </c:pt>
                <c:pt idx="47">
                  <c:v>883.27</c:v>
                </c:pt>
                <c:pt idx="48">
                  <c:v>739.9699999999998</c:v>
                </c:pt>
                <c:pt idx="49">
                  <c:v>637.67000000000007</c:v>
                </c:pt>
                <c:pt idx="50">
                  <c:v>616.63000000000011</c:v>
                </c:pt>
                <c:pt idx="51">
                  <c:v>774.72</c:v>
                </c:pt>
                <c:pt idx="52">
                  <c:v>1124.0900000000001</c:v>
                </c:pt>
                <c:pt idx="53">
                  <c:v>1247.67</c:v>
                </c:pt>
                <c:pt idx="54">
                  <c:v>1202.76</c:v>
                </c:pt>
                <c:pt idx="55">
                  <c:v>1142.33</c:v>
                </c:pt>
                <c:pt idx="56">
                  <c:v>811.78</c:v>
                </c:pt>
                <c:pt idx="57">
                  <c:v>986.54</c:v>
                </c:pt>
                <c:pt idx="58">
                  <c:v>988.98</c:v>
                </c:pt>
                <c:pt idx="59">
                  <c:v>1009.1800000000001</c:v>
                </c:pt>
                <c:pt idx="60">
                  <c:v>885</c:v>
                </c:pt>
                <c:pt idx="61">
                  <c:v>1620.3400000000001</c:v>
                </c:pt>
                <c:pt idx="62">
                  <c:v>1821.64</c:v>
                </c:pt>
                <c:pt idx="63">
                  <c:v>836.69999999999993</c:v>
                </c:pt>
                <c:pt idx="64">
                  <c:v>1185.94</c:v>
                </c:pt>
                <c:pt idx="65">
                  <c:v>1494.6899999999998</c:v>
                </c:pt>
                <c:pt idx="66">
                  <c:v>1541.29</c:v>
                </c:pt>
                <c:pt idx="67">
                  <c:v>1482.6000000000001</c:v>
                </c:pt>
                <c:pt idx="68">
                  <c:v>1275.75</c:v>
                </c:pt>
                <c:pt idx="69">
                  <c:v>1531.96</c:v>
                </c:pt>
              </c:numCache>
            </c:numRef>
          </c:val>
          <c:smooth val="0"/>
          <c:extLst>
            <c:ext xmlns:c16="http://schemas.microsoft.com/office/drawing/2014/chart" uri="{C3380CC4-5D6E-409C-BE32-E72D297353CC}">
              <c16:uniqueId val="{00000005-103D-436B-9880-45064DB7C778}"/>
            </c:ext>
          </c:extLst>
        </c:ser>
        <c:dLbls>
          <c:showLegendKey val="0"/>
          <c:showVal val="0"/>
          <c:showCatName val="0"/>
          <c:showSerName val="0"/>
          <c:showPercent val="0"/>
          <c:showBubbleSize val="0"/>
        </c:dLbls>
        <c:smooth val="0"/>
        <c:axId val="1835843071"/>
        <c:axId val="1835543695"/>
        <c:extLst>
          <c:ext xmlns:c15="http://schemas.microsoft.com/office/drawing/2012/chart" uri="{02D57815-91ED-43cb-92C2-25804820EDAC}">
            <c15:filteredLineSeries>
              <c15:ser>
                <c:idx val="4"/>
                <c:order val="4"/>
                <c:tx>
                  <c:v>Predicted Green</c:v>
                </c:tx>
                <c:spPr>
                  <a:ln w="22225" cap="rnd">
                    <a:solidFill>
                      <a:srgbClr val="00B050"/>
                    </a:solidFill>
                    <a:prstDash val="sysDash"/>
                  </a:ln>
                  <a:effectLst/>
                </c:spPr>
                <c:marker>
                  <c:symbol val="none"/>
                </c:marker>
                <c:cat>
                  <c:numRef>
                    <c:extLst>
                      <c:ext uri="{02D57815-91ED-43cb-92C2-25804820EDAC}">
                        <c15:formulaRef>
                          <c15:sqref>'Data Analysis'!$B$5:$B$132</c15:sqref>
                        </c15:formulaRef>
                      </c:ext>
                    </c:extLst>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extLst>
                      <c:ext uri="{02D57815-91ED-43cb-92C2-25804820EDAC}">
                        <c15:formulaRef>
                          <c15:sqref>'Data Analysis'!$U$5:$U$132</c15:sqref>
                        </c15:formulaRef>
                      </c:ext>
                    </c:extLst>
                    <c:numCache>
                      <c:formatCode>_("$"* #,##0.00_);_("$"* \(#,##0.00\);_("$"* "-"??_);_(@_)</c:formatCode>
                      <c:ptCount val="128"/>
                      <c:pt idx="0">
                        <c:v>240</c:v>
                      </c:pt>
                      <c:pt idx="1">
                        <c:v>240</c:v>
                      </c:pt>
                      <c:pt idx="2">
                        <c:v>250</c:v>
                      </c:pt>
                      <c:pt idx="3">
                        <c:v>300</c:v>
                      </c:pt>
                      <c:pt idx="4">
                        <c:v>300</c:v>
                      </c:pt>
                      <c:pt idx="5">
                        <c:v>300</c:v>
                      </c:pt>
                      <c:pt idx="6">
                        <c:v>300</c:v>
                      </c:pt>
                      <c:pt idx="7">
                        <c:v>300</c:v>
                      </c:pt>
                      <c:pt idx="8">
                        <c:v>250</c:v>
                      </c:pt>
                      <c:pt idx="9">
                        <c:v>300</c:v>
                      </c:pt>
                      <c:pt idx="10">
                        <c:v>150</c:v>
                      </c:pt>
                      <c:pt idx="11">
                        <c:v>200</c:v>
                      </c:pt>
                      <c:pt idx="12">
                        <c:v>200</c:v>
                      </c:pt>
                      <c:pt idx="13">
                        <c:v>400</c:v>
                      </c:pt>
                      <c:pt idx="14">
                        <c:v>350</c:v>
                      </c:pt>
                      <c:pt idx="15">
                        <c:v>300</c:v>
                      </c:pt>
                      <c:pt idx="16">
                        <c:v>300</c:v>
                      </c:pt>
                      <c:pt idx="17">
                        <c:v>300</c:v>
                      </c:pt>
                      <c:pt idx="18">
                        <c:v>250</c:v>
                      </c:pt>
                      <c:pt idx="19">
                        <c:v>200</c:v>
                      </c:pt>
                      <c:pt idx="20">
                        <c:v>100</c:v>
                      </c:pt>
                      <c:pt idx="21">
                        <c:v>100</c:v>
                      </c:pt>
                      <c:pt idx="22">
                        <c:v>100</c:v>
                      </c:pt>
                      <c:pt idx="23">
                        <c:v>100</c:v>
                      </c:pt>
                      <c:pt idx="24">
                        <c:v>100</c:v>
                      </c:pt>
                      <c:pt idx="25">
                        <c:v>80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numCache>
                  </c:numRef>
                </c:val>
                <c:smooth val="0"/>
                <c:extLst>
                  <c:ext xmlns:c16="http://schemas.microsoft.com/office/drawing/2014/chart" uri="{C3380CC4-5D6E-409C-BE32-E72D297353CC}">
                    <c16:uniqueId val="{00000006-103D-436B-9880-45064DB7C778}"/>
                  </c:ext>
                </c:extLst>
              </c15:ser>
            </c15:filteredLineSeries>
          </c:ext>
        </c:extLst>
      </c:lineChart>
      <c:dateAx>
        <c:axId val="1835843071"/>
        <c:scaling>
          <c:orientation val="minMax"/>
        </c:scaling>
        <c:delete val="0"/>
        <c:axPos val="b"/>
        <c:numFmt formatCode="[$-409]mmm\-yy;@" sourceLinked="0"/>
        <c:majorTickMark val="out"/>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lgn="ctr">
              <a:defRPr lang="en-US" sz="900" b="0" i="0" u="none" strike="noStrike" kern="1200" baseline="0">
                <a:solidFill>
                  <a:schemeClr val="tx1"/>
                </a:solidFill>
                <a:effectLst/>
                <a:latin typeface="+mn-lt"/>
                <a:ea typeface="+mn-ea"/>
                <a:cs typeface="+mn-cs"/>
              </a:defRPr>
            </a:pPr>
            <a:endParaRPr lang="en-US"/>
          </a:p>
        </c:txPr>
        <c:crossAx val="1835543695"/>
        <c:crossesAt val="0"/>
        <c:auto val="0"/>
        <c:lblOffset val="100"/>
        <c:baseTimeUnit val="months"/>
        <c:minorUnit val="1"/>
      </c:dateAx>
      <c:valAx>
        <c:axId val="1835543695"/>
        <c:scaling>
          <c:orientation val="minMax"/>
          <c:min val="0"/>
        </c:scaling>
        <c:delete val="0"/>
        <c:axPos val="l"/>
        <c:numFmt formatCode="_(&quot;$&quot;* #,##0_);_(&quot;$&quot;* \(#,##0\);_(&quot;$&quot;* &quot;-&quot;_);_(@_)" sourceLinked="0"/>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35843071"/>
        <c:crosses val="autoZero"/>
        <c:crossBetween val="midCat"/>
      </c:valAx>
      <c:spPr>
        <a:noFill/>
        <a:ln>
          <a:noFill/>
        </a:ln>
        <a:effectLst/>
      </c:spPr>
    </c:plotArea>
    <c:legend>
      <c:legendPos val="b"/>
      <c:legendEntry>
        <c:idx val="0"/>
        <c:delete val="1"/>
      </c:legendEntry>
      <c:legendEntry>
        <c:idx val="2"/>
        <c:delete val="1"/>
      </c:legendEntry>
      <c:legendEntry>
        <c:idx val="5"/>
        <c:delete val="1"/>
      </c:legendEntry>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Momentum - Flux - Velocity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699398017739171E-2"/>
          <c:y val="0.15605555555555559"/>
          <c:w val="0.8893913722860658"/>
          <c:h val="0.78283333333333338"/>
        </c:manualLayout>
      </c:layout>
      <c:lineChart>
        <c:grouping val="standard"/>
        <c:varyColors val="0"/>
        <c:ser>
          <c:idx val="0"/>
          <c:order val="0"/>
          <c:tx>
            <c:v>Model</c:v>
          </c:tx>
          <c:spPr>
            <a:ln w="25400" cap="rnd" cmpd="sng">
              <a:solidFill>
                <a:schemeClr val="tx1"/>
              </a:solidFill>
              <a:prstDash val="solid"/>
              <a:round/>
            </a:ln>
            <a:effectLst>
              <a:glow rad="76200">
                <a:schemeClr val="tx1">
                  <a:alpha val="20000"/>
                </a:scheme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Analysis'!$AH$5:$AH$132</c:f>
              <c:numCache>
                <c:formatCode>_("$"* #,##0.00_);_("$"* \(#,##0.00\);_("$"* "-"??_);_(@_)</c:formatCode>
                <c:ptCount val="128"/>
                <c:pt idx="1">
                  <c:v>-95.989999999999782</c:v>
                </c:pt>
                <c:pt idx="2">
                  <c:v>353.91999999999996</c:v>
                </c:pt>
                <c:pt idx="3">
                  <c:v>-516.87000000000012</c:v>
                </c:pt>
                <c:pt idx="4">
                  <c:v>3474.0599999999981</c:v>
                </c:pt>
                <c:pt idx="5">
                  <c:v>-95.549999999999727</c:v>
                </c:pt>
                <c:pt idx="6">
                  <c:v>-433.0600000000004</c:v>
                </c:pt>
                <c:pt idx="7">
                  <c:v>-1078.0499999999997</c:v>
                </c:pt>
                <c:pt idx="8">
                  <c:v>-691.94</c:v>
                </c:pt>
                <c:pt idx="9">
                  <c:v>-969.06</c:v>
                </c:pt>
                <c:pt idx="10">
                  <c:v>350.46000000000004</c:v>
                </c:pt>
                <c:pt idx="11">
                  <c:v>-621.95000000000005</c:v>
                </c:pt>
                <c:pt idx="12">
                  <c:v>2532.3799999999997</c:v>
                </c:pt>
                <c:pt idx="13">
                  <c:v>1040.3399999999997</c:v>
                </c:pt>
                <c:pt idx="14">
                  <c:v>2006.6400000000003</c:v>
                </c:pt>
                <c:pt idx="15">
                  <c:v>787.23000000000047</c:v>
                </c:pt>
                <c:pt idx="16">
                  <c:v>1075.0999999999995</c:v>
                </c:pt>
                <c:pt idx="17">
                  <c:v>1048.4100000000008</c:v>
                </c:pt>
                <c:pt idx="18">
                  <c:v>713.05999999999949</c:v>
                </c:pt>
                <c:pt idx="19">
                  <c:v>2114.1099999999988</c:v>
                </c:pt>
                <c:pt idx="20">
                  <c:v>869.93000000000029</c:v>
                </c:pt>
                <c:pt idx="21">
                  <c:v>1101.6200000000008</c:v>
                </c:pt>
                <c:pt idx="22">
                  <c:v>480.44999999999891</c:v>
                </c:pt>
                <c:pt idx="23">
                  <c:v>-3942.1399999999994</c:v>
                </c:pt>
                <c:pt idx="24">
                  <c:v>-455.05999999999949</c:v>
                </c:pt>
                <c:pt idx="25">
                  <c:v>-479.10000000000036</c:v>
                </c:pt>
                <c:pt idx="26">
                  <c:v>-675.96999999999935</c:v>
                </c:pt>
                <c:pt idx="27">
                  <c:v>-2428.2399999999998</c:v>
                </c:pt>
                <c:pt idx="28">
                  <c:v>-624.18000000000029</c:v>
                </c:pt>
                <c:pt idx="29">
                  <c:v>-953.89000000000033</c:v>
                </c:pt>
                <c:pt idx="30">
                  <c:v>-827.61999999999989</c:v>
                </c:pt>
                <c:pt idx="31">
                  <c:v>-1017.1100000000001</c:v>
                </c:pt>
                <c:pt idx="32">
                  <c:v>-1803.7400000000002</c:v>
                </c:pt>
                <c:pt idx="33">
                  <c:v>480.54000000000008</c:v>
                </c:pt>
                <c:pt idx="34">
                  <c:v>482.09999999999968</c:v>
                </c:pt>
                <c:pt idx="35">
                  <c:v>584.45000000000027</c:v>
                </c:pt>
                <c:pt idx="36">
                  <c:v>357.22999999999956</c:v>
                </c:pt>
                <c:pt idx="37">
                  <c:v>366.35999999999967</c:v>
                </c:pt>
                <c:pt idx="38">
                  <c:v>-1082.4100000000003</c:v>
                </c:pt>
                <c:pt idx="39">
                  <c:v>1142.8600000000001</c:v>
                </c:pt>
                <c:pt idx="40">
                  <c:v>288.90000000000009</c:v>
                </c:pt>
                <c:pt idx="41">
                  <c:v>-699.86999999999989</c:v>
                </c:pt>
                <c:pt idx="42">
                  <c:v>-368.09999999999991</c:v>
                </c:pt>
                <c:pt idx="43">
                  <c:v>-920.84999999999968</c:v>
                </c:pt>
                <c:pt idx="44">
                  <c:v>261.84730445852938</c:v>
                </c:pt>
                <c:pt idx="45">
                  <c:v>-447.61000000000035</c:v>
                </c:pt>
                <c:pt idx="46">
                  <c:v>-8.3500000000003638</c:v>
                </c:pt>
                <c:pt idx="47">
                  <c:v>264.25</c:v>
                </c:pt>
                <c:pt idx="48">
                  <c:v>-54.129999999999654</c:v>
                </c:pt>
                <c:pt idx="49">
                  <c:v>719.34000000000015</c:v>
                </c:pt>
                <c:pt idx="50">
                  <c:v>766.35999999999967</c:v>
                </c:pt>
                <c:pt idx="51">
                  <c:v>-50.590000000000146</c:v>
                </c:pt>
                <c:pt idx="52">
                  <c:v>-123.11000000000013</c:v>
                </c:pt>
                <c:pt idx="53">
                  <c:v>17.759999999999764</c:v>
                </c:pt>
                <c:pt idx="54">
                  <c:v>-254.27999999999929</c:v>
                </c:pt>
                <c:pt idx="55">
                  <c:v>46.900000000000091</c:v>
                </c:pt>
                <c:pt idx="56">
                  <c:v>429.26000000000022</c:v>
                </c:pt>
                <c:pt idx="57">
                  <c:v>835.84999999999991</c:v>
                </c:pt>
                <c:pt idx="58">
                  <c:v>535.74000000000024</c:v>
                </c:pt>
                <c:pt idx="59">
                  <c:v>428.55000000000018</c:v>
                </c:pt>
                <c:pt idx="60">
                  <c:v>-63.130000000000109</c:v>
                </c:pt>
                <c:pt idx="61">
                  <c:v>360.5</c:v>
                </c:pt>
                <c:pt idx="62">
                  <c:v>23.109999999999673</c:v>
                </c:pt>
                <c:pt idx="63">
                  <c:v>1759.3099999999995</c:v>
                </c:pt>
                <c:pt idx="64">
                  <c:v>1185.2800000000007</c:v>
                </c:pt>
                <c:pt idx="65">
                  <c:v>995.3700000000008</c:v>
                </c:pt>
                <c:pt idx="66">
                  <c:v>766.58000000000175</c:v>
                </c:pt>
                <c:pt idx="67">
                  <c:v>171.47999999999774</c:v>
                </c:pt>
                <c:pt idx="68">
                  <c:v>473.50000000000182</c:v>
                </c:pt>
                <c:pt idx="69">
                  <c:v>414.64999999999964</c:v>
                </c:pt>
              </c:numCache>
            </c:numRef>
          </c:val>
          <c:smooth val="0"/>
          <c:extLst xmlns:c15="http://schemas.microsoft.com/office/drawing/2012/chart">
            <c:ext xmlns:c16="http://schemas.microsoft.com/office/drawing/2014/chart" uri="{C3380CC4-5D6E-409C-BE32-E72D297353CC}">
              <c16:uniqueId val="{00000000-966B-442A-A758-633E4F72172B}"/>
            </c:ext>
          </c:extLst>
        </c:ser>
        <c:ser>
          <c:idx val="1"/>
          <c:order val="1"/>
          <c:tx>
            <c:v>Actual</c:v>
          </c:tx>
          <c:spPr>
            <a:ln w="38100" cap="rnd">
              <a:gradFill flip="none" rotWithShape="1">
                <a:gsLst>
                  <a:gs pos="0">
                    <a:srgbClr val="00B0F0"/>
                  </a:gs>
                  <a:gs pos="50000">
                    <a:schemeClr val="accent4">
                      <a:lumMod val="15000"/>
                      <a:lumOff val="85000"/>
                      <a:alpha val="90000"/>
                    </a:schemeClr>
                  </a:gs>
                  <a:gs pos="100000">
                    <a:srgbClr val="FE4F00"/>
                  </a:gs>
                </a:gsLst>
                <a:lin ang="5400000" scaled="1"/>
                <a:tileRect/>
              </a:gradFill>
              <a:round/>
            </a:ln>
            <a:effectLst>
              <a:glow rad="63500">
                <a:schemeClr val="accent3">
                  <a:satMod val="175000"/>
                  <a:alpha val="40000"/>
                </a:scheme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Analysis'!$AJ$5:$AJ$132</c:f>
              <c:numCache>
                <c:formatCode>_("$"* #,##0.00_);_("$"* \(#,##0.00\);_("$"* "-"??_);_(@_)</c:formatCode>
                <c:ptCount val="128"/>
                <c:pt idx="1">
                  <c:v>-166.71999999999991</c:v>
                </c:pt>
                <c:pt idx="2">
                  <c:v>347.03</c:v>
                </c:pt>
                <c:pt idx="3">
                  <c:v>-508.87</c:v>
                </c:pt>
                <c:pt idx="4">
                  <c:v>3468.54</c:v>
                </c:pt>
                <c:pt idx="5">
                  <c:v>-90</c:v>
                </c:pt>
                <c:pt idx="6">
                  <c:v>-427.00999999999976</c:v>
                </c:pt>
                <c:pt idx="7">
                  <c:v>-1070.0100000000002</c:v>
                </c:pt>
                <c:pt idx="8">
                  <c:v>-698.90999999999985</c:v>
                </c:pt>
                <c:pt idx="9">
                  <c:v>-955.25000000000011</c:v>
                </c:pt>
                <c:pt idx="10">
                  <c:v>349.48</c:v>
                </c:pt>
                <c:pt idx="11">
                  <c:v>-598.48</c:v>
                </c:pt>
                <c:pt idx="12">
                  <c:v>2541.3300000000004</c:v>
                </c:pt>
                <c:pt idx="13">
                  <c:v>1036.5799999999995</c:v>
                </c:pt>
                <c:pt idx="14">
                  <c:v>2006.2999999999997</c:v>
                </c:pt>
                <c:pt idx="15">
                  <c:v>812.91000000000076</c:v>
                </c:pt>
                <c:pt idx="16">
                  <c:v>1064.6099999999988</c:v>
                </c:pt>
                <c:pt idx="17">
                  <c:v>1084.7800000000007</c:v>
                </c:pt>
                <c:pt idx="18">
                  <c:v>720.36000000000058</c:v>
                </c:pt>
                <c:pt idx="19">
                  <c:v>2114.2700000000004</c:v>
                </c:pt>
                <c:pt idx="20">
                  <c:v>854.67999999999847</c:v>
                </c:pt>
                <c:pt idx="21">
                  <c:v>1115.1599999999999</c:v>
                </c:pt>
                <c:pt idx="22">
                  <c:v>487.48999999999978</c:v>
                </c:pt>
                <c:pt idx="23">
                  <c:v>-3986.9499999999989</c:v>
                </c:pt>
                <c:pt idx="24">
                  <c:v>-499.07999999999993</c:v>
                </c:pt>
                <c:pt idx="25">
                  <c:v>-505.17000000000007</c:v>
                </c:pt>
                <c:pt idx="26">
                  <c:v>-650.34000000000015</c:v>
                </c:pt>
                <c:pt idx="27">
                  <c:v>-2435.1099999999997</c:v>
                </c:pt>
                <c:pt idx="28">
                  <c:v>-619.57999999999993</c:v>
                </c:pt>
                <c:pt idx="29">
                  <c:v>-1004.2200000000003</c:v>
                </c:pt>
                <c:pt idx="30">
                  <c:v>-854.87000000000035</c:v>
                </c:pt>
                <c:pt idx="31">
                  <c:v>-1047.3199999999997</c:v>
                </c:pt>
                <c:pt idx="32">
                  <c:v>-1763.99</c:v>
                </c:pt>
                <c:pt idx="33">
                  <c:v>563.43999999999983</c:v>
                </c:pt>
                <c:pt idx="34">
                  <c:v>402.94000000000005</c:v>
                </c:pt>
                <c:pt idx="35">
                  <c:v>505.09999999999991</c:v>
                </c:pt>
                <c:pt idx="36">
                  <c:v>345.07000000000016</c:v>
                </c:pt>
                <c:pt idx="37">
                  <c:v>329.2199999999998</c:v>
                </c:pt>
                <c:pt idx="38">
                  <c:v>-1099.3999999999999</c:v>
                </c:pt>
                <c:pt idx="39">
                  <c:v>1193.1000000000001</c:v>
                </c:pt>
                <c:pt idx="40">
                  <c:v>230.48999999999978</c:v>
                </c:pt>
                <c:pt idx="41">
                  <c:v>-719.32999999999947</c:v>
                </c:pt>
                <c:pt idx="42">
                  <c:v>-395.67000000000053</c:v>
                </c:pt>
                <c:pt idx="43">
                  <c:v>-629.32999999999993</c:v>
                </c:pt>
                <c:pt idx="44">
                  <c:v>283.97730445852903</c:v>
                </c:pt>
                <c:pt idx="45">
                  <c:v>-434.61439477978433</c:v>
                </c:pt>
                <c:pt idx="46">
                  <c:v>-14.814606876832386</c:v>
                </c:pt>
                <c:pt idx="47">
                  <c:v>224.25542460258862</c:v>
                </c:pt>
                <c:pt idx="48">
                  <c:v>-21.895972967574835</c:v>
                </c:pt>
                <c:pt idx="49">
                  <c:v>752.87446460340561</c:v>
                </c:pt>
                <c:pt idx="50">
                  <c:v>707.84211556974788</c:v>
                </c:pt>
                <c:pt idx="51">
                  <c:v>-108.67218989935691</c:v>
                </c:pt>
                <c:pt idx="52">
                  <c:v>84.860791092168256</c:v>
                </c:pt>
                <c:pt idx="53">
                  <c:v>88.939127462630495</c:v>
                </c:pt>
                <c:pt idx="54">
                  <c:v>-323.48872138130173</c:v>
                </c:pt>
                <c:pt idx="55">
                  <c:v>184.41942576166275</c:v>
                </c:pt>
                <c:pt idx="56">
                  <c:v>471.01019093856576</c:v>
                </c:pt>
                <c:pt idx="57">
                  <c:v>748.35848113982684</c:v>
                </c:pt>
                <c:pt idx="58">
                  <c:v>346.33682522314939</c:v>
                </c:pt>
                <c:pt idx="59">
                  <c:v>397.38747018069807</c:v>
                </c:pt>
                <c:pt idx="60">
                  <c:v>395.85585864142286</c:v>
                </c:pt>
                <c:pt idx="61">
                  <c:v>769.35829729109446</c:v>
                </c:pt>
                <c:pt idx="62">
                  <c:v>225.20841720978387</c:v>
                </c:pt>
                <c:pt idx="63">
                  <c:v>1742.698714998116</c:v>
                </c:pt>
                <c:pt idx="64">
                  <c:v>1848.0483964487667</c:v>
                </c:pt>
                <c:pt idx="65">
                  <c:v>1878.6016733284869</c:v>
                </c:pt>
                <c:pt idx="66">
                  <c:v>-266.40215145613911</c:v>
                </c:pt>
                <c:pt idx="67">
                  <c:v>259.52214828891374</c:v>
                </c:pt>
                <c:pt idx="68">
                  <c:v>931.27381567311568</c:v>
                </c:pt>
                <c:pt idx="69">
                  <c:v>-1384.2233326280457</c:v>
                </c:pt>
              </c:numCache>
            </c:numRef>
          </c:val>
          <c:smooth val="0"/>
          <c:extLst>
            <c:ext xmlns:c16="http://schemas.microsoft.com/office/drawing/2014/chart" uri="{C3380CC4-5D6E-409C-BE32-E72D297353CC}">
              <c16:uniqueId val="{00000001-966B-442A-A758-633E4F72172B}"/>
            </c:ext>
          </c:extLst>
        </c:ser>
        <c:dLbls>
          <c:showLegendKey val="0"/>
          <c:showVal val="0"/>
          <c:showCatName val="0"/>
          <c:showSerName val="0"/>
          <c:showPercent val="0"/>
          <c:showBubbleSize val="0"/>
        </c:dLbls>
        <c:smooth val="0"/>
        <c:axId val="699983696"/>
        <c:axId val="699989520"/>
        <c:extLst/>
      </c:lineChart>
      <c:dateAx>
        <c:axId val="699983696"/>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0" i="0" u="none" strike="noStrike" kern="1200" baseline="0">
                <a:solidFill>
                  <a:schemeClr val="tx1">
                    <a:lumMod val="65000"/>
                    <a:lumOff val="35000"/>
                  </a:schemeClr>
                </a:solidFill>
                <a:latin typeface="+mn-lt"/>
                <a:ea typeface="+mn-ea"/>
                <a:cs typeface="+mn-cs"/>
              </a:defRPr>
            </a:pPr>
            <a:endParaRPr lang="en-US"/>
          </a:p>
        </c:txPr>
        <c:crossAx val="699989520"/>
        <c:crosses val="autoZero"/>
        <c:auto val="0"/>
        <c:lblOffset val="1000"/>
        <c:baseTimeUnit val="months"/>
        <c:majorUnit val="4"/>
        <c:majorTimeUnit val="months"/>
        <c:minorUnit val="1"/>
        <c:minorTimeUnit val="months"/>
      </c:dateAx>
      <c:valAx>
        <c:axId val="699989520"/>
        <c:scaling>
          <c:orientation val="minMax"/>
          <c:min val="-5000"/>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983696"/>
        <c:crosses val="autoZero"/>
        <c:crossBetween val="between"/>
      </c:valAx>
      <c:spPr>
        <a:noFill/>
        <a:ln>
          <a:noFill/>
        </a:ln>
        <a:effectLst/>
      </c:spPr>
    </c:plotArea>
    <c:legend>
      <c:legendPos val="r"/>
      <c:layout>
        <c:manualLayout>
          <c:xMode val="edge"/>
          <c:yMode val="edge"/>
          <c:x val="0.83514314285317737"/>
          <c:y val="0.11761023622047244"/>
          <c:w val="9.3404076944973519E-2"/>
          <c:h val="0.1730781344639612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&amp;LCREAM Dashboard&amp;Ras of March 2024   </c:oddHeader>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Meals &amp;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818921777884506E-2"/>
          <c:y val="0.16429678848283499"/>
          <c:w val="0.83902523585034505"/>
          <c:h val="0.68868215702017455"/>
        </c:manualLayout>
      </c:layout>
      <c:lineChart>
        <c:grouping val="standard"/>
        <c:varyColors val="0"/>
        <c:ser>
          <c:idx val="1"/>
          <c:order val="0"/>
          <c:tx>
            <c:v>Meals</c:v>
          </c:tx>
          <c:spPr>
            <a:ln w="19050" cap="rnd">
              <a:solidFill>
                <a:srgbClr val="FFC000"/>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1.4693786619377789E-2"/>
                  <c:y val="3.65451535215813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25400" cap="rnd">
                <a:solidFill>
                  <a:srgbClr val="FF6600"/>
                </a:solidFill>
                <a:prstDash val="solid"/>
              </a:ln>
              <a:effectLst/>
            </c:spPr>
            <c:trendlineType val="movingAvg"/>
            <c:period val="7"/>
            <c:dispRSqr val="0"/>
            <c:dispEq val="0"/>
          </c:trendline>
          <c:trendline>
            <c:spPr>
              <a:ln w="25400" cap="rnd">
                <a:solidFill>
                  <a:srgbClr val="FF0000"/>
                </a:solidFill>
                <a:prstDash val="solid"/>
              </a:ln>
              <a:effectLst>
                <a:glow rad="127000">
                  <a:srgbClr val="FF0000">
                    <a:alpha val="30000"/>
                  </a:srgbClr>
                </a:glow>
              </a:effectLst>
            </c:spPr>
            <c:trendlineType val="movingAvg"/>
            <c:period val="30"/>
            <c:dispRSqr val="0"/>
            <c:dispEq val="0"/>
          </c:trendline>
          <c:cat>
            <c:numRef>
              <c:f>Health!$B$28:$B$1610</c:f>
              <c:numCache>
                <c:formatCode>m/d/yyyy</c:formatCode>
                <c:ptCount val="1583"/>
                <c:pt idx="0">
                  <c:v>44440</c:v>
                </c:pt>
                <c:pt idx="1">
                  <c:v>44441</c:v>
                </c:pt>
                <c:pt idx="2">
                  <c:v>44442</c:v>
                </c:pt>
                <c:pt idx="3">
                  <c:v>44443</c:v>
                </c:pt>
                <c:pt idx="4">
                  <c:v>44444</c:v>
                </c:pt>
                <c:pt idx="5">
                  <c:v>44445</c:v>
                </c:pt>
                <c:pt idx="6">
                  <c:v>44446</c:v>
                </c:pt>
                <c:pt idx="7">
                  <c:v>44447</c:v>
                </c:pt>
                <c:pt idx="8">
                  <c:v>44448</c:v>
                </c:pt>
                <c:pt idx="9">
                  <c:v>44449</c:v>
                </c:pt>
                <c:pt idx="10">
                  <c:v>44450</c:v>
                </c:pt>
                <c:pt idx="11">
                  <c:v>44451</c:v>
                </c:pt>
                <c:pt idx="12">
                  <c:v>44452</c:v>
                </c:pt>
                <c:pt idx="13">
                  <c:v>44453</c:v>
                </c:pt>
                <c:pt idx="14">
                  <c:v>44454</c:v>
                </c:pt>
                <c:pt idx="15">
                  <c:v>44455</c:v>
                </c:pt>
                <c:pt idx="16">
                  <c:v>44456</c:v>
                </c:pt>
                <c:pt idx="17">
                  <c:v>44457</c:v>
                </c:pt>
                <c:pt idx="18">
                  <c:v>44458</c:v>
                </c:pt>
                <c:pt idx="19">
                  <c:v>44459</c:v>
                </c:pt>
                <c:pt idx="20">
                  <c:v>44460</c:v>
                </c:pt>
                <c:pt idx="21">
                  <c:v>44461</c:v>
                </c:pt>
                <c:pt idx="22">
                  <c:v>44462</c:v>
                </c:pt>
                <c:pt idx="23">
                  <c:v>44463</c:v>
                </c:pt>
                <c:pt idx="24">
                  <c:v>44464</c:v>
                </c:pt>
                <c:pt idx="25">
                  <c:v>44465</c:v>
                </c:pt>
                <c:pt idx="26">
                  <c:v>44466</c:v>
                </c:pt>
                <c:pt idx="27">
                  <c:v>44467</c:v>
                </c:pt>
                <c:pt idx="28">
                  <c:v>44468</c:v>
                </c:pt>
                <c:pt idx="29">
                  <c:v>44469</c:v>
                </c:pt>
                <c:pt idx="30">
                  <c:v>44470</c:v>
                </c:pt>
                <c:pt idx="31">
                  <c:v>44471</c:v>
                </c:pt>
                <c:pt idx="32">
                  <c:v>44472</c:v>
                </c:pt>
                <c:pt idx="33">
                  <c:v>44473</c:v>
                </c:pt>
                <c:pt idx="34">
                  <c:v>44474</c:v>
                </c:pt>
                <c:pt idx="35">
                  <c:v>44475</c:v>
                </c:pt>
                <c:pt idx="36">
                  <c:v>44476</c:v>
                </c:pt>
                <c:pt idx="37">
                  <c:v>44477</c:v>
                </c:pt>
                <c:pt idx="38">
                  <c:v>44478</c:v>
                </c:pt>
                <c:pt idx="39">
                  <c:v>44479</c:v>
                </c:pt>
                <c:pt idx="40">
                  <c:v>44480</c:v>
                </c:pt>
                <c:pt idx="41">
                  <c:v>44481</c:v>
                </c:pt>
                <c:pt idx="42">
                  <c:v>44482</c:v>
                </c:pt>
                <c:pt idx="43">
                  <c:v>44483</c:v>
                </c:pt>
                <c:pt idx="44">
                  <c:v>44484</c:v>
                </c:pt>
                <c:pt idx="45">
                  <c:v>44485</c:v>
                </c:pt>
                <c:pt idx="46">
                  <c:v>44486</c:v>
                </c:pt>
                <c:pt idx="47">
                  <c:v>44487</c:v>
                </c:pt>
                <c:pt idx="48">
                  <c:v>44488</c:v>
                </c:pt>
                <c:pt idx="49">
                  <c:v>44489</c:v>
                </c:pt>
                <c:pt idx="50">
                  <c:v>44490</c:v>
                </c:pt>
                <c:pt idx="51">
                  <c:v>44491</c:v>
                </c:pt>
                <c:pt idx="52">
                  <c:v>44492</c:v>
                </c:pt>
                <c:pt idx="53">
                  <c:v>44493</c:v>
                </c:pt>
                <c:pt idx="54">
                  <c:v>44494</c:v>
                </c:pt>
                <c:pt idx="55">
                  <c:v>44495</c:v>
                </c:pt>
                <c:pt idx="56">
                  <c:v>44496</c:v>
                </c:pt>
                <c:pt idx="57">
                  <c:v>44497</c:v>
                </c:pt>
                <c:pt idx="58">
                  <c:v>44498</c:v>
                </c:pt>
                <c:pt idx="59">
                  <c:v>44499</c:v>
                </c:pt>
                <c:pt idx="60">
                  <c:v>44500</c:v>
                </c:pt>
                <c:pt idx="61">
                  <c:v>44501</c:v>
                </c:pt>
                <c:pt idx="62">
                  <c:v>44502</c:v>
                </c:pt>
                <c:pt idx="63">
                  <c:v>44503</c:v>
                </c:pt>
                <c:pt idx="64">
                  <c:v>44504</c:v>
                </c:pt>
                <c:pt idx="65">
                  <c:v>44505</c:v>
                </c:pt>
                <c:pt idx="66">
                  <c:v>44506</c:v>
                </c:pt>
                <c:pt idx="67">
                  <c:v>44507</c:v>
                </c:pt>
                <c:pt idx="68">
                  <c:v>44508</c:v>
                </c:pt>
                <c:pt idx="69">
                  <c:v>44509</c:v>
                </c:pt>
                <c:pt idx="70">
                  <c:v>44510</c:v>
                </c:pt>
                <c:pt idx="71">
                  <c:v>44511</c:v>
                </c:pt>
                <c:pt idx="72">
                  <c:v>44512</c:v>
                </c:pt>
                <c:pt idx="73">
                  <c:v>44513</c:v>
                </c:pt>
                <c:pt idx="74">
                  <c:v>44514</c:v>
                </c:pt>
                <c:pt idx="75">
                  <c:v>44515</c:v>
                </c:pt>
                <c:pt idx="76">
                  <c:v>44516</c:v>
                </c:pt>
                <c:pt idx="77">
                  <c:v>44517</c:v>
                </c:pt>
                <c:pt idx="78">
                  <c:v>44518</c:v>
                </c:pt>
                <c:pt idx="79">
                  <c:v>44519</c:v>
                </c:pt>
                <c:pt idx="80">
                  <c:v>44520</c:v>
                </c:pt>
                <c:pt idx="81">
                  <c:v>44521</c:v>
                </c:pt>
                <c:pt idx="82">
                  <c:v>44522</c:v>
                </c:pt>
                <c:pt idx="83">
                  <c:v>44523</c:v>
                </c:pt>
                <c:pt idx="84">
                  <c:v>44524</c:v>
                </c:pt>
                <c:pt idx="85">
                  <c:v>44525</c:v>
                </c:pt>
                <c:pt idx="86">
                  <c:v>44526</c:v>
                </c:pt>
                <c:pt idx="87">
                  <c:v>44527</c:v>
                </c:pt>
                <c:pt idx="88">
                  <c:v>44528</c:v>
                </c:pt>
                <c:pt idx="89">
                  <c:v>44529</c:v>
                </c:pt>
                <c:pt idx="90">
                  <c:v>44530</c:v>
                </c:pt>
                <c:pt idx="91">
                  <c:v>44531</c:v>
                </c:pt>
                <c:pt idx="92">
                  <c:v>44532</c:v>
                </c:pt>
                <c:pt idx="93">
                  <c:v>44533</c:v>
                </c:pt>
                <c:pt idx="94">
                  <c:v>44534</c:v>
                </c:pt>
                <c:pt idx="95">
                  <c:v>44535</c:v>
                </c:pt>
                <c:pt idx="96">
                  <c:v>44536</c:v>
                </c:pt>
                <c:pt idx="97">
                  <c:v>44537</c:v>
                </c:pt>
                <c:pt idx="98">
                  <c:v>44538</c:v>
                </c:pt>
                <c:pt idx="99">
                  <c:v>44539</c:v>
                </c:pt>
                <c:pt idx="100">
                  <c:v>44540</c:v>
                </c:pt>
                <c:pt idx="101">
                  <c:v>44541</c:v>
                </c:pt>
                <c:pt idx="102">
                  <c:v>44542</c:v>
                </c:pt>
                <c:pt idx="103">
                  <c:v>44543</c:v>
                </c:pt>
                <c:pt idx="104">
                  <c:v>44544</c:v>
                </c:pt>
                <c:pt idx="105">
                  <c:v>44545</c:v>
                </c:pt>
                <c:pt idx="106">
                  <c:v>44546</c:v>
                </c:pt>
                <c:pt idx="107">
                  <c:v>44547</c:v>
                </c:pt>
                <c:pt idx="108">
                  <c:v>44548</c:v>
                </c:pt>
                <c:pt idx="109">
                  <c:v>44549</c:v>
                </c:pt>
                <c:pt idx="110">
                  <c:v>44550</c:v>
                </c:pt>
                <c:pt idx="111">
                  <c:v>44551</c:v>
                </c:pt>
                <c:pt idx="112">
                  <c:v>44552</c:v>
                </c:pt>
                <c:pt idx="113">
                  <c:v>44553</c:v>
                </c:pt>
                <c:pt idx="114">
                  <c:v>44554</c:v>
                </c:pt>
                <c:pt idx="115">
                  <c:v>44555</c:v>
                </c:pt>
                <c:pt idx="116">
                  <c:v>44556</c:v>
                </c:pt>
                <c:pt idx="117">
                  <c:v>44557</c:v>
                </c:pt>
                <c:pt idx="118">
                  <c:v>44558</c:v>
                </c:pt>
                <c:pt idx="119">
                  <c:v>44559</c:v>
                </c:pt>
                <c:pt idx="120">
                  <c:v>44560</c:v>
                </c:pt>
                <c:pt idx="121">
                  <c:v>44561</c:v>
                </c:pt>
                <c:pt idx="122">
                  <c:v>44562</c:v>
                </c:pt>
                <c:pt idx="123">
                  <c:v>44563</c:v>
                </c:pt>
                <c:pt idx="124">
                  <c:v>44564</c:v>
                </c:pt>
                <c:pt idx="125">
                  <c:v>44565</c:v>
                </c:pt>
                <c:pt idx="126">
                  <c:v>44566</c:v>
                </c:pt>
                <c:pt idx="127">
                  <c:v>44567</c:v>
                </c:pt>
                <c:pt idx="128">
                  <c:v>44568</c:v>
                </c:pt>
                <c:pt idx="129">
                  <c:v>44569</c:v>
                </c:pt>
                <c:pt idx="130">
                  <c:v>44570</c:v>
                </c:pt>
                <c:pt idx="131">
                  <c:v>44571</c:v>
                </c:pt>
                <c:pt idx="132">
                  <c:v>44572</c:v>
                </c:pt>
                <c:pt idx="133">
                  <c:v>44573</c:v>
                </c:pt>
                <c:pt idx="134">
                  <c:v>44574</c:v>
                </c:pt>
                <c:pt idx="135">
                  <c:v>44575</c:v>
                </c:pt>
                <c:pt idx="136">
                  <c:v>44576</c:v>
                </c:pt>
                <c:pt idx="137">
                  <c:v>44577</c:v>
                </c:pt>
                <c:pt idx="138">
                  <c:v>44578</c:v>
                </c:pt>
                <c:pt idx="139">
                  <c:v>44579</c:v>
                </c:pt>
                <c:pt idx="140">
                  <c:v>44580</c:v>
                </c:pt>
                <c:pt idx="141">
                  <c:v>44581</c:v>
                </c:pt>
                <c:pt idx="142">
                  <c:v>44582</c:v>
                </c:pt>
                <c:pt idx="143">
                  <c:v>44583</c:v>
                </c:pt>
                <c:pt idx="144">
                  <c:v>44584</c:v>
                </c:pt>
                <c:pt idx="145">
                  <c:v>44585</c:v>
                </c:pt>
                <c:pt idx="146">
                  <c:v>44586</c:v>
                </c:pt>
                <c:pt idx="147">
                  <c:v>44587</c:v>
                </c:pt>
                <c:pt idx="148">
                  <c:v>44588</c:v>
                </c:pt>
                <c:pt idx="149">
                  <c:v>44589</c:v>
                </c:pt>
                <c:pt idx="150">
                  <c:v>44590</c:v>
                </c:pt>
                <c:pt idx="151">
                  <c:v>44591</c:v>
                </c:pt>
                <c:pt idx="152">
                  <c:v>44592</c:v>
                </c:pt>
                <c:pt idx="153">
                  <c:v>44593</c:v>
                </c:pt>
                <c:pt idx="154">
                  <c:v>44594</c:v>
                </c:pt>
                <c:pt idx="155">
                  <c:v>44595</c:v>
                </c:pt>
                <c:pt idx="156">
                  <c:v>44596</c:v>
                </c:pt>
                <c:pt idx="157">
                  <c:v>44597</c:v>
                </c:pt>
                <c:pt idx="158">
                  <c:v>44598</c:v>
                </c:pt>
                <c:pt idx="159">
                  <c:v>44599</c:v>
                </c:pt>
                <c:pt idx="160">
                  <c:v>44600</c:v>
                </c:pt>
                <c:pt idx="161">
                  <c:v>44601</c:v>
                </c:pt>
                <c:pt idx="162">
                  <c:v>44602</c:v>
                </c:pt>
                <c:pt idx="163">
                  <c:v>44603</c:v>
                </c:pt>
                <c:pt idx="164">
                  <c:v>44604</c:v>
                </c:pt>
                <c:pt idx="165">
                  <c:v>44605</c:v>
                </c:pt>
                <c:pt idx="166">
                  <c:v>44606</c:v>
                </c:pt>
                <c:pt idx="167">
                  <c:v>44607</c:v>
                </c:pt>
                <c:pt idx="168">
                  <c:v>44608</c:v>
                </c:pt>
                <c:pt idx="169">
                  <c:v>44609</c:v>
                </c:pt>
                <c:pt idx="170">
                  <c:v>44610</c:v>
                </c:pt>
                <c:pt idx="171">
                  <c:v>44611</c:v>
                </c:pt>
                <c:pt idx="172">
                  <c:v>44612</c:v>
                </c:pt>
                <c:pt idx="173">
                  <c:v>44613</c:v>
                </c:pt>
                <c:pt idx="174">
                  <c:v>44614</c:v>
                </c:pt>
                <c:pt idx="175">
                  <c:v>44615</c:v>
                </c:pt>
                <c:pt idx="176">
                  <c:v>44616</c:v>
                </c:pt>
                <c:pt idx="177">
                  <c:v>44617</c:v>
                </c:pt>
                <c:pt idx="178">
                  <c:v>44618</c:v>
                </c:pt>
                <c:pt idx="179">
                  <c:v>44619</c:v>
                </c:pt>
                <c:pt idx="180">
                  <c:v>44620</c:v>
                </c:pt>
                <c:pt idx="181">
                  <c:v>44621</c:v>
                </c:pt>
                <c:pt idx="182">
                  <c:v>44622</c:v>
                </c:pt>
                <c:pt idx="183">
                  <c:v>44623</c:v>
                </c:pt>
                <c:pt idx="184">
                  <c:v>44624</c:v>
                </c:pt>
                <c:pt idx="185">
                  <c:v>44625</c:v>
                </c:pt>
                <c:pt idx="186">
                  <c:v>44626</c:v>
                </c:pt>
                <c:pt idx="187">
                  <c:v>44627</c:v>
                </c:pt>
                <c:pt idx="188">
                  <c:v>44628</c:v>
                </c:pt>
                <c:pt idx="189">
                  <c:v>44629</c:v>
                </c:pt>
                <c:pt idx="190">
                  <c:v>44630</c:v>
                </c:pt>
                <c:pt idx="191">
                  <c:v>44631</c:v>
                </c:pt>
                <c:pt idx="192">
                  <c:v>44632</c:v>
                </c:pt>
                <c:pt idx="193">
                  <c:v>44633</c:v>
                </c:pt>
                <c:pt idx="194">
                  <c:v>44634</c:v>
                </c:pt>
                <c:pt idx="195">
                  <c:v>44635</c:v>
                </c:pt>
                <c:pt idx="196">
                  <c:v>44636</c:v>
                </c:pt>
                <c:pt idx="197">
                  <c:v>44637</c:v>
                </c:pt>
                <c:pt idx="198">
                  <c:v>44638</c:v>
                </c:pt>
                <c:pt idx="199">
                  <c:v>44639</c:v>
                </c:pt>
                <c:pt idx="200">
                  <c:v>44640</c:v>
                </c:pt>
                <c:pt idx="201">
                  <c:v>44641</c:v>
                </c:pt>
                <c:pt idx="202">
                  <c:v>44642</c:v>
                </c:pt>
                <c:pt idx="203">
                  <c:v>44643</c:v>
                </c:pt>
                <c:pt idx="204">
                  <c:v>44644</c:v>
                </c:pt>
                <c:pt idx="205">
                  <c:v>44645</c:v>
                </c:pt>
                <c:pt idx="206">
                  <c:v>44646</c:v>
                </c:pt>
                <c:pt idx="207">
                  <c:v>44647</c:v>
                </c:pt>
                <c:pt idx="208">
                  <c:v>44648</c:v>
                </c:pt>
                <c:pt idx="209">
                  <c:v>44649</c:v>
                </c:pt>
                <c:pt idx="210">
                  <c:v>44650</c:v>
                </c:pt>
                <c:pt idx="211">
                  <c:v>44651</c:v>
                </c:pt>
                <c:pt idx="212">
                  <c:v>44652</c:v>
                </c:pt>
                <c:pt idx="213">
                  <c:v>44653</c:v>
                </c:pt>
                <c:pt idx="214">
                  <c:v>44654</c:v>
                </c:pt>
                <c:pt idx="215">
                  <c:v>44655</c:v>
                </c:pt>
                <c:pt idx="216">
                  <c:v>44656</c:v>
                </c:pt>
                <c:pt idx="217">
                  <c:v>44657</c:v>
                </c:pt>
                <c:pt idx="218">
                  <c:v>44658</c:v>
                </c:pt>
                <c:pt idx="219">
                  <c:v>44659</c:v>
                </c:pt>
                <c:pt idx="220">
                  <c:v>44660</c:v>
                </c:pt>
                <c:pt idx="221">
                  <c:v>44661</c:v>
                </c:pt>
                <c:pt idx="222">
                  <c:v>44662</c:v>
                </c:pt>
                <c:pt idx="223">
                  <c:v>44663</c:v>
                </c:pt>
                <c:pt idx="224">
                  <c:v>44664</c:v>
                </c:pt>
                <c:pt idx="225">
                  <c:v>44665</c:v>
                </c:pt>
                <c:pt idx="226">
                  <c:v>44666</c:v>
                </c:pt>
                <c:pt idx="227">
                  <c:v>44667</c:v>
                </c:pt>
                <c:pt idx="228">
                  <c:v>44668</c:v>
                </c:pt>
                <c:pt idx="229">
                  <c:v>44669</c:v>
                </c:pt>
                <c:pt idx="230">
                  <c:v>44670</c:v>
                </c:pt>
                <c:pt idx="231">
                  <c:v>44671</c:v>
                </c:pt>
                <c:pt idx="232">
                  <c:v>44672</c:v>
                </c:pt>
                <c:pt idx="233">
                  <c:v>44673</c:v>
                </c:pt>
                <c:pt idx="234">
                  <c:v>44674</c:v>
                </c:pt>
                <c:pt idx="235">
                  <c:v>44675</c:v>
                </c:pt>
                <c:pt idx="236">
                  <c:v>44676</c:v>
                </c:pt>
                <c:pt idx="237">
                  <c:v>44677</c:v>
                </c:pt>
                <c:pt idx="238">
                  <c:v>44678</c:v>
                </c:pt>
                <c:pt idx="239">
                  <c:v>44679</c:v>
                </c:pt>
                <c:pt idx="240">
                  <c:v>44680</c:v>
                </c:pt>
                <c:pt idx="241">
                  <c:v>44681</c:v>
                </c:pt>
                <c:pt idx="242">
                  <c:v>44682</c:v>
                </c:pt>
                <c:pt idx="243">
                  <c:v>44683</c:v>
                </c:pt>
                <c:pt idx="244">
                  <c:v>44684</c:v>
                </c:pt>
                <c:pt idx="245">
                  <c:v>44685</c:v>
                </c:pt>
                <c:pt idx="246">
                  <c:v>44686</c:v>
                </c:pt>
                <c:pt idx="247">
                  <c:v>44687</c:v>
                </c:pt>
                <c:pt idx="248">
                  <c:v>44688</c:v>
                </c:pt>
                <c:pt idx="249">
                  <c:v>44689</c:v>
                </c:pt>
                <c:pt idx="250">
                  <c:v>44690</c:v>
                </c:pt>
                <c:pt idx="251">
                  <c:v>44691</c:v>
                </c:pt>
                <c:pt idx="252">
                  <c:v>44692</c:v>
                </c:pt>
                <c:pt idx="253">
                  <c:v>44693</c:v>
                </c:pt>
                <c:pt idx="254">
                  <c:v>44694</c:v>
                </c:pt>
                <c:pt idx="255">
                  <c:v>44695</c:v>
                </c:pt>
                <c:pt idx="256">
                  <c:v>44696</c:v>
                </c:pt>
                <c:pt idx="257">
                  <c:v>44697</c:v>
                </c:pt>
                <c:pt idx="258">
                  <c:v>44698</c:v>
                </c:pt>
                <c:pt idx="259">
                  <c:v>44699</c:v>
                </c:pt>
                <c:pt idx="260">
                  <c:v>44700</c:v>
                </c:pt>
                <c:pt idx="261">
                  <c:v>44701</c:v>
                </c:pt>
                <c:pt idx="262">
                  <c:v>44702</c:v>
                </c:pt>
                <c:pt idx="263">
                  <c:v>44703</c:v>
                </c:pt>
                <c:pt idx="264">
                  <c:v>44704</c:v>
                </c:pt>
                <c:pt idx="265">
                  <c:v>44705</c:v>
                </c:pt>
                <c:pt idx="266">
                  <c:v>44706</c:v>
                </c:pt>
                <c:pt idx="267">
                  <c:v>44707</c:v>
                </c:pt>
                <c:pt idx="268">
                  <c:v>44708</c:v>
                </c:pt>
                <c:pt idx="269">
                  <c:v>44709</c:v>
                </c:pt>
                <c:pt idx="270">
                  <c:v>44710</c:v>
                </c:pt>
                <c:pt idx="271">
                  <c:v>44711</c:v>
                </c:pt>
                <c:pt idx="272">
                  <c:v>44712</c:v>
                </c:pt>
                <c:pt idx="273">
                  <c:v>44713</c:v>
                </c:pt>
                <c:pt idx="274">
                  <c:v>44714</c:v>
                </c:pt>
                <c:pt idx="275">
                  <c:v>44715</c:v>
                </c:pt>
                <c:pt idx="276">
                  <c:v>44716</c:v>
                </c:pt>
                <c:pt idx="277">
                  <c:v>44717</c:v>
                </c:pt>
                <c:pt idx="278">
                  <c:v>44718</c:v>
                </c:pt>
                <c:pt idx="279">
                  <c:v>44719</c:v>
                </c:pt>
                <c:pt idx="280">
                  <c:v>44720</c:v>
                </c:pt>
                <c:pt idx="281">
                  <c:v>44721</c:v>
                </c:pt>
                <c:pt idx="282">
                  <c:v>44722</c:v>
                </c:pt>
                <c:pt idx="283">
                  <c:v>44723</c:v>
                </c:pt>
                <c:pt idx="284">
                  <c:v>44724</c:v>
                </c:pt>
                <c:pt idx="285">
                  <c:v>44725</c:v>
                </c:pt>
                <c:pt idx="286">
                  <c:v>44726</c:v>
                </c:pt>
                <c:pt idx="287">
                  <c:v>44727</c:v>
                </c:pt>
                <c:pt idx="288">
                  <c:v>44728</c:v>
                </c:pt>
                <c:pt idx="289">
                  <c:v>44729</c:v>
                </c:pt>
                <c:pt idx="290">
                  <c:v>44730</c:v>
                </c:pt>
                <c:pt idx="291">
                  <c:v>44731</c:v>
                </c:pt>
                <c:pt idx="292">
                  <c:v>44732</c:v>
                </c:pt>
                <c:pt idx="293">
                  <c:v>44733</c:v>
                </c:pt>
                <c:pt idx="294">
                  <c:v>44734</c:v>
                </c:pt>
                <c:pt idx="295">
                  <c:v>44735</c:v>
                </c:pt>
                <c:pt idx="296">
                  <c:v>44736</c:v>
                </c:pt>
                <c:pt idx="297">
                  <c:v>44737</c:v>
                </c:pt>
                <c:pt idx="298">
                  <c:v>44738</c:v>
                </c:pt>
                <c:pt idx="299">
                  <c:v>44739</c:v>
                </c:pt>
                <c:pt idx="300">
                  <c:v>44740</c:v>
                </c:pt>
                <c:pt idx="301">
                  <c:v>44741</c:v>
                </c:pt>
                <c:pt idx="302">
                  <c:v>44742</c:v>
                </c:pt>
                <c:pt idx="303">
                  <c:v>44743</c:v>
                </c:pt>
                <c:pt idx="304">
                  <c:v>44744</c:v>
                </c:pt>
                <c:pt idx="305">
                  <c:v>44745</c:v>
                </c:pt>
                <c:pt idx="306">
                  <c:v>44746</c:v>
                </c:pt>
                <c:pt idx="307">
                  <c:v>44747</c:v>
                </c:pt>
                <c:pt idx="308">
                  <c:v>44748</c:v>
                </c:pt>
                <c:pt idx="309">
                  <c:v>44749</c:v>
                </c:pt>
                <c:pt idx="310">
                  <c:v>44750</c:v>
                </c:pt>
                <c:pt idx="311">
                  <c:v>44751</c:v>
                </c:pt>
                <c:pt idx="312">
                  <c:v>44752</c:v>
                </c:pt>
                <c:pt idx="313">
                  <c:v>44753</c:v>
                </c:pt>
                <c:pt idx="314">
                  <c:v>44754</c:v>
                </c:pt>
                <c:pt idx="315">
                  <c:v>44755</c:v>
                </c:pt>
                <c:pt idx="316">
                  <c:v>44756</c:v>
                </c:pt>
                <c:pt idx="317">
                  <c:v>44757</c:v>
                </c:pt>
                <c:pt idx="318">
                  <c:v>44758</c:v>
                </c:pt>
                <c:pt idx="319">
                  <c:v>44759</c:v>
                </c:pt>
                <c:pt idx="320">
                  <c:v>44760</c:v>
                </c:pt>
                <c:pt idx="321">
                  <c:v>44761</c:v>
                </c:pt>
                <c:pt idx="322">
                  <c:v>44762</c:v>
                </c:pt>
                <c:pt idx="323">
                  <c:v>44763</c:v>
                </c:pt>
                <c:pt idx="324">
                  <c:v>44764</c:v>
                </c:pt>
                <c:pt idx="325">
                  <c:v>44765</c:v>
                </c:pt>
                <c:pt idx="326">
                  <c:v>44766</c:v>
                </c:pt>
                <c:pt idx="327">
                  <c:v>44767</c:v>
                </c:pt>
                <c:pt idx="328">
                  <c:v>44768</c:v>
                </c:pt>
                <c:pt idx="329">
                  <c:v>44769</c:v>
                </c:pt>
                <c:pt idx="330">
                  <c:v>44770</c:v>
                </c:pt>
                <c:pt idx="331">
                  <c:v>44771</c:v>
                </c:pt>
                <c:pt idx="332">
                  <c:v>44772</c:v>
                </c:pt>
                <c:pt idx="333">
                  <c:v>44773</c:v>
                </c:pt>
                <c:pt idx="334">
                  <c:v>44774</c:v>
                </c:pt>
                <c:pt idx="335">
                  <c:v>44775</c:v>
                </c:pt>
                <c:pt idx="336">
                  <c:v>44776</c:v>
                </c:pt>
                <c:pt idx="337">
                  <c:v>44777</c:v>
                </c:pt>
                <c:pt idx="338">
                  <c:v>44778</c:v>
                </c:pt>
                <c:pt idx="339">
                  <c:v>44779</c:v>
                </c:pt>
                <c:pt idx="340">
                  <c:v>44780</c:v>
                </c:pt>
                <c:pt idx="341">
                  <c:v>44781</c:v>
                </c:pt>
                <c:pt idx="342">
                  <c:v>44782</c:v>
                </c:pt>
                <c:pt idx="343">
                  <c:v>44783</c:v>
                </c:pt>
                <c:pt idx="344">
                  <c:v>44784</c:v>
                </c:pt>
                <c:pt idx="345">
                  <c:v>44785</c:v>
                </c:pt>
                <c:pt idx="346">
                  <c:v>44786</c:v>
                </c:pt>
                <c:pt idx="347">
                  <c:v>44787</c:v>
                </c:pt>
                <c:pt idx="348">
                  <c:v>44788</c:v>
                </c:pt>
                <c:pt idx="349">
                  <c:v>44789</c:v>
                </c:pt>
                <c:pt idx="350">
                  <c:v>44790</c:v>
                </c:pt>
                <c:pt idx="351">
                  <c:v>44791</c:v>
                </c:pt>
                <c:pt idx="352">
                  <c:v>44792</c:v>
                </c:pt>
                <c:pt idx="353">
                  <c:v>44793</c:v>
                </c:pt>
                <c:pt idx="354">
                  <c:v>44794</c:v>
                </c:pt>
                <c:pt idx="355">
                  <c:v>44795</c:v>
                </c:pt>
                <c:pt idx="356">
                  <c:v>44796</c:v>
                </c:pt>
                <c:pt idx="357">
                  <c:v>44797</c:v>
                </c:pt>
                <c:pt idx="358">
                  <c:v>44798</c:v>
                </c:pt>
                <c:pt idx="359">
                  <c:v>44799</c:v>
                </c:pt>
                <c:pt idx="360">
                  <c:v>44800</c:v>
                </c:pt>
                <c:pt idx="361">
                  <c:v>44801</c:v>
                </c:pt>
                <c:pt idx="362">
                  <c:v>44802</c:v>
                </c:pt>
                <c:pt idx="363">
                  <c:v>44803</c:v>
                </c:pt>
                <c:pt idx="364">
                  <c:v>44804</c:v>
                </c:pt>
                <c:pt idx="365">
                  <c:v>44805</c:v>
                </c:pt>
                <c:pt idx="366">
                  <c:v>44806</c:v>
                </c:pt>
                <c:pt idx="367">
                  <c:v>44807</c:v>
                </c:pt>
                <c:pt idx="368">
                  <c:v>44808</c:v>
                </c:pt>
                <c:pt idx="369">
                  <c:v>44809</c:v>
                </c:pt>
                <c:pt idx="370">
                  <c:v>44810</c:v>
                </c:pt>
                <c:pt idx="371">
                  <c:v>44811</c:v>
                </c:pt>
                <c:pt idx="372">
                  <c:v>44812</c:v>
                </c:pt>
                <c:pt idx="373">
                  <c:v>44813</c:v>
                </c:pt>
                <c:pt idx="374">
                  <c:v>44814</c:v>
                </c:pt>
                <c:pt idx="375">
                  <c:v>44815</c:v>
                </c:pt>
                <c:pt idx="376">
                  <c:v>44816</c:v>
                </c:pt>
                <c:pt idx="377">
                  <c:v>44817</c:v>
                </c:pt>
                <c:pt idx="378">
                  <c:v>44818</c:v>
                </c:pt>
                <c:pt idx="379">
                  <c:v>44819</c:v>
                </c:pt>
                <c:pt idx="380">
                  <c:v>44820</c:v>
                </c:pt>
                <c:pt idx="381">
                  <c:v>44821</c:v>
                </c:pt>
                <c:pt idx="382">
                  <c:v>44822</c:v>
                </c:pt>
                <c:pt idx="383">
                  <c:v>44823</c:v>
                </c:pt>
                <c:pt idx="384">
                  <c:v>44824</c:v>
                </c:pt>
                <c:pt idx="385">
                  <c:v>44825</c:v>
                </c:pt>
                <c:pt idx="386">
                  <c:v>44826</c:v>
                </c:pt>
                <c:pt idx="387">
                  <c:v>44827</c:v>
                </c:pt>
                <c:pt idx="388">
                  <c:v>44828</c:v>
                </c:pt>
                <c:pt idx="389">
                  <c:v>44829</c:v>
                </c:pt>
                <c:pt idx="390">
                  <c:v>44830</c:v>
                </c:pt>
                <c:pt idx="391">
                  <c:v>44831</c:v>
                </c:pt>
                <c:pt idx="392">
                  <c:v>44832</c:v>
                </c:pt>
                <c:pt idx="393">
                  <c:v>44833</c:v>
                </c:pt>
                <c:pt idx="394">
                  <c:v>44834</c:v>
                </c:pt>
                <c:pt idx="395">
                  <c:v>44835</c:v>
                </c:pt>
                <c:pt idx="396">
                  <c:v>44836</c:v>
                </c:pt>
                <c:pt idx="397">
                  <c:v>44837</c:v>
                </c:pt>
                <c:pt idx="398">
                  <c:v>44838</c:v>
                </c:pt>
                <c:pt idx="399">
                  <c:v>44839</c:v>
                </c:pt>
                <c:pt idx="400">
                  <c:v>44840</c:v>
                </c:pt>
                <c:pt idx="401">
                  <c:v>44841</c:v>
                </c:pt>
                <c:pt idx="402">
                  <c:v>44842</c:v>
                </c:pt>
                <c:pt idx="403">
                  <c:v>44843</c:v>
                </c:pt>
                <c:pt idx="404">
                  <c:v>44844</c:v>
                </c:pt>
                <c:pt idx="405">
                  <c:v>44845</c:v>
                </c:pt>
                <c:pt idx="406">
                  <c:v>44846</c:v>
                </c:pt>
                <c:pt idx="407">
                  <c:v>44847</c:v>
                </c:pt>
                <c:pt idx="408">
                  <c:v>44848</c:v>
                </c:pt>
                <c:pt idx="409">
                  <c:v>44849</c:v>
                </c:pt>
                <c:pt idx="410">
                  <c:v>44850</c:v>
                </c:pt>
                <c:pt idx="411">
                  <c:v>44851</c:v>
                </c:pt>
                <c:pt idx="412">
                  <c:v>44852</c:v>
                </c:pt>
                <c:pt idx="413">
                  <c:v>44853</c:v>
                </c:pt>
                <c:pt idx="414">
                  <c:v>44854</c:v>
                </c:pt>
                <c:pt idx="415">
                  <c:v>44855</c:v>
                </c:pt>
                <c:pt idx="416">
                  <c:v>44856</c:v>
                </c:pt>
                <c:pt idx="417">
                  <c:v>44857</c:v>
                </c:pt>
                <c:pt idx="418">
                  <c:v>44858</c:v>
                </c:pt>
                <c:pt idx="419">
                  <c:v>44859</c:v>
                </c:pt>
                <c:pt idx="420">
                  <c:v>44860</c:v>
                </c:pt>
                <c:pt idx="421">
                  <c:v>44861</c:v>
                </c:pt>
                <c:pt idx="422">
                  <c:v>44862</c:v>
                </c:pt>
                <c:pt idx="423">
                  <c:v>44863</c:v>
                </c:pt>
                <c:pt idx="424">
                  <c:v>44864</c:v>
                </c:pt>
                <c:pt idx="425">
                  <c:v>44865</c:v>
                </c:pt>
                <c:pt idx="426">
                  <c:v>44866</c:v>
                </c:pt>
                <c:pt idx="427">
                  <c:v>44867</c:v>
                </c:pt>
                <c:pt idx="428">
                  <c:v>44868</c:v>
                </c:pt>
                <c:pt idx="429">
                  <c:v>44869</c:v>
                </c:pt>
                <c:pt idx="430">
                  <c:v>44870</c:v>
                </c:pt>
                <c:pt idx="431">
                  <c:v>44871</c:v>
                </c:pt>
                <c:pt idx="432">
                  <c:v>44872</c:v>
                </c:pt>
                <c:pt idx="433">
                  <c:v>44873</c:v>
                </c:pt>
                <c:pt idx="434">
                  <c:v>44874</c:v>
                </c:pt>
                <c:pt idx="435">
                  <c:v>44875</c:v>
                </c:pt>
                <c:pt idx="436">
                  <c:v>44876</c:v>
                </c:pt>
                <c:pt idx="437">
                  <c:v>44877</c:v>
                </c:pt>
                <c:pt idx="438">
                  <c:v>44878</c:v>
                </c:pt>
                <c:pt idx="439">
                  <c:v>44879</c:v>
                </c:pt>
                <c:pt idx="440">
                  <c:v>44880</c:v>
                </c:pt>
                <c:pt idx="441">
                  <c:v>44881</c:v>
                </c:pt>
                <c:pt idx="442">
                  <c:v>44882</c:v>
                </c:pt>
                <c:pt idx="443">
                  <c:v>44883</c:v>
                </c:pt>
                <c:pt idx="444">
                  <c:v>44884</c:v>
                </c:pt>
                <c:pt idx="445">
                  <c:v>44885</c:v>
                </c:pt>
                <c:pt idx="446">
                  <c:v>44886</c:v>
                </c:pt>
                <c:pt idx="447">
                  <c:v>44887</c:v>
                </c:pt>
                <c:pt idx="448">
                  <c:v>44888</c:v>
                </c:pt>
                <c:pt idx="449">
                  <c:v>44889</c:v>
                </c:pt>
                <c:pt idx="450">
                  <c:v>44890</c:v>
                </c:pt>
                <c:pt idx="451">
                  <c:v>44891</c:v>
                </c:pt>
                <c:pt idx="452">
                  <c:v>44892</c:v>
                </c:pt>
                <c:pt idx="453">
                  <c:v>44893</c:v>
                </c:pt>
                <c:pt idx="454">
                  <c:v>44894</c:v>
                </c:pt>
                <c:pt idx="455">
                  <c:v>44895</c:v>
                </c:pt>
                <c:pt idx="456">
                  <c:v>44896</c:v>
                </c:pt>
                <c:pt idx="457">
                  <c:v>44897</c:v>
                </c:pt>
                <c:pt idx="458">
                  <c:v>44898</c:v>
                </c:pt>
                <c:pt idx="459">
                  <c:v>44899</c:v>
                </c:pt>
                <c:pt idx="460">
                  <c:v>44900</c:v>
                </c:pt>
                <c:pt idx="461">
                  <c:v>44901</c:v>
                </c:pt>
                <c:pt idx="462">
                  <c:v>44902</c:v>
                </c:pt>
                <c:pt idx="463">
                  <c:v>44903</c:v>
                </c:pt>
                <c:pt idx="464">
                  <c:v>44904</c:v>
                </c:pt>
                <c:pt idx="465">
                  <c:v>44905</c:v>
                </c:pt>
                <c:pt idx="466">
                  <c:v>44906</c:v>
                </c:pt>
                <c:pt idx="467">
                  <c:v>44907</c:v>
                </c:pt>
                <c:pt idx="468">
                  <c:v>44908</c:v>
                </c:pt>
                <c:pt idx="469">
                  <c:v>44909</c:v>
                </c:pt>
                <c:pt idx="470">
                  <c:v>44910</c:v>
                </c:pt>
                <c:pt idx="471">
                  <c:v>44911</c:v>
                </c:pt>
                <c:pt idx="472">
                  <c:v>44912</c:v>
                </c:pt>
                <c:pt idx="473">
                  <c:v>44913</c:v>
                </c:pt>
                <c:pt idx="474">
                  <c:v>44914</c:v>
                </c:pt>
                <c:pt idx="475">
                  <c:v>44915</c:v>
                </c:pt>
                <c:pt idx="476">
                  <c:v>44916</c:v>
                </c:pt>
                <c:pt idx="477">
                  <c:v>44917</c:v>
                </c:pt>
                <c:pt idx="478">
                  <c:v>44918</c:v>
                </c:pt>
                <c:pt idx="479">
                  <c:v>44919</c:v>
                </c:pt>
                <c:pt idx="480">
                  <c:v>44920</c:v>
                </c:pt>
                <c:pt idx="481">
                  <c:v>44921</c:v>
                </c:pt>
                <c:pt idx="482">
                  <c:v>44922</c:v>
                </c:pt>
                <c:pt idx="483">
                  <c:v>44923</c:v>
                </c:pt>
                <c:pt idx="484">
                  <c:v>44924</c:v>
                </c:pt>
                <c:pt idx="485">
                  <c:v>44925</c:v>
                </c:pt>
                <c:pt idx="486">
                  <c:v>44926</c:v>
                </c:pt>
                <c:pt idx="487">
                  <c:v>44927</c:v>
                </c:pt>
                <c:pt idx="488">
                  <c:v>44928</c:v>
                </c:pt>
                <c:pt idx="489">
                  <c:v>44929</c:v>
                </c:pt>
                <c:pt idx="490">
                  <c:v>44930</c:v>
                </c:pt>
                <c:pt idx="491">
                  <c:v>44931</c:v>
                </c:pt>
                <c:pt idx="492">
                  <c:v>44932</c:v>
                </c:pt>
                <c:pt idx="493">
                  <c:v>44933</c:v>
                </c:pt>
                <c:pt idx="494">
                  <c:v>44934</c:v>
                </c:pt>
                <c:pt idx="495">
                  <c:v>44935</c:v>
                </c:pt>
                <c:pt idx="496">
                  <c:v>44936</c:v>
                </c:pt>
                <c:pt idx="497">
                  <c:v>44937</c:v>
                </c:pt>
                <c:pt idx="498">
                  <c:v>44938</c:v>
                </c:pt>
                <c:pt idx="499">
                  <c:v>44939</c:v>
                </c:pt>
                <c:pt idx="500">
                  <c:v>44940</c:v>
                </c:pt>
                <c:pt idx="501">
                  <c:v>44941</c:v>
                </c:pt>
                <c:pt idx="502">
                  <c:v>44942</c:v>
                </c:pt>
                <c:pt idx="503">
                  <c:v>44943</c:v>
                </c:pt>
                <c:pt idx="504">
                  <c:v>44944</c:v>
                </c:pt>
                <c:pt idx="505">
                  <c:v>44945</c:v>
                </c:pt>
                <c:pt idx="506">
                  <c:v>44946</c:v>
                </c:pt>
                <c:pt idx="507">
                  <c:v>44947</c:v>
                </c:pt>
                <c:pt idx="508">
                  <c:v>44948</c:v>
                </c:pt>
                <c:pt idx="509">
                  <c:v>44949</c:v>
                </c:pt>
                <c:pt idx="510">
                  <c:v>44950</c:v>
                </c:pt>
                <c:pt idx="511">
                  <c:v>44951</c:v>
                </c:pt>
                <c:pt idx="512">
                  <c:v>44952</c:v>
                </c:pt>
                <c:pt idx="513">
                  <c:v>44953</c:v>
                </c:pt>
                <c:pt idx="514">
                  <c:v>44954</c:v>
                </c:pt>
                <c:pt idx="515">
                  <c:v>44955</c:v>
                </c:pt>
                <c:pt idx="516">
                  <c:v>44956</c:v>
                </c:pt>
                <c:pt idx="517">
                  <c:v>44957</c:v>
                </c:pt>
                <c:pt idx="518">
                  <c:v>44958</c:v>
                </c:pt>
                <c:pt idx="519">
                  <c:v>44959</c:v>
                </c:pt>
                <c:pt idx="520">
                  <c:v>44960</c:v>
                </c:pt>
                <c:pt idx="521">
                  <c:v>44961</c:v>
                </c:pt>
                <c:pt idx="522">
                  <c:v>44962</c:v>
                </c:pt>
                <c:pt idx="523">
                  <c:v>44963</c:v>
                </c:pt>
                <c:pt idx="524">
                  <c:v>44964</c:v>
                </c:pt>
                <c:pt idx="525">
                  <c:v>44965</c:v>
                </c:pt>
                <c:pt idx="526">
                  <c:v>44966</c:v>
                </c:pt>
                <c:pt idx="527">
                  <c:v>44967</c:v>
                </c:pt>
                <c:pt idx="528">
                  <c:v>44968</c:v>
                </c:pt>
                <c:pt idx="529">
                  <c:v>44969</c:v>
                </c:pt>
                <c:pt idx="530">
                  <c:v>44970</c:v>
                </c:pt>
                <c:pt idx="531">
                  <c:v>44971</c:v>
                </c:pt>
                <c:pt idx="532">
                  <c:v>44972</c:v>
                </c:pt>
                <c:pt idx="533">
                  <c:v>44973</c:v>
                </c:pt>
                <c:pt idx="534">
                  <c:v>44974</c:v>
                </c:pt>
                <c:pt idx="535">
                  <c:v>44975</c:v>
                </c:pt>
                <c:pt idx="536">
                  <c:v>44976</c:v>
                </c:pt>
                <c:pt idx="537">
                  <c:v>44977</c:v>
                </c:pt>
                <c:pt idx="538">
                  <c:v>44978</c:v>
                </c:pt>
                <c:pt idx="539">
                  <c:v>44979</c:v>
                </c:pt>
                <c:pt idx="540">
                  <c:v>44980</c:v>
                </c:pt>
                <c:pt idx="541">
                  <c:v>44981</c:v>
                </c:pt>
                <c:pt idx="542">
                  <c:v>44982</c:v>
                </c:pt>
                <c:pt idx="543">
                  <c:v>44983</c:v>
                </c:pt>
                <c:pt idx="544">
                  <c:v>44984</c:v>
                </c:pt>
                <c:pt idx="545">
                  <c:v>44985</c:v>
                </c:pt>
                <c:pt idx="546">
                  <c:v>44986</c:v>
                </c:pt>
                <c:pt idx="547">
                  <c:v>44987</c:v>
                </c:pt>
                <c:pt idx="548">
                  <c:v>44988</c:v>
                </c:pt>
                <c:pt idx="549">
                  <c:v>44989</c:v>
                </c:pt>
                <c:pt idx="550">
                  <c:v>44990</c:v>
                </c:pt>
                <c:pt idx="551">
                  <c:v>44991</c:v>
                </c:pt>
                <c:pt idx="552">
                  <c:v>44992</c:v>
                </c:pt>
                <c:pt idx="553">
                  <c:v>44993</c:v>
                </c:pt>
                <c:pt idx="554">
                  <c:v>44994</c:v>
                </c:pt>
                <c:pt idx="555">
                  <c:v>44995</c:v>
                </c:pt>
                <c:pt idx="556">
                  <c:v>44996</c:v>
                </c:pt>
                <c:pt idx="557">
                  <c:v>44997</c:v>
                </c:pt>
                <c:pt idx="558">
                  <c:v>44998</c:v>
                </c:pt>
                <c:pt idx="559">
                  <c:v>44999</c:v>
                </c:pt>
                <c:pt idx="560">
                  <c:v>45000</c:v>
                </c:pt>
                <c:pt idx="561">
                  <c:v>45001</c:v>
                </c:pt>
                <c:pt idx="562">
                  <c:v>45002</c:v>
                </c:pt>
                <c:pt idx="563">
                  <c:v>45003</c:v>
                </c:pt>
                <c:pt idx="564">
                  <c:v>45004</c:v>
                </c:pt>
                <c:pt idx="565">
                  <c:v>45005</c:v>
                </c:pt>
                <c:pt idx="566">
                  <c:v>45006</c:v>
                </c:pt>
                <c:pt idx="567">
                  <c:v>45007</c:v>
                </c:pt>
                <c:pt idx="568">
                  <c:v>45008</c:v>
                </c:pt>
                <c:pt idx="569">
                  <c:v>45009</c:v>
                </c:pt>
                <c:pt idx="570">
                  <c:v>45010</c:v>
                </c:pt>
                <c:pt idx="571">
                  <c:v>45011</c:v>
                </c:pt>
                <c:pt idx="572">
                  <c:v>45012</c:v>
                </c:pt>
                <c:pt idx="573">
                  <c:v>45013</c:v>
                </c:pt>
                <c:pt idx="574">
                  <c:v>45014</c:v>
                </c:pt>
                <c:pt idx="575">
                  <c:v>45015</c:v>
                </c:pt>
                <c:pt idx="576">
                  <c:v>45016</c:v>
                </c:pt>
                <c:pt idx="577">
                  <c:v>45017</c:v>
                </c:pt>
                <c:pt idx="578">
                  <c:v>45018</c:v>
                </c:pt>
                <c:pt idx="579">
                  <c:v>45019</c:v>
                </c:pt>
                <c:pt idx="580">
                  <c:v>45020</c:v>
                </c:pt>
                <c:pt idx="581">
                  <c:v>45021</c:v>
                </c:pt>
                <c:pt idx="582">
                  <c:v>45022</c:v>
                </c:pt>
                <c:pt idx="583">
                  <c:v>45023</c:v>
                </c:pt>
                <c:pt idx="584">
                  <c:v>45024</c:v>
                </c:pt>
                <c:pt idx="585">
                  <c:v>45025</c:v>
                </c:pt>
                <c:pt idx="586">
                  <c:v>45026</c:v>
                </c:pt>
                <c:pt idx="587">
                  <c:v>45027</c:v>
                </c:pt>
                <c:pt idx="588">
                  <c:v>45028</c:v>
                </c:pt>
                <c:pt idx="589">
                  <c:v>45029</c:v>
                </c:pt>
                <c:pt idx="590">
                  <c:v>45030</c:v>
                </c:pt>
                <c:pt idx="591">
                  <c:v>45031</c:v>
                </c:pt>
                <c:pt idx="592">
                  <c:v>45032</c:v>
                </c:pt>
                <c:pt idx="593">
                  <c:v>45033</c:v>
                </c:pt>
                <c:pt idx="594">
                  <c:v>45034</c:v>
                </c:pt>
                <c:pt idx="595">
                  <c:v>45035</c:v>
                </c:pt>
                <c:pt idx="596">
                  <c:v>45036</c:v>
                </c:pt>
                <c:pt idx="597">
                  <c:v>45037</c:v>
                </c:pt>
                <c:pt idx="598">
                  <c:v>45038</c:v>
                </c:pt>
                <c:pt idx="599">
                  <c:v>45039</c:v>
                </c:pt>
                <c:pt idx="600">
                  <c:v>45040</c:v>
                </c:pt>
                <c:pt idx="601">
                  <c:v>45041</c:v>
                </c:pt>
                <c:pt idx="602">
                  <c:v>45042</c:v>
                </c:pt>
                <c:pt idx="603">
                  <c:v>45043</c:v>
                </c:pt>
                <c:pt idx="604">
                  <c:v>45044</c:v>
                </c:pt>
                <c:pt idx="605">
                  <c:v>45045</c:v>
                </c:pt>
                <c:pt idx="606">
                  <c:v>45046</c:v>
                </c:pt>
                <c:pt idx="607">
                  <c:v>45047</c:v>
                </c:pt>
                <c:pt idx="608">
                  <c:v>45048</c:v>
                </c:pt>
                <c:pt idx="609">
                  <c:v>45049</c:v>
                </c:pt>
                <c:pt idx="610">
                  <c:v>45050</c:v>
                </c:pt>
                <c:pt idx="611">
                  <c:v>45051</c:v>
                </c:pt>
                <c:pt idx="612">
                  <c:v>45052</c:v>
                </c:pt>
                <c:pt idx="613">
                  <c:v>45053</c:v>
                </c:pt>
                <c:pt idx="614">
                  <c:v>45054</c:v>
                </c:pt>
                <c:pt idx="615">
                  <c:v>45055</c:v>
                </c:pt>
                <c:pt idx="616">
                  <c:v>45056</c:v>
                </c:pt>
                <c:pt idx="617">
                  <c:v>45057</c:v>
                </c:pt>
                <c:pt idx="618">
                  <c:v>45058</c:v>
                </c:pt>
                <c:pt idx="619">
                  <c:v>45059</c:v>
                </c:pt>
                <c:pt idx="620">
                  <c:v>45060</c:v>
                </c:pt>
                <c:pt idx="621">
                  <c:v>45061</c:v>
                </c:pt>
                <c:pt idx="622">
                  <c:v>45062</c:v>
                </c:pt>
                <c:pt idx="623">
                  <c:v>45063</c:v>
                </c:pt>
                <c:pt idx="624">
                  <c:v>45064</c:v>
                </c:pt>
                <c:pt idx="625">
                  <c:v>45065</c:v>
                </c:pt>
                <c:pt idx="626">
                  <c:v>45066</c:v>
                </c:pt>
                <c:pt idx="627">
                  <c:v>45067</c:v>
                </c:pt>
                <c:pt idx="628">
                  <c:v>45068</c:v>
                </c:pt>
                <c:pt idx="629">
                  <c:v>45069</c:v>
                </c:pt>
                <c:pt idx="630">
                  <c:v>45070</c:v>
                </c:pt>
                <c:pt idx="631">
                  <c:v>45071</c:v>
                </c:pt>
                <c:pt idx="632">
                  <c:v>45072</c:v>
                </c:pt>
                <c:pt idx="633">
                  <c:v>45073</c:v>
                </c:pt>
                <c:pt idx="634">
                  <c:v>45074</c:v>
                </c:pt>
                <c:pt idx="635">
                  <c:v>45075</c:v>
                </c:pt>
                <c:pt idx="636">
                  <c:v>45076</c:v>
                </c:pt>
                <c:pt idx="637">
                  <c:v>45077</c:v>
                </c:pt>
                <c:pt idx="638">
                  <c:v>45078</c:v>
                </c:pt>
                <c:pt idx="639">
                  <c:v>45079</c:v>
                </c:pt>
                <c:pt idx="640">
                  <c:v>45080</c:v>
                </c:pt>
                <c:pt idx="641">
                  <c:v>45081</c:v>
                </c:pt>
                <c:pt idx="642">
                  <c:v>45082</c:v>
                </c:pt>
                <c:pt idx="643">
                  <c:v>45083</c:v>
                </c:pt>
                <c:pt idx="644">
                  <c:v>45084</c:v>
                </c:pt>
                <c:pt idx="645">
                  <c:v>45085</c:v>
                </c:pt>
                <c:pt idx="646">
                  <c:v>45086</c:v>
                </c:pt>
                <c:pt idx="647">
                  <c:v>45087</c:v>
                </c:pt>
                <c:pt idx="648">
                  <c:v>45088</c:v>
                </c:pt>
                <c:pt idx="649">
                  <c:v>45089</c:v>
                </c:pt>
                <c:pt idx="650">
                  <c:v>45090</c:v>
                </c:pt>
                <c:pt idx="651">
                  <c:v>45091</c:v>
                </c:pt>
                <c:pt idx="652">
                  <c:v>45092</c:v>
                </c:pt>
                <c:pt idx="653">
                  <c:v>45093</c:v>
                </c:pt>
                <c:pt idx="654">
                  <c:v>45094</c:v>
                </c:pt>
                <c:pt idx="655">
                  <c:v>45095</c:v>
                </c:pt>
                <c:pt idx="656">
                  <c:v>45096</c:v>
                </c:pt>
                <c:pt idx="657">
                  <c:v>45097</c:v>
                </c:pt>
                <c:pt idx="658">
                  <c:v>45098</c:v>
                </c:pt>
                <c:pt idx="659">
                  <c:v>45099</c:v>
                </c:pt>
                <c:pt idx="660">
                  <c:v>45100</c:v>
                </c:pt>
                <c:pt idx="661">
                  <c:v>45101</c:v>
                </c:pt>
                <c:pt idx="662">
                  <c:v>45102</c:v>
                </c:pt>
                <c:pt idx="663">
                  <c:v>45103</c:v>
                </c:pt>
                <c:pt idx="664">
                  <c:v>45104</c:v>
                </c:pt>
                <c:pt idx="665">
                  <c:v>45105</c:v>
                </c:pt>
                <c:pt idx="666">
                  <c:v>45106</c:v>
                </c:pt>
                <c:pt idx="667">
                  <c:v>45107</c:v>
                </c:pt>
                <c:pt idx="668">
                  <c:v>45108</c:v>
                </c:pt>
                <c:pt idx="669">
                  <c:v>45109</c:v>
                </c:pt>
                <c:pt idx="670">
                  <c:v>45110</c:v>
                </c:pt>
                <c:pt idx="671">
                  <c:v>45111</c:v>
                </c:pt>
                <c:pt idx="672">
                  <c:v>45112</c:v>
                </c:pt>
                <c:pt idx="673">
                  <c:v>45113</c:v>
                </c:pt>
                <c:pt idx="674">
                  <c:v>45114</c:v>
                </c:pt>
                <c:pt idx="675">
                  <c:v>45115</c:v>
                </c:pt>
                <c:pt idx="676">
                  <c:v>45116</c:v>
                </c:pt>
                <c:pt idx="677">
                  <c:v>45117</c:v>
                </c:pt>
                <c:pt idx="678">
                  <c:v>45118</c:v>
                </c:pt>
                <c:pt idx="679">
                  <c:v>45119</c:v>
                </c:pt>
                <c:pt idx="680">
                  <c:v>45120</c:v>
                </c:pt>
                <c:pt idx="681">
                  <c:v>45121</c:v>
                </c:pt>
                <c:pt idx="682">
                  <c:v>45122</c:v>
                </c:pt>
                <c:pt idx="683">
                  <c:v>45123</c:v>
                </c:pt>
                <c:pt idx="684">
                  <c:v>45124</c:v>
                </c:pt>
                <c:pt idx="685">
                  <c:v>45125</c:v>
                </c:pt>
                <c:pt idx="686">
                  <c:v>45126</c:v>
                </c:pt>
                <c:pt idx="687">
                  <c:v>45127</c:v>
                </c:pt>
                <c:pt idx="688">
                  <c:v>45128</c:v>
                </c:pt>
                <c:pt idx="689">
                  <c:v>45129</c:v>
                </c:pt>
                <c:pt idx="690">
                  <c:v>45130</c:v>
                </c:pt>
                <c:pt idx="691">
                  <c:v>45131</c:v>
                </c:pt>
                <c:pt idx="692">
                  <c:v>45132</c:v>
                </c:pt>
                <c:pt idx="693">
                  <c:v>45133</c:v>
                </c:pt>
                <c:pt idx="694">
                  <c:v>45134</c:v>
                </c:pt>
                <c:pt idx="695">
                  <c:v>45135</c:v>
                </c:pt>
                <c:pt idx="696">
                  <c:v>45136</c:v>
                </c:pt>
                <c:pt idx="697">
                  <c:v>45137</c:v>
                </c:pt>
                <c:pt idx="698">
                  <c:v>45138</c:v>
                </c:pt>
                <c:pt idx="699">
                  <c:v>45139</c:v>
                </c:pt>
                <c:pt idx="700">
                  <c:v>45140</c:v>
                </c:pt>
                <c:pt idx="701">
                  <c:v>45141</c:v>
                </c:pt>
                <c:pt idx="702">
                  <c:v>45142</c:v>
                </c:pt>
                <c:pt idx="703">
                  <c:v>45143</c:v>
                </c:pt>
                <c:pt idx="704">
                  <c:v>45144</c:v>
                </c:pt>
                <c:pt idx="705">
                  <c:v>45145</c:v>
                </c:pt>
                <c:pt idx="706">
                  <c:v>45146</c:v>
                </c:pt>
                <c:pt idx="707">
                  <c:v>45147</c:v>
                </c:pt>
                <c:pt idx="708">
                  <c:v>45148</c:v>
                </c:pt>
                <c:pt idx="709">
                  <c:v>45149</c:v>
                </c:pt>
                <c:pt idx="710">
                  <c:v>45150</c:v>
                </c:pt>
                <c:pt idx="711">
                  <c:v>45151</c:v>
                </c:pt>
                <c:pt idx="712">
                  <c:v>45152</c:v>
                </c:pt>
                <c:pt idx="713">
                  <c:v>45153</c:v>
                </c:pt>
                <c:pt idx="714">
                  <c:v>45154</c:v>
                </c:pt>
                <c:pt idx="715">
                  <c:v>45155</c:v>
                </c:pt>
                <c:pt idx="716">
                  <c:v>45156</c:v>
                </c:pt>
                <c:pt idx="717">
                  <c:v>45157</c:v>
                </c:pt>
                <c:pt idx="718">
                  <c:v>45158</c:v>
                </c:pt>
                <c:pt idx="719">
                  <c:v>45159</c:v>
                </c:pt>
                <c:pt idx="720">
                  <c:v>45160</c:v>
                </c:pt>
                <c:pt idx="721">
                  <c:v>45161</c:v>
                </c:pt>
                <c:pt idx="722">
                  <c:v>45162</c:v>
                </c:pt>
                <c:pt idx="723">
                  <c:v>45163</c:v>
                </c:pt>
                <c:pt idx="724">
                  <c:v>45164</c:v>
                </c:pt>
                <c:pt idx="725">
                  <c:v>45165</c:v>
                </c:pt>
                <c:pt idx="726">
                  <c:v>45166</c:v>
                </c:pt>
                <c:pt idx="727">
                  <c:v>45167</c:v>
                </c:pt>
                <c:pt idx="728">
                  <c:v>45168</c:v>
                </c:pt>
                <c:pt idx="729">
                  <c:v>45169</c:v>
                </c:pt>
                <c:pt idx="730">
                  <c:v>45170</c:v>
                </c:pt>
                <c:pt idx="731">
                  <c:v>45171</c:v>
                </c:pt>
                <c:pt idx="732">
                  <c:v>45172</c:v>
                </c:pt>
                <c:pt idx="733">
                  <c:v>45173</c:v>
                </c:pt>
                <c:pt idx="734">
                  <c:v>45174</c:v>
                </c:pt>
                <c:pt idx="735">
                  <c:v>45175</c:v>
                </c:pt>
                <c:pt idx="736">
                  <c:v>45176</c:v>
                </c:pt>
                <c:pt idx="737">
                  <c:v>45177</c:v>
                </c:pt>
                <c:pt idx="738">
                  <c:v>45178</c:v>
                </c:pt>
                <c:pt idx="739">
                  <c:v>45179</c:v>
                </c:pt>
                <c:pt idx="740">
                  <c:v>45180</c:v>
                </c:pt>
                <c:pt idx="741">
                  <c:v>45181</c:v>
                </c:pt>
                <c:pt idx="742">
                  <c:v>45182</c:v>
                </c:pt>
                <c:pt idx="743">
                  <c:v>45183</c:v>
                </c:pt>
                <c:pt idx="744">
                  <c:v>45184</c:v>
                </c:pt>
                <c:pt idx="745">
                  <c:v>45185</c:v>
                </c:pt>
                <c:pt idx="746">
                  <c:v>45186</c:v>
                </c:pt>
                <c:pt idx="747">
                  <c:v>45187</c:v>
                </c:pt>
                <c:pt idx="748">
                  <c:v>45188</c:v>
                </c:pt>
                <c:pt idx="749">
                  <c:v>45189</c:v>
                </c:pt>
                <c:pt idx="750">
                  <c:v>45190</c:v>
                </c:pt>
                <c:pt idx="751">
                  <c:v>45191</c:v>
                </c:pt>
                <c:pt idx="752">
                  <c:v>45192</c:v>
                </c:pt>
                <c:pt idx="753">
                  <c:v>45193</c:v>
                </c:pt>
                <c:pt idx="754">
                  <c:v>45194</c:v>
                </c:pt>
                <c:pt idx="755">
                  <c:v>45195</c:v>
                </c:pt>
                <c:pt idx="756">
                  <c:v>45196</c:v>
                </c:pt>
                <c:pt idx="757">
                  <c:v>45197</c:v>
                </c:pt>
                <c:pt idx="758">
                  <c:v>45198</c:v>
                </c:pt>
                <c:pt idx="759">
                  <c:v>45199</c:v>
                </c:pt>
                <c:pt idx="760">
                  <c:v>45200</c:v>
                </c:pt>
                <c:pt idx="761">
                  <c:v>45201</c:v>
                </c:pt>
                <c:pt idx="762">
                  <c:v>45202</c:v>
                </c:pt>
                <c:pt idx="763">
                  <c:v>45203</c:v>
                </c:pt>
                <c:pt idx="764">
                  <c:v>45204</c:v>
                </c:pt>
                <c:pt idx="765">
                  <c:v>45205</c:v>
                </c:pt>
                <c:pt idx="766">
                  <c:v>45206</c:v>
                </c:pt>
                <c:pt idx="767">
                  <c:v>45207</c:v>
                </c:pt>
                <c:pt idx="768">
                  <c:v>45208</c:v>
                </c:pt>
                <c:pt idx="769">
                  <c:v>45209</c:v>
                </c:pt>
                <c:pt idx="770">
                  <c:v>45210</c:v>
                </c:pt>
                <c:pt idx="771">
                  <c:v>45211</c:v>
                </c:pt>
                <c:pt idx="772">
                  <c:v>45212</c:v>
                </c:pt>
                <c:pt idx="773">
                  <c:v>45213</c:v>
                </c:pt>
                <c:pt idx="774">
                  <c:v>45214</c:v>
                </c:pt>
                <c:pt idx="775">
                  <c:v>45215</c:v>
                </c:pt>
                <c:pt idx="776">
                  <c:v>45216</c:v>
                </c:pt>
                <c:pt idx="777">
                  <c:v>45217</c:v>
                </c:pt>
                <c:pt idx="778">
                  <c:v>45218</c:v>
                </c:pt>
                <c:pt idx="779">
                  <c:v>45219</c:v>
                </c:pt>
                <c:pt idx="780">
                  <c:v>45220</c:v>
                </c:pt>
                <c:pt idx="781">
                  <c:v>45221</c:v>
                </c:pt>
                <c:pt idx="782">
                  <c:v>45222</c:v>
                </c:pt>
                <c:pt idx="783">
                  <c:v>45223</c:v>
                </c:pt>
                <c:pt idx="784">
                  <c:v>45224</c:v>
                </c:pt>
                <c:pt idx="785">
                  <c:v>45225</c:v>
                </c:pt>
                <c:pt idx="786">
                  <c:v>45226</c:v>
                </c:pt>
                <c:pt idx="787">
                  <c:v>45227</c:v>
                </c:pt>
                <c:pt idx="788">
                  <c:v>45228</c:v>
                </c:pt>
                <c:pt idx="789">
                  <c:v>45229</c:v>
                </c:pt>
                <c:pt idx="790">
                  <c:v>45230</c:v>
                </c:pt>
                <c:pt idx="791">
                  <c:v>45231</c:v>
                </c:pt>
                <c:pt idx="792">
                  <c:v>45232</c:v>
                </c:pt>
                <c:pt idx="793">
                  <c:v>45233</c:v>
                </c:pt>
                <c:pt idx="794">
                  <c:v>45234</c:v>
                </c:pt>
                <c:pt idx="795">
                  <c:v>45235</c:v>
                </c:pt>
                <c:pt idx="796">
                  <c:v>45236</c:v>
                </c:pt>
                <c:pt idx="797">
                  <c:v>45237</c:v>
                </c:pt>
                <c:pt idx="798">
                  <c:v>45238</c:v>
                </c:pt>
                <c:pt idx="799">
                  <c:v>45239</c:v>
                </c:pt>
                <c:pt idx="800">
                  <c:v>45240</c:v>
                </c:pt>
                <c:pt idx="801">
                  <c:v>45241</c:v>
                </c:pt>
                <c:pt idx="802">
                  <c:v>45242</c:v>
                </c:pt>
                <c:pt idx="803">
                  <c:v>45243</c:v>
                </c:pt>
                <c:pt idx="804">
                  <c:v>45244</c:v>
                </c:pt>
                <c:pt idx="805">
                  <c:v>45245</c:v>
                </c:pt>
                <c:pt idx="806">
                  <c:v>45246</c:v>
                </c:pt>
                <c:pt idx="807">
                  <c:v>45247</c:v>
                </c:pt>
                <c:pt idx="808">
                  <c:v>45248</c:v>
                </c:pt>
                <c:pt idx="809">
                  <c:v>45249</c:v>
                </c:pt>
                <c:pt idx="810">
                  <c:v>45250</c:v>
                </c:pt>
                <c:pt idx="811">
                  <c:v>45251</c:v>
                </c:pt>
                <c:pt idx="812">
                  <c:v>45252</c:v>
                </c:pt>
                <c:pt idx="813">
                  <c:v>45253</c:v>
                </c:pt>
                <c:pt idx="814">
                  <c:v>45254</c:v>
                </c:pt>
                <c:pt idx="815">
                  <c:v>45255</c:v>
                </c:pt>
                <c:pt idx="816">
                  <c:v>45256</c:v>
                </c:pt>
                <c:pt idx="817">
                  <c:v>45257</c:v>
                </c:pt>
                <c:pt idx="818">
                  <c:v>45258</c:v>
                </c:pt>
                <c:pt idx="819">
                  <c:v>45259</c:v>
                </c:pt>
                <c:pt idx="820">
                  <c:v>45260</c:v>
                </c:pt>
                <c:pt idx="821">
                  <c:v>45261</c:v>
                </c:pt>
                <c:pt idx="822">
                  <c:v>45262</c:v>
                </c:pt>
                <c:pt idx="823">
                  <c:v>45263</c:v>
                </c:pt>
                <c:pt idx="824">
                  <c:v>45264</c:v>
                </c:pt>
                <c:pt idx="825">
                  <c:v>45265</c:v>
                </c:pt>
                <c:pt idx="826">
                  <c:v>45266</c:v>
                </c:pt>
                <c:pt idx="827">
                  <c:v>45267</c:v>
                </c:pt>
                <c:pt idx="828">
                  <c:v>45268</c:v>
                </c:pt>
                <c:pt idx="829">
                  <c:v>45269</c:v>
                </c:pt>
                <c:pt idx="830">
                  <c:v>45270</c:v>
                </c:pt>
                <c:pt idx="831">
                  <c:v>45271</c:v>
                </c:pt>
                <c:pt idx="832">
                  <c:v>45272</c:v>
                </c:pt>
                <c:pt idx="833">
                  <c:v>45273</c:v>
                </c:pt>
                <c:pt idx="834">
                  <c:v>45274</c:v>
                </c:pt>
                <c:pt idx="835">
                  <c:v>45275</c:v>
                </c:pt>
                <c:pt idx="836">
                  <c:v>45276</c:v>
                </c:pt>
                <c:pt idx="837">
                  <c:v>45277</c:v>
                </c:pt>
                <c:pt idx="838">
                  <c:v>45278</c:v>
                </c:pt>
                <c:pt idx="839">
                  <c:v>45279</c:v>
                </c:pt>
                <c:pt idx="840">
                  <c:v>45280</c:v>
                </c:pt>
                <c:pt idx="841">
                  <c:v>45281</c:v>
                </c:pt>
                <c:pt idx="842">
                  <c:v>45282</c:v>
                </c:pt>
                <c:pt idx="843">
                  <c:v>45283</c:v>
                </c:pt>
                <c:pt idx="844">
                  <c:v>45284</c:v>
                </c:pt>
                <c:pt idx="845">
                  <c:v>45285</c:v>
                </c:pt>
                <c:pt idx="846">
                  <c:v>45286</c:v>
                </c:pt>
                <c:pt idx="847">
                  <c:v>45287</c:v>
                </c:pt>
                <c:pt idx="848">
                  <c:v>45288</c:v>
                </c:pt>
                <c:pt idx="849">
                  <c:v>45289</c:v>
                </c:pt>
                <c:pt idx="850">
                  <c:v>45290</c:v>
                </c:pt>
                <c:pt idx="851">
                  <c:v>45291</c:v>
                </c:pt>
                <c:pt idx="852">
                  <c:v>45292</c:v>
                </c:pt>
                <c:pt idx="853">
                  <c:v>45293</c:v>
                </c:pt>
                <c:pt idx="854">
                  <c:v>45294</c:v>
                </c:pt>
                <c:pt idx="855">
                  <c:v>45295</c:v>
                </c:pt>
                <c:pt idx="856">
                  <c:v>45296</c:v>
                </c:pt>
                <c:pt idx="857">
                  <c:v>45297</c:v>
                </c:pt>
                <c:pt idx="858">
                  <c:v>45298</c:v>
                </c:pt>
                <c:pt idx="859">
                  <c:v>45299</c:v>
                </c:pt>
                <c:pt idx="860">
                  <c:v>45300</c:v>
                </c:pt>
                <c:pt idx="861">
                  <c:v>45301</c:v>
                </c:pt>
                <c:pt idx="862">
                  <c:v>45302</c:v>
                </c:pt>
                <c:pt idx="863">
                  <c:v>45303</c:v>
                </c:pt>
                <c:pt idx="864">
                  <c:v>45304</c:v>
                </c:pt>
                <c:pt idx="865">
                  <c:v>45305</c:v>
                </c:pt>
                <c:pt idx="866">
                  <c:v>45306</c:v>
                </c:pt>
                <c:pt idx="867">
                  <c:v>45307</c:v>
                </c:pt>
                <c:pt idx="868">
                  <c:v>45308</c:v>
                </c:pt>
                <c:pt idx="869">
                  <c:v>45309</c:v>
                </c:pt>
                <c:pt idx="870">
                  <c:v>45310</c:v>
                </c:pt>
                <c:pt idx="871">
                  <c:v>45311</c:v>
                </c:pt>
                <c:pt idx="872">
                  <c:v>45312</c:v>
                </c:pt>
                <c:pt idx="873">
                  <c:v>45313</c:v>
                </c:pt>
                <c:pt idx="874">
                  <c:v>45314</c:v>
                </c:pt>
                <c:pt idx="875">
                  <c:v>45315</c:v>
                </c:pt>
                <c:pt idx="876">
                  <c:v>45316</c:v>
                </c:pt>
                <c:pt idx="877">
                  <c:v>45317</c:v>
                </c:pt>
                <c:pt idx="878">
                  <c:v>45318</c:v>
                </c:pt>
                <c:pt idx="879">
                  <c:v>45319</c:v>
                </c:pt>
                <c:pt idx="880">
                  <c:v>45320</c:v>
                </c:pt>
                <c:pt idx="881">
                  <c:v>45321</c:v>
                </c:pt>
                <c:pt idx="882">
                  <c:v>45322</c:v>
                </c:pt>
                <c:pt idx="883">
                  <c:v>45323</c:v>
                </c:pt>
                <c:pt idx="884">
                  <c:v>45324</c:v>
                </c:pt>
                <c:pt idx="885">
                  <c:v>45325</c:v>
                </c:pt>
                <c:pt idx="886">
                  <c:v>45326</c:v>
                </c:pt>
                <c:pt idx="887">
                  <c:v>45327</c:v>
                </c:pt>
                <c:pt idx="888">
                  <c:v>45328</c:v>
                </c:pt>
                <c:pt idx="889">
                  <c:v>45329</c:v>
                </c:pt>
                <c:pt idx="890">
                  <c:v>45330</c:v>
                </c:pt>
                <c:pt idx="891">
                  <c:v>45331</c:v>
                </c:pt>
                <c:pt idx="892">
                  <c:v>45332</c:v>
                </c:pt>
                <c:pt idx="893">
                  <c:v>45333</c:v>
                </c:pt>
                <c:pt idx="894">
                  <c:v>45334</c:v>
                </c:pt>
                <c:pt idx="895">
                  <c:v>45335</c:v>
                </c:pt>
                <c:pt idx="896">
                  <c:v>45336</c:v>
                </c:pt>
                <c:pt idx="897">
                  <c:v>45337</c:v>
                </c:pt>
                <c:pt idx="898">
                  <c:v>45338</c:v>
                </c:pt>
                <c:pt idx="899">
                  <c:v>45339</c:v>
                </c:pt>
                <c:pt idx="900">
                  <c:v>45340</c:v>
                </c:pt>
                <c:pt idx="901">
                  <c:v>45341</c:v>
                </c:pt>
                <c:pt idx="902">
                  <c:v>45342</c:v>
                </c:pt>
                <c:pt idx="903">
                  <c:v>45343</c:v>
                </c:pt>
                <c:pt idx="904">
                  <c:v>45344</c:v>
                </c:pt>
                <c:pt idx="905">
                  <c:v>45345</c:v>
                </c:pt>
                <c:pt idx="906">
                  <c:v>45346</c:v>
                </c:pt>
                <c:pt idx="907">
                  <c:v>45347</c:v>
                </c:pt>
                <c:pt idx="908">
                  <c:v>45348</c:v>
                </c:pt>
                <c:pt idx="909">
                  <c:v>45349</c:v>
                </c:pt>
                <c:pt idx="910">
                  <c:v>45350</c:v>
                </c:pt>
                <c:pt idx="911">
                  <c:v>45351</c:v>
                </c:pt>
                <c:pt idx="912">
                  <c:v>45352</c:v>
                </c:pt>
                <c:pt idx="913">
                  <c:v>45353</c:v>
                </c:pt>
                <c:pt idx="914">
                  <c:v>45354</c:v>
                </c:pt>
                <c:pt idx="915">
                  <c:v>45355</c:v>
                </c:pt>
                <c:pt idx="916">
                  <c:v>45356</c:v>
                </c:pt>
                <c:pt idx="917">
                  <c:v>45357</c:v>
                </c:pt>
                <c:pt idx="918">
                  <c:v>45358</c:v>
                </c:pt>
                <c:pt idx="919">
                  <c:v>45359</c:v>
                </c:pt>
                <c:pt idx="920">
                  <c:v>45360</c:v>
                </c:pt>
                <c:pt idx="921">
                  <c:v>45361</c:v>
                </c:pt>
                <c:pt idx="922">
                  <c:v>45362</c:v>
                </c:pt>
                <c:pt idx="923">
                  <c:v>45363</c:v>
                </c:pt>
                <c:pt idx="924">
                  <c:v>45364</c:v>
                </c:pt>
                <c:pt idx="925">
                  <c:v>45365</c:v>
                </c:pt>
                <c:pt idx="926">
                  <c:v>45366</c:v>
                </c:pt>
                <c:pt idx="927">
                  <c:v>45367</c:v>
                </c:pt>
                <c:pt idx="928">
                  <c:v>45368</c:v>
                </c:pt>
                <c:pt idx="929">
                  <c:v>45369</c:v>
                </c:pt>
                <c:pt idx="930">
                  <c:v>45370</c:v>
                </c:pt>
                <c:pt idx="931">
                  <c:v>45371</c:v>
                </c:pt>
                <c:pt idx="932">
                  <c:v>45372</c:v>
                </c:pt>
                <c:pt idx="933">
                  <c:v>45373</c:v>
                </c:pt>
                <c:pt idx="934">
                  <c:v>45374</c:v>
                </c:pt>
                <c:pt idx="935">
                  <c:v>45375</c:v>
                </c:pt>
                <c:pt idx="936">
                  <c:v>45376</c:v>
                </c:pt>
                <c:pt idx="937">
                  <c:v>45377</c:v>
                </c:pt>
                <c:pt idx="938">
                  <c:v>45378</c:v>
                </c:pt>
                <c:pt idx="939">
                  <c:v>45379</c:v>
                </c:pt>
                <c:pt idx="940">
                  <c:v>45380</c:v>
                </c:pt>
                <c:pt idx="941">
                  <c:v>45381</c:v>
                </c:pt>
                <c:pt idx="942">
                  <c:v>45382</c:v>
                </c:pt>
                <c:pt idx="943">
                  <c:v>45383</c:v>
                </c:pt>
                <c:pt idx="944">
                  <c:v>45384</c:v>
                </c:pt>
                <c:pt idx="945">
                  <c:v>45385</c:v>
                </c:pt>
                <c:pt idx="946">
                  <c:v>45386</c:v>
                </c:pt>
                <c:pt idx="947">
                  <c:v>45387</c:v>
                </c:pt>
                <c:pt idx="948">
                  <c:v>45388</c:v>
                </c:pt>
                <c:pt idx="949">
                  <c:v>45389</c:v>
                </c:pt>
                <c:pt idx="950">
                  <c:v>45390</c:v>
                </c:pt>
                <c:pt idx="951">
                  <c:v>45391</c:v>
                </c:pt>
                <c:pt idx="952">
                  <c:v>45392</c:v>
                </c:pt>
                <c:pt idx="953">
                  <c:v>45393</c:v>
                </c:pt>
                <c:pt idx="954">
                  <c:v>45394</c:v>
                </c:pt>
                <c:pt idx="955">
                  <c:v>45395</c:v>
                </c:pt>
                <c:pt idx="956">
                  <c:v>45396</c:v>
                </c:pt>
                <c:pt idx="957">
                  <c:v>45397</c:v>
                </c:pt>
                <c:pt idx="958">
                  <c:v>45398</c:v>
                </c:pt>
                <c:pt idx="959">
                  <c:v>45399</c:v>
                </c:pt>
                <c:pt idx="960">
                  <c:v>45400</c:v>
                </c:pt>
                <c:pt idx="961">
                  <c:v>45401</c:v>
                </c:pt>
                <c:pt idx="962">
                  <c:v>45402</c:v>
                </c:pt>
                <c:pt idx="963">
                  <c:v>45403</c:v>
                </c:pt>
                <c:pt idx="964">
                  <c:v>45404</c:v>
                </c:pt>
                <c:pt idx="965">
                  <c:v>45405</c:v>
                </c:pt>
                <c:pt idx="966">
                  <c:v>45406</c:v>
                </c:pt>
                <c:pt idx="967">
                  <c:v>45407</c:v>
                </c:pt>
                <c:pt idx="968">
                  <c:v>45408</c:v>
                </c:pt>
                <c:pt idx="969">
                  <c:v>45409</c:v>
                </c:pt>
                <c:pt idx="970">
                  <c:v>45410</c:v>
                </c:pt>
                <c:pt idx="971">
                  <c:v>45411</c:v>
                </c:pt>
                <c:pt idx="972">
                  <c:v>45412</c:v>
                </c:pt>
                <c:pt idx="973">
                  <c:v>45413</c:v>
                </c:pt>
                <c:pt idx="974">
                  <c:v>45414</c:v>
                </c:pt>
                <c:pt idx="975">
                  <c:v>45415</c:v>
                </c:pt>
                <c:pt idx="976">
                  <c:v>45416</c:v>
                </c:pt>
                <c:pt idx="977">
                  <c:v>45417</c:v>
                </c:pt>
                <c:pt idx="978">
                  <c:v>45418</c:v>
                </c:pt>
                <c:pt idx="979">
                  <c:v>45419</c:v>
                </c:pt>
                <c:pt idx="980">
                  <c:v>45420</c:v>
                </c:pt>
                <c:pt idx="981">
                  <c:v>45421</c:v>
                </c:pt>
                <c:pt idx="982">
                  <c:v>45422</c:v>
                </c:pt>
                <c:pt idx="983">
                  <c:v>45423</c:v>
                </c:pt>
                <c:pt idx="984">
                  <c:v>45424</c:v>
                </c:pt>
                <c:pt idx="985">
                  <c:v>45425</c:v>
                </c:pt>
                <c:pt idx="986">
                  <c:v>45426</c:v>
                </c:pt>
                <c:pt idx="987">
                  <c:v>45427</c:v>
                </c:pt>
                <c:pt idx="988">
                  <c:v>45428</c:v>
                </c:pt>
                <c:pt idx="989">
                  <c:v>45429</c:v>
                </c:pt>
                <c:pt idx="990">
                  <c:v>45430</c:v>
                </c:pt>
                <c:pt idx="991">
                  <c:v>45431</c:v>
                </c:pt>
                <c:pt idx="992">
                  <c:v>45432</c:v>
                </c:pt>
                <c:pt idx="993">
                  <c:v>45433</c:v>
                </c:pt>
                <c:pt idx="994">
                  <c:v>45434</c:v>
                </c:pt>
                <c:pt idx="995">
                  <c:v>45435</c:v>
                </c:pt>
                <c:pt idx="996">
                  <c:v>45436</c:v>
                </c:pt>
                <c:pt idx="997">
                  <c:v>45437</c:v>
                </c:pt>
                <c:pt idx="998">
                  <c:v>45438</c:v>
                </c:pt>
                <c:pt idx="999">
                  <c:v>45439</c:v>
                </c:pt>
                <c:pt idx="1000">
                  <c:v>45440</c:v>
                </c:pt>
                <c:pt idx="1001">
                  <c:v>45441</c:v>
                </c:pt>
                <c:pt idx="1002">
                  <c:v>45442</c:v>
                </c:pt>
                <c:pt idx="1003">
                  <c:v>45443</c:v>
                </c:pt>
                <c:pt idx="1004">
                  <c:v>45444</c:v>
                </c:pt>
                <c:pt idx="1005">
                  <c:v>45445</c:v>
                </c:pt>
                <c:pt idx="1006">
                  <c:v>45446</c:v>
                </c:pt>
                <c:pt idx="1007">
                  <c:v>45447</c:v>
                </c:pt>
                <c:pt idx="1008">
                  <c:v>45448</c:v>
                </c:pt>
                <c:pt idx="1009">
                  <c:v>45449</c:v>
                </c:pt>
                <c:pt idx="1010">
                  <c:v>45450</c:v>
                </c:pt>
                <c:pt idx="1011">
                  <c:v>45451</c:v>
                </c:pt>
                <c:pt idx="1012">
                  <c:v>45452</c:v>
                </c:pt>
                <c:pt idx="1013">
                  <c:v>45453</c:v>
                </c:pt>
                <c:pt idx="1014">
                  <c:v>45454</c:v>
                </c:pt>
                <c:pt idx="1015">
                  <c:v>45455</c:v>
                </c:pt>
                <c:pt idx="1016">
                  <c:v>45456</c:v>
                </c:pt>
                <c:pt idx="1017">
                  <c:v>45457</c:v>
                </c:pt>
                <c:pt idx="1018">
                  <c:v>45458</c:v>
                </c:pt>
                <c:pt idx="1019">
                  <c:v>45459</c:v>
                </c:pt>
                <c:pt idx="1020">
                  <c:v>45460</c:v>
                </c:pt>
                <c:pt idx="1021">
                  <c:v>45461</c:v>
                </c:pt>
                <c:pt idx="1022">
                  <c:v>45462</c:v>
                </c:pt>
                <c:pt idx="1023">
                  <c:v>45463</c:v>
                </c:pt>
                <c:pt idx="1024">
                  <c:v>45464</c:v>
                </c:pt>
                <c:pt idx="1025">
                  <c:v>45465</c:v>
                </c:pt>
                <c:pt idx="1026">
                  <c:v>45466</c:v>
                </c:pt>
                <c:pt idx="1027">
                  <c:v>45467</c:v>
                </c:pt>
                <c:pt idx="1028">
                  <c:v>45468</c:v>
                </c:pt>
                <c:pt idx="1029">
                  <c:v>45469</c:v>
                </c:pt>
                <c:pt idx="1030">
                  <c:v>45470</c:v>
                </c:pt>
                <c:pt idx="1031">
                  <c:v>45471</c:v>
                </c:pt>
                <c:pt idx="1032">
                  <c:v>45472</c:v>
                </c:pt>
                <c:pt idx="1033">
                  <c:v>45473</c:v>
                </c:pt>
                <c:pt idx="1034">
                  <c:v>45474</c:v>
                </c:pt>
                <c:pt idx="1035">
                  <c:v>45475</c:v>
                </c:pt>
                <c:pt idx="1036">
                  <c:v>45476</c:v>
                </c:pt>
                <c:pt idx="1037">
                  <c:v>45477</c:v>
                </c:pt>
                <c:pt idx="1038">
                  <c:v>45478</c:v>
                </c:pt>
                <c:pt idx="1039">
                  <c:v>45479</c:v>
                </c:pt>
                <c:pt idx="1040">
                  <c:v>45480</c:v>
                </c:pt>
                <c:pt idx="1041">
                  <c:v>45481</c:v>
                </c:pt>
                <c:pt idx="1042">
                  <c:v>45482</c:v>
                </c:pt>
                <c:pt idx="1043">
                  <c:v>45483</c:v>
                </c:pt>
                <c:pt idx="1044">
                  <c:v>45484</c:v>
                </c:pt>
                <c:pt idx="1045">
                  <c:v>45485</c:v>
                </c:pt>
                <c:pt idx="1046">
                  <c:v>45486</c:v>
                </c:pt>
                <c:pt idx="1047">
                  <c:v>45487</c:v>
                </c:pt>
                <c:pt idx="1048">
                  <c:v>45488</c:v>
                </c:pt>
                <c:pt idx="1049">
                  <c:v>45489</c:v>
                </c:pt>
                <c:pt idx="1050">
                  <c:v>45490</c:v>
                </c:pt>
                <c:pt idx="1051">
                  <c:v>45491</c:v>
                </c:pt>
                <c:pt idx="1052">
                  <c:v>45492</c:v>
                </c:pt>
                <c:pt idx="1053">
                  <c:v>45493</c:v>
                </c:pt>
                <c:pt idx="1054">
                  <c:v>45494</c:v>
                </c:pt>
                <c:pt idx="1055">
                  <c:v>45495</c:v>
                </c:pt>
                <c:pt idx="1056">
                  <c:v>45496</c:v>
                </c:pt>
                <c:pt idx="1057">
                  <c:v>45497</c:v>
                </c:pt>
                <c:pt idx="1058">
                  <c:v>45498</c:v>
                </c:pt>
                <c:pt idx="1059">
                  <c:v>45499</c:v>
                </c:pt>
                <c:pt idx="1060">
                  <c:v>45500</c:v>
                </c:pt>
                <c:pt idx="1061">
                  <c:v>45501</c:v>
                </c:pt>
                <c:pt idx="1062">
                  <c:v>45502</c:v>
                </c:pt>
                <c:pt idx="1063">
                  <c:v>45503</c:v>
                </c:pt>
                <c:pt idx="1064">
                  <c:v>45504</c:v>
                </c:pt>
                <c:pt idx="1065">
                  <c:v>45505</c:v>
                </c:pt>
                <c:pt idx="1066">
                  <c:v>45506</c:v>
                </c:pt>
                <c:pt idx="1067">
                  <c:v>45507</c:v>
                </c:pt>
                <c:pt idx="1068">
                  <c:v>45508</c:v>
                </c:pt>
                <c:pt idx="1069">
                  <c:v>45509</c:v>
                </c:pt>
                <c:pt idx="1070">
                  <c:v>45510</c:v>
                </c:pt>
                <c:pt idx="1071">
                  <c:v>45511</c:v>
                </c:pt>
                <c:pt idx="1072">
                  <c:v>45512</c:v>
                </c:pt>
                <c:pt idx="1073">
                  <c:v>45513</c:v>
                </c:pt>
                <c:pt idx="1074">
                  <c:v>45514</c:v>
                </c:pt>
                <c:pt idx="1075">
                  <c:v>45515</c:v>
                </c:pt>
                <c:pt idx="1076">
                  <c:v>45516</c:v>
                </c:pt>
                <c:pt idx="1077">
                  <c:v>45517</c:v>
                </c:pt>
                <c:pt idx="1078">
                  <c:v>45518</c:v>
                </c:pt>
                <c:pt idx="1079">
                  <c:v>45519</c:v>
                </c:pt>
                <c:pt idx="1080">
                  <c:v>45520</c:v>
                </c:pt>
                <c:pt idx="1081">
                  <c:v>45521</c:v>
                </c:pt>
                <c:pt idx="1082">
                  <c:v>45522</c:v>
                </c:pt>
                <c:pt idx="1083">
                  <c:v>45523</c:v>
                </c:pt>
                <c:pt idx="1084">
                  <c:v>45524</c:v>
                </c:pt>
                <c:pt idx="1085">
                  <c:v>45525</c:v>
                </c:pt>
                <c:pt idx="1086">
                  <c:v>45526</c:v>
                </c:pt>
                <c:pt idx="1087">
                  <c:v>45527</c:v>
                </c:pt>
                <c:pt idx="1088">
                  <c:v>45528</c:v>
                </c:pt>
                <c:pt idx="1089">
                  <c:v>45529</c:v>
                </c:pt>
                <c:pt idx="1090">
                  <c:v>45530</c:v>
                </c:pt>
                <c:pt idx="1091">
                  <c:v>45531</c:v>
                </c:pt>
                <c:pt idx="1092">
                  <c:v>45532</c:v>
                </c:pt>
                <c:pt idx="1093">
                  <c:v>45533</c:v>
                </c:pt>
                <c:pt idx="1094">
                  <c:v>45534</c:v>
                </c:pt>
                <c:pt idx="1095">
                  <c:v>45535</c:v>
                </c:pt>
                <c:pt idx="1096">
                  <c:v>45536</c:v>
                </c:pt>
                <c:pt idx="1097">
                  <c:v>45537</c:v>
                </c:pt>
                <c:pt idx="1098">
                  <c:v>45538</c:v>
                </c:pt>
                <c:pt idx="1099">
                  <c:v>45539</c:v>
                </c:pt>
                <c:pt idx="1100">
                  <c:v>45540</c:v>
                </c:pt>
                <c:pt idx="1101">
                  <c:v>45541</c:v>
                </c:pt>
                <c:pt idx="1102">
                  <c:v>45542</c:v>
                </c:pt>
                <c:pt idx="1103">
                  <c:v>45543</c:v>
                </c:pt>
                <c:pt idx="1104">
                  <c:v>45544</c:v>
                </c:pt>
                <c:pt idx="1105">
                  <c:v>45545</c:v>
                </c:pt>
                <c:pt idx="1106">
                  <c:v>45546</c:v>
                </c:pt>
                <c:pt idx="1107">
                  <c:v>45547</c:v>
                </c:pt>
                <c:pt idx="1108">
                  <c:v>45548</c:v>
                </c:pt>
                <c:pt idx="1109">
                  <c:v>45549</c:v>
                </c:pt>
                <c:pt idx="1110">
                  <c:v>45550</c:v>
                </c:pt>
                <c:pt idx="1111">
                  <c:v>45551</c:v>
                </c:pt>
                <c:pt idx="1112">
                  <c:v>45552</c:v>
                </c:pt>
                <c:pt idx="1113">
                  <c:v>45553</c:v>
                </c:pt>
                <c:pt idx="1114">
                  <c:v>45554</c:v>
                </c:pt>
                <c:pt idx="1115">
                  <c:v>45555</c:v>
                </c:pt>
                <c:pt idx="1116">
                  <c:v>45556</c:v>
                </c:pt>
                <c:pt idx="1117">
                  <c:v>45557</c:v>
                </c:pt>
                <c:pt idx="1118">
                  <c:v>45558</c:v>
                </c:pt>
                <c:pt idx="1119">
                  <c:v>45559</c:v>
                </c:pt>
                <c:pt idx="1120">
                  <c:v>45560</c:v>
                </c:pt>
                <c:pt idx="1121">
                  <c:v>45561</c:v>
                </c:pt>
                <c:pt idx="1122">
                  <c:v>45562</c:v>
                </c:pt>
                <c:pt idx="1123">
                  <c:v>45563</c:v>
                </c:pt>
                <c:pt idx="1124">
                  <c:v>45564</c:v>
                </c:pt>
                <c:pt idx="1125">
                  <c:v>45565</c:v>
                </c:pt>
                <c:pt idx="1126">
                  <c:v>45566</c:v>
                </c:pt>
                <c:pt idx="1127">
                  <c:v>45567</c:v>
                </c:pt>
                <c:pt idx="1128">
                  <c:v>45568</c:v>
                </c:pt>
                <c:pt idx="1129">
                  <c:v>45569</c:v>
                </c:pt>
                <c:pt idx="1130">
                  <c:v>45570</c:v>
                </c:pt>
                <c:pt idx="1131">
                  <c:v>45571</c:v>
                </c:pt>
                <c:pt idx="1132">
                  <c:v>45572</c:v>
                </c:pt>
                <c:pt idx="1133">
                  <c:v>45573</c:v>
                </c:pt>
                <c:pt idx="1134">
                  <c:v>45574</c:v>
                </c:pt>
                <c:pt idx="1135">
                  <c:v>45575</c:v>
                </c:pt>
                <c:pt idx="1136">
                  <c:v>45576</c:v>
                </c:pt>
                <c:pt idx="1137">
                  <c:v>45577</c:v>
                </c:pt>
                <c:pt idx="1138">
                  <c:v>45578</c:v>
                </c:pt>
                <c:pt idx="1139">
                  <c:v>45579</c:v>
                </c:pt>
                <c:pt idx="1140">
                  <c:v>45580</c:v>
                </c:pt>
                <c:pt idx="1141">
                  <c:v>45581</c:v>
                </c:pt>
                <c:pt idx="1142">
                  <c:v>45582</c:v>
                </c:pt>
                <c:pt idx="1143">
                  <c:v>45583</c:v>
                </c:pt>
                <c:pt idx="1144">
                  <c:v>45584</c:v>
                </c:pt>
                <c:pt idx="1145">
                  <c:v>45585</c:v>
                </c:pt>
                <c:pt idx="1146">
                  <c:v>45586</c:v>
                </c:pt>
                <c:pt idx="1147">
                  <c:v>45587</c:v>
                </c:pt>
                <c:pt idx="1148">
                  <c:v>45588</c:v>
                </c:pt>
                <c:pt idx="1149">
                  <c:v>45589</c:v>
                </c:pt>
                <c:pt idx="1150">
                  <c:v>45590</c:v>
                </c:pt>
                <c:pt idx="1151">
                  <c:v>45591</c:v>
                </c:pt>
                <c:pt idx="1152">
                  <c:v>45592</c:v>
                </c:pt>
                <c:pt idx="1153">
                  <c:v>45593</c:v>
                </c:pt>
                <c:pt idx="1154">
                  <c:v>45594</c:v>
                </c:pt>
                <c:pt idx="1155">
                  <c:v>45595</c:v>
                </c:pt>
                <c:pt idx="1156">
                  <c:v>45596</c:v>
                </c:pt>
                <c:pt idx="1157">
                  <c:v>45597</c:v>
                </c:pt>
                <c:pt idx="1158">
                  <c:v>45598</c:v>
                </c:pt>
                <c:pt idx="1159">
                  <c:v>45599</c:v>
                </c:pt>
                <c:pt idx="1160">
                  <c:v>45600</c:v>
                </c:pt>
                <c:pt idx="1161">
                  <c:v>45601</c:v>
                </c:pt>
                <c:pt idx="1162">
                  <c:v>45602</c:v>
                </c:pt>
                <c:pt idx="1163">
                  <c:v>45603</c:v>
                </c:pt>
                <c:pt idx="1164">
                  <c:v>45604</c:v>
                </c:pt>
                <c:pt idx="1165">
                  <c:v>45605</c:v>
                </c:pt>
                <c:pt idx="1166">
                  <c:v>45606</c:v>
                </c:pt>
                <c:pt idx="1167">
                  <c:v>45607</c:v>
                </c:pt>
                <c:pt idx="1168">
                  <c:v>45608</c:v>
                </c:pt>
                <c:pt idx="1169">
                  <c:v>45609</c:v>
                </c:pt>
                <c:pt idx="1170">
                  <c:v>45610</c:v>
                </c:pt>
                <c:pt idx="1171">
                  <c:v>45611</c:v>
                </c:pt>
                <c:pt idx="1172">
                  <c:v>45612</c:v>
                </c:pt>
                <c:pt idx="1173">
                  <c:v>45613</c:v>
                </c:pt>
                <c:pt idx="1174">
                  <c:v>45614</c:v>
                </c:pt>
                <c:pt idx="1175">
                  <c:v>45615</c:v>
                </c:pt>
                <c:pt idx="1176">
                  <c:v>45616</c:v>
                </c:pt>
                <c:pt idx="1177">
                  <c:v>45617</c:v>
                </c:pt>
                <c:pt idx="1178">
                  <c:v>45618</c:v>
                </c:pt>
                <c:pt idx="1179">
                  <c:v>45619</c:v>
                </c:pt>
                <c:pt idx="1180">
                  <c:v>45620</c:v>
                </c:pt>
                <c:pt idx="1181">
                  <c:v>45621</c:v>
                </c:pt>
                <c:pt idx="1182">
                  <c:v>45622</c:v>
                </c:pt>
                <c:pt idx="1183">
                  <c:v>45623</c:v>
                </c:pt>
                <c:pt idx="1184">
                  <c:v>45624</c:v>
                </c:pt>
                <c:pt idx="1185">
                  <c:v>45625</c:v>
                </c:pt>
                <c:pt idx="1186">
                  <c:v>45626</c:v>
                </c:pt>
                <c:pt idx="1187">
                  <c:v>45627</c:v>
                </c:pt>
                <c:pt idx="1188">
                  <c:v>45628</c:v>
                </c:pt>
                <c:pt idx="1189">
                  <c:v>45629</c:v>
                </c:pt>
                <c:pt idx="1190">
                  <c:v>45630</c:v>
                </c:pt>
                <c:pt idx="1191">
                  <c:v>45631</c:v>
                </c:pt>
                <c:pt idx="1192">
                  <c:v>45632</c:v>
                </c:pt>
                <c:pt idx="1193">
                  <c:v>45633</c:v>
                </c:pt>
                <c:pt idx="1194">
                  <c:v>45634</c:v>
                </c:pt>
                <c:pt idx="1195">
                  <c:v>45635</c:v>
                </c:pt>
                <c:pt idx="1196">
                  <c:v>45636</c:v>
                </c:pt>
                <c:pt idx="1197">
                  <c:v>45637</c:v>
                </c:pt>
                <c:pt idx="1198">
                  <c:v>45638</c:v>
                </c:pt>
                <c:pt idx="1199">
                  <c:v>45639</c:v>
                </c:pt>
                <c:pt idx="1200">
                  <c:v>45640</c:v>
                </c:pt>
                <c:pt idx="1201">
                  <c:v>45641</c:v>
                </c:pt>
                <c:pt idx="1202">
                  <c:v>45642</c:v>
                </c:pt>
                <c:pt idx="1203">
                  <c:v>45643</c:v>
                </c:pt>
                <c:pt idx="1204">
                  <c:v>45644</c:v>
                </c:pt>
                <c:pt idx="1205">
                  <c:v>45645</c:v>
                </c:pt>
                <c:pt idx="1206">
                  <c:v>45646</c:v>
                </c:pt>
                <c:pt idx="1207">
                  <c:v>45647</c:v>
                </c:pt>
                <c:pt idx="1208">
                  <c:v>45648</c:v>
                </c:pt>
                <c:pt idx="1209">
                  <c:v>45649</c:v>
                </c:pt>
                <c:pt idx="1210">
                  <c:v>45650</c:v>
                </c:pt>
                <c:pt idx="1211">
                  <c:v>45651</c:v>
                </c:pt>
                <c:pt idx="1212">
                  <c:v>45652</c:v>
                </c:pt>
                <c:pt idx="1213">
                  <c:v>45653</c:v>
                </c:pt>
                <c:pt idx="1214">
                  <c:v>45654</c:v>
                </c:pt>
                <c:pt idx="1215">
                  <c:v>45655</c:v>
                </c:pt>
                <c:pt idx="1216">
                  <c:v>45656</c:v>
                </c:pt>
                <c:pt idx="1217">
                  <c:v>45657</c:v>
                </c:pt>
                <c:pt idx="1218">
                  <c:v>45658</c:v>
                </c:pt>
                <c:pt idx="1219">
                  <c:v>45659</c:v>
                </c:pt>
                <c:pt idx="1220">
                  <c:v>45660</c:v>
                </c:pt>
                <c:pt idx="1221">
                  <c:v>45661</c:v>
                </c:pt>
                <c:pt idx="1222">
                  <c:v>45662</c:v>
                </c:pt>
                <c:pt idx="1223">
                  <c:v>45663</c:v>
                </c:pt>
                <c:pt idx="1224">
                  <c:v>45664</c:v>
                </c:pt>
                <c:pt idx="1225">
                  <c:v>45665</c:v>
                </c:pt>
                <c:pt idx="1226">
                  <c:v>45666</c:v>
                </c:pt>
                <c:pt idx="1227">
                  <c:v>45667</c:v>
                </c:pt>
                <c:pt idx="1228">
                  <c:v>45668</c:v>
                </c:pt>
                <c:pt idx="1229">
                  <c:v>45669</c:v>
                </c:pt>
                <c:pt idx="1230">
                  <c:v>45670</c:v>
                </c:pt>
                <c:pt idx="1231">
                  <c:v>45671</c:v>
                </c:pt>
                <c:pt idx="1232">
                  <c:v>45672</c:v>
                </c:pt>
                <c:pt idx="1233">
                  <c:v>45673</c:v>
                </c:pt>
                <c:pt idx="1234">
                  <c:v>45674</c:v>
                </c:pt>
                <c:pt idx="1235">
                  <c:v>45675</c:v>
                </c:pt>
                <c:pt idx="1236">
                  <c:v>45676</c:v>
                </c:pt>
                <c:pt idx="1237">
                  <c:v>45677</c:v>
                </c:pt>
                <c:pt idx="1238">
                  <c:v>45678</c:v>
                </c:pt>
                <c:pt idx="1239">
                  <c:v>45679</c:v>
                </c:pt>
                <c:pt idx="1240">
                  <c:v>45680</c:v>
                </c:pt>
                <c:pt idx="1241">
                  <c:v>45681</c:v>
                </c:pt>
                <c:pt idx="1242">
                  <c:v>45682</c:v>
                </c:pt>
                <c:pt idx="1243">
                  <c:v>45683</c:v>
                </c:pt>
                <c:pt idx="1244">
                  <c:v>45684</c:v>
                </c:pt>
                <c:pt idx="1245">
                  <c:v>45685</c:v>
                </c:pt>
                <c:pt idx="1246">
                  <c:v>45686</c:v>
                </c:pt>
                <c:pt idx="1247">
                  <c:v>45687</c:v>
                </c:pt>
                <c:pt idx="1248">
                  <c:v>45688</c:v>
                </c:pt>
                <c:pt idx="1249">
                  <c:v>45689</c:v>
                </c:pt>
                <c:pt idx="1250">
                  <c:v>45690</c:v>
                </c:pt>
                <c:pt idx="1251">
                  <c:v>45691</c:v>
                </c:pt>
                <c:pt idx="1252">
                  <c:v>45692</c:v>
                </c:pt>
                <c:pt idx="1253">
                  <c:v>45693</c:v>
                </c:pt>
                <c:pt idx="1254">
                  <c:v>45694</c:v>
                </c:pt>
                <c:pt idx="1255">
                  <c:v>45695</c:v>
                </c:pt>
                <c:pt idx="1256">
                  <c:v>45696</c:v>
                </c:pt>
                <c:pt idx="1257">
                  <c:v>45697</c:v>
                </c:pt>
                <c:pt idx="1258">
                  <c:v>45698</c:v>
                </c:pt>
                <c:pt idx="1259">
                  <c:v>45699</c:v>
                </c:pt>
                <c:pt idx="1260">
                  <c:v>45700</c:v>
                </c:pt>
                <c:pt idx="1261">
                  <c:v>45701</c:v>
                </c:pt>
                <c:pt idx="1262">
                  <c:v>45702</c:v>
                </c:pt>
                <c:pt idx="1263">
                  <c:v>45703</c:v>
                </c:pt>
                <c:pt idx="1264">
                  <c:v>45704</c:v>
                </c:pt>
                <c:pt idx="1265">
                  <c:v>45705</c:v>
                </c:pt>
                <c:pt idx="1266">
                  <c:v>45706</c:v>
                </c:pt>
                <c:pt idx="1267">
                  <c:v>45707</c:v>
                </c:pt>
                <c:pt idx="1268">
                  <c:v>45708</c:v>
                </c:pt>
                <c:pt idx="1269">
                  <c:v>45709</c:v>
                </c:pt>
                <c:pt idx="1270">
                  <c:v>45710</c:v>
                </c:pt>
                <c:pt idx="1271">
                  <c:v>45711</c:v>
                </c:pt>
                <c:pt idx="1272">
                  <c:v>45712</c:v>
                </c:pt>
                <c:pt idx="1273">
                  <c:v>45713</c:v>
                </c:pt>
                <c:pt idx="1274">
                  <c:v>45714</c:v>
                </c:pt>
                <c:pt idx="1275">
                  <c:v>45715</c:v>
                </c:pt>
                <c:pt idx="1276">
                  <c:v>45716</c:v>
                </c:pt>
                <c:pt idx="1277">
                  <c:v>45717</c:v>
                </c:pt>
                <c:pt idx="1278">
                  <c:v>45718</c:v>
                </c:pt>
                <c:pt idx="1279">
                  <c:v>45719</c:v>
                </c:pt>
                <c:pt idx="1280">
                  <c:v>45720</c:v>
                </c:pt>
                <c:pt idx="1281">
                  <c:v>45721</c:v>
                </c:pt>
                <c:pt idx="1282">
                  <c:v>45722</c:v>
                </c:pt>
                <c:pt idx="1283">
                  <c:v>45723</c:v>
                </c:pt>
                <c:pt idx="1284">
                  <c:v>45724</c:v>
                </c:pt>
                <c:pt idx="1285">
                  <c:v>45725</c:v>
                </c:pt>
                <c:pt idx="1286">
                  <c:v>45726</c:v>
                </c:pt>
                <c:pt idx="1287">
                  <c:v>45727</c:v>
                </c:pt>
                <c:pt idx="1288">
                  <c:v>45728</c:v>
                </c:pt>
                <c:pt idx="1289">
                  <c:v>45729</c:v>
                </c:pt>
                <c:pt idx="1290">
                  <c:v>45730</c:v>
                </c:pt>
                <c:pt idx="1291">
                  <c:v>45731</c:v>
                </c:pt>
                <c:pt idx="1292">
                  <c:v>45732</c:v>
                </c:pt>
                <c:pt idx="1293">
                  <c:v>45733</c:v>
                </c:pt>
                <c:pt idx="1294">
                  <c:v>45734</c:v>
                </c:pt>
                <c:pt idx="1295">
                  <c:v>45735</c:v>
                </c:pt>
                <c:pt idx="1296">
                  <c:v>45736</c:v>
                </c:pt>
                <c:pt idx="1297">
                  <c:v>45737</c:v>
                </c:pt>
                <c:pt idx="1298">
                  <c:v>45738</c:v>
                </c:pt>
                <c:pt idx="1299">
                  <c:v>45739</c:v>
                </c:pt>
                <c:pt idx="1300">
                  <c:v>45740</c:v>
                </c:pt>
                <c:pt idx="1301">
                  <c:v>45741</c:v>
                </c:pt>
                <c:pt idx="1302">
                  <c:v>45742</c:v>
                </c:pt>
                <c:pt idx="1303">
                  <c:v>45743</c:v>
                </c:pt>
                <c:pt idx="1304">
                  <c:v>45744</c:v>
                </c:pt>
                <c:pt idx="1305">
                  <c:v>45745</c:v>
                </c:pt>
                <c:pt idx="1306">
                  <c:v>45746</c:v>
                </c:pt>
                <c:pt idx="1307">
                  <c:v>45747</c:v>
                </c:pt>
                <c:pt idx="1308">
                  <c:v>45748</c:v>
                </c:pt>
                <c:pt idx="1309">
                  <c:v>45749</c:v>
                </c:pt>
                <c:pt idx="1310">
                  <c:v>45750</c:v>
                </c:pt>
                <c:pt idx="1311">
                  <c:v>45751</c:v>
                </c:pt>
                <c:pt idx="1312">
                  <c:v>45752</c:v>
                </c:pt>
                <c:pt idx="1313">
                  <c:v>45753</c:v>
                </c:pt>
                <c:pt idx="1314">
                  <c:v>45754</c:v>
                </c:pt>
                <c:pt idx="1315">
                  <c:v>45755</c:v>
                </c:pt>
                <c:pt idx="1316">
                  <c:v>45756</c:v>
                </c:pt>
                <c:pt idx="1317">
                  <c:v>45757</c:v>
                </c:pt>
                <c:pt idx="1318">
                  <c:v>45758</c:v>
                </c:pt>
                <c:pt idx="1319">
                  <c:v>45759</c:v>
                </c:pt>
                <c:pt idx="1320">
                  <c:v>45760</c:v>
                </c:pt>
                <c:pt idx="1321">
                  <c:v>45761</c:v>
                </c:pt>
                <c:pt idx="1322">
                  <c:v>45762</c:v>
                </c:pt>
                <c:pt idx="1323">
                  <c:v>45763</c:v>
                </c:pt>
                <c:pt idx="1324">
                  <c:v>45764</c:v>
                </c:pt>
                <c:pt idx="1325">
                  <c:v>45765</c:v>
                </c:pt>
                <c:pt idx="1326">
                  <c:v>45766</c:v>
                </c:pt>
                <c:pt idx="1327">
                  <c:v>45767</c:v>
                </c:pt>
                <c:pt idx="1328">
                  <c:v>45768</c:v>
                </c:pt>
                <c:pt idx="1329">
                  <c:v>45769</c:v>
                </c:pt>
                <c:pt idx="1330">
                  <c:v>45770</c:v>
                </c:pt>
                <c:pt idx="1331">
                  <c:v>45771</c:v>
                </c:pt>
                <c:pt idx="1332">
                  <c:v>45772</c:v>
                </c:pt>
                <c:pt idx="1333">
                  <c:v>45773</c:v>
                </c:pt>
                <c:pt idx="1334">
                  <c:v>45774</c:v>
                </c:pt>
                <c:pt idx="1335">
                  <c:v>45775</c:v>
                </c:pt>
                <c:pt idx="1336">
                  <c:v>45776</c:v>
                </c:pt>
                <c:pt idx="1337">
                  <c:v>45777</c:v>
                </c:pt>
                <c:pt idx="1338">
                  <c:v>45778</c:v>
                </c:pt>
                <c:pt idx="1339">
                  <c:v>45779</c:v>
                </c:pt>
                <c:pt idx="1340">
                  <c:v>45780</c:v>
                </c:pt>
                <c:pt idx="1341">
                  <c:v>45781</c:v>
                </c:pt>
                <c:pt idx="1342">
                  <c:v>45782</c:v>
                </c:pt>
                <c:pt idx="1343">
                  <c:v>45783</c:v>
                </c:pt>
                <c:pt idx="1344">
                  <c:v>45784</c:v>
                </c:pt>
                <c:pt idx="1345">
                  <c:v>45785</c:v>
                </c:pt>
                <c:pt idx="1346">
                  <c:v>45786</c:v>
                </c:pt>
                <c:pt idx="1347">
                  <c:v>45787</c:v>
                </c:pt>
                <c:pt idx="1348">
                  <c:v>45788</c:v>
                </c:pt>
                <c:pt idx="1349">
                  <c:v>45789</c:v>
                </c:pt>
                <c:pt idx="1350">
                  <c:v>45790</c:v>
                </c:pt>
                <c:pt idx="1351">
                  <c:v>45791</c:v>
                </c:pt>
                <c:pt idx="1352">
                  <c:v>45792</c:v>
                </c:pt>
                <c:pt idx="1353">
                  <c:v>45793</c:v>
                </c:pt>
                <c:pt idx="1354">
                  <c:v>45794</c:v>
                </c:pt>
                <c:pt idx="1355">
                  <c:v>45795</c:v>
                </c:pt>
                <c:pt idx="1356">
                  <c:v>45796</c:v>
                </c:pt>
                <c:pt idx="1357">
                  <c:v>45797</c:v>
                </c:pt>
                <c:pt idx="1358">
                  <c:v>45798</c:v>
                </c:pt>
                <c:pt idx="1359">
                  <c:v>45799</c:v>
                </c:pt>
                <c:pt idx="1360">
                  <c:v>45800</c:v>
                </c:pt>
                <c:pt idx="1361">
                  <c:v>45801</c:v>
                </c:pt>
                <c:pt idx="1362">
                  <c:v>45802</c:v>
                </c:pt>
                <c:pt idx="1363">
                  <c:v>45803</c:v>
                </c:pt>
                <c:pt idx="1364">
                  <c:v>45804</c:v>
                </c:pt>
                <c:pt idx="1365">
                  <c:v>45805</c:v>
                </c:pt>
                <c:pt idx="1366">
                  <c:v>45806</c:v>
                </c:pt>
                <c:pt idx="1367">
                  <c:v>45807</c:v>
                </c:pt>
                <c:pt idx="1368">
                  <c:v>45808</c:v>
                </c:pt>
                <c:pt idx="1369">
                  <c:v>45809</c:v>
                </c:pt>
                <c:pt idx="1370">
                  <c:v>45810</c:v>
                </c:pt>
                <c:pt idx="1371">
                  <c:v>45811</c:v>
                </c:pt>
                <c:pt idx="1372">
                  <c:v>45812</c:v>
                </c:pt>
                <c:pt idx="1373">
                  <c:v>45813</c:v>
                </c:pt>
                <c:pt idx="1374">
                  <c:v>45814</c:v>
                </c:pt>
                <c:pt idx="1375">
                  <c:v>45815</c:v>
                </c:pt>
                <c:pt idx="1376">
                  <c:v>45816</c:v>
                </c:pt>
                <c:pt idx="1377">
                  <c:v>45817</c:v>
                </c:pt>
                <c:pt idx="1378">
                  <c:v>45818</c:v>
                </c:pt>
                <c:pt idx="1379">
                  <c:v>45819</c:v>
                </c:pt>
                <c:pt idx="1380">
                  <c:v>45820</c:v>
                </c:pt>
                <c:pt idx="1381">
                  <c:v>45821</c:v>
                </c:pt>
                <c:pt idx="1382">
                  <c:v>45822</c:v>
                </c:pt>
                <c:pt idx="1383">
                  <c:v>45823</c:v>
                </c:pt>
                <c:pt idx="1384">
                  <c:v>45824</c:v>
                </c:pt>
                <c:pt idx="1385">
                  <c:v>45825</c:v>
                </c:pt>
                <c:pt idx="1386">
                  <c:v>45826</c:v>
                </c:pt>
                <c:pt idx="1387">
                  <c:v>45827</c:v>
                </c:pt>
                <c:pt idx="1388">
                  <c:v>45828</c:v>
                </c:pt>
                <c:pt idx="1389">
                  <c:v>45829</c:v>
                </c:pt>
                <c:pt idx="1390">
                  <c:v>45830</c:v>
                </c:pt>
                <c:pt idx="1391">
                  <c:v>45831</c:v>
                </c:pt>
                <c:pt idx="1392">
                  <c:v>45832</c:v>
                </c:pt>
                <c:pt idx="1393">
                  <c:v>45833</c:v>
                </c:pt>
                <c:pt idx="1394">
                  <c:v>45834</c:v>
                </c:pt>
                <c:pt idx="1395">
                  <c:v>45835</c:v>
                </c:pt>
                <c:pt idx="1396">
                  <c:v>45836</c:v>
                </c:pt>
                <c:pt idx="1397">
                  <c:v>45837</c:v>
                </c:pt>
                <c:pt idx="1398">
                  <c:v>45838</c:v>
                </c:pt>
                <c:pt idx="1399">
                  <c:v>45839</c:v>
                </c:pt>
                <c:pt idx="1400">
                  <c:v>45840</c:v>
                </c:pt>
                <c:pt idx="1401">
                  <c:v>45841</c:v>
                </c:pt>
                <c:pt idx="1402">
                  <c:v>45842</c:v>
                </c:pt>
                <c:pt idx="1403">
                  <c:v>45843</c:v>
                </c:pt>
                <c:pt idx="1404">
                  <c:v>45844</c:v>
                </c:pt>
                <c:pt idx="1405">
                  <c:v>45845</c:v>
                </c:pt>
                <c:pt idx="1406">
                  <c:v>45846</c:v>
                </c:pt>
                <c:pt idx="1407">
                  <c:v>45847</c:v>
                </c:pt>
                <c:pt idx="1408">
                  <c:v>45848</c:v>
                </c:pt>
                <c:pt idx="1409">
                  <c:v>45849</c:v>
                </c:pt>
                <c:pt idx="1410">
                  <c:v>45850</c:v>
                </c:pt>
                <c:pt idx="1411">
                  <c:v>45851</c:v>
                </c:pt>
                <c:pt idx="1412">
                  <c:v>45852</c:v>
                </c:pt>
                <c:pt idx="1413">
                  <c:v>45853</c:v>
                </c:pt>
                <c:pt idx="1414">
                  <c:v>45854</c:v>
                </c:pt>
                <c:pt idx="1415">
                  <c:v>45855</c:v>
                </c:pt>
                <c:pt idx="1416">
                  <c:v>45856</c:v>
                </c:pt>
                <c:pt idx="1417">
                  <c:v>45857</c:v>
                </c:pt>
                <c:pt idx="1418">
                  <c:v>45858</c:v>
                </c:pt>
                <c:pt idx="1419">
                  <c:v>45859</c:v>
                </c:pt>
                <c:pt idx="1420">
                  <c:v>45860</c:v>
                </c:pt>
                <c:pt idx="1421">
                  <c:v>45861</c:v>
                </c:pt>
                <c:pt idx="1422">
                  <c:v>45862</c:v>
                </c:pt>
                <c:pt idx="1423">
                  <c:v>45863</c:v>
                </c:pt>
                <c:pt idx="1424">
                  <c:v>45864</c:v>
                </c:pt>
                <c:pt idx="1425">
                  <c:v>45865</c:v>
                </c:pt>
                <c:pt idx="1426">
                  <c:v>45866</c:v>
                </c:pt>
                <c:pt idx="1427">
                  <c:v>45867</c:v>
                </c:pt>
                <c:pt idx="1428">
                  <c:v>45868</c:v>
                </c:pt>
                <c:pt idx="1429">
                  <c:v>45869</c:v>
                </c:pt>
                <c:pt idx="1430">
                  <c:v>45870</c:v>
                </c:pt>
                <c:pt idx="1431">
                  <c:v>45871</c:v>
                </c:pt>
                <c:pt idx="1432">
                  <c:v>45872</c:v>
                </c:pt>
                <c:pt idx="1433">
                  <c:v>45873</c:v>
                </c:pt>
                <c:pt idx="1434">
                  <c:v>45874</c:v>
                </c:pt>
                <c:pt idx="1435">
                  <c:v>45875</c:v>
                </c:pt>
                <c:pt idx="1436">
                  <c:v>45876</c:v>
                </c:pt>
                <c:pt idx="1437">
                  <c:v>45877</c:v>
                </c:pt>
                <c:pt idx="1438">
                  <c:v>45878</c:v>
                </c:pt>
                <c:pt idx="1439">
                  <c:v>45879</c:v>
                </c:pt>
                <c:pt idx="1440">
                  <c:v>45880</c:v>
                </c:pt>
                <c:pt idx="1441">
                  <c:v>45881</c:v>
                </c:pt>
                <c:pt idx="1442">
                  <c:v>45882</c:v>
                </c:pt>
                <c:pt idx="1443">
                  <c:v>45883</c:v>
                </c:pt>
                <c:pt idx="1444">
                  <c:v>45884</c:v>
                </c:pt>
                <c:pt idx="1445">
                  <c:v>45885</c:v>
                </c:pt>
                <c:pt idx="1446">
                  <c:v>45886</c:v>
                </c:pt>
                <c:pt idx="1447">
                  <c:v>45887</c:v>
                </c:pt>
                <c:pt idx="1448">
                  <c:v>45888</c:v>
                </c:pt>
                <c:pt idx="1449">
                  <c:v>45889</c:v>
                </c:pt>
                <c:pt idx="1450">
                  <c:v>45890</c:v>
                </c:pt>
                <c:pt idx="1451">
                  <c:v>45891</c:v>
                </c:pt>
                <c:pt idx="1452">
                  <c:v>45892</c:v>
                </c:pt>
                <c:pt idx="1453">
                  <c:v>45893</c:v>
                </c:pt>
                <c:pt idx="1454">
                  <c:v>45894</c:v>
                </c:pt>
                <c:pt idx="1455">
                  <c:v>45895</c:v>
                </c:pt>
                <c:pt idx="1456">
                  <c:v>45896</c:v>
                </c:pt>
                <c:pt idx="1457">
                  <c:v>45897</c:v>
                </c:pt>
                <c:pt idx="1458">
                  <c:v>45898</c:v>
                </c:pt>
                <c:pt idx="1459">
                  <c:v>45899</c:v>
                </c:pt>
                <c:pt idx="1460">
                  <c:v>45900</c:v>
                </c:pt>
                <c:pt idx="1461">
                  <c:v>45901</c:v>
                </c:pt>
                <c:pt idx="1462">
                  <c:v>45902</c:v>
                </c:pt>
                <c:pt idx="1463">
                  <c:v>45903</c:v>
                </c:pt>
                <c:pt idx="1464">
                  <c:v>45904</c:v>
                </c:pt>
                <c:pt idx="1465">
                  <c:v>45905</c:v>
                </c:pt>
                <c:pt idx="1466">
                  <c:v>45906</c:v>
                </c:pt>
                <c:pt idx="1467">
                  <c:v>45907</c:v>
                </c:pt>
                <c:pt idx="1468">
                  <c:v>45908</c:v>
                </c:pt>
                <c:pt idx="1469">
                  <c:v>45909</c:v>
                </c:pt>
                <c:pt idx="1470">
                  <c:v>45910</c:v>
                </c:pt>
                <c:pt idx="1471">
                  <c:v>45911</c:v>
                </c:pt>
                <c:pt idx="1472">
                  <c:v>45912</c:v>
                </c:pt>
                <c:pt idx="1473">
                  <c:v>45913</c:v>
                </c:pt>
                <c:pt idx="1474">
                  <c:v>45914</c:v>
                </c:pt>
                <c:pt idx="1475">
                  <c:v>45915</c:v>
                </c:pt>
                <c:pt idx="1476">
                  <c:v>45916</c:v>
                </c:pt>
                <c:pt idx="1477">
                  <c:v>45917</c:v>
                </c:pt>
                <c:pt idx="1478">
                  <c:v>45918</c:v>
                </c:pt>
                <c:pt idx="1479">
                  <c:v>45919</c:v>
                </c:pt>
                <c:pt idx="1480">
                  <c:v>45920</c:v>
                </c:pt>
                <c:pt idx="1481">
                  <c:v>45921</c:v>
                </c:pt>
                <c:pt idx="1482">
                  <c:v>45922</c:v>
                </c:pt>
                <c:pt idx="1483">
                  <c:v>45923</c:v>
                </c:pt>
                <c:pt idx="1484">
                  <c:v>45924</c:v>
                </c:pt>
                <c:pt idx="1485">
                  <c:v>45925</c:v>
                </c:pt>
                <c:pt idx="1486">
                  <c:v>45926</c:v>
                </c:pt>
                <c:pt idx="1487">
                  <c:v>45927</c:v>
                </c:pt>
                <c:pt idx="1488">
                  <c:v>45928</c:v>
                </c:pt>
                <c:pt idx="1489">
                  <c:v>45929</c:v>
                </c:pt>
                <c:pt idx="1490">
                  <c:v>45930</c:v>
                </c:pt>
                <c:pt idx="1491">
                  <c:v>45931</c:v>
                </c:pt>
                <c:pt idx="1492">
                  <c:v>45932</c:v>
                </c:pt>
                <c:pt idx="1493">
                  <c:v>45933</c:v>
                </c:pt>
                <c:pt idx="1494">
                  <c:v>45934</c:v>
                </c:pt>
                <c:pt idx="1495">
                  <c:v>45935</c:v>
                </c:pt>
                <c:pt idx="1496">
                  <c:v>45936</c:v>
                </c:pt>
                <c:pt idx="1497">
                  <c:v>45937</c:v>
                </c:pt>
                <c:pt idx="1498">
                  <c:v>45938</c:v>
                </c:pt>
                <c:pt idx="1499">
                  <c:v>45939</c:v>
                </c:pt>
                <c:pt idx="1500">
                  <c:v>45940</c:v>
                </c:pt>
                <c:pt idx="1501">
                  <c:v>45941</c:v>
                </c:pt>
                <c:pt idx="1502">
                  <c:v>45942</c:v>
                </c:pt>
                <c:pt idx="1503">
                  <c:v>45943</c:v>
                </c:pt>
                <c:pt idx="1504">
                  <c:v>45944</c:v>
                </c:pt>
                <c:pt idx="1505">
                  <c:v>45945</c:v>
                </c:pt>
                <c:pt idx="1506">
                  <c:v>45946</c:v>
                </c:pt>
                <c:pt idx="1507">
                  <c:v>45947</c:v>
                </c:pt>
                <c:pt idx="1508">
                  <c:v>45948</c:v>
                </c:pt>
                <c:pt idx="1509">
                  <c:v>45949</c:v>
                </c:pt>
                <c:pt idx="1510">
                  <c:v>45950</c:v>
                </c:pt>
                <c:pt idx="1511">
                  <c:v>45951</c:v>
                </c:pt>
                <c:pt idx="1512">
                  <c:v>45952</c:v>
                </c:pt>
                <c:pt idx="1513">
                  <c:v>45953</c:v>
                </c:pt>
                <c:pt idx="1514">
                  <c:v>45954</c:v>
                </c:pt>
                <c:pt idx="1515">
                  <c:v>45955</c:v>
                </c:pt>
                <c:pt idx="1516">
                  <c:v>45956</c:v>
                </c:pt>
                <c:pt idx="1517">
                  <c:v>45957</c:v>
                </c:pt>
                <c:pt idx="1518">
                  <c:v>45958</c:v>
                </c:pt>
                <c:pt idx="1519">
                  <c:v>45959</c:v>
                </c:pt>
                <c:pt idx="1520">
                  <c:v>45960</c:v>
                </c:pt>
                <c:pt idx="1521">
                  <c:v>45961</c:v>
                </c:pt>
                <c:pt idx="1522">
                  <c:v>45962</c:v>
                </c:pt>
                <c:pt idx="1523">
                  <c:v>45963</c:v>
                </c:pt>
                <c:pt idx="1524">
                  <c:v>45964</c:v>
                </c:pt>
                <c:pt idx="1525">
                  <c:v>45965</c:v>
                </c:pt>
                <c:pt idx="1526">
                  <c:v>45966</c:v>
                </c:pt>
                <c:pt idx="1527">
                  <c:v>45967</c:v>
                </c:pt>
                <c:pt idx="1528">
                  <c:v>45968</c:v>
                </c:pt>
                <c:pt idx="1529">
                  <c:v>45969</c:v>
                </c:pt>
                <c:pt idx="1530">
                  <c:v>45970</c:v>
                </c:pt>
                <c:pt idx="1531">
                  <c:v>45971</c:v>
                </c:pt>
                <c:pt idx="1532">
                  <c:v>45972</c:v>
                </c:pt>
                <c:pt idx="1533">
                  <c:v>45973</c:v>
                </c:pt>
                <c:pt idx="1534">
                  <c:v>45974</c:v>
                </c:pt>
                <c:pt idx="1535">
                  <c:v>45975</c:v>
                </c:pt>
                <c:pt idx="1536">
                  <c:v>45976</c:v>
                </c:pt>
                <c:pt idx="1537">
                  <c:v>45977</c:v>
                </c:pt>
                <c:pt idx="1538">
                  <c:v>45978</c:v>
                </c:pt>
                <c:pt idx="1539">
                  <c:v>45979</c:v>
                </c:pt>
                <c:pt idx="1540">
                  <c:v>45980</c:v>
                </c:pt>
                <c:pt idx="1541">
                  <c:v>45981</c:v>
                </c:pt>
                <c:pt idx="1542">
                  <c:v>45982</c:v>
                </c:pt>
                <c:pt idx="1543">
                  <c:v>45983</c:v>
                </c:pt>
                <c:pt idx="1544">
                  <c:v>45984</c:v>
                </c:pt>
                <c:pt idx="1545">
                  <c:v>45985</c:v>
                </c:pt>
                <c:pt idx="1546">
                  <c:v>45986</c:v>
                </c:pt>
                <c:pt idx="1547">
                  <c:v>45987</c:v>
                </c:pt>
                <c:pt idx="1548">
                  <c:v>45988</c:v>
                </c:pt>
                <c:pt idx="1549">
                  <c:v>45989</c:v>
                </c:pt>
                <c:pt idx="1550">
                  <c:v>45990</c:v>
                </c:pt>
                <c:pt idx="1551">
                  <c:v>45991</c:v>
                </c:pt>
                <c:pt idx="1552">
                  <c:v>45992</c:v>
                </c:pt>
                <c:pt idx="1553">
                  <c:v>45993</c:v>
                </c:pt>
                <c:pt idx="1554">
                  <c:v>45994</c:v>
                </c:pt>
                <c:pt idx="1555">
                  <c:v>45995</c:v>
                </c:pt>
                <c:pt idx="1556">
                  <c:v>45996</c:v>
                </c:pt>
                <c:pt idx="1557">
                  <c:v>45997</c:v>
                </c:pt>
                <c:pt idx="1558">
                  <c:v>45998</c:v>
                </c:pt>
                <c:pt idx="1559">
                  <c:v>45999</c:v>
                </c:pt>
                <c:pt idx="1560">
                  <c:v>46000</c:v>
                </c:pt>
                <c:pt idx="1561">
                  <c:v>46001</c:v>
                </c:pt>
                <c:pt idx="1562">
                  <c:v>46002</c:v>
                </c:pt>
                <c:pt idx="1563">
                  <c:v>46003</c:v>
                </c:pt>
                <c:pt idx="1564">
                  <c:v>46004</c:v>
                </c:pt>
                <c:pt idx="1565">
                  <c:v>46005</c:v>
                </c:pt>
                <c:pt idx="1566">
                  <c:v>46006</c:v>
                </c:pt>
                <c:pt idx="1567">
                  <c:v>46007</c:v>
                </c:pt>
                <c:pt idx="1568">
                  <c:v>46008</c:v>
                </c:pt>
                <c:pt idx="1569">
                  <c:v>46009</c:v>
                </c:pt>
                <c:pt idx="1570">
                  <c:v>46010</c:v>
                </c:pt>
                <c:pt idx="1571">
                  <c:v>46011</c:v>
                </c:pt>
                <c:pt idx="1572">
                  <c:v>46012</c:v>
                </c:pt>
                <c:pt idx="1573">
                  <c:v>46013</c:v>
                </c:pt>
                <c:pt idx="1574">
                  <c:v>46014</c:v>
                </c:pt>
                <c:pt idx="1575">
                  <c:v>46015</c:v>
                </c:pt>
                <c:pt idx="1576">
                  <c:v>46016</c:v>
                </c:pt>
                <c:pt idx="1577">
                  <c:v>46017</c:v>
                </c:pt>
                <c:pt idx="1578">
                  <c:v>46018</c:v>
                </c:pt>
                <c:pt idx="1579">
                  <c:v>46019</c:v>
                </c:pt>
                <c:pt idx="1580">
                  <c:v>46020</c:v>
                </c:pt>
                <c:pt idx="1581">
                  <c:v>46021</c:v>
                </c:pt>
                <c:pt idx="1582">
                  <c:v>46022</c:v>
                </c:pt>
              </c:numCache>
            </c:numRef>
          </c:cat>
          <c:val>
            <c:numRef>
              <c:f>Health!$C$28:$C$1610</c:f>
              <c:numCache>
                <c:formatCode>General</c:formatCode>
                <c:ptCount val="1583"/>
                <c:pt idx="0">
                  <c:v>1</c:v>
                </c:pt>
                <c:pt idx="1">
                  <c:v>2</c:v>
                </c:pt>
                <c:pt idx="2">
                  <c:v>2</c:v>
                </c:pt>
                <c:pt idx="3">
                  <c:v>2</c:v>
                </c:pt>
                <c:pt idx="4">
                  <c:v>1</c:v>
                </c:pt>
                <c:pt idx="5">
                  <c:v>2</c:v>
                </c:pt>
                <c:pt idx="6">
                  <c:v>1</c:v>
                </c:pt>
                <c:pt idx="7">
                  <c:v>1</c:v>
                </c:pt>
                <c:pt idx="8">
                  <c:v>1</c:v>
                </c:pt>
                <c:pt idx="9">
                  <c:v>1</c:v>
                </c:pt>
                <c:pt idx="10">
                  <c:v>2</c:v>
                </c:pt>
                <c:pt idx="11">
                  <c:v>2</c:v>
                </c:pt>
                <c:pt idx="12">
                  <c:v>1</c:v>
                </c:pt>
                <c:pt idx="13">
                  <c:v>1.5</c:v>
                </c:pt>
                <c:pt idx="14">
                  <c:v>2</c:v>
                </c:pt>
                <c:pt idx="15">
                  <c:v>1</c:v>
                </c:pt>
                <c:pt idx="16">
                  <c:v>1.5</c:v>
                </c:pt>
                <c:pt idx="17">
                  <c:v>1.5</c:v>
                </c:pt>
                <c:pt idx="18">
                  <c:v>1.5</c:v>
                </c:pt>
                <c:pt idx="19">
                  <c:v>2.5</c:v>
                </c:pt>
                <c:pt idx="20">
                  <c:v>1.5</c:v>
                </c:pt>
                <c:pt idx="21">
                  <c:v>2.5</c:v>
                </c:pt>
                <c:pt idx="22">
                  <c:v>1.5</c:v>
                </c:pt>
                <c:pt idx="23">
                  <c:v>2</c:v>
                </c:pt>
                <c:pt idx="24">
                  <c:v>2</c:v>
                </c:pt>
                <c:pt idx="25">
                  <c:v>3</c:v>
                </c:pt>
                <c:pt idx="26">
                  <c:v>2.5</c:v>
                </c:pt>
                <c:pt idx="27">
                  <c:v>2</c:v>
                </c:pt>
                <c:pt idx="28">
                  <c:v>2</c:v>
                </c:pt>
                <c:pt idx="29">
                  <c:v>2</c:v>
                </c:pt>
                <c:pt idx="30">
                  <c:v>2</c:v>
                </c:pt>
                <c:pt idx="31">
                  <c:v>2</c:v>
                </c:pt>
                <c:pt idx="32">
                  <c:v>2</c:v>
                </c:pt>
                <c:pt idx="33">
                  <c:v>3</c:v>
                </c:pt>
                <c:pt idx="34">
                  <c:v>3</c:v>
                </c:pt>
                <c:pt idx="35">
                  <c:v>3</c:v>
                </c:pt>
                <c:pt idx="36">
                  <c:v>2</c:v>
                </c:pt>
                <c:pt idx="37">
                  <c:v>3</c:v>
                </c:pt>
                <c:pt idx="38">
                  <c:v>2</c:v>
                </c:pt>
                <c:pt idx="39">
                  <c:v>2</c:v>
                </c:pt>
                <c:pt idx="40">
                  <c:v>3.5</c:v>
                </c:pt>
                <c:pt idx="41">
                  <c:v>1.5</c:v>
                </c:pt>
                <c:pt idx="42">
                  <c:v>2</c:v>
                </c:pt>
                <c:pt idx="43">
                  <c:v>2</c:v>
                </c:pt>
                <c:pt idx="44">
                  <c:v>2</c:v>
                </c:pt>
                <c:pt idx="45">
                  <c:v>2</c:v>
                </c:pt>
                <c:pt idx="46">
                  <c:v>2</c:v>
                </c:pt>
                <c:pt idx="47">
                  <c:v>3</c:v>
                </c:pt>
                <c:pt idx="48">
                  <c:v>3</c:v>
                </c:pt>
                <c:pt idx="49">
                  <c:v>4</c:v>
                </c:pt>
                <c:pt idx="50">
                  <c:v>3</c:v>
                </c:pt>
                <c:pt idx="51">
                  <c:v>3</c:v>
                </c:pt>
                <c:pt idx="52">
                  <c:v>2</c:v>
                </c:pt>
                <c:pt idx="53">
                  <c:v>2.5</c:v>
                </c:pt>
                <c:pt idx="54">
                  <c:v>3</c:v>
                </c:pt>
                <c:pt idx="55">
                  <c:v>3.5</c:v>
                </c:pt>
                <c:pt idx="56">
                  <c:v>3.5</c:v>
                </c:pt>
                <c:pt idx="57">
                  <c:v>3</c:v>
                </c:pt>
                <c:pt idx="58">
                  <c:v>3.5</c:v>
                </c:pt>
                <c:pt idx="59">
                  <c:v>3</c:v>
                </c:pt>
                <c:pt idx="60">
                  <c:v>2</c:v>
                </c:pt>
                <c:pt idx="61">
                  <c:v>3</c:v>
                </c:pt>
                <c:pt idx="62">
                  <c:v>2.5</c:v>
                </c:pt>
                <c:pt idx="63">
                  <c:v>2.5</c:v>
                </c:pt>
                <c:pt idx="64">
                  <c:v>3.5</c:v>
                </c:pt>
                <c:pt idx="65">
                  <c:v>2.5</c:v>
                </c:pt>
                <c:pt idx="66">
                  <c:v>2</c:v>
                </c:pt>
                <c:pt idx="67">
                  <c:v>3.5</c:v>
                </c:pt>
                <c:pt idx="68">
                  <c:v>3.5</c:v>
                </c:pt>
                <c:pt idx="69">
                  <c:v>3</c:v>
                </c:pt>
                <c:pt idx="70">
                  <c:v>2.5</c:v>
                </c:pt>
                <c:pt idx="71">
                  <c:v>2</c:v>
                </c:pt>
                <c:pt idx="72">
                  <c:v>3.5</c:v>
                </c:pt>
                <c:pt idx="73">
                  <c:v>1.5</c:v>
                </c:pt>
                <c:pt idx="74">
                  <c:v>2</c:v>
                </c:pt>
                <c:pt idx="75">
                  <c:v>3</c:v>
                </c:pt>
                <c:pt idx="76">
                  <c:v>3.5</c:v>
                </c:pt>
                <c:pt idx="77">
                  <c:v>3</c:v>
                </c:pt>
                <c:pt idx="78">
                  <c:v>1.5</c:v>
                </c:pt>
                <c:pt idx="79">
                  <c:v>3</c:v>
                </c:pt>
                <c:pt idx="80">
                  <c:v>3</c:v>
                </c:pt>
                <c:pt idx="81">
                  <c:v>3</c:v>
                </c:pt>
                <c:pt idx="82">
                  <c:v>3.5</c:v>
                </c:pt>
                <c:pt idx="83">
                  <c:v>2.5</c:v>
                </c:pt>
                <c:pt idx="84">
                  <c:v>3</c:v>
                </c:pt>
                <c:pt idx="85">
                  <c:v>3</c:v>
                </c:pt>
                <c:pt idx="86">
                  <c:v>3</c:v>
                </c:pt>
                <c:pt idx="87">
                  <c:v>3</c:v>
                </c:pt>
                <c:pt idx="88">
                  <c:v>3.5</c:v>
                </c:pt>
                <c:pt idx="89">
                  <c:v>3.5</c:v>
                </c:pt>
                <c:pt idx="90">
                  <c:v>2.5</c:v>
                </c:pt>
                <c:pt idx="91">
                  <c:v>3</c:v>
                </c:pt>
                <c:pt idx="92">
                  <c:v>2.5</c:v>
                </c:pt>
                <c:pt idx="93">
                  <c:v>2.5</c:v>
                </c:pt>
                <c:pt idx="94">
                  <c:v>3</c:v>
                </c:pt>
                <c:pt idx="95">
                  <c:v>4</c:v>
                </c:pt>
                <c:pt idx="96">
                  <c:v>2.5</c:v>
                </c:pt>
                <c:pt idx="97">
                  <c:v>2.5</c:v>
                </c:pt>
                <c:pt idx="98">
                  <c:v>3</c:v>
                </c:pt>
                <c:pt idx="99">
                  <c:v>3</c:v>
                </c:pt>
                <c:pt idx="100">
                  <c:v>3</c:v>
                </c:pt>
                <c:pt idx="101">
                  <c:v>3.5</c:v>
                </c:pt>
                <c:pt idx="102">
                  <c:v>3.5</c:v>
                </c:pt>
                <c:pt idx="103">
                  <c:v>3</c:v>
                </c:pt>
                <c:pt idx="104">
                  <c:v>3.5</c:v>
                </c:pt>
                <c:pt idx="105">
                  <c:v>3.5</c:v>
                </c:pt>
                <c:pt idx="106">
                  <c:v>3</c:v>
                </c:pt>
                <c:pt idx="107">
                  <c:v>4</c:v>
                </c:pt>
                <c:pt idx="108">
                  <c:v>3.5</c:v>
                </c:pt>
                <c:pt idx="109">
                  <c:v>3</c:v>
                </c:pt>
                <c:pt idx="110">
                  <c:v>2.5</c:v>
                </c:pt>
                <c:pt idx="111">
                  <c:v>2.5</c:v>
                </c:pt>
                <c:pt idx="112">
                  <c:v>3.5</c:v>
                </c:pt>
                <c:pt idx="113">
                  <c:v>2.5</c:v>
                </c:pt>
                <c:pt idx="114">
                  <c:v>3.5</c:v>
                </c:pt>
                <c:pt idx="115">
                  <c:v>3</c:v>
                </c:pt>
                <c:pt idx="116">
                  <c:v>3</c:v>
                </c:pt>
                <c:pt idx="117">
                  <c:v>1.5</c:v>
                </c:pt>
                <c:pt idx="118">
                  <c:v>1.5</c:v>
                </c:pt>
                <c:pt idx="119">
                  <c:v>1.5</c:v>
                </c:pt>
                <c:pt idx="120">
                  <c:v>1.5</c:v>
                </c:pt>
                <c:pt idx="121">
                  <c:v>3</c:v>
                </c:pt>
                <c:pt idx="122">
                  <c:v>1</c:v>
                </c:pt>
                <c:pt idx="123">
                  <c:v>2</c:v>
                </c:pt>
                <c:pt idx="124">
                  <c:v>1.5</c:v>
                </c:pt>
                <c:pt idx="125">
                  <c:v>1.5</c:v>
                </c:pt>
                <c:pt idx="126">
                  <c:v>2</c:v>
                </c:pt>
                <c:pt idx="127">
                  <c:v>1.5</c:v>
                </c:pt>
                <c:pt idx="128">
                  <c:v>3</c:v>
                </c:pt>
                <c:pt idx="129">
                  <c:v>4</c:v>
                </c:pt>
                <c:pt idx="130">
                  <c:v>3</c:v>
                </c:pt>
                <c:pt idx="131">
                  <c:v>3</c:v>
                </c:pt>
                <c:pt idx="132">
                  <c:v>3</c:v>
                </c:pt>
                <c:pt idx="133">
                  <c:v>3</c:v>
                </c:pt>
                <c:pt idx="134">
                  <c:v>3.5</c:v>
                </c:pt>
                <c:pt idx="135">
                  <c:v>3</c:v>
                </c:pt>
                <c:pt idx="136">
                  <c:v>3</c:v>
                </c:pt>
                <c:pt idx="137">
                  <c:v>3.5</c:v>
                </c:pt>
                <c:pt idx="138">
                  <c:v>2.5</c:v>
                </c:pt>
                <c:pt idx="139">
                  <c:v>3.5</c:v>
                </c:pt>
                <c:pt idx="140">
                  <c:v>3</c:v>
                </c:pt>
                <c:pt idx="141">
                  <c:v>3</c:v>
                </c:pt>
                <c:pt idx="142">
                  <c:v>1.5</c:v>
                </c:pt>
                <c:pt idx="143">
                  <c:v>2.5</c:v>
                </c:pt>
                <c:pt idx="144">
                  <c:v>2</c:v>
                </c:pt>
                <c:pt idx="145">
                  <c:v>2.5</c:v>
                </c:pt>
                <c:pt idx="146">
                  <c:v>1.5</c:v>
                </c:pt>
                <c:pt idx="147">
                  <c:v>2</c:v>
                </c:pt>
                <c:pt idx="148">
                  <c:v>2.5</c:v>
                </c:pt>
                <c:pt idx="149">
                  <c:v>3</c:v>
                </c:pt>
                <c:pt idx="150">
                  <c:v>3.5</c:v>
                </c:pt>
                <c:pt idx="151">
                  <c:v>3.5</c:v>
                </c:pt>
                <c:pt idx="152">
                  <c:v>3</c:v>
                </c:pt>
                <c:pt idx="153">
                  <c:v>3</c:v>
                </c:pt>
                <c:pt idx="154">
                  <c:v>2.5</c:v>
                </c:pt>
                <c:pt idx="155">
                  <c:v>3</c:v>
                </c:pt>
                <c:pt idx="156">
                  <c:v>2.5</c:v>
                </c:pt>
                <c:pt idx="157">
                  <c:v>3</c:v>
                </c:pt>
                <c:pt idx="158">
                  <c:v>3.5</c:v>
                </c:pt>
                <c:pt idx="159">
                  <c:v>3</c:v>
                </c:pt>
                <c:pt idx="160">
                  <c:v>3</c:v>
                </c:pt>
                <c:pt idx="161">
                  <c:v>3</c:v>
                </c:pt>
                <c:pt idx="162">
                  <c:v>2.5</c:v>
                </c:pt>
                <c:pt idx="163">
                  <c:v>2.5</c:v>
                </c:pt>
                <c:pt idx="164">
                  <c:v>3</c:v>
                </c:pt>
                <c:pt idx="165">
                  <c:v>3.5</c:v>
                </c:pt>
                <c:pt idx="166">
                  <c:v>2.5</c:v>
                </c:pt>
                <c:pt idx="167">
                  <c:v>2</c:v>
                </c:pt>
                <c:pt idx="168">
                  <c:v>2.5</c:v>
                </c:pt>
                <c:pt idx="169">
                  <c:v>2.5</c:v>
                </c:pt>
                <c:pt idx="170">
                  <c:v>3</c:v>
                </c:pt>
                <c:pt idx="171">
                  <c:v>2.5</c:v>
                </c:pt>
                <c:pt idx="172">
                  <c:v>3.5</c:v>
                </c:pt>
                <c:pt idx="173">
                  <c:v>2.5</c:v>
                </c:pt>
                <c:pt idx="174">
                  <c:v>3</c:v>
                </c:pt>
                <c:pt idx="175">
                  <c:v>2.5</c:v>
                </c:pt>
                <c:pt idx="176">
                  <c:v>2.5</c:v>
                </c:pt>
                <c:pt idx="177">
                  <c:v>2</c:v>
                </c:pt>
                <c:pt idx="178">
                  <c:v>3.5</c:v>
                </c:pt>
                <c:pt idx="179">
                  <c:v>2.5</c:v>
                </c:pt>
                <c:pt idx="180">
                  <c:v>3</c:v>
                </c:pt>
                <c:pt idx="181">
                  <c:v>3</c:v>
                </c:pt>
                <c:pt idx="182">
                  <c:v>3</c:v>
                </c:pt>
                <c:pt idx="183">
                  <c:v>2.5</c:v>
                </c:pt>
                <c:pt idx="184">
                  <c:v>3</c:v>
                </c:pt>
                <c:pt idx="185">
                  <c:v>3</c:v>
                </c:pt>
                <c:pt idx="186">
                  <c:v>3</c:v>
                </c:pt>
                <c:pt idx="187">
                  <c:v>2</c:v>
                </c:pt>
                <c:pt idx="188">
                  <c:v>2</c:v>
                </c:pt>
                <c:pt idx="189">
                  <c:v>2</c:v>
                </c:pt>
                <c:pt idx="190">
                  <c:v>2.5</c:v>
                </c:pt>
                <c:pt idx="191">
                  <c:v>2.5</c:v>
                </c:pt>
                <c:pt idx="192">
                  <c:v>3</c:v>
                </c:pt>
                <c:pt idx="193">
                  <c:v>2.5</c:v>
                </c:pt>
                <c:pt idx="194">
                  <c:v>2.5</c:v>
                </c:pt>
                <c:pt idx="195">
                  <c:v>2.5</c:v>
                </c:pt>
                <c:pt idx="196">
                  <c:v>3</c:v>
                </c:pt>
                <c:pt idx="197">
                  <c:v>2.5</c:v>
                </c:pt>
                <c:pt idx="198">
                  <c:v>3</c:v>
                </c:pt>
                <c:pt idx="199">
                  <c:v>3.5</c:v>
                </c:pt>
                <c:pt idx="200">
                  <c:v>2.5</c:v>
                </c:pt>
                <c:pt idx="201">
                  <c:v>2.5</c:v>
                </c:pt>
                <c:pt idx="202">
                  <c:v>2.5</c:v>
                </c:pt>
                <c:pt idx="203">
                  <c:v>3</c:v>
                </c:pt>
                <c:pt idx="204">
                  <c:v>2</c:v>
                </c:pt>
                <c:pt idx="205">
                  <c:v>3</c:v>
                </c:pt>
                <c:pt idx="206">
                  <c:v>1.5</c:v>
                </c:pt>
                <c:pt idx="207">
                  <c:v>3</c:v>
                </c:pt>
                <c:pt idx="208">
                  <c:v>2</c:v>
                </c:pt>
                <c:pt idx="209">
                  <c:v>2</c:v>
                </c:pt>
                <c:pt idx="210">
                  <c:v>2</c:v>
                </c:pt>
                <c:pt idx="211">
                  <c:v>2</c:v>
                </c:pt>
                <c:pt idx="212">
                  <c:v>2.5</c:v>
                </c:pt>
                <c:pt idx="213">
                  <c:v>3</c:v>
                </c:pt>
                <c:pt idx="214">
                  <c:v>3.5</c:v>
                </c:pt>
                <c:pt idx="215">
                  <c:v>2</c:v>
                </c:pt>
                <c:pt idx="216">
                  <c:v>2.5</c:v>
                </c:pt>
                <c:pt idx="217">
                  <c:v>2</c:v>
                </c:pt>
                <c:pt idx="218">
                  <c:v>3</c:v>
                </c:pt>
                <c:pt idx="219">
                  <c:v>3.5</c:v>
                </c:pt>
                <c:pt idx="220">
                  <c:v>3.5</c:v>
                </c:pt>
                <c:pt idx="221">
                  <c:v>2.5</c:v>
                </c:pt>
                <c:pt idx="222">
                  <c:v>2</c:v>
                </c:pt>
                <c:pt idx="223">
                  <c:v>2</c:v>
                </c:pt>
                <c:pt idx="224">
                  <c:v>2</c:v>
                </c:pt>
                <c:pt idx="225">
                  <c:v>2</c:v>
                </c:pt>
                <c:pt idx="226">
                  <c:v>2.5</c:v>
                </c:pt>
                <c:pt idx="227">
                  <c:v>2.5</c:v>
                </c:pt>
                <c:pt idx="228">
                  <c:v>3</c:v>
                </c:pt>
                <c:pt idx="229">
                  <c:v>2</c:v>
                </c:pt>
                <c:pt idx="230">
                  <c:v>2</c:v>
                </c:pt>
                <c:pt idx="231">
                  <c:v>2.5</c:v>
                </c:pt>
                <c:pt idx="232">
                  <c:v>2.5</c:v>
                </c:pt>
                <c:pt idx="233">
                  <c:v>2.5</c:v>
                </c:pt>
                <c:pt idx="234">
                  <c:v>3.5</c:v>
                </c:pt>
                <c:pt idx="235">
                  <c:v>3.5</c:v>
                </c:pt>
                <c:pt idx="236">
                  <c:v>2.5</c:v>
                </c:pt>
                <c:pt idx="237">
                  <c:v>2</c:v>
                </c:pt>
                <c:pt idx="238">
                  <c:v>3</c:v>
                </c:pt>
                <c:pt idx="239">
                  <c:v>2.5</c:v>
                </c:pt>
                <c:pt idx="240">
                  <c:v>3</c:v>
                </c:pt>
                <c:pt idx="241">
                  <c:v>2</c:v>
                </c:pt>
                <c:pt idx="242">
                  <c:v>2</c:v>
                </c:pt>
                <c:pt idx="243">
                  <c:v>3</c:v>
                </c:pt>
                <c:pt idx="244">
                  <c:v>2</c:v>
                </c:pt>
                <c:pt idx="245">
                  <c:v>3</c:v>
                </c:pt>
                <c:pt idx="246">
                  <c:v>2</c:v>
                </c:pt>
                <c:pt idx="247">
                  <c:v>2.5</c:v>
                </c:pt>
                <c:pt idx="248">
                  <c:v>2.5</c:v>
                </c:pt>
                <c:pt idx="249">
                  <c:v>2.5</c:v>
                </c:pt>
                <c:pt idx="250">
                  <c:v>3</c:v>
                </c:pt>
                <c:pt idx="251">
                  <c:v>2.5</c:v>
                </c:pt>
                <c:pt idx="252">
                  <c:v>2.5</c:v>
                </c:pt>
                <c:pt idx="253">
                  <c:v>3</c:v>
                </c:pt>
                <c:pt idx="254">
                  <c:v>3</c:v>
                </c:pt>
                <c:pt idx="255">
                  <c:v>3.5</c:v>
                </c:pt>
                <c:pt idx="256">
                  <c:v>2.5</c:v>
                </c:pt>
                <c:pt idx="257">
                  <c:v>2.5</c:v>
                </c:pt>
                <c:pt idx="258">
                  <c:v>3</c:v>
                </c:pt>
                <c:pt idx="259">
                  <c:v>3.5</c:v>
                </c:pt>
                <c:pt idx="260">
                  <c:v>2.5</c:v>
                </c:pt>
                <c:pt idx="261">
                  <c:v>3</c:v>
                </c:pt>
                <c:pt idx="262">
                  <c:v>3.5</c:v>
                </c:pt>
                <c:pt idx="263">
                  <c:v>2.5</c:v>
                </c:pt>
                <c:pt idx="264">
                  <c:v>2</c:v>
                </c:pt>
                <c:pt idx="265">
                  <c:v>2.5</c:v>
                </c:pt>
                <c:pt idx="266">
                  <c:v>2.5</c:v>
                </c:pt>
                <c:pt idx="267">
                  <c:v>2</c:v>
                </c:pt>
                <c:pt idx="268">
                  <c:v>2.5</c:v>
                </c:pt>
                <c:pt idx="269">
                  <c:v>3</c:v>
                </c:pt>
                <c:pt idx="270">
                  <c:v>3.5</c:v>
                </c:pt>
                <c:pt idx="271">
                  <c:v>2.5</c:v>
                </c:pt>
                <c:pt idx="272">
                  <c:v>2</c:v>
                </c:pt>
                <c:pt idx="273">
                  <c:v>2</c:v>
                </c:pt>
                <c:pt idx="274">
                  <c:v>2.5</c:v>
                </c:pt>
                <c:pt idx="275">
                  <c:v>2.5</c:v>
                </c:pt>
                <c:pt idx="276">
                  <c:v>2.5</c:v>
                </c:pt>
                <c:pt idx="277">
                  <c:v>2.5</c:v>
                </c:pt>
                <c:pt idx="278">
                  <c:v>2</c:v>
                </c:pt>
                <c:pt idx="279">
                  <c:v>2.5</c:v>
                </c:pt>
                <c:pt idx="280">
                  <c:v>2.5</c:v>
                </c:pt>
                <c:pt idx="281">
                  <c:v>2.5</c:v>
                </c:pt>
                <c:pt idx="282">
                  <c:v>2.5</c:v>
                </c:pt>
                <c:pt idx="283">
                  <c:v>3</c:v>
                </c:pt>
                <c:pt idx="284">
                  <c:v>3</c:v>
                </c:pt>
                <c:pt idx="285">
                  <c:v>2.5</c:v>
                </c:pt>
                <c:pt idx="286">
                  <c:v>2.5</c:v>
                </c:pt>
                <c:pt idx="287">
                  <c:v>2.5</c:v>
                </c:pt>
                <c:pt idx="288">
                  <c:v>2.5</c:v>
                </c:pt>
                <c:pt idx="289">
                  <c:v>1.5</c:v>
                </c:pt>
                <c:pt idx="290">
                  <c:v>1.5</c:v>
                </c:pt>
                <c:pt idx="291">
                  <c:v>2.5</c:v>
                </c:pt>
                <c:pt idx="292">
                  <c:v>2.5</c:v>
                </c:pt>
                <c:pt idx="293">
                  <c:v>1.5</c:v>
                </c:pt>
                <c:pt idx="294">
                  <c:v>1.5</c:v>
                </c:pt>
                <c:pt idx="295">
                  <c:v>2</c:v>
                </c:pt>
                <c:pt idx="296">
                  <c:v>2.5</c:v>
                </c:pt>
                <c:pt idx="297">
                  <c:v>2.5</c:v>
                </c:pt>
                <c:pt idx="298">
                  <c:v>1.5</c:v>
                </c:pt>
                <c:pt idx="299">
                  <c:v>2.5</c:v>
                </c:pt>
                <c:pt idx="300">
                  <c:v>1.5</c:v>
                </c:pt>
                <c:pt idx="301">
                  <c:v>2.5</c:v>
                </c:pt>
                <c:pt idx="302">
                  <c:v>2.5</c:v>
                </c:pt>
                <c:pt idx="303">
                  <c:v>3.5</c:v>
                </c:pt>
                <c:pt idx="304">
                  <c:v>3.5</c:v>
                </c:pt>
                <c:pt idx="305">
                  <c:v>3.5</c:v>
                </c:pt>
                <c:pt idx="306">
                  <c:v>2.5</c:v>
                </c:pt>
                <c:pt idx="307">
                  <c:v>3</c:v>
                </c:pt>
                <c:pt idx="308">
                  <c:v>2.5</c:v>
                </c:pt>
                <c:pt idx="309">
                  <c:v>3</c:v>
                </c:pt>
                <c:pt idx="310">
                  <c:v>3</c:v>
                </c:pt>
                <c:pt idx="311">
                  <c:v>3.5</c:v>
                </c:pt>
                <c:pt idx="312">
                  <c:v>3.5</c:v>
                </c:pt>
                <c:pt idx="313">
                  <c:v>2.5</c:v>
                </c:pt>
                <c:pt idx="314">
                  <c:v>3</c:v>
                </c:pt>
                <c:pt idx="315">
                  <c:v>2.5</c:v>
                </c:pt>
                <c:pt idx="316">
                  <c:v>3</c:v>
                </c:pt>
                <c:pt idx="317">
                  <c:v>3</c:v>
                </c:pt>
                <c:pt idx="318">
                  <c:v>3</c:v>
                </c:pt>
                <c:pt idx="319">
                  <c:v>3.5</c:v>
                </c:pt>
                <c:pt idx="320">
                  <c:v>2.5</c:v>
                </c:pt>
                <c:pt idx="321">
                  <c:v>3</c:v>
                </c:pt>
                <c:pt idx="322">
                  <c:v>2</c:v>
                </c:pt>
                <c:pt idx="323">
                  <c:v>2</c:v>
                </c:pt>
                <c:pt idx="324">
                  <c:v>3</c:v>
                </c:pt>
                <c:pt idx="325">
                  <c:v>3.5</c:v>
                </c:pt>
                <c:pt idx="326">
                  <c:v>2.5</c:v>
                </c:pt>
                <c:pt idx="327">
                  <c:v>2.5</c:v>
                </c:pt>
                <c:pt idx="328">
                  <c:v>3.5</c:v>
                </c:pt>
                <c:pt idx="329">
                  <c:v>3.5</c:v>
                </c:pt>
                <c:pt idx="330">
                  <c:v>3</c:v>
                </c:pt>
                <c:pt idx="331">
                  <c:v>3.5</c:v>
                </c:pt>
                <c:pt idx="332">
                  <c:v>3.5</c:v>
                </c:pt>
                <c:pt idx="333">
                  <c:v>3.5</c:v>
                </c:pt>
                <c:pt idx="334">
                  <c:v>2</c:v>
                </c:pt>
                <c:pt idx="335">
                  <c:v>3.5</c:v>
                </c:pt>
                <c:pt idx="336">
                  <c:v>2.5</c:v>
                </c:pt>
                <c:pt idx="337">
                  <c:v>3</c:v>
                </c:pt>
                <c:pt idx="338">
                  <c:v>3</c:v>
                </c:pt>
                <c:pt idx="339">
                  <c:v>3</c:v>
                </c:pt>
                <c:pt idx="340">
                  <c:v>2.5</c:v>
                </c:pt>
                <c:pt idx="341">
                  <c:v>2</c:v>
                </c:pt>
                <c:pt idx="342">
                  <c:v>3</c:v>
                </c:pt>
                <c:pt idx="343">
                  <c:v>2</c:v>
                </c:pt>
                <c:pt idx="344">
                  <c:v>2.5</c:v>
                </c:pt>
                <c:pt idx="345">
                  <c:v>2.5</c:v>
                </c:pt>
                <c:pt idx="346">
                  <c:v>3</c:v>
                </c:pt>
                <c:pt idx="347">
                  <c:v>2</c:v>
                </c:pt>
                <c:pt idx="348">
                  <c:v>3</c:v>
                </c:pt>
                <c:pt idx="349">
                  <c:v>2.5</c:v>
                </c:pt>
                <c:pt idx="350">
                  <c:v>3</c:v>
                </c:pt>
                <c:pt idx="351">
                  <c:v>2.5</c:v>
                </c:pt>
                <c:pt idx="352">
                  <c:v>3.5</c:v>
                </c:pt>
                <c:pt idx="353">
                  <c:v>2</c:v>
                </c:pt>
                <c:pt idx="354">
                  <c:v>2</c:v>
                </c:pt>
                <c:pt idx="355">
                  <c:v>3</c:v>
                </c:pt>
                <c:pt idx="356">
                  <c:v>3</c:v>
                </c:pt>
                <c:pt idx="357">
                  <c:v>2.5</c:v>
                </c:pt>
                <c:pt idx="358">
                  <c:v>3</c:v>
                </c:pt>
                <c:pt idx="359">
                  <c:v>3.5</c:v>
                </c:pt>
                <c:pt idx="360">
                  <c:v>3</c:v>
                </c:pt>
                <c:pt idx="361">
                  <c:v>2</c:v>
                </c:pt>
                <c:pt idx="362">
                  <c:v>2</c:v>
                </c:pt>
                <c:pt idx="363">
                  <c:v>3</c:v>
                </c:pt>
                <c:pt idx="364">
                  <c:v>3</c:v>
                </c:pt>
                <c:pt idx="365">
                  <c:v>3</c:v>
                </c:pt>
                <c:pt idx="366">
                  <c:v>3</c:v>
                </c:pt>
                <c:pt idx="367">
                  <c:v>2.5</c:v>
                </c:pt>
                <c:pt idx="368">
                  <c:v>3</c:v>
                </c:pt>
                <c:pt idx="369">
                  <c:v>3.5</c:v>
                </c:pt>
                <c:pt idx="370">
                  <c:v>2.5</c:v>
                </c:pt>
                <c:pt idx="371">
                  <c:v>2.5</c:v>
                </c:pt>
                <c:pt idx="372">
                  <c:v>2</c:v>
                </c:pt>
                <c:pt idx="373">
                  <c:v>3</c:v>
                </c:pt>
                <c:pt idx="374">
                  <c:v>2.5</c:v>
                </c:pt>
                <c:pt idx="375">
                  <c:v>2.5</c:v>
                </c:pt>
                <c:pt idx="376">
                  <c:v>2</c:v>
                </c:pt>
                <c:pt idx="377">
                  <c:v>3</c:v>
                </c:pt>
                <c:pt idx="378">
                  <c:v>2.5</c:v>
                </c:pt>
                <c:pt idx="379">
                  <c:v>2.5</c:v>
                </c:pt>
                <c:pt idx="380">
                  <c:v>3</c:v>
                </c:pt>
                <c:pt idx="381">
                  <c:v>3</c:v>
                </c:pt>
                <c:pt idx="382">
                  <c:v>2.5</c:v>
                </c:pt>
                <c:pt idx="383">
                  <c:v>3</c:v>
                </c:pt>
                <c:pt idx="384">
                  <c:v>3</c:v>
                </c:pt>
                <c:pt idx="385">
                  <c:v>2.5</c:v>
                </c:pt>
                <c:pt idx="386">
                  <c:v>2.5</c:v>
                </c:pt>
                <c:pt idx="387">
                  <c:v>3</c:v>
                </c:pt>
                <c:pt idx="388">
                  <c:v>3</c:v>
                </c:pt>
                <c:pt idx="389">
                  <c:v>3</c:v>
                </c:pt>
                <c:pt idx="390">
                  <c:v>2.5</c:v>
                </c:pt>
                <c:pt idx="391">
                  <c:v>2.5</c:v>
                </c:pt>
                <c:pt idx="392">
                  <c:v>2.5</c:v>
                </c:pt>
                <c:pt idx="393">
                  <c:v>2.5</c:v>
                </c:pt>
                <c:pt idx="394">
                  <c:v>2.5</c:v>
                </c:pt>
                <c:pt idx="395">
                  <c:v>2.5</c:v>
                </c:pt>
                <c:pt idx="396">
                  <c:v>2.5</c:v>
                </c:pt>
                <c:pt idx="397">
                  <c:v>3</c:v>
                </c:pt>
                <c:pt idx="398">
                  <c:v>2.5</c:v>
                </c:pt>
                <c:pt idx="399">
                  <c:v>2.5</c:v>
                </c:pt>
                <c:pt idx="400">
                  <c:v>1.5</c:v>
                </c:pt>
                <c:pt idx="401">
                  <c:v>3</c:v>
                </c:pt>
                <c:pt idx="402">
                  <c:v>3</c:v>
                </c:pt>
                <c:pt idx="403">
                  <c:v>1.5</c:v>
                </c:pt>
                <c:pt idx="404">
                  <c:v>2.5</c:v>
                </c:pt>
                <c:pt idx="405">
                  <c:v>2</c:v>
                </c:pt>
                <c:pt idx="406">
                  <c:v>2</c:v>
                </c:pt>
                <c:pt idx="407">
                  <c:v>2</c:v>
                </c:pt>
                <c:pt idx="408">
                  <c:v>2</c:v>
                </c:pt>
                <c:pt idx="409">
                  <c:v>2.5</c:v>
                </c:pt>
                <c:pt idx="410">
                  <c:v>2</c:v>
                </c:pt>
                <c:pt idx="411">
                  <c:v>1.5</c:v>
                </c:pt>
                <c:pt idx="412">
                  <c:v>2.5</c:v>
                </c:pt>
                <c:pt idx="413">
                  <c:v>2</c:v>
                </c:pt>
                <c:pt idx="414">
                  <c:v>3</c:v>
                </c:pt>
                <c:pt idx="415">
                  <c:v>1.5</c:v>
                </c:pt>
                <c:pt idx="416">
                  <c:v>2.5</c:v>
                </c:pt>
                <c:pt idx="417">
                  <c:v>2.5</c:v>
                </c:pt>
                <c:pt idx="418">
                  <c:v>2.5</c:v>
                </c:pt>
                <c:pt idx="419">
                  <c:v>2.5</c:v>
                </c:pt>
                <c:pt idx="420">
                  <c:v>2</c:v>
                </c:pt>
                <c:pt idx="421">
                  <c:v>2</c:v>
                </c:pt>
                <c:pt idx="422">
                  <c:v>2.5</c:v>
                </c:pt>
                <c:pt idx="423">
                  <c:v>3</c:v>
                </c:pt>
                <c:pt idx="424">
                  <c:v>2.5</c:v>
                </c:pt>
                <c:pt idx="425">
                  <c:v>3</c:v>
                </c:pt>
                <c:pt idx="426">
                  <c:v>2.5</c:v>
                </c:pt>
                <c:pt idx="427">
                  <c:v>2</c:v>
                </c:pt>
                <c:pt idx="428">
                  <c:v>2.5</c:v>
                </c:pt>
                <c:pt idx="429">
                  <c:v>2.5</c:v>
                </c:pt>
                <c:pt idx="430">
                  <c:v>3</c:v>
                </c:pt>
                <c:pt idx="431">
                  <c:v>1</c:v>
                </c:pt>
                <c:pt idx="432">
                  <c:v>2.5</c:v>
                </c:pt>
                <c:pt idx="433">
                  <c:v>2.5</c:v>
                </c:pt>
                <c:pt idx="434">
                  <c:v>2.5</c:v>
                </c:pt>
                <c:pt idx="435">
                  <c:v>2.5</c:v>
                </c:pt>
                <c:pt idx="436">
                  <c:v>2</c:v>
                </c:pt>
                <c:pt idx="437">
                  <c:v>3.5</c:v>
                </c:pt>
                <c:pt idx="438">
                  <c:v>2.5</c:v>
                </c:pt>
                <c:pt idx="439">
                  <c:v>1.5</c:v>
                </c:pt>
                <c:pt idx="440">
                  <c:v>1.5</c:v>
                </c:pt>
                <c:pt idx="441">
                  <c:v>3</c:v>
                </c:pt>
                <c:pt idx="442">
                  <c:v>2</c:v>
                </c:pt>
                <c:pt idx="443">
                  <c:v>2</c:v>
                </c:pt>
                <c:pt idx="444">
                  <c:v>3</c:v>
                </c:pt>
                <c:pt idx="445">
                  <c:v>2.5</c:v>
                </c:pt>
                <c:pt idx="446">
                  <c:v>2</c:v>
                </c:pt>
                <c:pt idx="447">
                  <c:v>2</c:v>
                </c:pt>
                <c:pt idx="448">
                  <c:v>2.5</c:v>
                </c:pt>
                <c:pt idx="449">
                  <c:v>2.5</c:v>
                </c:pt>
                <c:pt idx="450">
                  <c:v>2.5</c:v>
                </c:pt>
                <c:pt idx="451">
                  <c:v>2</c:v>
                </c:pt>
                <c:pt idx="452">
                  <c:v>2</c:v>
                </c:pt>
                <c:pt idx="453">
                  <c:v>2.5</c:v>
                </c:pt>
                <c:pt idx="454">
                  <c:v>2</c:v>
                </c:pt>
                <c:pt idx="455">
                  <c:v>1.5</c:v>
                </c:pt>
                <c:pt idx="456">
                  <c:v>2.5</c:v>
                </c:pt>
                <c:pt idx="457">
                  <c:v>3</c:v>
                </c:pt>
                <c:pt idx="458">
                  <c:v>2.5</c:v>
                </c:pt>
                <c:pt idx="459">
                  <c:v>2.5</c:v>
                </c:pt>
                <c:pt idx="460">
                  <c:v>2</c:v>
                </c:pt>
                <c:pt idx="461">
                  <c:v>2.5</c:v>
                </c:pt>
                <c:pt idx="462">
                  <c:v>2</c:v>
                </c:pt>
                <c:pt idx="463">
                  <c:v>2</c:v>
                </c:pt>
                <c:pt idx="464">
                  <c:v>1.5</c:v>
                </c:pt>
                <c:pt idx="465">
                  <c:v>1.5</c:v>
                </c:pt>
                <c:pt idx="466">
                  <c:v>2</c:v>
                </c:pt>
                <c:pt idx="467">
                  <c:v>2</c:v>
                </c:pt>
                <c:pt idx="468">
                  <c:v>2</c:v>
                </c:pt>
                <c:pt idx="469">
                  <c:v>1.5</c:v>
                </c:pt>
                <c:pt idx="470">
                  <c:v>2</c:v>
                </c:pt>
                <c:pt idx="471">
                  <c:v>2.5</c:v>
                </c:pt>
                <c:pt idx="472">
                  <c:v>2</c:v>
                </c:pt>
                <c:pt idx="473">
                  <c:v>2</c:v>
                </c:pt>
                <c:pt idx="474">
                  <c:v>2.5</c:v>
                </c:pt>
                <c:pt idx="475">
                  <c:v>2</c:v>
                </c:pt>
                <c:pt idx="476">
                  <c:v>2</c:v>
                </c:pt>
                <c:pt idx="477">
                  <c:v>2.5</c:v>
                </c:pt>
                <c:pt idx="478">
                  <c:v>2</c:v>
                </c:pt>
                <c:pt idx="479">
                  <c:v>2</c:v>
                </c:pt>
                <c:pt idx="480">
                  <c:v>2.5</c:v>
                </c:pt>
                <c:pt idx="481">
                  <c:v>1.5</c:v>
                </c:pt>
                <c:pt idx="482">
                  <c:v>2</c:v>
                </c:pt>
                <c:pt idx="483">
                  <c:v>1.5</c:v>
                </c:pt>
                <c:pt idx="484">
                  <c:v>2</c:v>
                </c:pt>
                <c:pt idx="485">
                  <c:v>1.5</c:v>
                </c:pt>
                <c:pt idx="486">
                  <c:v>2.5</c:v>
                </c:pt>
                <c:pt idx="487">
                  <c:v>2</c:v>
                </c:pt>
                <c:pt idx="488">
                  <c:v>1.5</c:v>
                </c:pt>
                <c:pt idx="489">
                  <c:v>2</c:v>
                </c:pt>
                <c:pt idx="490">
                  <c:v>1.5</c:v>
                </c:pt>
                <c:pt idx="491">
                  <c:v>2</c:v>
                </c:pt>
                <c:pt idx="492">
                  <c:v>1.5</c:v>
                </c:pt>
                <c:pt idx="493">
                  <c:v>2</c:v>
                </c:pt>
                <c:pt idx="494">
                  <c:v>2.5</c:v>
                </c:pt>
                <c:pt idx="495">
                  <c:v>2</c:v>
                </c:pt>
                <c:pt idx="496">
                  <c:v>2.5</c:v>
                </c:pt>
                <c:pt idx="497">
                  <c:v>2</c:v>
                </c:pt>
                <c:pt idx="498">
                  <c:v>2</c:v>
                </c:pt>
                <c:pt idx="499">
                  <c:v>2.5</c:v>
                </c:pt>
                <c:pt idx="500">
                  <c:v>2</c:v>
                </c:pt>
                <c:pt idx="501">
                  <c:v>2</c:v>
                </c:pt>
                <c:pt idx="502">
                  <c:v>2</c:v>
                </c:pt>
                <c:pt idx="503">
                  <c:v>2</c:v>
                </c:pt>
                <c:pt idx="504">
                  <c:v>1.5</c:v>
                </c:pt>
                <c:pt idx="505">
                  <c:v>2</c:v>
                </c:pt>
                <c:pt idx="506">
                  <c:v>3</c:v>
                </c:pt>
                <c:pt idx="507">
                  <c:v>3</c:v>
                </c:pt>
                <c:pt idx="508">
                  <c:v>1.5</c:v>
                </c:pt>
                <c:pt idx="509">
                  <c:v>3</c:v>
                </c:pt>
                <c:pt idx="510">
                  <c:v>3</c:v>
                </c:pt>
                <c:pt idx="511">
                  <c:v>2</c:v>
                </c:pt>
                <c:pt idx="512">
                  <c:v>2.5</c:v>
                </c:pt>
                <c:pt idx="513">
                  <c:v>2</c:v>
                </c:pt>
                <c:pt idx="514">
                  <c:v>3</c:v>
                </c:pt>
                <c:pt idx="515">
                  <c:v>3</c:v>
                </c:pt>
                <c:pt idx="516">
                  <c:v>2</c:v>
                </c:pt>
                <c:pt idx="517">
                  <c:v>3</c:v>
                </c:pt>
                <c:pt idx="518">
                  <c:v>2</c:v>
                </c:pt>
                <c:pt idx="519">
                  <c:v>2</c:v>
                </c:pt>
                <c:pt idx="520">
                  <c:v>2</c:v>
                </c:pt>
                <c:pt idx="521">
                  <c:v>2</c:v>
                </c:pt>
                <c:pt idx="522">
                  <c:v>2.5</c:v>
                </c:pt>
                <c:pt idx="523">
                  <c:v>2</c:v>
                </c:pt>
                <c:pt idx="524">
                  <c:v>1.5</c:v>
                </c:pt>
                <c:pt idx="525">
                  <c:v>1.5</c:v>
                </c:pt>
                <c:pt idx="526">
                  <c:v>2</c:v>
                </c:pt>
                <c:pt idx="527">
                  <c:v>3</c:v>
                </c:pt>
                <c:pt idx="528">
                  <c:v>1.5</c:v>
                </c:pt>
                <c:pt idx="529">
                  <c:v>2.5</c:v>
                </c:pt>
                <c:pt idx="530">
                  <c:v>2</c:v>
                </c:pt>
                <c:pt idx="531">
                  <c:v>1.5</c:v>
                </c:pt>
                <c:pt idx="532">
                  <c:v>2.5</c:v>
                </c:pt>
                <c:pt idx="533">
                  <c:v>2</c:v>
                </c:pt>
                <c:pt idx="534">
                  <c:v>2.5</c:v>
                </c:pt>
                <c:pt idx="535">
                  <c:v>3</c:v>
                </c:pt>
                <c:pt idx="536">
                  <c:v>2.5</c:v>
                </c:pt>
                <c:pt idx="537">
                  <c:v>2</c:v>
                </c:pt>
                <c:pt idx="538">
                  <c:v>2.5</c:v>
                </c:pt>
                <c:pt idx="539">
                  <c:v>2.5</c:v>
                </c:pt>
                <c:pt idx="540">
                  <c:v>2.5</c:v>
                </c:pt>
                <c:pt idx="541">
                  <c:v>3.5</c:v>
                </c:pt>
                <c:pt idx="542">
                  <c:v>2.5</c:v>
                </c:pt>
                <c:pt idx="543">
                  <c:v>3</c:v>
                </c:pt>
                <c:pt idx="544">
                  <c:v>3</c:v>
                </c:pt>
                <c:pt idx="545">
                  <c:v>1.5</c:v>
                </c:pt>
                <c:pt idx="546">
                  <c:v>3.5</c:v>
                </c:pt>
                <c:pt idx="547">
                  <c:v>2</c:v>
                </c:pt>
                <c:pt idx="548">
                  <c:v>3</c:v>
                </c:pt>
                <c:pt idx="549">
                  <c:v>2.5</c:v>
                </c:pt>
                <c:pt idx="550">
                  <c:v>2</c:v>
                </c:pt>
                <c:pt idx="551">
                  <c:v>2.5</c:v>
                </c:pt>
                <c:pt idx="552">
                  <c:v>2</c:v>
                </c:pt>
                <c:pt idx="553">
                  <c:v>2</c:v>
                </c:pt>
                <c:pt idx="554">
                  <c:v>2.5</c:v>
                </c:pt>
                <c:pt idx="555">
                  <c:v>2.5</c:v>
                </c:pt>
                <c:pt idx="556">
                  <c:v>3</c:v>
                </c:pt>
                <c:pt idx="557">
                  <c:v>2.5</c:v>
                </c:pt>
                <c:pt idx="558">
                  <c:v>2.5</c:v>
                </c:pt>
                <c:pt idx="559">
                  <c:v>2.5</c:v>
                </c:pt>
                <c:pt idx="560">
                  <c:v>2.5</c:v>
                </c:pt>
                <c:pt idx="561">
                  <c:v>3</c:v>
                </c:pt>
                <c:pt idx="562">
                  <c:v>2.5</c:v>
                </c:pt>
                <c:pt idx="563">
                  <c:v>2.5</c:v>
                </c:pt>
                <c:pt idx="564">
                  <c:v>2</c:v>
                </c:pt>
                <c:pt idx="565">
                  <c:v>1.5</c:v>
                </c:pt>
                <c:pt idx="566">
                  <c:v>1.5</c:v>
                </c:pt>
                <c:pt idx="567">
                  <c:v>1.5</c:v>
                </c:pt>
                <c:pt idx="568">
                  <c:v>2.5</c:v>
                </c:pt>
                <c:pt idx="569">
                  <c:v>2.5</c:v>
                </c:pt>
                <c:pt idx="570">
                  <c:v>3</c:v>
                </c:pt>
                <c:pt idx="571">
                  <c:v>3</c:v>
                </c:pt>
                <c:pt idx="572">
                  <c:v>2.5</c:v>
                </c:pt>
                <c:pt idx="573">
                  <c:v>2</c:v>
                </c:pt>
                <c:pt idx="574">
                  <c:v>1.5</c:v>
                </c:pt>
                <c:pt idx="575">
                  <c:v>2.5</c:v>
                </c:pt>
                <c:pt idx="576">
                  <c:v>2.5</c:v>
                </c:pt>
                <c:pt idx="577">
                  <c:v>3</c:v>
                </c:pt>
                <c:pt idx="578">
                  <c:v>2</c:v>
                </c:pt>
                <c:pt idx="579">
                  <c:v>2.5</c:v>
                </c:pt>
                <c:pt idx="580">
                  <c:v>2</c:v>
                </c:pt>
                <c:pt idx="581">
                  <c:v>3</c:v>
                </c:pt>
                <c:pt idx="582">
                  <c:v>2.5</c:v>
                </c:pt>
                <c:pt idx="583">
                  <c:v>2.5</c:v>
                </c:pt>
                <c:pt idx="584">
                  <c:v>3.5</c:v>
                </c:pt>
                <c:pt idx="585">
                  <c:v>2.5</c:v>
                </c:pt>
                <c:pt idx="586">
                  <c:v>2</c:v>
                </c:pt>
                <c:pt idx="587">
                  <c:v>2</c:v>
                </c:pt>
                <c:pt idx="588">
                  <c:v>2</c:v>
                </c:pt>
                <c:pt idx="589">
                  <c:v>2.5</c:v>
                </c:pt>
                <c:pt idx="590">
                  <c:v>2.5</c:v>
                </c:pt>
                <c:pt idx="591">
                  <c:v>1.5</c:v>
                </c:pt>
                <c:pt idx="592">
                  <c:v>2.5</c:v>
                </c:pt>
                <c:pt idx="593">
                  <c:v>2.5</c:v>
                </c:pt>
                <c:pt idx="594">
                  <c:v>2</c:v>
                </c:pt>
                <c:pt idx="595">
                  <c:v>1.5</c:v>
                </c:pt>
                <c:pt idx="596">
                  <c:v>2.5</c:v>
                </c:pt>
                <c:pt idx="597">
                  <c:v>2.5</c:v>
                </c:pt>
                <c:pt idx="598">
                  <c:v>3</c:v>
                </c:pt>
                <c:pt idx="599">
                  <c:v>2.5</c:v>
                </c:pt>
                <c:pt idx="600">
                  <c:v>2</c:v>
                </c:pt>
                <c:pt idx="601">
                  <c:v>2.5</c:v>
                </c:pt>
                <c:pt idx="602">
                  <c:v>3</c:v>
                </c:pt>
                <c:pt idx="603">
                  <c:v>2</c:v>
                </c:pt>
                <c:pt idx="604">
                  <c:v>2.5</c:v>
                </c:pt>
                <c:pt idx="605">
                  <c:v>2.5</c:v>
                </c:pt>
                <c:pt idx="606">
                  <c:v>2.5</c:v>
                </c:pt>
                <c:pt idx="607">
                  <c:v>2.5</c:v>
                </c:pt>
                <c:pt idx="608">
                  <c:v>1.5</c:v>
                </c:pt>
                <c:pt idx="609">
                  <c:v>2</c:v>
                </c:pt>
                <c:pt idx="610">
                  <c:v>2.5</c:v>
                </c:pt>
                <c:pt idx="611">
                  <c:v>3</c:v>
                </c:pt>
                <c:pt idx="612">
                  <c:v>3</c:v>
                </c:pt>
                <c:pt idx="613">
                  <c:v>2.5</c:v>
                </c:pt>
                <c:pt idx="614">
                  <c:v>2.5</c:v>
                </c:pt>
                <c:pt idx="615">
                  <c:v>1.5</c:v>
                </c:pt>
                <c:pt idx="616">
                  <c:v>3</c:v>
                </c:pt>
                <c:pt idx="617">
                  <c:v>1.5</c:v>
                </c:pt>
                <c:pt idx="618">
                  <c:v>2</c:v>
                </c:pt>
                <c:pt idx="619">
                  <c:v>2.5</c:v>
                </c:pt>
                <c:pt idx="620">
                  <c:v>2.5</c:v>
                </c:pt>
                <c:pt idx="621">
                  <c:v>2.5</c:v>
                </c:pt>
                <c:pt idx="622">
                  <c:v>1.5</c:v>
                </c:pt>
                <c:pt idx="623">
                  <c:v>1.5</c:v>
                </c:pt>
                <c:pt idx="624">
                  <c:v>1.5</c:v>
                </c:pt>
                <c:pt idx="625">
                  <c:v>1.5</c:v>
                </c:pt>
                <c:pt idx="626">
                  <c:v>3</c:v>
                </c:pt>
                <c:pt idx="627">
                  <c:v>2.5</c:v>
                </c:pt>
                <c:pt idx="628">
                  <c:v>2.5</c:v>
                </c:pt>
                <c:pt idx="629">
                  <c:v>2.5</c:v>
                </c:pt>
                <c:pt idx="630">
                  <c:v>2</c:v>
                </c:pt>
                <c:pt idx="631">
                  <c:v>1.5</c:v>
                </c:pt>
                <c:pt idx="632">
                  <c:v>2.5</c:v>
                </c:pt>
                <c:pt idx="633">
                  <c:v>3</c:v>
                </c:pt>
                <c:pt idx="634">
                  <c:v>1.5</c:v>
                </c:pt>
                <c:pt idx="635">
                  <c:v>2</c:v>
                </c:pt>
                <c:pt idx="636">
                  <c:v>2</c:v>
                </c:pt>
                <c:pt idx="637">
                  <c:v>2.5</c:v>
                </c:pt>
                <c:pt idx="638">
                  <c:v>1.5</c:v>
                </c:pt>
                <c:pt idx="639">
                  <c:v>2</c:v>
                </c:pt>
                <c:pt idx="640">
                  <c:v>2</c:v>
                </c:pt>
                <c:pt idx="641">
                  <c:v>2.5</c:v>
                </c:pt>
                <c:pt idx="642">
                  <c:v>1.5</c:v>
                </c:pt>
                <c:pt idx="643">
                  <c:v>2</c:v>
                </c:pt>
                <c:pt idx="644">
                  <c:v>1.5</c:v>
                </c:pt>
                <c:pt idx="645">
                  <c:v>2.5</c:v>
                </c:pt>
                <c:pt idx="646">
                  <c:v>2</c:v>
                </c:pt>
                <c:pt idx="647">
                  <c:v>1.5</c:v>
                </c:pt>
                <c:pt idx="648">
                  <c:v>1.5</c:v>
                </c:pt>
                <c:pt idx="649">
                  <c:v>1.5</c:v>
                </c:pt>
                <c:pt idx="650">
                  <c:v>2.5</c:v>
                </c:pt>
                <c:pt idx="651">
                  <c:v>1.5</c:v>
                </c:pt>
                <c:pt idx="652">
                  <c:v>2.5</c:v>
                </c:pt>
                <c:pt idx="653">
                  <c:v>2.5</c:v>
                </c:pt>
                <c:pt idx="654">
                  <c:v>2.5</c:v>
                </c:pt>
                <c:pt idx="655">
                  <c:v>2</c:v>
                </c:pt>
                <c:pt idx="656">
                  <c:v>1</c:v>
                </c:pt>
                <c:pt idx="657">
                  <c:v>2</c:v>
                </c:pt>
                <c:pt idx="658">
                  <c:v>2.5</c:v>
                </c:pt>
                <c:pt idx="659">
                  <c:v>1.5</c:v>
                </c:pt>
                <c:pt idx="660">
                  <c:v>2.5</c:v>
                </c:pt>
                <c:pt idx="661">
                  <c:v>3</c:v>
                </c:pt>
                <c:pt idx="662">
                  <c:v>1.5</c:v>
                </c:pt>
                <c:pt idx="663">
                  <c:v>2.5</c:v>
                </c:pt>
                <c:pt idx="664">
                  <c:v>2.5</c:v>
                </c:pt>
                <c:pt idx="665">
                  <c:v>2.5</c:v>
                </c:pt>
                <c:pt idx="666">
                  <c:v>2.5</c:v>
                </c:pt>
                <c:pt idx="667">
                  <c:v>3</c:v>
                </c:pt>
                <c:pt idx="668">
                  <c:v>2.5</c:v>
                </c:pt>
                <c:pt idx="669">
                  <c:v>2</c:v>
                </c:pt>
                <c:pt idx="670">
                  <c:v>2</c:v>
                </c:pt>
                <c:pt idx="671">
                  <c:v>2</c:v>
                </c:pt>
                <c:pt idx="672">
                  <c:v>1.5</c:v>
                </c:pt>
                <c:pt idx="673">
                  <c:v>2</c:v>
                </c:pt>
                <c:pt idx="674">
                  <c:v>2.5</c:v>
                </c:pt>
                <c:pt idx="675">
                  <c:v>1.5</c:v>
                </c:pt>
                <c:pt idx="676">
                  <c:v>3</c:v>
                </c:pt>
                <c:pt idx="677">
                  <c:v>2.5</c:v>
                </c:pt>
                <c:pt idx="678">
                  <c:v>2</c:v>
                </c:pt>
                <c:pt idx="679">
                  <c:v>2.5</c:v>
                </c:pt>
                <c:pt idx="680">
                  <c:v>2.5</c:v>
                </c:pt>
                <c:pt idx="681">
                  <c:v>3</c:v>
                </c:pt>
                <c:pt idx="682">
                  <c:v>2.5</c:v>
                </c:pt>
                <c:pt idx="683">
                  <c:v>2.5</c:v>
                </c:pt>
                <c:pt idx="684">
                  <c:v>2</c:v>
                </c:pt>
                <c:pt idx="685">
                  <c:v>2</c:v>
                </c:pt>
                <c:pt idx="686">
                  <c:v>2.5</c:v>
                </c:pt>
                <c:pt idx="687">
                  <c:v>2.5</c:v>
                </c:pt>
                <c:pt idx="688">
                  <c:v>2</c:v>
                </c:pt>
                <c:pt idx="689">
                  <c:v>2.5</c:v>
                </c:pt>
                <c:pt idx="690">
                  <c:v>2.5</c:v>
                </c:pt>
                <c:pt idx="691">
                  <c:v>2.5</c:v>
                </c:pt>
                <c:pt idx="692">
                  <c:v>2</c:v>
                </c:pt>
                <c:pt idx="693">
                  <c:v>2.5</c:v>
                </c:pt>
                <c:pt idx="694">
                  <c:v>2.5</c:v>
                </c:pt>
                <c:pt idx="695">
                  <c:v>2.5</c:v>
                </c:pt>
                <c:pt idx="696">
                  <c:v>2</c:v>
                </c:pt>
                <c:pt idx="697">
                  <c:v>2.5</c:v>
                </c:pt>
                <c:pt idx="698">
                  <c:v>1.5</c:v>
                </c:pt>
                <c:pt idx="699">
                  <c:v>2.5</c:v>
                </c:pt>
                <c:pt idx="700">
                  <c:v>1.5</c:v>
                </c:pt>
                <c:pt idx="701">
                  <c:v>2</c:v>
                </c:pt>
                <c:pt idx="702">
                  <c:v>2.5</c:v>
                </c:pt>
                <c:pt idx="703">
                  <c:v>2.5</c:v>
                </c:pt>
                <c:pt idx="704">
                  <c:v>2.5</c:v>
                </c:pt>
                <c:pt idx="705">
                  <c:v>2.5</c:v>
                </c:pt>
                <c:pt idx="706">
                  <c:v>2</c:v>
                </c:pt>
                <c:pt idx="707">
                  <c:v>2.5</c:v>
                </c:pt>
                <c:pt idx="708">
                  <c:v>1.5</c:v>
                </c:pt>
                <c:pt idx="709">
                  <c:v>2.5</c:v>
                </c:pt>
                <c:pt idx="710">
                  <c:v>3</c:v>
                </c:pt>
                <c:pt idx="711">
                  <c:v>1.5</c:v>
                </c:pt>
                <c:pt idx="712">
                  <c:v>2.5</c:v>
                </c:pt>
                <c:pt idx="713">
                  <c:v>2.5</c:v>
                </c:pt>
                <c:pt idx="714">
                  <c:v>2.5</c:v>
                </c:pt>
                <c:pt idx="715">
                  <c:v>2.5</c:v>
                </c:pt>
                <c:pt idx="716">
                  <c:v>3</c:v>
                </c:pt>
                <c:pt idx="717">
                  <c:v>3</c:v>
                </c:pt>
                <c:pt idx="718">
                  <c:v>2</c:v>
                </c:pt>
                <c:pt idx="719">
                  <c:v>3</c:v>
                </c:pt>
                <c:pt idx="720">
                  <c:v>2.5</c:v>
                </c:pt>
                <c:pt idx="721">
                  <c:v>2.5</c:v>
                </c:pt>
                <c:pt idx="722">
                  <c:v>2.5</c:v>
                </c:pt>
                <c:pt idx="723">
                  <c:v>2.5</c:v>
                </c:pt>
                <c:pt idx="724">
                  <c:v>3</c:v>
                </c:pt>
                <c:pt idx="725">
                  <c:v>3</c:v>
                </c:pt>
                <c:pt idx="726">
                  <c:v>2.5</c:v>
                </c:pt>
                <c:pt idx="727">
                  <c:v>2.5</c:v>
                </c:pt>
                <c:pt idx="728">
                  <c:v>2.5</c:v>
                </c:pt>
                <c:pt idx="729">
                  <c:v>2.5</c:v>
                </c:pt>
                <c:pt idx="730">
                  <c:v>4.5</c:v>
                </c:pt>
                <c:pt idx="731">
                  <c:v>3</c:v>
                </c:pt>
                <c:pt idx="732">
                  <c:v>2</c:v>
                </c:pt>
                <c:pt idx="733">
                  <c:v>2</c:v>
                </c:pt>
                <c:pt idx="734">
                  <c:v>2.5</c:v>
                </c:pt>
                <c:pt idx="735">
                  <c:v>2.5</c:v>
                </c:pt>
                <c:pt idx="736">
                  <c:v>2.5</c:v>
                </c:pt>
                <c:pt idx="737">
                  <c:v>2.5</c:v>
                </c:pt>
                <c:pt idx="738">
                  <c:v>2.5</c:v>
                </c:pt>
                <c:pt idx="739">
                  <c:v>1.5</c:v>
                </c:pt>
                <c:pt idx="740">
                  <c:v>2.5</c:v>
                </c:pt>
                <c:pt idx="741">
                  <c:v>2.5</c:v>
                </c:pt>
                <c:pt idx="742">
                  <c:v>2</c:v>
                </c:pt>
                <c:pt idx="743">
                  <c:v>2.5</c:v>
                </c:pt>
                <c:pt idx="744">
                  <c:v>2</c:v>
                </c:pt>
                <c:pt idx="745">
                  <c:v>1.5</c:v>
                </c:pt>
                <c:pt idx="746">
                  <c:v>2.5</c:v>
                </c:pt>
                <c:pt idx="747">
                  <c:v>2.5</c:v>
                </c:pt>
                <c:pt idx="748">
                  <c:v>2.5</c:v>
                </c:pt>
                <c:pt idx="749">
                  <c:v>2.5</c:v>
                </c:pt>
                <c:pt idx="750">
                  <c:v>2.5</c:v>
                </c:pt>
                <c:pt idx="751">
                  <c:v>2.5</c:v>
                </c:pt>
                <c:pt idx="752">
                  <c:v>2</c:v>
                </c:pt>
                <c:pt idx="753">
                  <c:v>2.5</c:v>
                </c:pt>
                <c:pt idx="754">
                  <c:v>2.5</c:v>
                </c:pt>
                <c:pt idx="755">
                  <c:v>1.5</c:v>
                </c:pt>
                <c:pt idx="756">
                  <c:v>2.5</c:v>
                </c:pt>
                <c:pt idx="757">
                  <c:v>2.5</c:v>
                </c:pt>
                <c:pt idx="758">
                  <c:v>2.5</c:v>
                </c:pt>
                <c:pt idx="759">
                  <c:v>3</c:v>
                </c:pt>
                <c:pt idx="760">
                  <c:v>2.5</c:v>
                </c:pt>
                <c:pt idx="761">
                  <c:v>1.5</c:v>
                </c:pt>
                <c:pt idx="762">
                  <c:v>1.5</c:v>
                </c:pt>
                <c:pt idx="763">
                  <c:v>3</c:v>
                </c:pt>
                <c:pt idx="764">
                  <c:v>2.5</c:v>
                </c:pt>
                <c:pt idx="765">
                  <c:v>3</c:v>
                </c:pt>
                <c:pt idx="766">
                  <c:v>2</c:v>
                </c:pt>
                <c:pt idx="767">
                  <c:v>2.5</c:v>
                </c:pt>
                <c:pt idx="768">
                  <c:v>1.5</c:v>
                </c:pt>
                <c:pt idx="769">
                  <c:v>2</c:v>
                </c:pt>
                <c:pt idx="770">
                  <c:v>2.5</c:v>
                </c:pt>
                <c:pt idx="771">
                  <c:v>2.5</c:v>
                </c:pt>
                <c:pt idx="772">
                  <c:v>3</c:v>
                </c:pt>
                <c:pt idx="773">
                  <c:v>3</c:v>
                </c:pt>
                <c:pt idx="774">
                  <c:v>2</c:v>
                </c:pt>
                <c:pt idx="775">
                  <c:v>2.5</c:v>
                </c:pt>
                <c:pt idx="776">
                  <c:v>3</c:v>
                </c:pt>
                <c:pt idx="777">
                  <c:v>3</c:v>
                </c:pt>
                <c:pt idx="778">
                  <c:v>2.5</c:v>
                </c:pt>
                <c:pt idx="779">
                  <c:v>2</c:v>
                </c:pt>
                <c:pt idx="780">
                  <c:v>2.5</c:v>
                </c:pt>
                <c:pt idx="781">
                  <c:v>2</c:v>
                </c:pt>
                <c:pt idx="782">
                  <c:v>1.5</c:v>
                </c:pt>
                <c:pt idx="783">
                  <c:v>2.5</c:v>
                </c:pt>
                <c:pt idx="784">
                  <c:v>3</c:v>
                </c:pt>
                <c:pt idx="785">
                  <c:v>1.5</c:v>
                </c:pt>
                <c:pt idx="786">
                  <c:v>2.5</c:v>
                </c:pt>
                <c:pt idx="787">
                  <c:v>1.5</c:v>
                </c:pt>
                <c:pt idx="788">
                  <c:v>2.5</c:v>
                </c:pt>
                <c:pt idx="789">
                  <c:v>1.5</c:v>
                </c:pt>
                <c:pt idx="790">
                  <c:v>1.5</c:v>
                </c:pt>
                <c:pt idx="791">
                  <c:v>3</c:v>
                </c:pt>
                <c:pt idx="792">
                  <c:v>2.5</c:v>
                </c:pt>
                <c:pt idx="793">
                  <c:v>3</c:v>
                </c:pt>
                <c:pt idx="794">
                  <c:v>2.5</c:v>
                </c:pt>
                <c:pt idx="795">
                  <c:v>3</c:v>
                </c:pt>
                <c:pt idx="796">
                  <c:v>1.5</c:v>
                </c:pt>
                <c:pt idx="797">
                  <c:v>1.5</c:v>
                </c:pt>
                <c:pt idx="798">
                  <c:v>2</c:v>
                </c:pt>
                <c:pt idx="799">
                  <c:v>2.5</c:v>
                </c:pt>
                <c:pt idx="800">
                  <c:v>2.5</c:v>
                </c:pt>
                <c:pt idx="801">
                  <c:v>2.5</c:v>
                </c:pt>
                <c:pt idx="802">
                  <c:v>2</c:v>
                </c:pt>
                <c:pt idx="803">
                  <c:v>2.5</c:v>
                </c:pt>
                <c:pt idx="804">
                  <c:v>2.5</c:v>
                </c:pt>
                <c:pt idx="805">
                  <c:v>1.5</c:v>
                </c:pt>
                <c:pt idx="806">
                  <c:v>2</c:v>
                </c:pt>
                <c:pt idx="807">
                  <c:v>2.5</c:v>
                </c:pt>
                <c:pt idx="808">
                  <c:v>2.5</c:v>
                </c:pt>
                <c:pt idx="809">
                  <c:v>2.5</c:v>
                </c:pt>
                <c:pt idx="810">
                  <c:v>2.5</c:v>
                </c:pt>
                <c:pt idx="811">
                  <c:v>1.5</c:v>
                </c:pt>
                <c:pt idx="812">
                  <c:v>1.5</c:v>
                </c:pt>
                <c:pt idx="813">
                  <c:v>2.5</c:v>
                </c:pt>
                <c:pt idx="814">
                  <c:v>3</c:v>
                </c:pt>
                <c:pt idx="815">
                  <c:v>3</c:v>
                </c:pt>
                <c:pt idx="816">
                  <c:v>2.5</c:v>
                </c:pt>
                <c:pt idx="817">
                  <c:v>1.5</c:v>
                </c:pt>
                <c:pt idx="818">
                  <c:v>2</c:v>
                </c:pt>
                <c:pt idx="819">
                  <c:v>2</c:v>
                </c:pt>
                <c:pt idx="820">
                  <c:v>2</c:v>
                </c:pt>
                <c:pt idx="821">
                  <c:v>2.5</c:v>
                </c:pt>
                <c:pt idx="822">
                  <c:v>2.5</c:v>
                </c:pt>
                <c:pt idx="823">
                  <c:v>1</c:v>
                </c:pt>
                <c:pt idx="824">
                  <c:v>1.5</c:v>
                </c:pt>
                <c:pt idx="825">
                  <c:v>3</c:v>
                </c:pt>
                <c:pt idx="826">
                  <c:v>1.5</c:v>
                </c:pt>
                <c:pt idx="827">
                  <c:v>2</c:v>
                </c:pt>
                <c:pt idx="828">
                  <c:v>2</c:v>
                </c:pt>
                <c:pt idx="829">
                  <c:v>3</c:v>
                </c:pt>
                <c:pt idx="830">
                  <c:v>1.5</c:v>
                </c:pt>
                <c:pt idx="831">
                  <c:v>1.5</c:v>
                </c:pt>
                <c:pt idx="832">
                  <c:v>2.5</c:v>
                </c:pt>
                <c:pt idx="833">
                  <c:v>1.5</c:v>
                </c:pt>
                <c:pt idx="834">
                  <c:v>2</c:v>
                </c:pt>
                <c:pt idx="835">
                  <c:v>2.5</c:v>
                </c:pt>
                <c:pt idx="836">
                  <c:v>3</c:v>
                </c:pt>
                <c:pt idx="837">
                  <c:v>3</c:v>
                </c:pt>
                <c:pt idx="838">
                  <c:v>2</c:v>
                </c:pt>
                <c:pt idx="839">
                  <c:v>1.5</c:v>
                </c:pt>
                <c:pt idx="840">
                  <c:v>2.5</c:v>
                </c:pt>
                <c:pt idx="841">
                  <c:v>1.5</c:v>
                </c:pt>
                <c:pt idx="842">
                  <c:v>2.5</c:v>
                </c:pt>
                <c:pt idx="843">
                  <c:v>2.5</c:v>
                </c:pt>
                <c:pt idx="844">
                  <c:v>1</c:v>
                </c:pt>
                <c:pt idx="845">
                  <c:v>2.5</c:v>
                </c:pt>
                <c:pt idx="846">
                  <c:v>3</c:v>
                </c:pt>
                <c:pt idx="847">
                  <c:v>1.5</c:v>
                </c:pt>
                <c:pt idx="848">
                  <c:v>2</c:v>
                </c:pt>
                <c:pt idx="849">
                  <c:v>2.5</c:v>
                </c:pt>
                <c:pt idx="850">
                  <c:v>1</c:v>
                </c:pt>
                <c:pt idx="851">
                  <c:v>1.5</c:v>
                </c:pt>
                <c:pt idx="852">
                  <c:v>2.5</c:v>
                </c:pt>
                <c:pt idx="853">
                  <c:v>2.5</c:v>
                </c:pt>
                <c:pt idx="854">
                  <c:v>1.5</c:v>
                </c:pt>
                <c:pt idx="855">
                  <c:v>1.5</c:v>
                </c:pt>
                <c:pt idx="856">
                  <c:v>2.5</c:v>
                </c:pt>
                <c:pt idx="857">
                  <c:v>1.5</c:v>
                </c:pt>
                <c:pt idx="858">
                  <c:v>1.5</c:v>
                </c:pt>
                <c:pt idx="859">
                  <c:v>2</c:v>
                </c:pt>
                <c:pt idx="860">
                  <c:v>1.5</c:v>
                </c:pt>
                <c:pt idx="861">
                  <c:v>1</c:v>
                </c:pt>
                <c:pt idx="862">
                  <c:v>2.5</c:v>
                </c:pt>
                <c:pt idx="863">
                  <c:v>2.5</c:v>
                </c:pt>
                <c:pt idx="864">
                  <c:v>1</c:v>
                </c:pt>
                <c:pt idx="865">
                  <c:v>2</c:v>
                </c:pt>
                <c:pt idx="867">
                  <c:v>1.5</c:v>
                </c:pt>
                <c:pt idx="868">
                  <c:v>1</c:v>
                </c:pt>
                <c:pt idx="869">
                  <c:v>1.5</c:v>
                </c:pt>
                <c:pt idx="870">
                  <c:v>2</c:v>
                </c:pt>
                <c:pt idx="871">
                  <c:v>3.5</c:v>
                </c:pt>
                <c:pt idx="872">
                  <c:v>1.5</c:v>
                </c:pt>
                <c:pt idx="873">
                  <c:v>2.5</c:v>
                </c:pt>
                <c:pt idx="874">
                  <c:v>1.5</c:v>
                </c:pt>
                <c:pt idx="875">
                  <c:v>2</c:v>
                </c:pt>
                <c:pt idx="876">
                  <c:v>3</c:v>
                </c:pt>
                <c:pt idx="877">
                  <c:v>3.5</c:v>
                </c:pt>
                <c:pt idx="878">
                  <c:v>2.5</c:v>
                </c:pt>
                <c:pt idx="879">
                  <c:v>2.5</c:v>
                </c:pt>
                <c:pt idx="880">
                  <c:v>2.5</c:v>
                </c:pt>
                <c:pt idx="881">
                  <c:v>2</c:v>
                </c:pt>
                <c:pt idx="882">
                  <c:v>2.5</c:v>
                </c:pt>
                <c:pt idx="883">
                  <c:v>2</c:v>
                </c:pt>
                <c:pt idx="884">
                  <c:v>2</c:v>
                </c:pt>
                <c:pt idx="885">
                  <c:v>2</c:v>
                </c:pt>
                <c:pt idx="886">
                  <c:v>3</c:v>
                </c:pt>
                <c:pt idx="888">
                  <c:v>3</c:v>
                </c:pt>
                <c:pt idx="889">
                  <c:v>2.5</c:v>
                </c:pt>
                <c:pt idx="890">
                  <c:v>1.5</c:v>
                </c:pt>
                <c:pt idx="891">
                  <c:v>1.5</c:v>
                </c:pt>
                <c:pt idx="892">
                  <c:v>2</c:v>
                </c:pt>
                <c:pt idx="893">
                  <c:v>2</c:v>
                </c:pt>
                <c:pt idx="894">
                  <c:v>2</c:v>
                </c:pt>
                <c:pt idx="895">
                  <c:v>3</c:v>
                </c:pt>
                <c:pt idx="896">
                  <c:v>2.5</c:v>
                </c:pt>
                <c:pt idx="897">
                  <c:v>1.5</c:v>
                </c:pt>
                <c:pt idx="898">
                  <c:v>3.5</c:v>
                </c:pt>
                <c:pt idx="899">
                  <c:v>2.5</c:v>
                </c:pt>
                <c:pt idx="900">
                  <c:v>2.5</c:v>
                </c:pt>
                <c:pt idx="901">
                  <c:v>3</c:v>
                </c:pt>
                <c:pt idx="902">
                  <c:v>3</c:v>
                </c:pt>
                <c:pt idx="903">
                  <c:v>2.5</c:v>
                </c:pt>
                <c:pt idx="904">
                  <c:v>1.5</c:v>
                </c:pt>
                <c:pt idx="905">
                  <c:v>3</c:v>
                </c:pt>
                <c:pt idx="906">
                  <c:v>3</c:v>
                </c:pt>
                <c:pt idx="907">
                  <c:v>1.5</c:v>
                </c:pt>
                <c:pt idx="908">
                  <c:v>2.5</c:v>
                </c:pt>
                <c:pt idx="909">
                  <c:v>2</c:v>
                </c:pt>
                <c:pt idx="910">
                  <c:v>1.5</c:v>
                </c:pt>
                <c:pt idx="911">
                  <c:v>2</c:v>
                </c:pt>
                <c:pt idx="912">
                  <c:v>1.5</c:v>
                </c:pt>
                <c:pt idx="913">
                  <c:v>3</c:v>
                </c:pt>
                <c:pt idx="914">
                  <c:v>1</c:v>
                </c:pt>
                <c:pt idx="915">
                  <c:v>2.5</c:v>
                </c:pt>
                <c:pt idx="916">
                  <c:v>2.5</c:v>
                </c:pt>
                <c:pt idx="917">
                  <c:v>2.5</c:v>
                </c:pt>
                <c:pt idx="918">
                  <c:v>3</c:v>
                </c:pt>
                <c:pt idx="919">
                  <c:v>2.5</c:v>
                </c:pt>
                <c:pt idx="920">
                  <c:v>2.5</c:v>
                </c:pt>
                <c:pt idx="921">
                  <c:v>2.5</c:v>
                </c:pt>
                <c:pt idx="922">
                  <c:v>1.5</c:v>
                </c:pt>
                <c:pt idx="923">
                  <c:v>3.5</c:v>
                </c:pt>
                <c:pt idx="924">
                  <c:v>2</c:v>
                </c:pt>
                <c:pt idx="925">
                  <c:v>1.5</c:v>
                </c:pt>
                <c:pt idx="926">
                  <c:v>2.25</c:v>
                </c:pt>
                <c:pt idx="927">
                  <c:v>2</c:v>
                </c:pt>
                <c:pt idx="928">
                  <c:v>3</c:v>
                </c:pt>
                <c:pt idx="929">
                  <c:v>2.5</c:v>
                </c:pt>
                <c:pt idx="930">
                  <c:v>2.5</c:v>
                </c:pt>
                <c:pt idx="931">
                  <c:v>2</c:v>
                </c:pt>
                <c:pt idx="932">
                  <c:v>2.5</c:v>
                </c:pt>
                <c:pt idx="933">
                  <c:v>2</c:v>
                </c:pt>
                <c:pt idx="934">
                  <c:v>1.5</c:v>
                </c:pt>
                <c:pt idx="935">
                  <c:v>1.5</c:v>
                </c:pt>
                <c:pt idx="936">
                  <c:v>2.5</c:v>
                </c:pt>
                <c:pt idx="937">
                  <c:v>3</c:v>
                </c:pt>
                <c:pt idx="938">
                  <c:v>1.5</c:v>
                </c:pt>
                <c:pt idx="939">
                  <c:v>1.5</c:v>
                </c:pt>
                <c:pt idx="940">
                  <c:v>3</c:v>
                </c:pt>
                <c:pt idx="941">
                  <c:v>1.5</c:v>
                </c:pt>
                <c:pt idx="942">
                  <c:v>3</c:v>
                </c:pt>
                <c:pt idx="943">
                  <c:v>3</c:v>
                </c:pt>
                <c:pt idx="944">
                  <c:v>2.5</c:v>
                </c:pt>
                <c:pt idx="945">
                  <c:v>1.5</c:v>
                </c:pt>
                <c:pt idx="946">
                  <c:v>2.5</c:v>
                </c:pt>
                <c:pt idx="947">
                  <c:v>2.5</c:v>
                </c:pt>
                <c:pt idx="948">
                  <c:v>1.5</c:v>
                </c:pt>
                <c:pt idx="949">
                  <c:v>1.5</c:v>
                </c:pt>
                <c:pt idx="950">
                  <c:v>2</c:v>
                </c:pt>
                <c:pt idx="951">
                  <c:v>2.5</c:v>
                </c:pt>
                <c:pt idx="952">
                  <c:v>2</c:v>
                </c:pt>
                <c:pt idx="953">
                  <c:v>2</c:v>
                </c:pt>
                <c:pt idx="954">
                  <c:v>2.5</c:v>
                </c:pt>
                <c:pt idx="955">
                  <c:v>3</c:v>
                </c:pt>
                <c:pt idx="956">
                  <c:v>2</c:v>
                </c:pt>
                <c:pt idx="957">
                  <c:v>1.5</c:v>
                </c:pt>
                <c:pt idx="958">
                  <c:v>2.5</c:v>
                </c:pt>
                <c:pt idx="959">
                  <c:v>1.5</c:v>
                </c:pt>
                <c:pt idx="960">
                  <c:v>2.5</c:v>
                </c:pt>
                <c:pt idx="961">
                  <c:v>2</c:v>
                </c:pt>
                <c:pt idx="962">
                  <c:v>1.5</c:v>
                </c:pt>
                <c:pt idx="963">
                  <c:v>2</c:v>
                </c:pt>
                <c:pt idx="964">
                  <c:v>1.5</c:v>
                </c:pt>
                <c:pt idx="965">
                  <c:v>2</c:v>
                </c:pt>
                <c:pt idx="966">
                  <c:v>2.5</c:v>
                </c:pt>
                <c:pt idx="967">
                  <c:v>2</c:v>
                </c:pt>
                <c:pt idx="968">
                  <c:v>2</c:v>
                </c:pt>
                <c:pt idx="969">
                  <c:v>2</c:v>
                </c:pt>
                <c:pt idx="970">
                  <c:v>1.5</c:v>
                </c:pt>
                <c:pt idx="971">
                  <c:v>1.5</c:v>
                </c:pt>
                <c:pt idx="972">
                  <c:v>1.5</c:v>
                </c:pt>
                <c:pt idx="973">
                  <c:v>1.5</c:v>
                </c:pt>
                <c:pt idx="974">
                  <c:v>2.5</c:v>
                </c:pt>
                <c:pt idx="975">
                  <c:v>1</c:v>
                </c:pt>
                <c:pt idx="976">
                  <c:v>2.5</c:v>
                </c:pt>
                <c:pt idx="977">
                  <c:v>1.5</c:v>
                </c:pt>
                <c:pt idx="978">
                  <c:v>2</c:v>
                </c:pt>
                <c:pt idx="979">
                  <c:v>1.5</c:v>
                </c:pt>
                <c:pt idx="980">
                  <c:v>2.5</c:v>
                </c:pt>
                <c:pt idx="981">
                  <c:v>2.5</c:v>
                </c:pt>
                <c:pt idx="982">
                  <c:v>2</c:v>
                </c:pt>
                <c:pt idx="983">
                  <c:v>2.5</c:v>
                </c:pt>
                <c:pt idx="984">
                  <c:v>2</c:v>
                </c:pt>
                <c:pt idx="985">
                  <c:v>1.5</c:v>
                </c:pt>
                <c:pt idx="986">
                  <c:v>2.5</c:v>
                </c:pt>
                <c:pt idx="987">
                  <c:v>2</c:v>
                </c:pt>
                <c:pt idx="988">
                  <c:v>2</c:v>
                </c:pt>
                <c:pt idx="989">
                  <c:v>2.5</c:v>
                </c:pt>
                <c:pt idx="990">
                  <c:v>3</c:v>
                </c:pt>
                <c:pt idx="991">
                  <c:v>1.5</c:v>
                </c:pt>
                <c:pt idx="992">
                  <c:v>1.5</c:v>
                </c:pt>
                <c:pt idx="993">
                  <c:v>2.5</c:v>
                </c:pt>
                <c:pt idx="994">
                  <c:v>2</c:v>
                </c:pt>
                <c:pt idx="995">
                  <c:v>1.5</c:v>
                </c:pt>
                <c:pt idx="996">
                  <c:v>3</c:v>
                </c:pt>
                <c:pt idx="997">
                  <c:v>1.5</c:v>
                </c:pt>
                <c:pt idx="998">
                  <c:v>1</c:v>
                </c:pt>
                <c:pt idx="999">
                  <c:v>1</c:v>
                </c:pt>
                <c:pt idx="1000">
                  <c:v>1</c:v>
                </c:pt>
                <c:pt idx="1001">
                  <c:v>1</c:v>
                </c:pt>
                <c:pt idx="1002">
                  <c:v>1</c:v>
                </c:pt>
                <c:pt idx="1003">
                  <c:v>2</c:v>
                </c:pt>
                <c:pt idx="1004">
                  <c:v>2.5</c:v>
                </c:pt>
                <c:pt idx="1005">
                  <c:v>1.5</c:v>
                </c:pt>
                <c:pt idx="1006">
                  <c:v>2.5</c:v>
                </c:pt>
                <c:pt idx="1007">
                  <c:v>1.5</c:v>
                </c:pt>
                <c:pt idx="1008">
                  <c:v>2.5</c:v>
                </c:pt>
                <c:pt idx="1009">
                  <c:v>1</c:v>
                </c:pt>
                <c:pt idx="1016">
                  <c:v>2.5</c:v>
                </c:pt>
                <c:pt idx="1036">
                  <c:v>1</c:v>
                </c:pt>
                <c:pt idx="1046">
                  <c:v>2.5</c:v>
                </c:pt>
                <c:pt idx="1047">
                  <c:v>2.5</c:v>
                </c:pt>
                <c:pt idx="1048">
                  <c:v>2</c:v>
                </c:pt>
                <c:pt idx="1049">
                  <c:v>1.5</c:v>
                </c:pt>
                <c:pt idx="1050">
                  <c:v>2.5</c:v>
                </c:pt>
                <c:pt idx="1051">
                  <c:v>2.5</c:v>
                </c:pt>
                <c:pt idx="1052">
                  <c:v>2.5</c:v>
                </c:pt>
                <c:pt idx="1053">
                  <c:v>2.5</c:v>
                </c:pt>
                <c:pt idx="1054">
                  <c:v>1.5</c:v>
                </c:pt>
                <c:pt idx="1055">
                  <c:v>2.5</c:v>
                </c:pt>
                <c:pt idx="1056">
                  <c:v>1.5</c:v>
                </c:pt>
                <c:pt idx="1057">
                  <c:v>2.5</c:v>
                </c:pt>
                <c:pt idx="1058">
                  <c:v>1.5</c:v>
                </c:pt>
                <c:pt idx="1059">
                  <c:v>2</c:v>
                </c:pt>
                <c:pt idx="1060">
                  <c:v>2</c:v>
                </c:pt>
                <c:pt idx="1061">
                  <c:v>2</c:v>
                </c:pt>
                <c:pt idx="1062">
                  <c:v>1.5</c:v>
                </c:pt>
                <c:pt idx="1063">
                  <c:v>2</c:v>
                </c:pt>
                <c:pt idx="1064">
                  <c:v>2</c:v>
                </c:pt>
                <c:pt idx="1065">
                  <c:v>3</c:v>
                </c:pt>
                <c:pt idx="1066">
                  <c:v>1.5</c:v>
                </c:pt>
                <c:pt idx="1067">
                  <c:v>3</c:v>
                </c:pt>
                <c:pt idx="1068">
                  <c:v>1.5</c:v>
                </c:pt>
                <c:pt idx="1069">
                  <c:v>1</c:v>
                </c:pt>
                <c:pt idx="1070">
                  <c:v>1</c:v>
                </c:pt>
                <c:pt idx="1071">
                  <c:v>2</c:v>
                </c:pt>
                <c:pt idx="1072">
                  <c:v>1</c:v>
                </c:pt>
                <c:pt idx="1073">
                  <c:v>1.5</c:v>
                </c:pt>
                <c:pt idx="1074">
                  <c:v>2</c:v>
                </c:pt>
                <c:pt idx="1075">
                  <c:v>1.5</c:v>
                </c:pt>
                <c:pt idx="1076">
                  <c:v>1</c:v>
                </c:pt>
                <c:pt idx="1077">
                  <c:v>2</c:v>
                </c:pt>
                <c:pt idx="1079">
                  <c:v>2</c:v>
                </c:pt>
                <c:pt idx="1080">
                  <c:v>2</c:v>
                </c:pt>
                <c:pt idx="1081">
                  <c:v>2</c:v>
                </c:pt>
                <c:pt idx="1082">
                  <c:v>1</c:v>
                </c:pt>
                <c:pt idx="1083">
                  <c:v>1</c:v>
                </c:pt>
                <c:pt idx="1084">
                  <c:v>1.5</c:v>
                </c:pt>
                <c:pt idx="1085">
                  <c:v>1.5</c:v>
                </c:pt>
                <c:pt idx="1086">
                  <c:v>1.5</c:v>
                </c:pt>
                <c:pt idx="1087">
                  <c:v>1.5</c:v>
                </c:pt>
                <c:pt idx="1088">
                  <c:v>2.5</c:v>
                </c:pt>
                <c:pt idx="1089">
                  <c:v>1</c:v>
                </c:pt>
                <c:pt idx="1090">
                  <c:v>2</c:v>
                </c:pt>
                <c:pt idx="1091">
                  <c:v>1</c:v>
                </c:pt>
                <c:pt idx="1092">
                  <c:v>1.5</c:v>
                </c:pt>
                <c:pt idx="1093">
                  <c:v>2</c:v>
                </c:pt>
                <c:pt idx="1094">
                  <c:v>2.5</c:v>
                </c:pt>
                <c:pt idx="1095">
                  <c:v>1</c:v>
                </c:pt>
                <c:pt idx="1096">
                  <c:v>2.5</c:v>
                </c:pt>
                <c:pt idx="1097">
                  <c:v>2</c:v>
                </c:pt>
                <c:pt idx="1098">
                  <c:v>1.5</c:v>
                </c:pt>
                <c:pt idx="1099">
                  <c:v>1.5</c:v>
                </c:pt>
                <c:pt idx="1100">
                  <c:v>1</c:v>
                </c:pt>
                <c:pt idx="1101">
                  <c:v>1.5</c:v>
                </c:pt>
                <c:pt idx="1102">
                  <c:v>2.5</c:v>
                </c:pt>
                <c:pt idx="1103">
                  <c:v>1.5</c:v>
                </c:pt>
                <c:pt idx="1104">
                  <c:v>2</c:v>
                </c:pt>
                <c:pt idx="1105">
                  <c:v>1</c:v>
                </c:pt>
                <c:pt idx="1106">
                  <c:v>2</c:v>
                </c:pt>
                <c:pt idx="1107">
                  <c:v>1.5</c:v>
                </c:pt>
                <c:pt idx="1108">
                  <c:v>2.5</c:v>
                </c:pt>
                <c:pt idx="1109">
                  <c:v>2</c:v>
                </c:pt>
                <c:pt idx="1110">
                  <c:v>1.5</c:v>
                </c:pt>
                <c:pt idx="1111">
                  <c:v>1.5</c:v>
                </c:pt>
                <c:pt idx="1112">
                  <c:v>1.5</c:v>
                </c:pt>
                <c:pt idx="1113">
                  <c:v>1.5</c:v>
                </c:pt>
                <c:pt idx="1114">
                  <c:v>1.5</c:v>
                </c:pt>
                <c:pt idx="1115">
                  <c:v>3</c:v>
                </c:pt>
                <c:pt idx="1116">
                  <c:v>2</c:v>
                </c:pt>
                <c:pt idx="1117">
                  <c:v>3</c:v>
                </c:pt>
                <c:pt idx="1118">
                  <c:v>1.5</c:v>
                </c:pt>
                <c:pt idx="1119">
                  <c:v>1.5</c:v>
                </c:pt>
                <c:pt idx="1120">
                  <c:v>2.5</c:v>
                </c:pt>
                <c:pt idx="1121">
                  <c:v>1</c:v>
                </c:pt>
                <c:pt idx="1122">
                  <c:v>2</c:v>
                </c:pt>
                <c:pt idx="1123">
                  <c:v>2.5</c:v>
                </c:pt>
                <c:pt idx="1124">
                  <c:v>2.5</c:v>
                </c:pt>
                <c:pt idx="1125">
                  <c:v>1</c:v>
                </c:pt>
                <c:pt idx="1126">
                  <c:v>1</c:v>
                </c:pt>
                <c:pt idx="1127">
                  <c:v>2.5</c:v>
                </c:pt>
                <c:pt idx="1128">
                  <c:v>1</c:v>
                </c:pt>
                <c:pt idx="1129">
                  <c:v>1.5</c:v>
                </c:pt>
                <c:pt idx="1130">
                  <c:v>2</c:v>
                </c:pt>
                <c:pt idx="1131">
                  <c:v>1</c:v>
                </c:pt>
                <c:pt idx="1132">
                  <c:v>1</c:v>
                </c:pt>
                <c:pt idx="1133">
                  <c:v>1.5</c:v>
                </c:pt>
                <c:pt idx="1134">
                  <c:v>3</c:v>
                </c:pt>
                <c:pt idx="1135">
                  <c:v>1.5</c:v>
                </c:pt>
                <c:pt idx="1136">
                  <c:v>2.5</c:v>
                </c:pt>
                <c:pt idx="1137">
                  <c:v>3</c:v>
                </c:pt>
                <c:pt idx="1138">
                  <c:v>2.5</c:v>
                </c:pt>
                <c:pt idx="1139">
                  <c:v>2.5</c:v>
                </c:pt>
                <c:pt idx="1140">
                  <c:v>2</c:v>
                </c:pt>
                <c:pt idx="1141">
                  <c:v>3</c:v>
                </c:pt>
                <c:pt idx="1142">
                  <c:v>3</c:v>
                </c:pt>
                <c:pt idx="1143">
                  <c:v>2.5</c:v>
                </c:pt>
                <c:pt idx="1144">
                  <c:v>2.5</c:v>
                </c:pt>
                <c:pt idx="1145">
                  <c:v>2.5</c:v>
                </c:pt>
                <c:pt idx="1146">
                  <c:v>2</c:v>
                </c:pt>
                <c:pt idx="1147">
                  <c:v>1</c:v>
                </c:pt>
                <c:pt idx="1148">
                  <c:v>1.5</c:v>
                </c:pt>
                <c:pt idx="1149">
                  <c:v>1</c:v>
                </c:pt>
                <c:pt idx="1150">
                  <c:v>2.5</c:v>
                </c:pt>
                <c:pt idx="1151">
                  <c:v>3</c:v>
                </c:pt>
                <c:pt idx="1152">
                  <c:v>3</c:v>
                </c:pt>
                <c:pt idx="1153">
                  <c:v>1.5</c:v>
                </c:pt>
                <c:pt idx="1154">
                  <c:v>1.5</c:v>
                </c:pt>
                <c:pt idx="1155">
                  <c:v>2</c:v>
                </c:pt>
                <c:pt idx="1156">
                  <c:v>2</c:v>
                </c:pt>
                <c:pt idx="1157">
                  <c:v>2</c:v>
                </c:pt>
                <c:pt idx="1158">
                  <c:v>3.5</c:v>
                </c:pt>
                <c:pt idx="1159">
                  <c:v>2</c:v>
                </c:pt>
              </c:numCache>
            </c:numRef>
          </c:val>
          <c:smooth val="0"/>
          <c:extLst>
            <c:ext xmlns:c16="http://schemas.microsoft.com/office/drawing/2014/chart" uri="{C3380CC4-5D6E-409C-BE32-E72D297353CC}">
              <c16:uniqueId val="{00000006-D9E1-4C5B-B21E-327662486C7F}"/>
            </c:ext>
          </c:extLst>
        </c:ser>
        <c:dLbls>
          <c:showLegendKey val="0"/>
          <c:showVal val="0"/>
          <c:showCatName val="0"/>
          <c:showSerName val="0"/>
          <c:showPercent val="0"/>
          <c:showBubbleSize val="0"/>
        </c:dLbls>
        <c:marker val="1"/>
        <c:smooth val="0"/>
        <c:axId val="858941920"/>
        <c:axId val="858935680"/>
      </c:lineChart>
      <c:lineChart>
        <c:grouping val="standard"/>
        <c:varyColors val="0"/>
        <c:ser>
          <c:idx val="0"/>
          <c:order val="1"/>
          <c:tx>
            <c:v>Weight</c:v>
          </c:tx>
          <c:spPr>
            <a:ln w="25400" cap="rnd">
              <a:solidFill>
                <a:srgbClr val="0070C0"/>
              </a:solidFill>
              <a:round/>
            </a:ln>
            <a:effectLst>
              <a:glow rad="127000">
                <a:srgbClr val="0070C0">
                  <a:alpha val="20000"/>
                </a:srgbClr>
              </a:glow>
            </a:effectLst>
          </c:spPr>
          <c:marker>
            <c:symbol val="none"/>
          </c:marker>
          <c:trendline>
            <c:spPr>
              <a:ln w="19050" cap="rnd">
                <a:solidFill>
                  <a:schemeClr val="accent1"/>
                </a:solidFill>
                <a:prstDash val="sysDot"/>
              </a:ln>
              <a:effectLst/>
            </c:spPr>
            <c:trendlineType val="linear"/>
            <c:dispRSqr val="1"/>
            <c:dispEq val="1"/>
            <c:trendlineLbl>
              <c:layout>
                <c:manualLayout>
                  <c:x val="1.8436852813102384E-3"/>
                  <c:y val="-5.44291077493214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poly"/>
            <c:order val="2"/>
            <c:dispRSqr val="1"/>
            <c:dispEq val="1"/>
            <c:trendlineLbl>
              <c:layout>
                <c:manualLayout>
                  <c:x val="-4.5105466606138751E-3"/>
                  <c:y val="3.70670628682538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Health!$B$28:$B$879</c:f>
              <c:numCache>
                <c:formatCode>m/d/yyyy</c:formatCode>
                <c:ptCount val="852"/>
                <c:pt idx="0">
                  <c:v>44440</c:v>
                </c:pt>
                <c:pt idx="1">
                  <c:v>44441</c:v>
                </c:pt>
                <c:pt idx="2">
                  <c:v>44442</c:v>
                </c:pt>
                <c:pt idx="3">
                  <c:v>44443</c:v>
                </c:pt>
                <c:pt idx="4">
                  <c:v>44444</c:v>
                </c:pt>
                <c:pt idx="5">
                  <c:v>44445</c:v>
                </c:pt>
                <c:pt idx="6">
                  <c:v>44446</c:v>
                </c:pt>
                <c:pt idx="7">
                  <c:v>44447</c:v>
                </c:pt>
                <c:pt idx="8">
                  <c:v>44448</c:v>
                </c:pt>
                <c:pt idx="9">
                  <c:v>44449</c:v>
                </c:pt>
                <c:pt idx="10">
                  <c:v>44450</c:v>
                </c:pt>
                <c:pt idx="11">
                  <c:v>44451</c:v>
                </c:pt>
                <c:pt idx="12">
                  <c:v>44452</c:v>
                </c:pt>
                <c:pt idx="13">
                  <c:v>44453</c:v>
                </c:pt>
                <c:pt idx="14">
                  <c:v>44454</c:v>
                </c:pt>
                <c:pt idx="15">
                  <c:v>44455</c:v>
                </c:pt>
                <c:pt idx="16">
                  <c:v>44456</c:v>
                </c:pt>
                <c:pt idx="17">
                  <c:v>44457</c:v>
                </c:pt>
                <c:pt idx="18">
                  <c:v>44458</c:v>
                </c:pt>
                <c:pt idx="19">
                  <c:v>44459</c:v>
                </c:pt>
                <c:pt idx="20">
                  <c:v>44460</c:v>
                </c:pt>
                <c:pt idx="21">
                  <c:v>44461</c:v>
                </c:pt>
                <c:pt idx="22">
                  <c:v>44462</c:v>
                </c:pt>
                <c:pt idx="23">
                  <c:v>44463</c:v>
                </c:pt>
                <c:pt idx="24">
                  <c:v>44464</c:v>
                </c:pt>
                <c:pt idx="25">
                  <c:v>44465</c:v>
                </c:pt>
                <c:pt idx="26">
                  <c:v>44466</c:v>
                </c:pt>
                <c:pt idx="27">
                  <c:v>44467</c:v>
                </c:pt>
                <c:pt idx="28">
                  <c:v>44468</c:v>
                </c:pt>
                <c:pt idx="29">
                  <c:v>44469</c:v>
                </c:pt>
                <c:pt idx="30">
                  <c:v>44470</c:v>
                </c:pt>
                <c:pt idx="31">
                  <c:v>44471</c:v>
                </c:pt>
                <c:pt idx="32">
                  <c:v>44472</c:v>
                </c:pt>
                <c:pt idx="33">
                  <c:v>44473</c:v>
                </c:pt>
                <c:pt idx="34">
                  <c:v>44474</c:v>
                </c:pt>
                <c:pt idx="35">
                  <c:v>44475</c:v>
                </c:pt>
                <c:pt idx="36">
                  <c:v>44476</c:v>
                </c:pt>
                <c:pt idx="37">
                  <c:v>44477</c:v>
                </c:pt>
                <c:pt idx="38">
                  <c:v>44478</c:v>
                </c:pt>
                <c:pt idx="39">
                  <c:v>44479</c:v>
                </c:pt>
                <c:pt idx="40">
                  <c:v>44480</c:v>
                </c:pt>
                <c:pt idx="41">
                  <c:v>44481</c:v>
                </c:pt>
                <c:pt idx="42">
                  <c:v>44482</c:v>
                </c:pt>
                <c:pt idx="43">
                  <c:v>44483</c:v>
                </c:pt>
                <c:pt idx="44">
                  <c:v>44484</c:v>
                </c:pt>
                <c:pt idx="45">
                  <c:v>44485</c:v>
                </c:pt>
                <c:pt idx="46">
                  <c:v>44486</c:v>
                </c:pt>
                <c:pt idx="47">
                  <c:v>44487</c:v>
                </c:pt>
                <c:pt idx="48">
                  <c:v>44488</c:v>
                </c:pt>
                <c:pt idx="49">
                  <c:v>44489</c:v>
                </c:pt>
                <c:pt idx="50">
                  <c:v>44490</c:v>
                </c:pt>
                <c:pt idx="51">
                  <c:v>44491</c:v>
                </c:pt>
                <c:pt idx="52">
                  <c:v>44492</c:v>
                </c:pt>
                <c:pt idx="53">
                  <c:v>44493</c:v>
                </c:pt>
                <c:pt idx="54">
                  <c:v>44494</c:v>
                </c:pt>
                <c:pt idx="55">
                  <c:v>44495</c:v>
                </c:pt>
                <c:pt idx="56">
                  <c:v>44496</c:v>
                </c:pt>
                <c:pt idx="57">
                  <c:v>44497</c:v>
                </c:pt>
                <c:pt idx="58">
                  <c:v>44498</c:v>
                </c:pt>
                <c:pt idx="59">
                  <c:v>44499</c:v>
                </c:pt>
                <c:pt idx="60">
                  <c:v>44500</c:v>
                </c:pt>
                <c:pt idx="61">
                  <c:v>44501</c:v>
                </c:pt>
                <c:pt idx="62">
                  <c:v>44502</c:v>
                </c:pt>
                <c:pt idx="63">
                  <c:v>44503</c:v>
                </c:pt>
                <c:pt idx="64">
                  <c:v>44504</c:v>
                </c:pt>
                <c:pt idx="65">
                  <c:v>44505</c:v>
                </c:pt>
                <c:pt idx="66">
                  <c:v>44506</c:v>
                </c:pt>
                <c:pt idx="67">
                  <c:v>44507</c:v>
                </c:pt>
                <c:pt idx="68">
                  <c:v>44508</c:v>
                </c:pt>
                <c:pt idx="69">
                  <c:v>44509</c:v>
                </c:pt>
                <c:pt idx="70">
                  <c:v>44510</c:v>
                </c:pt>
                <c:pt idx="71">
                  <c:v>44511</c:v>
                </c:pt>
                <c:pt idx="72">
                  <c:v>44512</c:v>
                </c:pt>
                <c:pt idx="73">
                  <c:v>44513</c:v>
                </c:pt>
                <c:pt idx="74">
                  <c:v>44514</c:v>
                </c:pt>
                <c:pt idx="75">
                  <c:v>44515</c:v>
                </c:pt>
                <c:pt idx="76">
                  <c:v>44516</c:v>
                </c:pt>
                <c:pt idx="77">
                  <c:v>44517</c:v>
                </c:pt>
                <c:pt idx="78">
                  <c:v>44518</c:v>
                </c:pt>
                <c:pt idx="79">
                  <c:v>44519</c:v>
                </c:pt>
                <c:pt idx="80">
                  <c:v>44520</c:v>
                </c:pt>
                <c:pt idx="81">
                  <c:v>44521</c:v>
                </c:pt>
                <c:pt idx="82">
                  <c:v>44522</c:v>
                </c:pt>
                <c:pt idx="83">
                  <c:v>44523</c:v>
                </c:pt>
                <c:pt idx="84">
                  <c:v>44524</c:v>
                </c:pt>
                <c:pt idx="85">
                  <c:v>44525</c:v>
                </c:pt>
                <c:pt idx="86">
                  <c:v>44526</c:v>
                </c:pt>
                <c:pt idx="87">
                  <c:v>44527</c:v>
                </c:pt>
                <c:pt idx="88">
                  <c:v>44528</c:v>
                </c:pt>
                <c:pt idx="89">
                  <c:v>44529</c:v>
                </c:pt>
                <c:pt idx="90">
                  <c:v>44530</c:v>
                </c:pt>
                <c:pt idx="91">
                  <c:v>44531</c:v>
                </c:pt>
                <c:pt idx="92">
                  <c:v>44532</c:v>
                </c:pt>
                <c:pt idx="93">
                  <c:v>44533</c:v>
                </c:pt>
                <c:pt idx="94">
                  <c:v>44534</c:v>
                </c:pt>
                <c:pt idx="95">
                  <c:v>44535</c:v>
                </c:pt>
                <c:pt idx="96">
                  <c:v>44536</c:v>
                </c:pt>
                <c:pt idx="97">
                  <c:v>44537</c:v>
                </c:pt>
                <c:pt idx="98">
                  <c:v>44538</c:v>
                </c:pt>
                <c:pt idx="99">
                  <c:v>44539</c:v>
                </c:pt>
                <c:pt idx="100">
                  <c:v>44540</c:v>
                </c:pt>
                <c:pt idx="101">
                  <c:v>44541</c:v>
                </c:pt>
                <c:pt idx="102">
                  <c:v>44542</c:v>
                </c:pt>
                <c:pt idx="103">
                  <c:v>44543</c:v>
                </c:pt>
                <c:pt idx="104">
                  <c:v>44544</c:v>
                </c:pt>
                <c:pt idx="105">
                  <c:v>44545</c:v>
                </c:pt>
                <c:pt idx="106">
                  <c:v>44546</c:v>
                </c:pt>
                <c:pt idx="107">
                  <c:v>44547</c:v>
                </c:pt>
                <c:pt idx="108">
                  <c:v>44548</c:v>
                </c:pt>
                <c:pt idx="109">
                  <c:v>44549</c:v>
                </c:pt>
                <c:pt idx="110">
                  <c:v>44550</c:v>
                </c:pt>
                <c:pt idx="111">
                  <c:v>44551</c:v>
                </c:pt>
                <c:pt idx="112">
                  <c:v>44552</c:v>
                </c:pt>
                <c:pt idx="113">
                  <c:v>44553</c:v>
                </c:pt>
                <c:pt idx="114">
                  <c:v>44554</c:v>
                </c:pt>
                <c:pt idx="115">
                  <c:v>44555</c:v>
                </c:pt>
                <c:pt idx="116">
                  <c:v>44556</c:v>
                </c:pt>
                <c:pt idx="117">
                  <c:v>44557</c:v>
                </c:pt>
                <c:pt idx="118">
                  <c:v>44558</c:v>
                </c:pt>
                <c:pt idx="119">
                  <c:v>44559</c:v>
                </c:pt>
                <c:pt idx="120">
                  <c:v>44560</c:v>
                </c:pt>
                <c:pt idx="121">
                  <c:v>44561</c:v>
                </c:pt>
                <c:pt idx="122">
                  <c:v>44562</c:v>
                </c:pt>
                <c:pt idx="123">
                  <c:v>44563</c:v>
                </c:pt>
                <c:pt idx="124">
                  <c:v>44564</c:v>
                </c:pt>
                <c:pt idx="125">
                  <c:v>44565</c:v>
                </c:pt>
                <c:pt idx="126">
                  <c:v>44566</c:v>
                </c:pt>
                <c:pt idx="127">
                  <c:v>44567</c:v>
                </c:pt>
                <c:pt idx="128">
                  <c:v>44568</c:v>
                </c:pt>
                <c:pt idx="129">
                  <c:v>44569</c:v>
                </c:pt>
                <c:pt idx="130">
                  <c:v>44570</c:v>
                </c:pt>
                <c:pt idx="131">
                  <c:v>44571</c:v>
                </c:pt>
                <c:pt idx="132">
                  <c:v>44572</c:v>
                </c:pt>
                <c:pt idx="133">
                  <c:v>44573</c:v>
                </c:pt>
                <c:pt idx="134">
                  <c:v>44574</c:v>
                </c:pt>
                <c:pt idx="135">
                  <c:v>44575</c:v>
                </c:pt>
                <c:pt idx="136">
                  <c:v>44576</c:v>
                </c:pt>
                <c:pt idx="137">
                  <c:v>44577</c:v>
                </c:pt>
                <c:pt idx="138">
                  <c:v>44578</c:v>
                </c:pt>
                <c:pt idx="139">
                  <c:v>44579</c:v>
                </c:pt>
                <c:pt idx="140">
                  <c:v>44580</c:v>
                </c:pt>
                <c:pt idx="141">
                  <c:v>44581</c:v>
                </c:pt>
                <c:pt idx="142">
                  <c:v>44582</c:v>
                </c:pt>
                <c:pt idx="143">
                  <c:v>44583</c:v>
                </c:pt>
                <c:pt idx="144">
                  <c:v>44584</c:v>
                </c:pt>
                <c:pt idx="145">
                  <c:v>44585</c:v>
                </c:pt>
                <c:pt idx="146">
                  <c:v>44586</c:v>
                </c:pt>
                <c:pt idx="147">
                  <c:v>44587</c:v>
                </c:pt>
                <c:pt idx="148">
                  <c:v>44588</c:v>
                </c:pt>
                <c:pt idx="149">
                  <c:v>44589</c:v>
                </c:pt>
                <c:pt idx="150">
                  <c:v>44590</c:v>
                </c:pt>
                <c:pt idx="151">
                  <c:v>44591</c:v>
                </c:pt>
                <c:pt idx="152">
                  <c:v>44592</c:v>
                </c:pt>
                <c:pt idx="153">
                  <c:v>44593</c:v>
                </c:pt>
                <c:pt idx="154">
                  <c:v>44594</c:v>
                </c:pt>
                <c:pt idx="155">
                  <c:v>44595</c:v>
                </c:pt>
                <c:pt idx="156">
                  <c:v>44596</c:v>
                </c:pt>
                <c:pt idx="157">
                  <c:v>44597</c:v>
                </c:pt>
                <c:pt idx="158">
                  <c:v>44598</c:v>
                </c:pt>
                <c:pt idx="159">
                  <c:v>44599</c:v>
                </c:pt>
                <c:pt idx="160">
                  <c:v>44600</c:v>
                </c:pt>
                <c:pt idx="161">
                  <c:v>44601</c:v>
                </c:pt>
                <c:pt idx="162">
                  <c:v>44602</c:v>
                </c:pt>
                <c:pt idx="163">
                  <c:v>44603</c:v>
                </c:pt>
                <c:pt idx="164">
                  <c:v>44604</c:v>
                </c:pt>
                <c:pt idx="165">
                  <c:v>44605</c:v>
                </c:pt>
                <c:pt idx="166">
                  <c:v>44606</c:v>
                </c:pt>
                <c:pt idx="167">
                  <c:v>44607</c:v>
                </c:pt>
                <c:pt idx="168">
                  <c:v>44608</c:v>
                </c:pt>
                <c:pt idx="169">
                  <c:v>44609</c:v>
                </c:pt>
                <c:pt idx="170">
                  <c:v>44610</c:v>
                </c:pt>
                <c:pt idx="171">
                  <c:v>44611</c:v>
                </c:pt>
                <c:pt idx="172">
                  <c:v>44612</c:v>
                </c:pt>
                <c:pt idx="173">
                  <c:v>44613</c:v>
                </c:pt>
                <c:pt idx="174">
                  <c:v>44614</c:v>
                </c:pt>
                <c:pt idx="175">
                  <c:v>44615</c:v>
                </c:pt>
                <c:pt idx="176">
                  <c:v>44616</c:v>
                </c:pt>
                <c:pt idx="177">
                  <c:v>44617</c:v>
                </c:pt>
                <c:pt idx="178">
                  <c:v>44618</c:v>
                </c:pt>
                <c:pt idx="179">
                  <c:v>44619</c:v>
                </c:pt>
                <c:pt idx="180">
                  <c:v>44620</c:v>
                </c:pt>
                <c:pt idx="181">
                  <c:v>44621</c:v>
                </c:pt>
                <c:pt idx="182">
                  <c:v>44622</c:v>
                </c:pt>
                <c:pt idx="183">
                  <c:v>44623</c:v>
                </c:pt>
                <c:pt idx="184">
                  <c:v>44624</c:v>
                </c:pt>
                <c:pt idx="185">
                  <c:v>44625</c:v>
                </c:pt>
                <c:pt idx="186">
                  <c:v>44626</c:v>
                </c:pt>
                <c:pt idx="187">
                  <c:v>44627</c:v>
                </c:pt>
                <c:pt idx="188">
                  <c:v>44628</c:v>
                </c:pt>
                <c:pt idx="189">
                  <c:v>44629</c:v>
                </c:pt>
                <c:pt idx="190">
                  <c:v>44630</c:v>
                </c:pt>
                <c:pt idx="191">
                  <c:v>44631</c:v>
                </c:pt>
                <c:pt idx="192">
                  <c:v>44632</c:v>
                </c:pt>
                <c:pt idx="193">
                  <c:v>44633</c:v>
                </c:pt>
                <c:pt idx="194">
                  <c:v>44634</c:v>
                </c:pt>
                <c:pt idx="195">
                  <c:v>44635</c:v>
                </c:pt>
                <c:pt idx="196">
                  <c:v>44636</c:v>
                </c:pt>
                <c:pt idx="197">
                  <c:v>44637</c:v>
                </c:pt>
                <c:pt idx="198">
                  <c:v>44638</c:v>
                </c:pt>
                <c:pt idx="199">
                  <c:v>44639</c:v>
                </c:pt>
                <c:pt idx="200">
                  <c:v>44640</c:v>
                </c:pt>
                <c:pt idx="201">
                  <c:v>44641</c:v>
                </c:pt>
                <c:pt idx="202">
                  <c:v>44642</c:v>
                </c:pt>
                <c:pt idx="203">
                  <c:v>44643</c:v>
                </c:pt>
                <c:pt idx="204">
                  <c:v>44644</c:v>
                </c:pt>
                <c:pt idx="205">
                  <c:v>44645</c:v>
                </c:pt>
                <c:pt idx="206">
                  <c:v>44646</c:v>
                </c:pt>
                <c:pt idx="207">
                  <c:v>44647</c:v>
                </c:pt>
                <c:pt idx="208">
                  <c:v>44648</c:v>
                </c:pt>
                <c:pt idx="209">
                  <c:v>44649</c:v>
                </c:pt>
                <c:pt idx="210">
                  <c:v>44650</c:v>
                </c:pt>
                <c:pt idx="211">
                  <c:v>44651</c:v>
                </c:pt>
                <c:pt idx="212">
                  <c:v>44652</c:v>
                </c:pt>
                <c:pt idx="213">
                  <c:v>44653</c:v>
                </c:pt>
                <c:pt idx="214">
                  <c:v>44654</c:v>
                </c:pt>
                <c:pt idx="215">
                  <c:v>44655</c:v>
                </c:pt>
                <c:pt idx="216">
                  <c:v>44656</c:v>
                </c:pt>
                <c:pt idx="217">
                  <c:v>44657</c:v>
                </c:pt>
                <c:pt idx="218">
                  <c:v>44658</c:v>
                </c:pt>
                <c:pt idx="219">
                  <c:v>44659</c:v>
                </c:pt>
                <c:pt idx="220">
                  <c:v>44660</c:v>
                </c:pt>
                <c:pt idx="221">
                  <c:v>44661</c:v>
                </c:pt>
                <c:pt idx="222">
                  <c:v>44662</c:v>
                </c:pt>
                <c:pt idx="223">
                  <c:v>44663</c:v>
                </c:pt>
                <c:pt idx="224">
                  <c:v>44664</c:v>
                </c:pt>
                <c:pt idx="225">
                  <c:v>44665</c:v>
                </c:pt>
                <c:pt idx="226">
                  <c:v>44666</c:v>
                </c:pt>
                <c:pt idx="227">
                  <c:v>44667</c:v>
                </c:pt>
                <c:pt idx="228">
                  <c:v>44668</c:v>
                </c:pt>
                <c:pt idx="229">
                  <c:v>44669</c:v>
                </c:pt>
                <c:pt idx="230">
                  <c:v>44670</c:v>
                </c:pt>
                <c:pt idx="231">
                  <c:v>44671</c:v>
                </c:pt>
                <c:pt idx="232">
                  <c:v>44672</c:v>
                </c:pt>
                <c:pt idx="233">
                  <c:v>44673</c:v>
                </c:pt>
                <c:pt idx="234">
                  <c:v>44674</c:v>
                </c:pt>
                <c:pt idx="235">
                  <c:v>44675</c:v>
                </c:pt>
                <c:pt idx="236">
                  <c:v>44676</c:v>
                </c:pt>
                <c:pt idx="237">
                  <c:v>44677</c:v>
                </c:pt>
                <c:pt idx="238">
                  <c:v>44678</c:v>
                </c:pt>
                <c:pt idx="239">
                  <c:v>44679</c:v>
                </c:pt>
                <c:pt idx="240">
                  <c:v>44680</c:v>
                </c:pt>
                <c:pt idx="241">
                  <c:v>44681</c:v>
                </c:pt>
                <c:pt idx="242">
                  <c:v>44682</c:v>
                </c:pt>
                <c:pt idx="243">
                  <c:v>44683</c:v>
                </c:pt>
                <c:pt idx="244">
                  <c:v>44684</c:v>
                </c:pt>
                <c:pt idx="245">
                  <c:v>44685</c:v>
                </c:pt>
                <c:pt idx="246">
                  <c:v>44686</c:v>
                </c:pt>
                <c:pt idx="247">
                  <c:v>44687</c:v>
                </c:pt>
                <c:pt idx="248">
                  <c:v>44688</c:v>
                </c:pt>
                <c:pt idx="249">
                  <c:v>44689</c:v>
                </c:pt>
                <c:pt idx="250">
                  <c:v>44690</c:v>
                </c:pt>
                <c:pt idx="251">
                  <c:v>44691</c:v>
                </c:pt>
                <c:pt idx="252">
                  <c:v>44692</c:v>
                </c:pt>
                <c:pt idx="253">
                  <c:v>44693</c:v>
                </c:pt>
                <c:pt idx="254">
                  <c:v>44694</c:v>
                </c:pt>
                <c:pt idx="255">
                  <c:v>44695</c:v>
                </c:pt>
                <c:pt idx="256">
                  <c:v>44696</c:v>
                </c:pt>
                <c:pt idx="257">
                  <c:v>44697</c:v>
                </c:pt>
                <c:pt idx="258">
                  <c:v>44698</c:v>
                </c:pt>
                <c:pt idx="259">
                  <c:v>44699</c:v>
                </c:pt>
                <c:pt idx="260">
                  <c:v>44700</c:v>
                </c:pt>
                <c:pt idx="261">
                  <c:v>44701</c:v>
                </c:pt>
                <c:pt idx="262">
                  <c:v>44702</c:v>
                </c:pt>
                <c:pt idx="263">
                  <c:v>44703</c:v>
                </c:pt>
                <c:pt idx="264">
                  <c:v>44704</c:v>
                </c:pt>
                <c:pt idx="265">
                  <c:v>44705</c:v>
                </c:pt>
                <c:pt idx="266">
                  <c:v>44706</c:v>
                </c:pt>
                <c:pt idx="267">
                  <c:v>44707</c:v>
                </c:pt>
                <c:pt idx="268">
                  <c:v>44708</c:v>
                </c:pt>
                <c:pt idx="269">
                  <c:v>44709</c:v>
                </c:pt>
                <c:pt idx="270">
                  <c:v>44710</c:v>
                </c:pt>
                <c:pt idx="271">
                  <c:v>44711</c:v>
                </c:pt>
                <c:pt idx="272">
                  <c:v>44712</c:v>
                </c:pt>
                <c:pt idx="273">
                  <c:v>44713</c:v>
                </c:pt>
                <c:pt idx="274">
                  <c:v>44714</c:v>
                </c:pt>
                <c:pt idx="275">
                  <c:v>44715</c:v>
                </c:pt>
                <c:pt idx="276">
                  <c:v>44716</c:v>
                </c:pt>
                <c:pt idx="277">
                  <c:v>44717</c:v>
                </c:pt>
                <c:pt idx="278">
                  <c:v>44718</c:v>
                </c:pt>
                <c:pt idx="279">
                  <c:v>44719</c:v>
                </c:pt>
                <c:pt idx="280">
                  <c:v>44720</c:v>
                </c:pt>
                <c:pt idx="281">
                  <c:v>44721</c:v>
                </c:pt>
                <c:pt idx="282">
                  <c:v>44722</c:v>
                </c:pt>
                <c:pt idx="283">
                  <c:v>44723</c:v>
                </c:pt>
                <c:pt idx="284">
                  <c:v>44724</c:v>
                </c:pt>
                <c:pt idx="285">
                  <c:v>44725</c:v>
                </c:pt>
                <c:pt idx="286">
                  <c:v>44726</c:v>
                </c:pt>
                <c:pt idx="287">
                  <c:v>44727</c:v>
                </c:pt>
                <c:pt idx="288">
                  <c:v>44728</c:v>
                </c:pt>
                <c:pt idx="289">
                  <c:v>44729</c:v>
                </c:pt>
                <c:pt idx="290">
                  <c:v>44730</c:v>
                </c:pt>
                <c:pt idx="291">
                  <c:v>44731</c:v>
                </c:pt>
                <c:pt idx="292">
                  <c:v>44732</c:v>
                </c:pt>
                <c:pt idx="293">
                  <c:v>44733</c:v>
                </c:pt>
                <c:pt idx="294">
                  <c:v>44734</c:v>
                </c:pt>
                <c:pt idx="295">
                  <c:v>44735</c:v>
                </c:pt>
                <c:pt idx="296">
                  <c:v>44736</c:v>
                </c:pt>
                <c:pt idx="297">
                  <c:v>44737</c:v>
                </c:pt>
                <c:pt idx="298">
                  <c:v>44738</c:v>
                </c:pt>
                <c:pt idx="299">
                  <c:v>44739</c:v>
                </c:pt>
                <c:pt idx="300">
                  <c:v>44740</c:v>
                </c:pt>
                <c:pt idx="301">
                  <c:v>44741</c:v>
                </c:pt>
                <c:pt idx="302">
                  <c:v>44742</c:v>
                </c:pt>
                <c:pt idx="303">
                  <c:v>44743</c:v>
                </c:pt>
                <c:pt idx="304">
                  <c:v>44744</c:v>
                </c:pt>
                <c:pt idx="305">
                  <c:v>44745</c:v>
                </c:pt>
                <c:pt idx="306">
                  <c:v>44746</c:v>
                </c:pt>
                <c:pt idx="307">
                  <c:v>44747</c:v>
                </c:pt>
                <c:pt idx="308">
                  <c:v>44748</c:v>
                </c:pt>
                <c:pt idx="309">
                  <c:v>44749</c:v>
                </c:pt>
                <c:pt idx="310">
                  <c:v>44750</c:v>
                </c:pt>
                <c:pt idx="311">
                  <c:v>44751</c:v>
                </c:pt>
                <c:pt idx="312">
                  <c:v>44752</c:v>
                </c:pt>
                <c:pt idx="313">
                  <c:v>44753</c:v>
                </c:pt>
                <c:pt idx="314">
                  <c:v>44754</c:v>
                </c:pt>
                <c:pt idx="315">
                  <c:v>44755</c:v>
                </c:pt>
                <c:pt idx="316">
                  <c:v>44756</c:v>
                </c:pt>
                <c:pt idx="317">
                  <c:v>44757</c:v>
                </c:pt>
                <c:pt idx="318">
                  <c:v>44758</c:v>
                </c:pt>
                <c:pt idx="319">
                  <c:v>44759</c:v>
                </c:pt>
                <c:pt idx="320">
                  <c:v>44760</c:v>
                </c:pt>
                <c:pt idx="321">
                  <c:v>44761</c:v>
                </c:pt>
                <c:pt idx="322">
                  <c:v>44762</c:v>
                </c:pt>
                <c:pt idx="323">
                  <c:v>44763</c:v>
                </c:pt>
                <c:pt idx="324">
                  <c:v>44764</c:v>
                </c:pt>
                <c:pt idx="325">
                  <c:v>44765</c:v>
                </c:pt>
                <c:pt idx="326">
                  <c:v>44766</c:v>
                </c:pt>
                <c:pt idx="327">
                  <c:v>44767</c:v>
                </c:pt>
                <c:pt idx="328">
                  <c:v>44768</c:v>
                </c:pt>
                <c:pt idx="329">
                  <c:v>44769</c:v>
                </c:pt>
                <c:pt idx="330">
                  <c:v>44770</c:v>
                </c:pt>
                <c:pt idx="331">
                  <c:v>44771</c:v>
                </c:pt>
                <c:pt idx="332">
                  <c:v>44772</c:v>
                </c:pt>
                <c:pt idx="333">
                  <c:v>44773</c:v>
                </c:pt>
                <c:pt idx="334">
                  <c:v>44774</c:v>
                </c:pt>
                <c:pt idx="335">
                  <c:v>44775</c:v>
                </c:pt>
                <c:pt idx="336">
                  <c:v>44776</c:v>
                </c:pt>
                <c:pt idx="337">
                  <c:v>44777</c:v>
                </c:pt>
                <c:pt idx="338">
                  <c:v>44778</c:v>
                </c:pt>
                <c:pt idx="339">
                  <c:v>44779</c:v>
                </c:pt>
                <c:pt idx="340">
                  <c:v>44780</c:v>
                </c:pt>
                <c:pt idx="341">
                  <c:v>44781</c:v>
                </c:pt>
                <c:pt idx="342">
                  <c:v>44782</c:v>
                </c:pt>
                <c:pt idx="343">
                  <c:v>44783</c:v>
                </c:pt>
                <c:pt idx="344">
                  <c:v>44784</c:v>
                </c:pt>
                <c:pt idx="345">
                  <c:v>44785</c:v>
                </c:pt>
                <c:pt idx="346">
                  <c:v>44786</c:v>
                </c:pt>
                <c:pt idx="347">
                  <c:v>44787</c:v>
                </c:pt>
                <c:pt idx="348">
                  <c:v>44788</c:v>
                </c:pt>
                <c:pt idx="349">
                  <c:v>44789</c:v>
                </c:pt>
                <c:pt idx="350">
                  <c:v>44790</c:v>
                </c:pt>
                <c:pt idx="351">
                  <c:v>44791</c:v>
                </c:pt>
                <c:pt idx="352">
                  <c:v>44792</c:v>
                </c:pt>
                <c:pt idx="353">
                  <c:v>44793</c:v>
                </c:pt>
                <c:pt idx="354">
                  <c:v>44794</c:v>
                </c:pt>
                <c:pt idx="355">
                  <c:v>44795</c:v>
                </c:pt>
                <c:pt idx="356">
                  <c:v>44796</c:v>
                </c:pt>
                <c:pt idx="357">
                  <c:v>44797</c:v>
                </c:pt>
                <c:pt idx="358">
                  <c:v>44798</c:v>
                </c:pt>
                <c:pt idx="359">
                  <c:v>44799</c:v>
                </c:pt>
                <c:pt idx="360">
                  <c:v>44800</c:v>
                </c:pt>
                <c:pt idx="361">
                  <c:v>44801</c:v>
                </c:pt>
                <c:pt idx="362">
                  <c:v>44802</c:v>
                </c:pt>
                <c:pt idx="363">
                  <c:v>44803</c:v>
                </c:pt>
                <c:pt idx="364">
                  <c:v>44804</c:v>
                </c:pt>
                <c:pt idx="365">
                  <c:v>44805</c:v>
                </c:pt>
                <c:pt idx="366">
                  <c:v>44806</c:v>
                </c:pt>
                <c:pt idx="367">
                  <c:v>44807</c:v>
                </c:pt>
                <c:pt idx="368">
                  <c:v>44808</c:v>
                </c:pt>
                <c:pt idx="369">
                  <c:v>44809</c:v>
                </c:pt>
                <c:pt idx="370">
                  <c:v>44810</c:v>
                </c:pt>
                <c:pt idx="371">
                  <c:v>44811</c:v>
                </c:pt>
                <c:pt idx="372">
                  <c:v>44812</c:v>
                </c:pt>
                <c:pt idx="373">
                  <c:v>44813</c:v>
                </c:pt>
                <c:pt idx="374">
                  <c:v>44814</c:v>
                </c:pt>
                <c:pt idx="375">
                  <c:v>44815</c:v>
                </c:pt>
                <c:pt idx="376">
                  <c:v>44816</c:v>
                </c:pt>
                <c:pt idx="377">
                  <c:v>44817</c:v>
                </c:pt>
                <c:pt idx="378">
                  <c:v>44818</c:v>
                </c:pt>
                <c:pt idx="379">
                  <c:v>44819</c:v>
                </c:pt>
                <c:pt idx="380">
                  <c:v>44820</c:v>
                </c:pt>
                <c:pt idx="381">
                  <c:v>44821</c:v>
                </c:pt>
                <c:pt idx="382">
                  <c:v>44822</c:v>
                </c:pt>
                <c:pt idx="383">
                  <c:v>44823</c:v>
                </c:pt>
                <c:pt idx="384">
                  <c:v>44824</c:v>
                </c:pt>
                <c:pt idx="385">
                  <c:v>44825</c:v>
                </c:pt>
                <c:pt idx="386">
                  <c:v>44826</c:v>
                </c:pt>
                <c:pt idx="387">
                  <c:v>44827</c:v>
                </c:pt>
                <c:pt idx="388">
                  <c:v>44828</c:v>
                </c:pt>
                <c:pt idx="389">
                  <c:v>44829</c:v>
                </c:pt>
                <c:pt idx="390">
                  <c:v>44830</c:v>
                </c:pt>
                <c:pt idx="391">
                  <c:v>44831</c:v>
                </c:pt>
                <c:pt idx="392">
                  <c:v>44832</c:v>
                </c:pt>
                <c:pt idx="393">
                  <c:v>44833</c:v>
                </c:pt>
                <c:pt idx="394">
                  <c:v>44834</c:v>
                </c:pt>
                <c:pt idx="395">
                  <c:v>44835</c:v>
                </c:pt>
                <c:pt idx="396">
                  <c:v>44836</c:v>
                </c:pt>
                <c:pt idx="397">
                  <c:v>44837</c:v>
                </c:pt>
                <c:pt idx="398">
                  <c:v>44838</c:v>
                </c:pt>
                <c:pt idx="399">
                  <c:v>44839</c:v>
                </c:pt>
                <c:pt idx="400">
                  <c:v>44840</c:v>
                </c:pt>
                <c:pt idx="401">
                  <c:v>44841</c:v>
                </c:pt>
                <c:pt idx="402">
                  <c:v>44842</c:v>
                </c:pt>
                <c:pt idx="403">
                  <c:v>44843</c:v>
                </c:pt>
                <c:pt idx="404">
                  <c:v>44844</c:v>
                </c:pt>
                <c:pt idx="405">
                  <c:v>44845</c:v>
                </c:pt>
                <c:pt idx="406">
                  <c:v>44846</c:v>
                </c:pt>
                <c:pt idx="407">
                  <c:v>44847</c:v>
                </c:pt>
                <c:pt idx="408">
                  <c:v>44848</c:v>
                </c:pt>
                <c:pt idx="409">
                  <c:v>44849</c:v>
                </c:pt>
                <c:pt idx="410">
                  <c:v>44850</c:v>
                </c:pt>
                <c:pt idx="411">
                  <c:v>44851</c:v>
                </c:pt>
                <c:pt idx="412">
                  <c:v>44852</c:v>
                </c:pt>
                <c:pt idx="413">
                  <c:v>44853</c:v>
                </c:pt>
                <c:pt idx="414">
                  <c:v>44854</c:v>
                </c:pt>
                <c:pt idx="415">
                  <c:v>44855</c:v>
                </c:pt>
                <c:pt idx="416">
                  <c:v>44856</c:v>
                </c:pt>
                <c:pt idx="417">
                  <c:v>44857</c:v>
                </c:pt>
                <c:pt idx="418">
                  <c:v>44858</c:v>
                </c:pt>
                <c:pt idx="419">
                  <c:v>44859</c:v>
                </c:pt>
                <c:pt idx="420">
                  <c:v>44860</c:v>
                </c:pt>
                <c:pt idx="421">
                  <c:v>44861</c:v>
                </c:pt>
                <c:pt idx="422">
                  <c:v>44862</c:v>
                </c:pt>
                <c:pt idx="423">
                  <c:v>44863</c:v>
                </c:pt>
                <c:pt idx="424">
                  <c:v>44864</c:v>
                </c:pt>
                <c:pt idx="425">
                  <c:v>44865</c:v>
                </c:pt>
                <c:pt idx="426">
                  <c:v>44866</c:v>
                </c:pt>
                <c:pt idx="427">
                  <c:v>44867</c:v>
                </c:pt>
                <c:pt idx="428">
                  <c:v>44868</c:v>
                </c:pt>
                <c:pt idx="429">
                  <c:v>44869</c:v>
                </c:pt>
                <c:pt idx="430">
                  <c:v>44870</c:v>
                </c:pt>
                <c:pt idx="431">
                  <c:v>44871</c:v>
                </c:pt>
                <c:pt idx="432">
                  <c:v>44872</c:v>
                </c:pt>
                <c:pt idx="433">
                  <c:v>44873</c:v>
                </c:pt>
                <c:pt idx="434">
                  <c:v>44874</c:v>
                </c:pt>
                <c:pt idx="435">
                  <c:v>44875</c:v>
                </c:pt>
                <c:pt idx="436">
                  <c:v>44876</c:v>
                </c:pt>
                <c:pt idx="437">
                  <c:v>44877</c:v>
                </c:pt>
                <c:pt idx="438">
                  <c:v>44878</c:v>
                </c:pt>
                <c:pt idx="439">
                  <c:v>44879</c:v>
                </c:pt>
                <c:pt idx="440">
                  <c:v>44880</c:v>
                </c:pt>
                <c:pt idx="441">
                  <c:v>44881</c:v>
                </c:pt>
                <c:pt idx="442">
                  <c:v>44882</c:v>
                </c:pt>
                <c:pt idx="443">
                  <c:v>44883</c:v>
                </c:pt>
                <c:pt idx="444">
                  <c:v>44884</c:v>
                </c:pt>
                <c:pt idx="445">
                  <c:v>44885</c:v>
                </c:pt>
                <c:pt idx="446">
                  <c:v>44886</c:v>
                </c:pt>
                <c:pt idx="447">
                  <c:v>44887</c:v>
                </c:pt>
                <c:pt idx="448">
                  <c:v>44888</c:v>
                </c:pt>
                <c:pt idx="449">
                  <c:v>44889</c:v>
                </c:pt>
                <c:pt idx="450">
                  <c:v>44890</c:v>
                </c:pt>
                <c:pt idx="451">
                  <c:v>44891</c:v>
                </c:pt>
                <c:pt idx="452">
                  <c:v>44892</c:v>
                </c:pt>
                <c:pt idx="453">
                  <c:v>44893</c:v>
                </c:pt>
                <c:pt idx="454">
                  <c:v>44894</c:v>
                </c:pt>
                <c:pt idx="455">
                  <c:v>44895</c:v>
                </c:pt>
                <c:pt idx="456">
                  <c:v>44896</c:v>
                </c:pt>
                <c:pt idx="457">
                  <c:v>44897</c:v>
                </c:pt>
                <c:pt idx="458">
                  <c:v>44898</c:v>
                </c:pt>
                <c:pt idx="459">
                  <c:v>44899</c:v>
                </c:pt>
                <c:pt idx="460">
                  <c:v>44900</c:v>
                </c:pt>
                <c:pt idx="461">
                  <c:v>44901</c:v>
                </c:pt>
                <c:pt idx="462">
                  <c:v>44902</c:v>
                </c:pt>
                <c:pt idx="463">
                  <c:v>44903</c:v>
                </c:pt>
                <c:pt idx="464">
                  <c:v>44904</c:v>
                </c:pt>
                <c:pt idx="465">
                  <c:v>44905</c:v>
                </c:pt>
                <c:pt idx="466">
                  <c:v>44906</c:v>
                </c:pt>
                <c:pt idx="467">
                  <c:v>44907</c:v>
                </c:pt>
                <c:pt idx="468">
                  <c:v>44908</c:v>
                </c:pt>
                <c:pt idx="469">
                  <c:v>44909</c:v>
                </c:pt>
                <c:pt idx="470">
                  <c:v>44910</c:v>
                </c:pt>
                <c:pt idx="471">
                  <c:v>44911</c:v>
                </c:pt>
                <c:pt idx="472">
                  <c:v>44912</c:v>
                </c:pt>
                <c:pt idx="473">
                  <c:v>44913</c:v>
                </c:pt>
                <c:pt idx="474">
                  <c:v>44914</c:v>
                </c:pt>
                <c:pt idx="475">
                  <c:v>44915</c:v>
                </c:pt>
                <c:pt idx="476">
                  <c:v>44916</c:v>
                </c:pt>
                <c:pt idx="477">
                  <c:v>44917</c:v>
                </c:pt>
                <c:pt idx="478">
                  <c:v>44918</c:v>
                </c:pt>
                <c:pt idx="479">
                  <c:v>44919</c:v>
                </c:pt>
                <c:pt idx="480">
                  <c:v>44920</c:v>
                </c:pt>
                <c:pt idx="481">
                  <c:v>44921</c:v>
                </c:pt>
                <c:pt idx="482">
                  <c:v>44922</c:v>
                </c:pt>
                <c:pt idx="483">
                  <c:v>44923</c:v>
                </c:pt>
                <c:pt idx="484">
                  <c:v>44924</c:v>
                </c:pt>
                <c:pt idx="485">
                  <c:v>44925</c:v>
                </c:pt>
                <c:pt idx="486">
                  <c:v>44926</c:v>
                </c:pt>
                <c:pt idx="487">
                  <c:v>44927</c:v>
                </c:pt>
                <c:pt idx="488">
                  <c:v>44928</c:v>
                </c:pt>
                <c:pt idx="489">
                  <c:v>44929</c:v>
                </c:pt>
                <c:pt idx="490">
                  <c:v>44930</c:v>
                </c:pt>
                <c:pt idx="491">
                  <c:v>44931</c:v>
                </c:pt>
                <c:pt idx="492">
                  <c:v>44932</c:v>
                </c:pt>
                <c:pt idx="493">
                  <c:v>44933</c:v>
                </c:pt>
                <c:pt idx="494">
                  <c:v>44934</c:v>
                </c:pt>
                <c:pt idx="495">
                  <c:v>44935</c:v>
                </c:pt>
                <c:pt idx="496">
                  <c:v>44936</c:v>
                </c:pt>
                <c:pt idx="497">
                  <c:v>44937</c:v>
                </c:pt>
                <c:pt idx="498">
                  <c:v>44938</c:v>
                </c:pt>
                <c:pt idx="499">
                  <c:v>44939</c:v>
                </c:pt>
                <c:pt idx="500">
                  <c:v>44940</c:v>
                </c:pt>
                <c:pt idx="501">
                  <c:v>44941</c:v>
                </c:pt>
                <c:pt idx="502">
                  <c:v>44942</c:v>
                </c:pt>
                <c:pt idx="503">
                  <c:v>44943</c:v>
                </c:pt>
                <c:pt idx="504">
                  <c:v>44944</c:v>
                </c:pt>
                <c:pt idx="505">
                  <c:v>44945</c:v>
                </c:pt>
                <c:pt idx="506">
                  <c:v>44946</c:v>
                </c:pt>
                <c:pt idx="507">
                  <c:v>44947</c:v>
                </c:pt>
                <c:pt idx="508">
                  <c:v>44948</c:v>
                </c:pt>
                <c:pt idx="509">
                  <c:v>44949</c:v>
                </c:pt>
                <c:pt idx="510">
                  <c:v>44950</c:v>
                </c:pt>
                <c:pt idx="511">
                  <c:v>44951</c:v>
                </c:pt>
                <c:pt idx="512">
                  <c:v>44952</c:v>
                </c:pt>
                <c:pt idx="513">
                  <c:v>44953</c:v>
                </c:pt>
                <c:pt idx="514">
                  <c:v>44954</c:v>
                </c:pt>
                <c:pt idx="515">
                  <c:v>44955</c:v>
                </c:pt>
                <c:pt idx="516">
                  <c:v>44956</c:v>
                </c:pt>
                <c:pt idx="517">
                  <c:v>44957</c:v>
                </c:pt>
                <c:pt idx="518">
                  <c:v>44958</c:v>
                </c:pt>
                <c:pt idx="519">
                  <c:v>44959</c:v>
                </c:pt>
                <c:pt idx="520">
                  <c:v>44960</c:v>
                </c:pt>
                <c:pt idx="521">
                  <c:v>44961</c:v>
                </c:pt>
                <c:pt idx="522">
                  <c:v>44962</c:v>
                </c:pt>
                <c:pt idx="523">
                  <c:v>44963</c:v>
                </c:pt>
                <c:pt idx="524">
                  <c:v>44964</c:v>
                </c:pt>
                <c:pt idx="525">
                  <c:v>44965</c:v>
                </c:pt>
                <c:pt idx="526">
                  <c:v>44966</c:v>
                </c:pt>
                <c:pt idx="527">
                  <c:v>44967</c:v>
                </c:pt>
                <c:pt idx="528">
                  <c:v>44968</c:v>
                </c:pt>
                <c:pt idx="529">
                  <c:v>44969</c:v>
                </c:pt>
                <c:pt idx="530">
                  <c:v>44970</c:v>
                </c:pt>
                <c:pt idx="531">
                  <c:v>44971</c:v>
                </c:pt>
                <c:pt idx="532">
                  <c:v>44972</c:v>
                </c:pt>
                <c:pt idx="533">
                  <c:v>44973</c:v>
                </c:pt>
                <c:pt idx="534">
                  <c:v>44974</c:v>
                </c:pt>
                <c:pt idx="535">
                  <c:v>44975</c:v>
                </c:pt>
                <c:pt idx="536">
                  <c:v>44976</c:v>
                </c:pt>
                <c:pt idx="537">
                  <c:v>44977</c:v>
                </c:pt>
                <c:pt idx="538">
                  <c:v>44978</c:v>
                </c:pt>
                <c:pt idx="539">
                  <c:v>44979</c:v>
                </c:pt>
                <c:pt idx="540">
                  <c:v>44980</c:v>
                </c:pt>
                <c:pt idx="541">
                  <c:v>44981</c:v>
                </c:pt>
                <c:pt idx="542">
                  <c:v>44982</c:v>
                </c:pt>
                <c:pt idx="543">
                  <c:v>44983</c:v>
                </c:pt>
                <c:pt idx="544">
                  <c:v>44984</c:v>
                </c:pt>
                <c:pt idx="545">
                  <c:v>44985</c:v>
                </c:pt>
                <c:pt idx="546">
                  <c:v>44986</c:v>
                </c:pt>
                <c:pt idx="547">
                  <c:v>44987</c:v>
                </c:pt>
                <c:pt idx="548">
                  <c:v>44988</c:v>
                </c:pt>
                <c:pt idx="549">
                  <c:v>44989</c:v>
                </c:pt>
                <c:pt idx="550">
                  <c:v>44990</c:v>
                </c:pt>
                <c:pt idx="551">
                  <c:v>44991</c:v>
                </c:pt>
                <c:pt idx="552">
                  <c:v>44992</c:v>
                </c:pt>
                <c:pt idx="553">
                  <c:v>44993</c:v>
                </c:pt>
                <c:pt idx="554">
                  <c:v>44994</c:v>
                </c:pt>
                <c:pt idx="555">
                  <c:v>44995</c:v>
                </c:pt>
                <c:pt idx="556">
                  <c:v>44996</c:v>
                </c:pt>
                <c:pt idx="557">
                  <c:v>44997</c:v>
                </c:pt>
                <c:pt idx="558">
                  <c:v>44998</c:v>
                </c:pt>
                <c:pt idx="559">
                  <c:v>44999</c:v>
                </c:pt>
                <c:pt idx="560">
                  <c:v>45000</c:v>
                </c:pt>
                <c:pt idx="561">
                  <c:v>45001</c:v>
                </c:pt>
                <c:pt idx="562">
                  <c:v>45002</c:v>
                </c:pt>
                <c:pt idx="563">
                  <c:v>45003</c:v>
                </c:pt>
                <c:pt idx="564">
                  <c:v>45004</c:v>
                </c:pt>
                <c:pt idx="565">
                  <c:v>45005</c:v>
                </c:pt>
                <c:pt idx="566">
                  <c:v>45006</c:v>
                </c:pt>
                <c:pt idx="567">
                  <c:v>45007</c:v>
                </c:pt>
                <c:pt idx="568">
                  <c:v>45008</c:v>
                </c:pt>
                <c:pt idx="569">
                  <c:v>45009</c:v>
                </c:pt>
                <c:pt idx="570">
                  <c:v>45010</c:v>
                </c:pt>
                <c:pt idx="571">
                  <c:v>45011</c:v>
                </c:pt>
                <c:pt idx="572">
                  <c:v>45012</c:v>
                </c:pt>
                <c:pt idx="573">
                  <c:v>45013</c:v>
                </c:pt>
                <c:pt idx="574">
                  <c:v>45014</c:v>
                </c:pt>
                <c:pt idx="575">
                  <c:v>45015</c:v>
                </c:pt>
                <c:pt idx="576">
                  <c:v>45016</c:v>
                </c:pt>
                <c:pt idx="577">
                  <c:v>45017</c:v>
                </c:pt>
                <c:pt idx="578">
                  <c:v>45018</c:v>
                </c:pt>
                <c:pt idx="579">
                  <c:v>45019</c:v>
                </c:pt>
                <c:pt idx="580">
                  <c:v>45020</c:v>
                </c:pt>
                <c:pt idx="581">
                  <c:v>45021</c:v>
                </c:pt>
                <c:pt idx="582">
                  <c:v>45022</c:v>
                </c:pt>
                <c:pt idx="583">
                  <c:v>45023</c:v>
                </c:pt>
                <c:pt idx="584">
                  <c:v>45024</c:v>
                </c:pt>
                <c:pt idx="585">
                  <c:v>45025</c:v>
                </c:pt>
                <c:pt idx="586">
                  <c:v>45026</c:v>
                </c:pt>
                <c:pt idx="587">
                  <c:v>45027</c:v>
                </c:pt>
                <c:pt idx="588">
                  <c:v>45028</c:v>
                </c:pt>
                <c:pt idx="589">
                  <c:v>45029</c:v>
                </c:pt>
                <c:pt idx="590">
                  <c:v>45030</c:v>
                </c:pt>
                <c:pt idx="591">
                  <c:v>45031</c:v>
                </c:pt>
                <c:pt idx="592">
                  <c:v>45032</c:v>
                </c:pt>
                <c:pt idx="593">
                  <c:v>45033</c:v>
                </c:pt>
                <c:pt idx="594">
                  <c:v>45034</c:v>
                </c:pt>
                <c:pt idx="595">
                  <c:v>45035</c:v>
                </c:pt>
                <c:pt idx="596">
                  <c:v>45036</c:v>
                </c:pt>
                <c:pt idx="597">
                  <c:v>45037</c:v>
                </c:pt>
                <c:pt idx="598">
                  <c:v>45038</c:v>
                </c:pt>
                <c:pt idx="599">
                  <c:v>45039</c:v>
                </c:pt>
                <c:pt idx="600">
                  <c:v>45040</c:v>
                </c:pt>
                <c:pt idx="601">
                  <c:v>45041</c:v>
                </c:pt>
                <c:pt idx="602">
                  <c:v>45042</c:v>
                </c:pt>
                <c:pt idx="603">
                  <c:v>45043</c:v>
                </c:pt>
                <c:pt idx="604">
                  <c:v>45044</c:v>
                </c:pt>
                <c:pt idx="605">
                  <c:v>45045</c:v>
                </c:pt>
                <c:pt idx="606">
                  <c:v>45046</c:v>
                </c:pt>
                <c:pt idx="607">
                  <c:v>45047</c:v>
                </c:pt>
                <c:pt idx="608">
                  <c:v>45048</c:v>
                </c:pt>
                <c:pt idx="609">
                  <c:v>45049</c:v>
                </c:pt>
                <c:pt idx="610">
                  <c:v>45050</c:v>
                </c:pt>
                <c:pt idx="611">
                  <c:v>45051</c:v>
                </c:pt>
                <c:pt idx="612">
                  <c:v>45052</c:v>
                </c:pt>
                <c:pt idx="613">
                  <c:v>45053</c:v>
                </c:pt>
                <c:pt idx="614">
                  <c:v>45054</c:v>
                </c:pt>
                <c:pt idx="615">
                  <c:v>45055</c:v>
                </c:pt>
                <c:pt idx="616">
                  <c:v>45056</c:v>
                </c:pt>
                <c:pt idx="617">
                  <c:v>45057</c:v>
                </c:pt>
                <c:pt idx="618">
                  <c:v>45058</c:v>
                </c:pt>
                <c:pt idx="619">
                  <c:v>45059</c:v>
                </c:pt>
                <c:pt idx="620">
                  <c:v>45060</c:v>
                </c:pt>
                <c:pt idx="621">
                  <c:v>45061</c:v>
                </c:pt>
                <c:pt idx="622">
                  <c:v>45062</c:v>
                </c:pt>
                <c:pt idx="623">
                  <c:v>45063</c:v>
                </c:pt>
                <c:pt idx="624">
                  <c:v>45064</c:v>
                </c:pt>
                <c:pt idx="625">
                  <c:v>45065</c:v>
                </c:pt>
                <c:pt idx="626">
                  <c:v>45066</c:v>
                </c:pt>
                <c:pt idx="627">
                  <c:v>45067</c:v>
                </c:pt>
                <c:pt idx="628">
                  <c:v>45068</c:v>
                </c:pt>
                <c:pt idx="629">
                  <c:v>45069</c:v>
                </c:pt>
                <c:pt idx="630">
                  <c:v>45070</c:v>
                </c:pt>
                <c:pt idx="631">
                  <c:v>45071</c:v>
                </c:pt>
                <c:pt idx="632">
                  <c:v>45072</c:v>
                </c:pt>
                <c:pt idx="633">
                  <c:v>45073</c:v>
                </c:pt>
                <c:pt idx="634">
                  <c:v>45074</c:v>
                </c:pt>
                <c:pt idx="635">
                  <c:v>45075</c:v>
                </c:pt>
                <c:pt idx="636">
                  <c:v>45076</c:v>
                </c:pt>
                <c:pt idx="637">
                  <c:v>45077</c:v>
                </c:pt>
                <c:pt idx="638">
                  <c:v>45078</c:v>
                </c:pt>
                <c:pt idx="639">
                  <c:v>45079</c:v>
                </c:pt>
                <c:pt idx="640">
                  <c:v>45080</c:v>
                </c:pt>
                <c:pt idx="641">
                  <c:v>45081</c:v>
                </c:pt>
                <c:pt idx="642">
                  <c:v>45082</c:v>
                </c:pt>
                <c:pt idx="643">
                  <c:v>45083</c:v>
                </c:pt>
                <c:pt idx="644">
                  <c:v>45084</c:v>
                </c:pt>
                <c:pt idx="645">
                  <c:v>45085</c:v>
                </c:pt>
                <c:pt idx="646">
                  <c:v>45086</c:v>
                </c:pt>
                <c:pt idx="647">
                  <c:v>45087</c:v>
                </c:pt>
                <c:pt idx="648">
                  <c:v>45088</c:v>
                </c:pt>
                <c:pt idx="649">
                  <c:v>45089</c:v>
                </c:pt>
                <c:pt idx="650">
                  <c:v>45090</c:v>
                </c:pt>
                <c:pt idx="651">
                  <c:v>45091</c:v>
                </c:pt>
                <c:pt idx="652">
                  <c:v>45092</c:v>
                </c:pt>
                <c:pt idx="653">
                  <c:v>45093</c:v>
                </c:pt>
                <c:pt idx="654">
                  <c:v>45094</c:v>
                </c:pt>
                <c:pt idx="655">
                  <c:v>45095</c:v>
                </c:pt>
                <c:pt idx="656">
                  <c:v>45096</c:v>
                </c:pt>
                <c:pt idx="657">
                  <c:v>45097</c:v>
                </c:pt>
                <c:pt idx="658">
                  <c:v>45098</c:v>
                </c:pt>
                <c:pt idx="659">
                  <c:v>45099</c:v>
                </c:pt>
                <c:pt idx="660">
                  <c:v>45100</c:v>
                </c:pt>
                <c:pt idx="661">
                  <c:v>45101</c:v>
                </c:pt>
                <c:pt idx="662">
                  <c:v>45102</c:v>
                </c:pt>
                <c:pt idx="663">
                  <c:v>45103</c:v>
                </c:pt>
                <c:pt idx="664">
                  <c:v>45104</c:v>
                </c:pt>
                <c:pt idx="665">
                  <c:v>45105</c:v>
                </c:pt>
                <c:pt idx="666">
                  <c:v>45106</c:v>
                </c:pt>
                <c:pt idx="667">
                  <c:v>45107</c:v>
                </c:pt>
                <c:pt idx="668">
                  <c:v>45108</c:v>
                </c:pt>
                <c:pt idx="669">
                  <c:v>45109</c:v>
                </c:pt>
                <c:pt idx="670">
                  <c:v>45110</c:v>
                </c:pt>
                <c:pt idx="671">
                  <c:v>45111</c:v>
                </c:pt>
                <c:pt idx="672">
                  <c:v>45112</c:v>
                </c:pt>
                <c:pt idx="673">
                  <c:v>45113</c:v>
                </c:pt>
                <c:pt idx="674">
                  <c:v>45114</c:v>
                </c:pt>
                <c:pt idx="675">
                  <c:v>45115</c:v>
                </c:pt>
                <c:pt idx="676">
                  <c:v>45116</c:v>
                </c:pt>
                <c:pt idx="677">
                  <c:v>45117</c:v>
                </c:pt>
                <c:pt idx="678">
                  <c:v>45118</c:v>
                </c:pt>
                <c:pt idx="679">
                  <c:v>45119</c:v>
                </c:pt>
                <c:pt idx="680">
                  <c:v>45120</c:v>
                </c:pt>
                <c:pt idx="681">
                  <c:v>45121</c:v>
                </c:pt>
                <c:pt idx="682">
                  <c:v>45122</c:v>
                </c:pt>
                <c:pt idx="683">
                  <c:v>45123</c:v>
                </c:pt>
                <c:pt idx="684">
                  <c:v>45124</c:v>
                </c:pt>
                <c:pt idx="685">
                  <c:v>45125</c:v>
                </c:pt>
                <c:pt idx="686">
                  <c:v>45126</c:v>
                </c:pt>
                <c:pt idx="687">
                  <c:v>45127</c:v>
                </c:pt>
                <c:pt idx="688">
                  <c:v>45128</c:v>
                </c:pt>
                <c:pt idx="689">
                  <c:v>45129</c:v>
                </c:pt>
                <c:pt idx="690">
                  <c:v>45130</c:v>
                </c:pt>
                <c:pt idx="691">
                  <c:v>45131</c:v>
                </c:pt>
                <c:pt idx="692">
                  <c:v>45132</c:v>
                </c:pt>
                <c:pt idx="693">
                  <c:v>45133</c:v>
                </c:pt>
                <c:pt idx="694">
                  <c:v>45134</c:v>
                </c:pt>
                <c:pt idx="695">
                  <c:v>45135</c:v>
                </c:pt>
                <c:pt idx="696">
                  <c:v>45136</c:v>
                </c:pt>
                <c:pt idx="697">
                  <c:v>45137</c:v>
                </c:pt>
                <c:pt idx="698">
                  <c:v>45138</c:v>
                </c:pt>
                <c:pt idx="699">
                  <c:v>45139</c:v>
                </c:pt>
                <c:pt idx="700">
                  <c:v>45140</c:v>
                </c:pt>
                <c:pt idx="701">
                  <c:v>45141</c:v>
                </c:pt>
                <c:pt idx="702">
                  <c:v>45142</c:v>
                </c:pt>
                <c:pt idx="703">
                  <c:v>45143</c:v>
                </c:pt>
                <c:pt idx="704">
                  <c:v>45144</c:v>
                </c:pt>
                <c:pt idx="705">
                  <c:v>45145</c:v>
                </c:pt>
                <c:pt idx="706">
                  <c:v>45146</c:v>
                </c:pt>
                <c:pt idx="707">
                  <c:v>45147</c:v>
                </c:pt>
                <c:pt idx="708">
                  <c:v>45148</c:v>
                </c:pt>
                <c:pt idx="709">
                  <c:v>45149</c:v>
                </c:pt>
                <c:pt idx="710">
                  <c:v>45150</c:v>
                </c:pt>
                <c:pt idx="711">
                  <c:v>45151</c:v>
                </c:pt>
                <c:pt idx="712">
                  <c:v>45152</c:v>
                </c:pt>
                <c:pt idx="713">
                  <c:v>45153</c:v>
                </c:pt>
                <c:pt idx="714">
                  <c:v>45154</c:v>
                </c:pt>
                <c:pt idx="715">
                  <c:v>45155</c:v>
                </c:pt>
                <c:pt idx="716">
                  <c:v>45156</c:v>
                </c:pt>
                <c:pt idx="717">
                  <c:v>45157</c:v>
                </c:pt>
                <c:pt idx="718">
                  <c:v>45158</c:v>
                </c:pt>
                <c:pt idx="719">
                  <c:v>45159</c:v>
                </c:pt>
                <c:pt idx="720">
                  <c:v>45160</c:v>
                </c:pt>
                <c:pt idx="721">
                  <c:v>45161</c:v>
                </c:pt>
                <c:pt idx="722">
                  <c:v>45162</c:v>
                </c:pt>
                <c:pt idx="723">
                  <c:v>45163</c:v>
                </c:pt>
                <c:pt idx="724">
                  <c:v>45164</c:v>
                </c:pt>
                <c:pt idx="725">
                  <c:v>45165</c:v>
                </c:pt>
                <c:pt idx="726">
                  <c:v>45166</c:v>
                </c:pt>
                <c:pt idx="727">
                  <c:v>45167</c:v>
                </c:pt>
                <c:pt idx="728">
                  <c:v>45168</c:v>
                </c:pt>
                <c:pt idx="729">
                  <c:v>45169</c:v>
                </c:pt>
                <c:pt idx="730">
                  <c:v>45170</c:v>
                </c:pt>
                <c:pt idx="731">
                  <c:v>45171</c:v>
                </c:pt>
                <c:pt idx="732">
                  <c:v>45172</c:v>
                </c:pt>
                <c:pt idx="733">
                  <c:v>45173</c:v>
                </c:pt>
                <c:pt idx="734">
                  <c:v>45174</c:v>
                </c:pt>
                <c:pt idx="735">
                  <c:v>45175</c:v>
                </c:pt>
                <c:pt idx="736">
                  <c:v>45176</c:v>
                </c:pt>
                <c:pt idx="737">
                  <c:v>45177</c:v>
                </c:pt>
                <c:pt idx="738">
                  <c:v>45178</c:v>
                </c:pt>
                <c:pt idx="739">
                  <c:v>45179</c:v>
                </c:pt>
                <c:pt idx="740">
                  <c:v>45180</c:v>
                </c:pt>
                <c:pt idx="741">
                  <c:v>45181</c:v>
                </c:pt>
                <c:pt idx="742">
                  <c:v>45182</c:v>
                </c:pt>
                <c:pt idx="743">
                  <c:v>45183</c:v>
                </c:pt>
                <c:pt idx="744">
                  <c:v>45184</c:v>
                </c:pt>
                <c:pt idx="745">
                  <c:v>45185</c:v>
                </c:pt>
                <c:pt idx="746">
                  <c:v>45186</c:v>
                </c:pt>
                <c:pt idx="747">
                  <c:v>45187</c:v>
                </c:pt>
                <c:pt idx="748">
                  <c:v>45188</c:v>
                </c:pt>
                <c:pt idx="749">
                  <c:v>45189</c:v>
                </c:pt>
                <c:pt idx="750">
                  <c:v>45190</c:v>
                </c:pt>
                <c:pt idx="751">
                  <c:v>45191</c:v>
                </c:pt>
                <c:pt idx="752">
                  <c:v>45192</c:v>
                </c:pt>
                <c:pt idx="753">
                  <c:v>45193</c:v>
                </c:pt>
                <c:pt idx="754">
                  <c:v>45194</c:v>
                </c:pt>
                <c:pt idx="755">
                  <c:v>45195</c:v>
                </c:pt>
                <c:pt idx="756">
                  <c:v>45196</c:v>
                </c:pt>
                <c:pt idx="757">
                  <c:v>45197</c:v>
                </c:pt>
                <c:pt idx="758">
                  <c:v>45198</c:v>
                </c:pt>
                <c:pt idx="759">
                  <c:v>45199</c:v>
                </c:pt>
                <c:pt idx="760">
                  <c:v>45200</c:v>
                </c:pt>
                <c:pt idx="761">
                  <c:v>45201</c:v>
                </c:pt>
                <c:pt idx="762">
                  <c:v>45202</c:v>
                </c:pt>
                <c:pt idx="763">
                  <c:v>45203</c:v>
                </c:pt>
                <c:pt idx="764">
                  <c:v>45204</c:v>
                </c:pt>
                <c:pt idx="765">
                  <c:v>45205</c:v>
                </c:pt>
                <c:pt idx="766">
                  <c:v>45206</c:v>
                </c:pt>
                <c:pt idx="767">
                  <c:v>45207</c:v>
                </c:pt>
                <c:pt idx="768">
                  <c:v>45208</c:v>
                </c:pt>
                <c:pt idx="769">
                  <c:v>45209</c:v>
                </c:pt>
                <c:pt idx="770">
                  <c:v>45210</c:v>
                </c:pt>
                <c:pt idx="771">
                  <c:v>45211</c:v>
                </c:pt>
                <c:pt idx="772">
                  <c:v>45212</c:v>
                </c:pt>
                <c:pt idx="773">
                  <c:v>45213</c:v>
                </c:pt>
                <c:pt idx="774">
                  <c:v>45214</c:v>
                </c:pt>
                <c:pt idx="775">
                  <c:v>45215</c:v>
                </c:pt>
                <c:pt idx="776">
                  <c:v>45216</c:v>
                </c:pt>
                <c:pt idx="777">
                  <c:v>45217</c:v>
                </c:pt>
                <c:pt idx="778">
                  <c:v>45218</c:v>
                </c:pt>
                <c:pt idx="779">
                  <c:v>45219</c:v>
                </c:pt>
                <c:pt idx="780">
                  <c:v>45220</c:v>
                </c:pt>
                <c:pt idx="781">
                  <c:v>45221</c:v>
                </c:pt>
                <c:pt idx="782">
                  <c:v>45222</c:v>
                </c:pt>
                <c:pt idx="783">
                  <c:v>45223</c:v>
                </c:pt>
                <c:pt idx="784">
                  <c:v>45224</c:v>
                </c:pt>
                <c:pt idx="785">
                  <c:v>45225</c:v>
                </c:pt>
                <c:pt idx="786">
                  <c:v>45226</c:v>
                </c:pt>
                <c:pt idx="787">
                  <c:v>45227</c:v>
                </c:pt>
                <c:pt idx="788">
                  <c:v>45228</c:v>
                </c:pt>
                <c:pt idx="789">
                  <c:v>45229</c:v>
                </c:pt>
                <c:pt idx="790">
                  <c:v>45230</c:v>
                </c:pt>
                <c:pt idx="791">
                  <c:v>45231</c:v>
                </c:pt>
                <c:pt idx="792">
                  <c:v>45232</c:v>
                </c:pt>
                <c:pt idx="793">
                  <c:v>45233</c:v>
                </c:pt>
                <c:pt idx="794">
                  <c:v>45234</c:v>
                </c:pt>
                <c:pt idx="795">
                  <c:v>45235</c:v>
                </c:pt>
                <c:pt idx="796">
                  <c:v>45236</c:v>
                </c:pt>
                <c:pt idx="797">
                  <c:v>45237</c:v>
                </c:pt>
                <c:pt idx="798">
                  <c:v>45238</c:v>
                </c:pt>
                <c:pt idx="799">
                  <c:v>45239</c:v>
                </c:pt>
                <c:pt idx="800">
                  <c:v>45240</c:v>
                </c:pt>
                <c:pt idx="801">
                  <c:v>45241</c:v>
                </c:pt>
                <c:pt idx="802">
                  <c:v>45242</c:v>
                </c:pt>
                <c:pt idx="803">
                  <c:v>45243</c:v>
                </c:pt>
                <c:pt idx="804">
                  <c:v>45244</c:v>
                </c:pt>
                <c:pt idx="805">
                  <c:v>45245</c:v>
                </c:pt>
                <c:pt idx="806">
                  <c:v>45246</c:v>
                </c:pt>
                <c:pt idx="807">
                  <c:v>45247</c:v>
                </c:pt>
                <c:pt idx="808">
                  <c:v>45248</c:v>
                </c:pt>
                <c:pt idx="809">
                  <c:v>45249</c:v>
                </c:pt>
                <c:pt idx="810">
                  <c:v>45250</c:v>
                </c:pt>
                <c:pt idx="811">
                  <c:v>45251</c:v>
                </c:pt>
                <c:pt idx="812">
                  <c:v>45252</c:v>
                </c:pt>
                <c:pt idx="813">
                  <c:v>45253</c:v>
                </c:pt>
                <c:pt idx="814">
                  <c:v>45254</c:v>
                </c:pt>
                <c:pt idx="815">
                  <c:v>45255</c:v>
                </c:pt>
                <c:pt idx="816">
                  <c:v>45256</c:v>
                </c:pt>
                <c:pt idx="817">
                  <c:v>45257</c:v>
                </c:pt>
                <c:pt idx="818">
                  <c:v>45258</c:v>
                </c:pt>
                <c:pt idx="819">
                  <c:v>45259</c:v>
                </c:pt>
                <c:pt idx="820">
                  <c:v>45260</c:v>
                </c:pt>
                <c:pt idx="821">
                  <c:v>45261</c:v>
                </c:pt>
                <c:pt idx="822">
                  <c:v>45262</c:v>
                </c:pt>
                <c:pt idx="823">
                  <c:v>45263</c:v>
                </c:pt>
                <c:pt idx="824">
                  <c:v>45264</c:v>
                </c:pt>
                <c:pt idx="825">
                  <c:v>45265</c:v>
                </c:pt>
                <c:pt idx="826">
                  <c:v>45266</c:v>
                </c:pt>
                <c:pt idx="827">
                  <c:v>45267</c:v>
                </c:pt>
                <c:pt idx="828">
                  <c:v>45268</c:v>
                </c:pt>
                <c:pt idx="829">
                  <c:v>45269</c:v>
                </c:pt>
                <c:pt idx="830">
                  <c:v>45270</c:v>
                </c:pt>
                <c:pt idx="831">
                  <c:v>45271</c:v>
                </c:pt>
                <c:pt idx="832">
                  <c:v>45272</c:v>
                </c:pt>
                <c:pt idx="833">
                  <c:v>45273</c:v>
                </c:pt>
                <c:pt idx="834">
                  <c:v>45274</c:v>
                </c:pt>
                <c:pt idx="835">
                  <c:v>45275</c:v>
                </c:pt>
                <c:pt idx="836">
                  <c:v>45276</c:v>
                </c:pt>
                <c:pt idx="837">
                  <c:v>45277</c:v>
                </c:pt>
                <c:pt idx="838">
                  <c:v>45278</c:v>
                </c:pt>
                <c:pt idx="839">
                  <c:v>45279</c:v>
                </c:pt>
                <c:pt idx="840">
                  <c:v>45280</c:v>
                </c:pt>
                <c:pt idx="841">
                  <c:v>45281</c:v>
                </c:pt>
                <c:pt idx="842">
                  <c:v>45282</c:v>
                </c:pt>
                <c:pt idx="843">
                  <c:v>45283</c:v>
                </c:pt>
                <c:pt idx="844">
                  <c:v>45284</c:v>
                </c:pt>
                <c:pt idx="845">
                  <c:v>45285</c:v>
                </c:pt>
                <c:pt idx="846">
                  <c:v>45286</c:v>
                </c:pt>
                <c:pt idx="847">
                  <c:v>45287</c:v>
                </c:pt>
                <c:pt idx="848">
                  <c:v>45288</c:v>
                </c:pt>
                <c:pt idx="849">
                  <c:v>45289</c:v>
                </c:pt>
                <c:pt idx="850">
                  <c:v>45290</c:v>
                </c:pt>
                <c:pt idx="851">
                  <c:v>45291</c:v>
                </c:pt>
              </c:numCache>
            </c:numRef>
          </c:cat>
          <c:val>
            <c:numRef>
              <c:f>Health!$K$32:$K$1610</c:f>
              <c:numCache>
                <c:formatCode>General</c:formatCode>
                <c:ptCount val="1579"/>
                <c:pt idx="0">
                  <c:v>147.4</c:v>
                </c:pt>
                <c:pt idx="7">
                  <c:v>147.80000000000001</c:v>
                </c:pt>
                <c:pt idx="14">
                  <c:v>146.80000000000001</c:v>
                </c:pt>
                <c:pt idx="21">
                  <c:v>148.6</c:v>
                </c:pt>
                <c:pt idx="28">
                  <c:v>149.80000000000001</c:v>
                </c:pt>
                <c:pt idx="35">
                  <c:v>148.80000000000001</c:v>
                </c:pt>
                <c:pt idx="42">
                  <c:v>146</c:v>
                </c:pt>
                <c:pt idx="49">
                  <c:v>151</c:v>
                </c:pt>
                <c:pt idx="56">
                  <c:v>153</c:v>
                </c:pt>
                <c:pt idx="63">
                  <c:v>152.19999999999999</c:v>
                </c:pt>
                <c:pt idx="70">
                  <c:v>151</c:v>
                </c:pt>
                <c:pt idx="77">
                  <c:v>151</c:v>
                </c:pt>
                <c:pt idx="84">
                  <c:v>157.6</c:v>
                </c:pt>
                <c:pt idx="91">
                  <c:v>154.6</c:v>
                </c:pt>
                <c:pt idx="98">
                  <c:v>157.6</c:v>
                </c:pt>
                <c:pt idx="105">
                  <c:v>157.4</c:v>
                </c:pt>
                <c:pt idx="112">
                  <c:v>160.19999999999999</c:v>
                </c:pt>
                <c:pt idx="126">
                  <c:v>161.19999999999999</c:v>
                </c:pt>
                <c:pt idx="133">
                  <c:v>162.19999999999999</c:v>
                </c:pt>
                <c:pt idx="140">
                  <c:v>158.4</c:v>
                </c:pt>
                <c:pt idx="147">
                  <c:v>158</c:v>
                </c:pt>
                <c:pt idx="154">
                  <c:v>159.19999999999999</c:v>
                </c:pt>
                <c:pt idx="161">
                  <c:v>159.80000000000001</c:v>
                </c:pt>
                <c:pt idx="168">
                  <c:v>162.4</c:v>
                </c:pt>
                <c:pt idx="175">
                  <c:v>163.19999999999999</c:v>
                </c:pt>
                <c:pt idx="182">
                  <c:v>162.80000000000001</c:v>
                </c:pt>
                <c:pt idx="196">
                  <c:v>164.2</c:v>
                </c:pt>
                <c:pt idx="203">
                  <c:v>160.19999999999999</c:v>
                </c:pt>
                <c:pt idx="210">
                  <c:v>162.19999999999999</c:v>
                </c:pt>
                <c:pt idx="217">
                  <c:v>165.2</c:v>
                </c:pt>
                <c:pt idx="224">
                  <c:v>161</c:v>
                </c:pt>
                <c:pt idx="231">
                  <c:v>161.80000000000001</c:v>
                </c:pt>
                <c:pt idx="238">
                  <c:v>161.6</c:v>
                </c:pt>
                <c:pt idx="245">
                  <c:v>161.19999999999999</c:v>
                </c:pt>
                <c:pt idx="252">
                  <c:v>168.8</c:v>
                </c:pt>
                <c:pt idx="259">
                  <c:v>166.4</c:v>
                </c:pt>
                <c:pt idx="266">
                  <c:v>165.8</c:v>
                </c:pt>
                <c:pt idx="273">
                  <c:v>168</c:v>
                </c:pt>
                <c:pt idx="280">
                  <c:v>166.6</c:v>
                </c:pt>
                <c:pt idx="287">
                  <c:v>165</c:v>
                </c:pt>
                <c:pt idx="294">
                  <c:v>166</c:v>
                </c:pt>
                <c:pt idx="301">
                  <c:v>167.6</c:v>
                </c:pt>
                <c:pt idx="308">
                  <c:v>170.4</c:v>
                </c:pt>
                <c:pt idx="315">
                  <c:v>168.6</c:v>
                </c:pt>
                <c:pt idx="322">
                  <c:v>167.6</c:v>
                </c:pt>
                <c:pt idx="329">
                  <c:v>170.4</c:v>
                </c:pt>
                <c:pt idx="336">
                  <c:v>172.6</c:v>
                </c:pt>
                <c:pt idx="343">
                  <c:v>169.6</c:v>
                </c:pt>
                <c:pt idx="350">
                  <c:v>167.2</c:v>
                </c:pt>
                <c:pt idx="357">
                  <c:v>169.6</c:v>
                </c:pt>
                <c:pt idx="364">
                  <c:v>170.4</c:v>
                </c:pt>
                <c:pt idx="371">
                  <c:v>170</c:v>
                </c:pt>
                <c:pt idx="378">
                  <c:v>173.4</c:v>
                </c:pt>
                <c:pt idx="385">
                  <c:v>175</c:v>
                </c:pt>
                <c:pt idx="392">
                  <c:v>177.2</c:v>
                </c:pt>
                <c:pt idx="399">
                  <c:v>176.8</c:v>
                </c:pt>
                <c:pt idx="413">
                  <c:v>180.2</c:v>
                </c:pt>
                <c:pt idx="420">
                  <c:v>177.4</c:v>
                </c:pt>
                <c:pt idx="427">
                  <c:v>182.6</c:v>
                </c:pt>
                <c:pt idx="434">
                  <c:v>181.8</c:v>
                </c:pt>
                <c:pt idx="441">
                  <c:v>181.2</c:v>
                </c:pt>
                <c:pt idx="448">
                  <c:v>181.2</c:v>
                </c:pt>
                <c:pt idx="455">
                  <c:v>180.4</c:v>
                </c:pt>
                <c:pt idx="462">
                  <c:v>179.6</c:v>
                </c:pt>
                <c:pt idx="470">
                  <c:v>179</c:v>
                </c:pt>
                <c:pt idx="477">
                  <c:v>177</c:v>
                </c:pt>
                <c:pt idx="484">
                  <c:v>178.8</c:v>
                </c:pt>
                <c:pt idx="491">
                  <c:v>181.6</c:v>
                </c:pt>
                <c:pt idx="504">
                  <c:v>175.4</c:v>
                </c:pt>
                <c:pt idx="511">
                  <c:v>178</c:v>
                </c:pt>
                <c:pt idx="518">
                  <c:v>177.2</c:v>
                </c:pt>
                <c:pt idx="525">
                  <c:v>174</c:v>
                </c:pt>
                <c:pt idx="532">
                  <c:v>174</c:v>
                </c:pt>
                <c:pt idx="539">
                  <c:v>175.6</c:v>
                </c:pt>
                <c:pt idx="546">
                  <c:v>175.6</c:v>
                </c:pt>
                <c:pt idx="554">
                  <c:v>178</c:v>
                </c:pt>
                <c:pt idx="560">
                  <c:v>179.8</c:v>
                </c:pt>
                <c:pt idx="567">
                  <c:v>178</c:v>
                </c:pt>
                <c:pt idx="574">
                  <c:v>176.8</c:v>
                </c:pt>
                <c:pt idx="581">
                  <c:v>177</c:v>
                </c:pt>
                <c:pt idx="588">
                  <c:v>177.4</c:v>
                </c:pt>
                <c:pt idx="595">
                  <c:v>177.4</c:v>
                </c:pt>
                <c:pt idx="602">
                  <c:v>179</c:v>
                </c:pt>
                <c:pt idx="609">
                  <c:v>177.8</c:v>
                </c:pt>
                <c:pt idx="616">
                  <c:v>178</c:v>
                </c:pt>
                <c:pt idx="623">
                  <c:v>177.2</c:v>
                </c:pt>
                <c:pt idx="631">
                  <c:v>176.4</c:v>
                </c:pt>
                <c:pt idx="637">
                  <c:v>176.8</c:v>
                </c:pt>
                <c:pt idx="651">
                  <c:v>173.4</c:v>
                </c:pt>
                <c:pt idx="665">
                  <c:v>174.4</c:v>
                </c:pt>
                <c:pt idx="679">
                  <c:v>169</c:v>
                </c:pt>
                <c:pt idx="686">
                  <c:v>165.4</c:v>
                </c:pt>
                <c:pt idx="693">
                  <c:v>172.6</c:v>
                </c:pt>
                <c:pt idx="700">
                  <c:v>173.4</c:v>
                </c:pt>
                <c:pt idx="707">
                  <c:v>175.8</c:v>
                </c:pt>
                <c:pt idx="714">
                  <c:v>176.4</c:v>
                </c:pt>
                <c:pt idx="721">
                  <c:v>172.2</c:v>
                </c:pt>
                <c:pt idx="728">
                  <c:v>177.8</c:v>
                </c:pt>
                <c:pt idx="735">
                  <c:v>176</c:v>
                </c:pt>
                <c:pt idx="742">
                  <c:v>177.8</c:v>
                </c:pt>
                <c:pt idx="756">
                  <c:v>178.6</c:v>
                </c:pt>
                <c:pt idx="763">
                  <c:v>177.8</c:v>
                </c:pt>
                <c:pt idx="770">
                  <c:v>182.8</c:v>
                </c:pt>
                <c:pt idx="777">
                  <c:v>183</c:v>
                </c:pt>
                <c:pt idx="784">
                  <c:v>181.4</c:v>
                </c:pt>
                <c:pt idx="791">
                  <c:v>185</c:v>
                </c:pt>
                <c:pt idx="798">
                  <c:v>185.2</c:v>
                </c:pt>
                <c:pt idx="805">
                  <c:v>184.6</c:v>
                </c:pt>
                <c:pt idx="812">
                  <c:v>191</c:v>
                </c:pt>
                <c:pt idx="819">
                  <c:v>190.6</c:v>
                </c:pt>
                <c:pt idx="826">
                  <c:v>188</c:v>
                </c:pt>
                <c:pt idx="833">
                  <c:v>185.6</c:v>
                </c:pt>
                <c:pt idx="840">
                  <c:v>186.6</c:v>
                </c:pt>
                <c:pt idx="850">
                  <c:v>187.8</c:v>
                </c:pt>
                <c:pt idx="855">
                  <c:v>185.2</c:v>
                </c:pt>
                <c:pt idx="868">
                  <c:v>185.8</c:v>
                </c:pt>
                <c:pt idx="875">
                  <c:v>184.6</c:v>
                </c:pt>
                <c:pt idx="882">
                  <c:v>185.2</c:v>
                </c:pt>
                <c:pt idx="889">
                  <c:v>180.4</c:v>
                </c:pt>
                <c:pt idx="896">
                  <c:v>185.8</c:v>
                </c:pt>
                <c:pt idx="903">
                  <c:v>187.2</c:v>
                </c:pt>
                <c:pt idx="918">
                  <c:v>182.8</c:v>
                </c:pt>
                <c:pt idx="924">
                  <c:v>181.8</c:v>
                </c:pt>
                <c:pt idx="931">
                  <c:v>182</c:v>
                </c:pt>
                <c:pt idx="939">
                  <c:v>181.2</c:v>
                </c:pt>
                <c:pt idx="945">
                  <c:v>180.8</c:v>
                </c:pt>
                <c:pt idx="952">
                  <c:v>181.4</c:v>
                </c:pt>
                <c:pt idx="959">
                  <c:v>178.6</c:v>
                </c:pt>
                <c:pt idx="966">
                  <c:v>181.4</c:v>
                </c:pt>
                <c:pt idx="973">
                  <c:v>179.2</c:v>
                </c:pt>
                <c:pt idx="980">
                  <c:v>181</c:v>
                </c:pt>
                <c:pt idx="987">
                  <c:v>180</c:v>
                </c:pt>
                <c:pt idx="995">
                  <c:v>178.8</c:v>
                </c:pt>
                <c:pt idx="1001">
                  <c:v>180.2</c:v>
                </c:pt>
                <c:pt idx="1008">
                  <c:v>176.6</c:v>
                </c:pt>
                <c:pt idx="1013">
                  <c:v>176.2</c:v>
                </c:pt>
                <c:pt idx="1022">
                  <c:v>175</c:v>
                </c:pt>
                <c:pt idx="1029">
                  <c:v>175.6</c:v>
                </c:pt>
                <c:pt idx="1036">
                  <c:v>176</c:v>
                </c:pt>
                <c:pt idx="1043">
                  <c:v>175.2</c:v>
                </c:pt>
                <c:pt idx="1050">
                  <c:v>176</c:v>
                </c:pt>
                <c:pt idx="1057">
                  <c:v>174</c:v>
                </c:pt>
                <c:pt idx="1064">
                  <c:v>173.2</c:v>
                </c:pt>
                <c:pt idx="1071">
                  <c:v>172.6</c:v>
                </c:pt>
                <c:pt idx="1078">
                  <c:v>172.2</c:v>
                </c:pt>
                <c:pt idx="1085">
                  <c:v>172.2</c:v>
                </c:pt>
                <c:pt idx="1092">
                  <c:v>171.8</c:v>
                </c:pt>
                <c:pt idx="1099">
                  <c:v>168.8</c:v>
                </c:pt>
                <c:pt idx="1106">
                  <c:v>168</c:v>
                </c:pt>
                <c:pt idx="1113">
                  <c:v>168.2</c:v>
                </c:pt>
                <c:pt idx="1120">
                  <c:v>169.8</c:v>
                </c:pt>
                <c:pt idx="1127">
                  <c:v>169.4</c:v>
                </c:pt>
                <c:pt idx="1134">
                  <c:v>170.6</c:v>
                </c:pt>
                <c:pt idx="1141">
                  <c:v>175.2</c:v>
                </c:pt>
                <c:pt idx="1148">
                  <c:v>173.4</c:v>
                </c:pt>
                <c:pt idx="1155">
                  <c:v>175.6</c:v>
                </c:pt>
                <c:pt idx="1162">
                  <c:v>176.4</c:v>
                </c:pt>
                <c:pt idx="1169">
                  <c:v>178</c:v>
                </c:pt>
                <c:pt idx="1176">
                  <c:v>178.8</c:v>
                </c:pt>
                <c:pt idx="1183">
                  <c:v>185.2</c:v>
                </c:pt>
                <c:pt idx="1190">
                  <c:v>180</c:v>
                </c:pt>
                <c:pt idx="1197">
                  <c:v>179</c:v>
                </c:pt>
                <c:pt idx="1204">
                  <c:v>179.6</c:v>
                </c:pt>
                <c:pt idx="1211">
                  <c:v>183.6</c:v>
                </c:pt>
                <c:pt idx="1219">
                  <c:v>184.4</c:v>
                </c:pt>
                <c:pt idx="1225">
                  <c:v>183.8</c:v>
                </c:pt>
                <c:pt idx="1232">
                  <c:v>187</c:v>
                </c:pt>
                <c:pt idx="1239">
                  <c:v>184.6</c:v>
                </c:pt>
                <c:pt idx="1246">
                  <c:v>181.4</c:v>
                </c:pt>
                <c:pt idx="1253">
                  <c:v>182.6</c:v>
                </c:pt>
                <c:pt idx="1260">
                  <c:v>183.8</c:v>
                </c:pt>
                <c:pt idx="1267">
                  <c:v>188.8</c:v>
                </c:pt>
                <c:pt idx="1274">
                  <c:v>185.8</c:v>
                </c:pt>
                <c:pt idx="1281">
                  <c:v>188.2</c:v>
                </c:pt>
                <c:pt idx="1295">
                  <c:v>190.2</c:v>
                </c:pt>
                <c:pt idx="1302">
                  <c:v>187.4</c:v>
                </c:pt>
                <c:pt idx="1316">
                  <c:v>190.6</c:v>
                </c:pt>
                <c:pt idx="1323">
                  <c:v>188.8</c:v>
                </c:pt>
                <c:pt idx="1330">
                  <c:v>189.8</c:v>
                </c:pt>
                <c:pt idx="1337">
                  <c:v>190</c:v>
                </c:pt>
                <c:pt idx="1344">
                  <c:v>188.8</c:v>
                </c:pt>
                <c:pt idx="1351">
                  <c:v>192.8</c:v>
                </c:pt>
                <c:pt idx="1358">
                  <c:v>196.2</c:v>
                </c:pt>
                <c:pt idx="1372">
                  <c:v>192.2</c:v>
                </c:pt>
                <c:pt idx="1379">
                  <c:v>191</c:v>
                </c:pt>
                <c:pt idx="1386">
                  <c:v>192.2</c:v>
                </c:pt>
                <c:pt idx="1400">
                  <c:v>191.2</c:v>
                </c:pt>
                <c:pt idx="1407">
                  <c:v>190.6</c:v>
                </c:pt>
                <c:pt idx="1414">
                  <c:v>194.2</c:v>
                </c:pt>
                <c:pt idx="1428">
                  <c:v>191.2</c:v>
                </c:pt>
                <c:pt idx="1435">
                  <c:v>187.6</c:v>
                </c:pt>
                <c:pt idx="1443">
                  <c:v>189.4</c:v>
                </c:pt>
                <c:pt idx="1456">
                  <c:v>191.2</c:v>
                </c:pt>
                <c:pt idx="1470">
                  <c:v>191.4</c:v>
                </c:pt>
                <c:pt idx="1477">
                  <c:v>193.2</c:v>
                </c:pt>
                <c:pt idx="1484">
                  <c:v>193.4</c:v>
                </c:pt>
                <c:pt idx="1498">
                  <c:v>190.4</c:v>
                </c:pt>
                <c:pt idx="1519">
                  <c:v>190.6</c:v>
                </c:pt>
                <c:pt idx="1526">
                  <c:v>188.8</c:v>
                </c:pt>
                <c:pt idx="1533">
                  <c:v>195.4</c:v>
                </c:pt>
                <c:pt idx="1540">
                  <c:v>191.2</c:v>
                </c:pt>
                <c:pt idx="1575">
                  <c:v>191.4</c:v>
                </c:pt>
              </c:numCache>
            </c:numRef>
          </c:val>
          <c:smooth val="0"/>
          <c:extLst>
            <c:ext xmlns:c16="http://schemas.microsoft.com/office/drawing/2014/chart" uri="{C3380CC4-5D6E-409C-BE32-E72D297353CC}">
              <c16:uniqueId val="{00000002-D9E1-4C5B-B21E-327662486C7F}"/>
            </c:ext>
          </c:extLst>
        </c:ser>
        <c:dLbls>
          <c:showLegendKey val="0"/>
          <c:showVal val="0"/>
          <c:showCatName val="0"/>
          <c:showSerName val="0"/>
          <c:showPercent val="0"/>
          <c:showBubbleSize val="0"/>
        </c:dLbls>
        <c:marker val="1"/>
        <c:smooth val="0"/>
        <c:axId val="1347834767"/>
        <c:axId val="1350040367"/>
      </c:lineChart>
      <c:dateAx>
        <c:axId val="858941920"/>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58935680"/>
        <c:crosses val="autoZero"/>
        <c:auto val="1"/>
        <c:lblOffset val="100"/>
        <c:baseTimeUnit val="days"/>
      </c:dateAx>
      <c:valAx>
        <c:axId val="858935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41920"/>
        <c:crosses val="autoZero"/>
        <c:crossBetween val="between"/>
      </c:valAx>
      <c:valAx>
        <c:axId val="1350040367"/>
        <c:scaling>
          <c:orientation val="minMax"/>
          <c:max val="200"/>
          <c:min val="14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 (lb)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834767"/>
        <c:crosses val="max"/>
        <c:crossBetween val="between"/>
      </c:valAx>
      <c:dateAx>
        <c:axId val="1347834767"/>
        <c:scaling>
          <c:orientation val="minMax"/>
        </c:scaling>
        <c:delete val="1"/>
        <c:axPos val="b"/>
        <c:numFmt formatCode="m/d/yyyy" sourceLinked="1"/>
        <c:majorTickMark val="out"/>
        <c:minorTickMark val="none"/>
        <c:tickLblPos val="nextTo"/>
        <c:crossAx val="1350040367"/>
        <c:crosses val="autoZero"/>
        <c:auto val="1"/>
        <c:lblOffset val="100"/>
        <c:baseTimeUnit val="days"/>
        <c:majorUnit val="1"/>
        <c:minorUnit val="1"/>
      </c:dateAx>
      <c:spPr>
        <a:noFill/>
        <a:ln>
          <a:noFill/>
        </a:ln>
        <a:effectLst/>
      </c:spPr>
    </c:plotArea>
    <c:legend>
      <c:legendPos val="t"/>
      <c:legendEntry>
        <c:idx val="2"/>
        <c:delete val="1"/>
      </c:legendEntry>
      <c:legendEntry>
        <c:idx val="3"/>
        <c:delete val="1"/>
      </c:legendEntry>
      <c:legendEntry>
        <c:idx val="4"/>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Errors and Differences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014389148452518E-2"/>
          <c:y val="0.15040255886834517"/>
          <c:w val="0.89317346061256297"/>
          <c:h val="0.46205780604843211"/>
        </c:manualLayout>
      </c:layout>
      <c:lineChart>
        <c:grouping val="standard"/>
        <c:varyColors val="0"/>
        <c:ser>
          <c:idx val="1"/>
          <c:order val="0"/>
          <c:tx>
            <c:strRef>
              <c:f>'Data Analysis'!$AU$4</c:f>
              <c:strCache>
                <c:ptCount val="1"/>
                <c:pt idx="0">
                  <c:v>% Error of $</c:v>
                </c:pt>
              </c:strCache>
            </c:strRef>
          </c:tx>
          <c:spPr>
            <a:ln w="25400" cap="rnd">
              <a:solidFill>
                <a:srgbClr val="00B050"/>
              </a:solidFill>
              <a:round/>
            </a:ln>
            <a:effectLst>
              <a:glow rad="76200">
                <a:srgbClr val="00B05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Analysis'!$AU$5:$AU$132</c:f>
              <c:numCache>
                <c:formatCode>0.00%</c:formatCode>
                <c:ptCount val="128"/>
                <c:pt idx="0">
                  <c:v>0</c:v>
                </c:pt>
                <c:pt idx="1">
                  <c:v>0.12113790504898289</c:v>
                </c:pt>
                <c:pt idx="2">
                  <c:v>8.3380777948459162E-2</c:v>
                </c:pt>
                <c:pt idx="3">
                  <c:v>0.16496066723533317</c:v>
                </c:pt>
                <c:pt idx="4">
                  <c:v>1.9313315752406596E-2</c:v>
                </c:pt>
                <c:pt idx="5">
                  <c:v>1.8310363155096938E-2</c:v>
                </c:pt>
                <c:pt idx="6">
                  <c:v>1.8834646976347812E-2</c:v>
                </c:pt>
                <c:pt idx="7">
                  <c:v>2.409314278768436E-2</c:v>
                </c:pt>
                <c:pt idx="8">
                  <c:v>3.8930607920729117E-2</c:v>
                </c:pt>
                <c:pt idx="9">
                  <c:v>7.4930705266396905E-2</c:v>
                </c:pt>
                <c:pt idx="10">
                  <c:v>4.9695659138232991E-2</c:v>
                </c:pt>
                <c:pt idx="11">
                  <c:v>6.5359640359635582E-2</c:v>
                </c:pt>
                <c:pt idx="12">
                  <c:v>5.8536983339725493E-3</c:v>
                </c:pt>
                <c:pt idx="13">
                  <c:v>5.2735960747144614E-3</c:v>
                </c:pt>
                <c:pt idx="14">
                  <c:v>3.5624710716317173E-3</c:v>
                </c:pt>
                <c:pt idx="15">
                  <c:v>6.4141039673327929E-4</c:v>
                </c:pt>
                <c:pt idx="16">
                  <c:v>7.7968692962317979E-4</c:v>
                </c:pt>
                <c:pt idx="17">
                  <c:v>3.3799378779938104E-3</c:v>
                </c:pt>
                <c:pt idx="18">
                  <c:v>3.8832059102520866E-3</c:v>
                </c:pt>
                <c:pt idx="19">
                  <c:v>3.1999212327084884E-3</c:v>
                </c:pt>
                <c:pt idx="20">
                  <c:v>1.7766388999243879E-3</c:v>
                </c:pt>
                <c:pt idx="21">
                  <c:v>2.6171918745610699E-3</c:v>
                </c:pt>
                <c:pt idx="22">
                  <c:v>3.0220094712573734E-3</c:v>
                </c:pt>
                <c:pt idx="23">
                  <c:v>1.7362601346840561E-4</c:v>
                </c:pt>
                <c:pt idx="24">
                  <c:v>4.6960680171106517E-3</c:v>
                </c:pt>
                <c:pt idx="25">
                  <c:v>7.7716873547604062E-3</c:v>
                </c:pt>
                <c:pt idx="26">
                  <c:v>5.3784139959729312E-3</c:v>
                </c:pt>
                <c:pt idx="27">
                  <c:v>8.6186471758551066E-3</c:v>
                </c:pt>
                <c:pt idx="28">
                  <c:v>8.7521469913249793E-3</c:v>
                </c:pt>
                <c:pt idx="29">
                  <c:v>2.1778504413429656E-2</c:v>
                </c:pt>
                <c:pt idx="30">
                  <c:v>3.4230565622836093E-2</c:v>
                </c:pt>
                <c:pt idx="31">
                  <c:v>5.9289212246274967E-2</c:v>
                </c:pt>
                <c:pt idx="32">
                  <c:v>0.13362148032651258</c:v>
                </c:pt>
                <c:pt idx="33">
                  <c:v>2.3438370667556555E-2</c:v>
                </c:pt>
                <c:pt idx="34">
                  <c:v>6.1355799458287862E-2</c:v>
                </c:pt>
                <c:pt idx="35">
                  <c:v>8.1989316129912101E-2</c:v>
                </c:pt>
                <c:pt idx="36">
                  <c:v>7.5989571517298488E-2</c:v>
                </c:pt>
                <c:pt idx="37">
                  <c:v>8.0006361807945264E-2</c:v>
                </c:pt>
                <c:pt idx="38">
                  <c:v>0.13470689718076964</c:v>
                </c:pt>
                <c:pt idx="39">
                  <c:v>6.6911762342890688E-2</c:v>
                </c:pt>
                <c:pt idx="40">
                  <c:v>7.9773801687510235E-2</c:v>
                </c:pt>
                <c:pt idx="41">
                  <c:v>0.10907136076130203</c:v>
                </c:pt>
                <c:pt idx="42">
                  <c:v>0.14082704741379173</c:v>
                </c:pt>
                <c:pt idx="43">
                  <c:v>1.3849687396344606E-2</c:v>
                </c:pt>
                <c:pt idx="44">
                  <c:v>1.3290719305173417E-15</c:v>
                </c:pt>
                <c:pt idx="45">
                  <c:v>8.9796225150126485E-3</c:v>
                </c:pt>
                <c:pt idx="46">
                  <c:v>4.5594211764897179E-3</c:v>
                </c:pt>
                <c:pt idx="47">
                  <c:v>2.0199256196603076E-2</c:v>
                </c:pt>
                <c:pt idx="48">
                  <c:v>7.5212059759374532E-4</c:v>
                </c:pt>
                <c:pt idx="49">
                  <c:v>1.3529991647941806E-2</c:v>
                </c:pt>
                <c:pt idx="50">
                  <c:v>8.4681046110679694E-3</c:v>
                </c:pt>
                <c:pt idx="51">
                  <c:v>2.8222356626449629E-2</c:v>
                </c:pt>
                <c:pt idx="52">
                  <c:v>4.0263150178303904E-2</c:v>
                </c:pt>
                <c:pt idx="53">
                  <c:v>6.1650762067285605E-2</c:v>
                </c:pt>
                <c:pt idx="54">
                  <c:v>4.4286264438402625E-2</c:v>
                </c:pt>
                <c:pt idx="55">
                  <c:v>8.709610039092272E-2</c:v>
                </c:pt>
                <c:pt idx="56">
                  <c:v>8.7304268453189296E-2</c:v>
                </c:pt>
                <c:pt idx="57">
                  <c:v>5.1268135558739457E-2</c:v>
                </c:pt>
                <c:pt idx="58">
                  <c:v>6.1084331577783866E-3</c:v>
                </c:pt>
                <c:pt idx="59">
                  <c:v>6.3024926892293171E-4</c:v>
                </c:pt>
                <c:pt idx="60">
                  <c:v>8.4721522959657194E-2</c:v>
                </c:pt>
                <c:pt idx="61">
                  <c:v>0.14060524986252682</c:v>
                </c:pt>
                <c:pt idx="62">
                  <c:v>0.16733954088428016</c:v>
                </c:pt>
                <c:pt idx="63">
                  <c:v>0.12936928539582121</c:v>
                </c:pt>
                <c:pt idx="64">
                  <c:v>0.17188338767239281</c:v>
                </c:pt>
                <c:pt idx="65">
                  <c:v>0.21919101363895446</c:v>
                </c:pt>
                <c:pt idx="66">
                  <c:v>0.13501516840472289</c:v>
                </c:pt>
                <c:pt idx="67">
                  <c:v>0.13949268102668982</c:v>
                </c:pt>
                <c:pt idx="68">
                  <c:v>0.16516992981517048</c:v>
                </c:pt>
                <c:pt idx="69">
                  <c:v>2.7242995539228033E-2</c:v>
                </c:pt>
              </c:numCache>
            </c:numRef>
          </c:val>
          <c:smooth val="0"/>
          <c:extLst>
            <c:ext xmlns:c16="http://schemas.microsoft.com/office/drawing/2014/chart" uri="{C3380CC4-5D6E-409C-BE32-E72D297353CC}">
              <c16:uniqueId val="{00000000-9866-4495-8634-976196977607}"/>
            </c:ext>
          </c:extLst>
        </c:ser>
        <c:ser>
          <c:idx val="0"/>
          <c:order val="1"/>
          <c:tx>
            <c:strRef>
              <c:f>'Data Analysis'!$AW$4</c:f>
              <c:strCache>
                <c:ptCount val="1"/>
                <c:pt idx="0">
                  <c:v>% Diff of $</c:v>
                </c:pt>
              </c:strCache>
            </c:strRef>
          </c:tx>
          <c:spPr>
            <a:ln w="25400" cap="rnd">
              <a:solidFill>
                <a:srgbClr val="00B0F0"/>
              </a:solidFill>
              <a:round/>
            </a:ln>
            <a:effectLst>
              <a:glow rad="76200">
                <a:srgbClr val="00B0F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Analysis'!$AW$5:$AW$132</c:f>
              <c:numCache>
                <c:formatCode>0.00%</c:formatCode>
                <c:ptCount val="128"/>
                <c:pt idx="0">
                  <c:v>0</c:v>
                </c:pt>
                <c:pt idx="1">
                  <c:v>0.11421973532285302</c:v>
                </c:pt>
                <c:pt idx="2">
                  <c:v>8.0043723961556026E-2</c:v>
                </c:pt>
                <c:pt idx="3">
                  <c:v>0.15239137572507389</c:v>
                </c:pt>
                <c:pt idx="4">
                  <c:v>1.912859743136033E-2</c:v>
                </c:pt>
                <c:pt idx="5">
                  <c:v>1.8144249258546647E-2</c:v>
                </c:pt>
                <c:pt idx="6">
                  <c:v>1.865892979849228E-2</c:v>
                </c:pt>
                <c:pt idx="7">
                  <c:v>2.3806357798833361E-2</c:v>
                </c:pt>
                <c:pt idx="8">
                  <c:v>3.8187280890770448E-2</c:v>
                </c:pt>
                <c:pt idx="9">
                  <c:v>7.2224778472085568E-2</c:v>
                </c:pt>
                <c:pt idx="10">
                  <c:v>4.8490768779914241E-2</c:v>
                </c:pt>
                <c:pt idx="11">
                  <c:v>6.3291292308059896E-2</c:v>
                </c:pt>
                <c:pt idx="12">
                  <c:v>5.8366154409312402E-3</c:v>
                </c:pt>
                <c:pt idx="13">
                  <c:v>5.2597272362608551E-3</c:v>
                </c:pt>
                <c:pt idx="14">
                  <c:v>3.5561367544744266E-3</c:v>
                </c:pt>
                <c:pt idx="15">
                  <c:v>6.4161616637319128E-4</c:v>
                </c:pt>
                <c:pt idx="16">
                  <c:v>7.7938309221809398E-4</c:v>
                </c:pt>
                <c:pt idx="17">
                  <c:v>3.3856595374501196E-3</c:v>
                </c:pt>
                <c:pt idx="18">
                  <c:v>3.8907602217964133E-3</c:v>
                </c:pt>
                <c:pt idx="19">
                  <c:v>3.2050491851782518E-3</c:v>
                </c:pt>
                <c:pt idx="20">
                  <c:v>1.7782185260273409E-3</c:v>
                </c:pt>
                <c:pt idx="21">
                  <c:v>2.6206212088280933E-3</c:v>
                </c:pt>
                <c:pt idx="22">
                  <c:v>3.0265826519772828E-3</c:v>
                </c:pt>
                <c:pt idx="23">
                  <c:v>1.7361094178054771E-4</c:v>
                </c:pt>
                <c:pt idx="24">
                  <c:v>4.6850673197115986E-3</c:v>
                </c:pt>
                <c:pt idx="25">
                  <c:v>7.7416046891263862E-3</c:v>
                </c:pt>
                <c:pt idx="26">
                  <c:v>5.3639891188972701E-3</c:v>
                </c:pt>
                <c:pt idx="27">
                  <c:v>8.5816660001369997E-3</c:v>
                </c:pt>
                <c:pt idx="28">
                  <c:v>8.7140138263785295E-3</c:v>
                </c:pt>
                <c:pt idx="29">
                  <c:v>2.1543907372532051E-2</c:v>
                </c:pt>
                <c:pt idx="30">
                  <c:v>3.3654558338971234E-2</c:v>
                </c:pt>
                <c:pt idx="31">
                  <c:v>5.7582210302167543E-2</c:v>
                </c:pt>
                <c:pt idx="32">
                  <c:v>0.12525321999107752</c:v>
                </c:pt>
                <c:pt idx="33">
                  <c:v>2.3166873780123044E-2</c:v>
                </c:pt>
                <c:pt idx="34">
                  <c:v>5.9529557657549269E-2</c:v>
                </c:pt>
                <c:pt idx="35">
                  <c:v>7.8760554143781344E-2</c:v>
                </c:pt>
                <c:pt idx="36">
                  <c:v>7.3208047439043009E-2</c:v>
                </c:pt>
                <c:pt idx="37">
                  <c:v>7.6928958754148805E-2</c:v>
                </c:pt>
                <c:pt idx="38">
                  <c:v>0.12620645706318948</c:v>
                </c:pt>
                <c:pt idx="39">
                  <c:v>6.4745639907767244E-2</c:v>
                </c:pt>
                <c:pt idx="40">
                  <c:v>7.6713921122366746E-2</c:v>
                </c:pt>
                <c:pt idx="41">
                  <c:v>0.10343069731119105</c:v>
                </c:pt>
                <c:pt idx="42">
                  <c:v>0.13156321766759876</c:v>
                </c:pt>
                <c:pt idx="43">
                  <c:v>1.3754440048850434E-2</c:v>
                </c:pt>
                <c:pt idx="44">
                  <c:v>1.3290719305173426E-15</c:v>
                </c:pt>
                <c:pt idx="45">
                  <c:v>9.0201211565252865E-3</c:v>
                </c:pt>
                <c:pt idx="46">
                  <c:v>4.5698390870430256E-3</c:v>
                </c:pt>
                <c:pt idx="47">
                  <c:v>1.9997290994584263E-2</c:v>
                </c:pt>
                <c:pt idx="48">
                  <c:v>7.5183786122300707E-4</c:v>
                </c:pt>
                <c:pt idx="49">
                  <c:v>1.3622145404718247E-2</c:v>
                </c:pt>
                <c:pt idx="50">
                  <c:v>8.4324013825529832E-3</c:v>
                </c:pt>
                <c:pt idx="51">
                  <c:v>2.7829647508069075E-2</c:v>
                </c:pt>
                <c:pt idx="52">
                  <c:v>4.1090363925102694E-2</c:v>
                </c:pt>
                <c:pt idx="53">
                  <c:v>6.3611614316765014E-2</c:v>
                </c:pt>
                <c:pt idx="54">
                  <c:v>4.5289107125573776E-2</c:v>
                </c:pt>
                <c:pt idx="55">
                  <c:v>9.1061658046409713E-2</c:v>
                </c:pt>
                <c:pt idx="56">
                  <c:v>9.1289238547717894E-2</c:v>
                </c:pt>
                <c:pt idx="57">
                  <c:v>5.2616921285308822E-2</c:v>
                </c:pt>
                <c:pt idx="58">
                  <c:v>6.1271467910890189E-3</c:v>
                </c:pt>
                <c:pt idx="59">
                  <c:v>6.3005072441870715E-4</c:v>
                </c:pt>
                <c:pt idx="60">
                  <c:v>8.8469143234540346E-2</c:v>
                </c:pt>
                <c:pt idx="61">
                  <c:v>0.15123765392166591</c:v>
                </c:pt>
                <c:pt idx="62">
                  <c:v>0.18261925175711322</c:v>
                </c:pt>
                <c:pt idx="63">
                  <c:v>0.13831622071189553</c:v>
                </c:pt>
                <c:pt idx="64">
                  <c:v>0.18804422706224003</c:v>
                </c:pt>
                <c:pt idx="65">
                  <c:v>0.2461701567295608</c:v>
                </c:pt>
                <c:pt idx="66">
                  <c:v>0.14478956194966278</c:v>
                </c:pt>
                <c:pt idx="67">
                  <c:v>0.14995123061775056</c:v>
                </c:pt>
                <c:pt idx="68">
                  <c:v>0.18003839428959464</c:v>
                </c:pt>
                <c:pt idx="69">
                  <c:v>2.7619210554190438E-2</c:v>
                </c:pt>
              </c:numCache>
            </c:numRef>
          </c:val>
          <c:smooth val="0"/>
          <c:extLst xmlns:c15="http://schemas.microsoft.com/office/drawing/2012/chart">
            <c:ext xmlns:c16="http://schemas.microsoft.com/office/drawing/2014/chart" uri="{C3380CC4-5D6E-409C-BE32-E72D297353CC}">
              <c16:uniqueId val="{00000001-9866-4495-8634-976196977607}"/>
            </c:ext>
          </c:extLst>
        </c:ser>
        <c:ser>
          <c:idx val="3"/>
          <c:order val="3"/>
          <c:tx>
            <c:strRef>
              <c:f>'Data Analysis'!$AX$4</c:f>
              <c:strCache>
                <c:ptCount val="1"/>
                <c:pt idx="0">
                  <c:v>% Diff of Δ$</c:v>
                </c:pt>
              </c:strCache>
            </c:strRef>
          </c:tx>
          <c:spPr>
            <a:ln w="25400" cap="rnd">
              <a:solidFill>
                <a:srgbClr val="FE4F00"/>
              </a:solidFill>
              <a:round/>
            </a:ln>
            <a:effectLst>
              <a:glow rad="76200">
                <a:srgbClr val="FE4F0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Analysis'!$AX$5:$AX$132</c:f>
              <c:numCache>
                <c:formatCode>0.00%</c:formatCode>
                <c:ptCount val="128"/>
                <c:pt idx="1">
                  <c:v>2.368722527796982E-15</c:v>
                </c:pt>
                <c:pt idx="2">
                  <c:v>3.2122185160944855E-16</c:v>
                </c:pt>
                <c:pt idx="3">
                  <c:v>2.1995247880824192E-16</c:v>
                </c:pt>
                <c:pt idx="4">
                  <c:v>1.3089795538547532E-16</c:v>
                </c:pt>
                <c:pt idx="5">
                  <c:v>2.379630302911904E-15</c:v>
                </c:pt>
                <c:pt idx="6">
                  <c:v>9.1881940614615979E-16</c:v>
                </c:pt>
                <c:pt idx="7">
                  <c:v>2.1091199428897743E-16</c:v>
                </c:pt>
                <c:pt idx="8">
                  <c:v>0</c:v>
                </c:pt>
                <c:pt idx="9">
                  <c:v>0</c:v>
                </c:pt>
                <c:pt idx="10">
                  <c:v>0</c:v>
                </c:pt>
                <c:pt idx="11">
                  <c:v>0</c:v>
                </c:pt>
                <c:pt idx="12">
                  <c:v>0</c:v>
                </c:pt>
                <c:pt idx="13">
                  <c:v>2.1855708272606276E-16</c:v>
                </c:pt>
                <c:pt idx="14">
                  <c:v>2.2662129275129774E-16</c:v>
                </c:pt>
                <c:pt idx="15">
                  <c:v>2.5086863264051202E-2</c:v>
                </c:pt>
                <c:pt idx="16">
                  <c:v>4.2298144441118432E-16</c:v>
                </c:pt>
                <c:pt idx="17">
                  <c:v>8.6749907171138006E-16</c:v>
                </c:pt>
                <c:pt idx="18">
                  <c:v>6.3774065420366352E-16</c:v>
                </c:pt>
                <c:pt idx="19">
                  <c:v>4.3020216628885374E-16</c:v>
                </c:pt>
                <c:pt idx="20">
                  <c:v>5.2274016402062708E-16</c:v>
                </c:pt>
                <c:pt idx="21">
                  <c:v>8.2559748531519756E-16</c:v>
                </c:pt>
                <c:pt idx="22">
                  <c:v>1.8930059356289508E-15</c:v>
                </c:pt>
                <c:pt idx="23">
                  <c:v>2.3071090873812911E-16</c:v>
                </c:pt>
                <c:pt idx="24">
                  <c:v>9.9931294969117133E-16</c:v>
                </c:pt>
                <c:pt idx="25">
                  <c:v>9.4917000811200992E-16</c:v>
                </c:pt>
                <c:pt idx="26">
                  <c:v>6.7273303680113672E-16</c:v>
                </c:pt>
                <c:pt idx="27">
                  <c:v>0</c:v>
                </c:pt>
                <c:pt idx="28">
                  <c:v>0</c:v>
                </c:pt>
                <c:pt idx="29">
                  <c:v>4.7672934079030499E-16</c:v>
                </c:pt>
                <c:pt idx="30">
                  <c:v>0</c:v>
                </c:pt>
                <c:pt idx="31">
                  <c:v>4.9280018923531753E-3</c:v>
                </c:pt>
                <c:pt idx="32">
                  <c:v>0</c:v>
                </c:pt>
                <c:pt idx="33">
                  <c:v>2.3658142448415535E-16</c:v>
                </c:pt>
                <c:pt idx="34">
                  <c:v>4.7163176818757966E-16</c:v>
                </c:pt>
                <c:pt idx="35">
                  <c:v>3.8903871236757978E-16</c:v>
                </c:pt>
                <c:pt idx="36">
                  <c:v>1.2729819748802295E-15</c:v>
                </c:pt>
                <c:pt idx="37">
                  <c:v>6.2062909554326943E-16</c:v>
                </c:pt>
                <c:pt idx="38">
                  <c:v>2.1006243054224554E-16</c:v>
                </c:pt>
                <c:pt idx="39">
                  <c:v>0</c:v>
                </c:pt>
                <c:pt idx="40">
                  <c:v>0</c:v>
                </c:pt>
                <c:pt idx="41">
                  <c:v>0</c:v>
                </c:pt>
                <c:pt idx="42">
                  <c:v>0</c:v>
                </c:pt>
                <c:pt idx="43">
                  <c:v>0.36141117942339901</c:v>
                </c:pt>
                <c:pt idx="44">
                  <c:v>4.8974413963030268E-2</c:v>
                </c:pt>
                <c:pt idx="45">
                  <c:v>5.0797273394971478E-16</c:v>
                </c:pt>
                <c:pt idx="46">
                  <c:v>0</c:v>
                </c:pt>
                <c:pt idx="47">
                  <c:v>0</c:v>
                </c:pt>
                <c:pt idx="48">
                  <c:v>8.4010225547102361E-15</c:v>
                </c:pt>
                <c:pt idx="49">
                  <c:v>6.3217303484647615E-16</c:v>
                </c:pt>
                <c:pt idx="50">
                  <c:v>0</c:v>
                </c:pt>
                <c:pt idx="51">
                  <c:v>0</c:v>
                </c:pt>
                <c:pt idx="52">
                  <c:v>0</c:v>
                </c:pt>
                <c:pt idx="53">
                  <c:v>0</c:v>
                </c:pt>
                <c:pt idx="54">
                  <c:v>1.788372466912321E-15</c:v>
                </c:pt>
                <c:pt idx="55">
                  <c:v>0</c:v>
                </c:pt>
                <c:pt idx="56">
                  <c:v>0</c:v>
                </c:pt>
                <c:pt idx="57">
                  <c:v>0</c:v>
                </c:pt>
                <c:pt idx="58">
                  <c:v>0</c:v>
                </c:pt>
                <c:pt idx="59">
                  <c:v>0</c:v>
                </c:pt>
                <c:pt idx="60">
                  <c:v>0</c:v>
                </c:pt>
                <c:pt idx="61">
                  <c:v>0</c:v>
                </c:pt>
                <c:pt idx="62">
                  <c:v>1.9677514101534663E-14</c:v>
                </c:pt>
                <c:pt idx="63">
                  <c:v>2.584805127501488E-16</c:v>
                </c:pt>
                <c:pt idx="64">
                  <c:v>7.6732476863941693E-16</c:v>
                </c:pt>
                <c:pt idx="65">
                  <c:v>0</c:v>
                </c:pt>
                <c:pt idx="66">
                  <c:v>2.3728631108897368E-15</c:v>
                </c:pt>
                <c:pt idx="67">
                  <c:v>1.0607589243911073E-14</c:v>
                </c:pt>
                <c:pt idx="68">
                  <c:v>3.8415826896427729E-15</c:v>
                </c:pt>
                <c:pt idx="69">
                  <c:v>0</c:v>
                </c:pt>
              </c:numCache>
            </c:numRef>
          </c:val>
          <c:smooth val="0"/>
          <c:extLst>
            <c:ext xmlns:c16="http://schemas.microsoft.com/office/drawing/2014/chart" uri="{C3380CC4-5D6E-409C-BE32-E72D297353CC}">
              <c16:uniqueId val="{00000003-9866-4495-8634-976196977607}"/>
            </c:ext>
          </c:extLst>
        </c:ser>
        <c:dLbls>
          <c:showLegendKey val="0"/>
          <c:showVal val="0"/>
          <c:showCatName val="0"/>
          <c:showSerName val="0"/>
          <c:showPercent val="0"/>
          <c:showBubbleSize val="0"/>
        </c:dLbls>
        <c:smooth val="0"/>
        <c:axId val="699983696"/>
        <c:axId val="699989520"/>
        <c:extLst>
          <c:ext xmlns:c15="http://schemas.microsoft.com/office/drawing/2012/chart" uri="{02D57815-91ED-43cb-92C2-25804820EDAC}">
            <c15:filteredLineSeries>
              <c15:ser>
                <c:idx val="2"/>
                <c:order val="2"/>
                <c:tx>
                  <c:strRef>
                    <c:extLst>
                      <c:ext uri="{02D57815-91ED-43cb-92C2-25804820EDAC}">
                        <c15:formulaRef>
                          <c15:sqref>'Data Analysis'!$AV$4</c15:sqref>
                        </c15:formulaRef>
                      </c:ext>
                    </c:extLst>
                    <c:strCache>
                      <c:ptCount val="1"/>
                      <c:pt idx="0">
                        <c:v>% Error of Δ$</c:v>
                      </c:pt>
                    </c:strCache>
                  </c:strRef>
                </c:tx>
                <c:spPr>
                  <a:ln w="19050" cap="rnd">
                    <a:solidFill>
                      <a:srgbClr val="0070C0"/>
                    </a:solidFill>
                    <a:round/>
                  </a:ln>
                  <a:effectLst/>
                </c:spPr>
                <c:marker>
                  <c:symbol val="none"/>
                </c:marker>
                <c:cat>
                  <c:numRef>
                    <c:extLst>
                      <c:ext uri="{02D57815-91ED-43cb-92C2-25804820EDAC}">
                        <c15:formulaRef>
                          <c15:sqref>'Data Analysis'!$B$5:$B$132</c15:sqref>
                        </c15:formulaRef>
                      </c:ext>
                    </c:extLst>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extLst>
                      <c:ext uri="{02D57815-91ED-43cb-92C2-25804820EDAC}">
                        <c15:formulaRef>
                          <c15:sqref>'Data Analysis'!$AV$5:$AV$132</c15:sqref>
                        </c15:formulaRef>
                      </c:ext>
                    </c:extLst>
                    <c:numCache>
                      <c:formatCode>0.00%</c:formatCode>
                      <c:ptCount val="128"/>
                      <c:pt idx="1">
                        <c:v>0.42424424184261039</c:v>
                      </c:pt>
                      <c:pt idx="2">
                        <c:v>1.985419128029306E-2</c:v>
                      </c:pt>
                      <c:pt idx="3">
                        <c:v>1.572110755202704E-2</c:v>
                      </c:pt>
                      <c:pt idx="4">
                        <c:v>1.5914476984545971E-3</c:v>
                      </c:pt>
                      <c:pt idx="5">
                        <c:v>6.1666666666666162E-2</c:v>
                      </c:pt>
                      <c:pt idx="6">
                        <c:v>1.4168286456992071E-2</c:v>
                      </c:pt>
                      <c:pt idx="7">
                        <c:v>7.5139484677710809E-3</c:v>
                      </c:pt>
                      <c:pt idx="8">
                        <c:v>9.9726717316962147E-3</c:v>
                      </c:pt>
                      <c:pt idx="9">
                        <c:v>1.445694844281596E-2</c:v>
                      </c:pt>
                      <c:pt idx="10">
                        <c:v>2.8041661897677066E-3</c:v>
                      </c:pt>
                      <c:pt idx="11">
                        <c:v>3.9216013901884818E-2</c:v>
                      </c:pt>
                      <c:pt idx="12">
                        <c:v>3.521777966655541E-3</c:v>
                      </c:pt>
                      <c:pt idx="13">
                        <c:v>3.6273128943260023E-3</c:v>
                      </c:pt>
                      <c:pt idx="14">
                        <c:v>1.6946618152825877E-4</c:v>
                      </c:pt>
                      <c:pt idx="15">
                        <c:v>6.9872433602744958E-3</c:v>
                      </c:pt>
                      <c:pt idx="16">
                        <c:v>9.853373535849896E-3</c:v>
                      </c:pt>
                      <c:pt idx="17">
                        <c:v>3.3527535537160327E-2</c:v>
                      </c:pt>
                      <c:pt idx="18">
                        <c:v>1.0133821977900815E-2</c:v>
                      </c:pt>
                      <c:pt idx="19">
                        <c:v>7.5676238134563675E-5</c:v>
                      </c:pt>
                      <c:pt idx="20">
                        <c:v>1.7842935367624598E-2</c:v>
                      </c:pt>
                      <c:pt idx="21">
                        <c:v>1.2141755443165075E-2</c:v>
                      </c:pt>
                      <c:pt idx="22">
                        <c:v>1.4441321873269127E-2</c:v>
                      </c:pt>
                      <c:pt idx="23">
                        <c:v>1.1239167784897877E-2</c:v>
                      </c:pt>
                      <c:pt idx="24">
                        <c:v>8.8202292217680514E-2</c:v>
                      </c:pt>
                      <c:pt idx="25">
                        <c:v>5.1606389928143315E-2</c:v>
                      </c:pt>
                      <c:pt idx="26">
                        <c:v>3.9410154688316337E-2</c:v>
                      </c:pt>
                      <c:pt idx="27">
                        <c:v>2.8212277884776833E-3</c:v>
                      </c:pt>
                      <c:pt idx="28">
                        <c:v>7.4243842603059565E-3</c:v>
                      </c:pt>
                      <c:pt idx="29">
                        <c:v>5.0118499930294526E-2</c:v>
                      </c:pt>
                      <c:pt idx="30">
                        <c:v>3.1876191701662761E-2</c:v>
                      </c:pt>
                      <c:pt idx="31">
                        <c:v>3.3619142191498343E-2</c:v>
                      </c:pt>
                      <c:pt idx="32">
                        <c:v>2.253414135000778E-2</c:v>
                      </c:pt>
                      <c:pt idx="33">
                        <c:v>0.14713190401817389</c:v>
                      </c:pt>
                      <c:pt idx="34">
                        <c:v>0.19645604804685524</c:v>
                      </c:pt>
                      <c:pt idx="35">
                        <c:v>0.1570976044347657</c:v>
                      </c:pt>
                      <c:pt idx="36">
                        <c:v>3.5239226823542608E-2</c:v>
                      </c:pt>
                      <c:pt idx="37">
                        <c:v>0.11281210133041772</c:v>
                      </c:pt>
                      <c:pt idx="38">
                        <c:v>1.5453883936692545E-2</c:v>
                      </c:pt>
                      <c:pt idx="39">
                        <c:v>4.2108792221942838E-2</c:v>
                      </c:pt>
                      <c:pt idx="40">
                        <c:v>0.25341663412729559</c:v>
                      </c:pt>
                      <c:pt idx="41">
                        <c:v>2.7052952052603944E-2</c:v>
                      </c:pt>
                      <c:pt idx="42">
                        <c:v>6.9679278186368904E-2</c:v>
                      </c:pt>
                      <c:pt idx="43">
                        <c:v>1.5333767657667101E-2</c:v>
                      </c:pt>
                      <c:pt idx="44">
                        <c:v>0.12200730098692944</c:v>
                      </c:pt>
                      <c:pt idx="45">
                        <c:v>2.9901460642602011E-2</c:v>
                      </c:pt>
                      <c:pt idx="46">
                        <c:v>0.43636708895337656</c:v>
                      </c:pt>
                      <c:pt idx="47">
                        <c:v>0.17834384817351459</c:v>
                      </c:pt>
                      <c:pt idx="48">
                        <c:v>1.4721440823917618</c:v>
                      </c:pt>
                      <c:pt idx="49">
                        <c:v>4.4541907290043356E-2</c:v>
                      </c:pt>
                      <c:pt idx="50">
                        <c:v>8.2670814780708937E-2</c:v>
                      </c:pt>
                      <c:pt idx="51">
                        <c:v>0.53447151431426598</c:v>
                      </c:pt>
                      <c:pt idx="52">
                        <c:v>2.4507288750854204</c:v>
                      </c:pt>
                      <c:pt idx="53">
                        <c:v>0.80031285996748758</c:v>
                      </c:pt>
                      <c:pt idx="54">
                        <c:v>0.21394477398092798</c:v>
                      </c:pt>
                      <c:pt idx="55">
                        <c:v>0.74568839586014102</c:v>
                      </c:pt>
                      <c:pt idx="56">
                        <c:v>8.8639676469359135E-2</c:v>
                      </c:pt>
                      <c:pt idx="57">
                        <c:v>0.11691124115666399</c:v>
                      </c:pt>
                      <c:pt idx="58">
                        <c:v>0.54687564527628818</c:v>
                      </c:pt>
                      <c:pt idx="59">
                        <c:v>7.8418501230378593E-2</c:v>
                      </c:pt>
                      <c:pt idx="60">
                        <c:v>1.1594772405710054</c:v>
                      </c:pt>
                      <c:pt idx="61">
                        <c:v>0.53142768295432941</c:v>
                      </c:pt>
                      <c:pt idx="62">
                        <c:v>0.89738394201104421</c:v>
                      </c:pt>
                      <c:pt idx="63">
                        <c:v>9.5319316293298699E-3</c:v>
                      </c:pt>
                      <c:pt idx="64">
                        <c:v>0.35863151512825697</c:v>
                      </c:pt>
                      <c:pt idx="65">
                        <c:v>0.47015377760394805</c:v>
                      </c:pt>
                      <c:pt idx="66">
                        <c:v>3.8775293135206188</c:v>
                      </c:pt>
                      <c:pt idx="67">
                        <c:v>0.33924714660924049</c:v>
                      </c:pt>
                      <c:pt idx="68">
                        <c:v>0.49155662702944269</c:v>
                      </c:pt>
                      <c:pt idx="69">
                        <c:v>1.2995542628318202</c:v>
                      </c:pt>
                    </c:numCache>
                  </c:numRef>
                </c:val>
                <c:smooth val="0"/>
                <c:extLst>
                  <c:ext xmlns:c16="http://schemas.microsoft.com/office/drawing/2014/chart" uri="{C3380CC4-5D6E-409C-BE32-E72D297353CC}">
                    <c16:uniqueId val="{00000002-9866-4495-8634-976196977607}"/>
                  </c:ext>
                </c:extLst>
              </c15:ser>
            </c15:filteredLineSeries>
          </c:ext>
        </c:extLst>
      </c:lineChart>
      <c:dateAx>
        <c:axId val="699983696"/>
        <c:scaling>
          <c:orientation val="minMax"/>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0" i="0" u="none" strike="noStrike" kern="1200" baseline="0">
                <a:solidFill>
                  <a:schemeClr val="tx1">
                    <a:lumMod val="65000"/>
                    <a:lumOff val="35000"/>
                  </a:schemeClr>
                </a:solidFill>
                <a:latin typeface="+mn-lt"/>
                <a:ea typeface="+mn-ea"/>
                <a:cs typeface="+mn-cs"/>
              </a:defRPr>
            </a:pPr>
            <a:endParaRPr lang="en-US"/>
          </a:p>
        </c:txPr>
        <c:crossAx val="699989520"/>
        <c:crosses val="autoZero"/>
        <c:auto val="0"/>
        <c:lblOffset val="1000"/>
        <c:baseTimeUnit val="months"/>
        <c:majorUnit val="4"/>
        <c:majorTimeUnit val="months"/>
      </c:dateAx>
      <c:valAx>
        <c:axId val="6999895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983696"/>
        <c:crosses val="autoZero"/>
        <c:crossBetween val="between"/>
        <c:majorUnit val="0.1"/>
      </c:valAx>
      <c:spPr>
        <a:noFill/>
        <a:ln>
          <a:noFill/>
        </a:ln>
        <a:effectLst/>
      </c:spPr>
    </c:plotArea>
    <c:legend>
      <c:legendPos val="l"/>
      <c:layout>
        <c:manualLayout>
          <c:xMode val="edge"/>
          <c:yMode val="edge"/>
          <c:x val="0.10278747054617006"/>
          <c:y val="7.1891174440273667E-2"/>
          <c:w val="0.12743959058404766"/>
          <c:h val="0.3174730617335889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&amp;LCREAM Dashboard&amp;Ras of March 2024   </c:oddHeader>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BTC Trading History wrt Current Market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603670429932927E-2"/>
          <c:y val="0.12363333333333333"/>
          <c:w val="0.84761415375487592"/>
          <c:h val="0.7990391076115485"/>
        </c:manualLayout>
      </c:layout>
      <c:bubbleChart>
        <c:varyColors val="0"/>
        <c:ser>
          <c:idx val="0"/>
          <c:order val="0"/>
          <c:tx>
            <c:v>Buys</c:v>
          </c:tx>
          <c:spPr>
            <a:solidFill>
              <a:schemeClr val="accent1"/>
            </a:solidFill>
            <a:ln w="25400">
              <a:noFill/>
            </a:ln>
            <a:effectLst/>
          </c:spPr>
          <c:invertIfNegative val="0"/>
          <c:xVal>
            <c:numRef>
              <c:f>Bitcoin!$B$17:$B$114</c:f>
              <c:numCache>
                <c:formatCode>m/d/yyyy\ h:mm</c:formatCode>
                <c:ptCount val="98"/>
                <c:pt idx="0">
                  <c:v>44307.839583333334</c:v>
                </c:pt>
                <c:pt idx="1">
                  <c:v>44307.84375</c:v>
                </c:pt>
                <c:pt idx="2">
                  <c:v>44307.853472222225</c:v>
                </c:pt>
                <c:pt idx="3">
                  <c:v>44307.857638888891</c:v>
                </c:pt>
                <c:pt idx="4">
                  <c:v>44307.87222222222</c:v>
                </c:pt>
                <c:pt idx="5">
                  <c:v>44307.883333333331</c:v>
                </c:pt>
                <c:pt idx="6">
                  <c:v>44307.89166666667</c:v>
                </c:pt>
                <c:pt idx="7">
                  <c:v>44308.53402777778</c:v>
                </c:pt>
                <c:pt idx="8">
                  <c:v>44308.535416666666</c:v>
                </c:pt>
                <c:pt idx="9">
                  <c:v>44308.555555555555</c:v>
                </c:pt>
                <c:pt idx="10">
                  <c:v>44308.845833333333</c:v>
                </c:pt>
                <c:pt idx="11">
                  <c:v>44308.888888888891</c:v>
                </c:pt>
                <c:pt idx="12">
                  <c:v>44311.668055555558</c:v>
                </c:pt>
                <c:pt idx="13">
                  <c:v>44311.963194444441</c:v>
                </c:pt>
                <c:pt idx="14">
                  <c:v>44314.036111111112</c:v>
                </c:pt>
                <c:pt idx="15">
                  <c:v>44314.036805555559</c:v>
                </c:pt>
                <c:pt idx="16">
                  <c:v>44314.052083333336</c:v>
                </c:pt>
                <c:pt idx="17">
                  <c:v>44320.739583333336</c:v>
                </c:pt>
                <c:pt idx="18">
                  <c:v>44328.718055555553</c:v>
                </c:pt>
                <c:pt idx="19">
                  <c:v>44328.775000000001</c:v>
                </c:pt>
                <c:pt idx="20">
                  <c:v>44328.791666666664</c:v>
                </c:pt>
                <c:pt idx="21">
                  <c:v>44328.794444444444</c:v>
                </c:pt>
                <c:pt idx="22">
                  <c:v>44331.794444444444</c:v>
                </c:pt>
                <c:pt idx="23">
                  <c:v>44332.584027777775</c:v>
                </c:pt>
                <c:pt idx="24">
                  <c:v>44332.59097222222</c:v>
                </c:pt>
                <c:pt idx="25">
                  <c:v>44332.617361111108</c:v>
                </c:pt>
                <c:pt idx="26">
                  <c:v>44332.658333333333</c:v>
                </c:pt>
                <c:pt idx="27">
                  <c:v>44334.86041666667</c:v>
                </c:pt>
                <c:pt idx="28">
                  <c:v>44334.99722222222</c:v>
                </c:pt>
                <c:pt idx="29">
                  <c:v>44340.320138888892</c:v>
                </c:pt>
                <c:pt idx="30">
                  <c:v>44340.327777777777</c:v>
                </c:pt>
                <c:pt idx="31">
                  <c:v>44344.343055555553</c:v>
                </c:pt>
                <c:pt idx="32">
                  <c:v>44344.750694444447</c:v>
                </c:pt>
                <c:pt idx="33">
                  <c:v>44354.834722222222</c:v>
                </c:pt>
                <c:pt idx="34">
                  <c:v>44367.314583333333</c:v>
                </c:pt>
                <c:pt idx="35">
                  <c:v>44368.525000000001</c:v>
                </c:pt>
                <c:pt idx="36">
                  <c:v>44369.380555555559</c:v>
                </c:pt>
                <c:pt idx="37">
                  <c:v>44392.614583333336</c:v>
                </c:pt>
                <c:pt idx="38">
                  <c:v>44404.881944444445</c:v>
                </c:pt>
                <c:pt idx="39">
                  <c:v>44409.811111111114</c:v>
                </c:pt>
                <c:pt idx="40">
                  <c:v>44413.844444444447</c:v>
                </c:pt>
                <c:pt idx="41">
                  <c:v>44416.844444444447</c:v>
                </c:pt>
                <c:pt idx="42">
                  <c:v>44420.460416666669</c:v>
                </c:pt>
                <c:pt idx="43">
                  <c:v>44420.488888888889</c:v>
                </c:pt>
                <c:pt idx="44">
                  <c:v>44425.656944444447</c:v>
                </c:pt>
                <c:pt idx="45">
                  <c:v>44426.92083333333</c:v>
                </c:pt>
                <c:pt idx="46">
                  <c:v>44446.595833333333</c:v>
                </c:pt>
                <c:pt idx="47">
                  <c:v>44447.04583333333</c:v>
                </c:pt>
                <c:pt idx="48">
                  <c:v>44449.78402777778</c:v>
                </c:pt>
                <c:pt idx="49">
                  <c:v>44452.400694444441</c:v>
                </c:pt>
                <c:pt idx="50">
                  <c:v>44459.581944444442</c:v>
                </c:pt>
                <c:pt idx="51">
                  <c:v>44459.839583333334</c:v>
                </c:pt>
                <c:pt idx="52">
                  <c:v>44460.753472222219</c:v>
                </c:pt>
                <c:pt idx="53">
                  <c:v>44516.013888888891</c:v>
                </c:pt>
                <c:pt idx="54">
                  <c:v>44518.707638888889</c:v>
                </c:pt>
                <c:pt idx="55">
                  <c:v>44526.120138888888</c:v>
                </c:pt>
                <c:pt idx="56">
                  <c:v>44526.324305555558</c:v>
                </c:pt>
                <c:pt idx="57">
                  <c:v>44533.857638888891</c:v>
                </c:pt>
                <c:pt idx="58">
                  <c:v>44534.531944444447</c:v>
                </c:pt>
                <c:pt idx="59">
                  <c:v>44569.48541666667</c:v>
                </c:pt>
                <c:pt idx="60">
                  <c:v>44582.044444444444</c:v>
                </c:pt>
                <c:pt idx="61">
                  <c:v>44688.904166666667</c:v>
                </c:pt>
                <c:pt idx="62">
                  <c:v>44692.324999999997</c:v>
                </c:pt>
                <c:pt idx="63">
                  <c:v>44693.588194444441</c:v>
                </c:pt>
                <c:pt idx="64">
                  <c:v>44725.448611111111</c:v>
                </c:pt>
                <c:pt idx="65">
                  <c:v>44730.081250000003</c:v>
                </c:pt>
                <c:pt idx="66">
                  <c:v>44800.431944444441</c:v>
                </c:pt>
                <c:pt idx="67">
                  <c:v>45265.15</c:v>
                </c:pt>
                <c:pt idx="68">
                  <c:v>45278.817361111112</c:v>
                </c:pt>
                <c:pt idx="69">
                  <c:v>45286.613888888889</c:v>
                </c:pt>
                <c:pt idx="70">
                  <c:v>45313.553472222222</c:v>
                </c:pt>
                <c:pt idx="71">
                  <c:v>45359.424305555556</c:v>
                </c:pt>
                <c:pt idx="72">
                  <c:v>45365.479861111111</c:v>
                </c:pt>
                <c:pt idx="73">
                  <c:v>45366.170138888891</c:v>
                </c:pt>
                <c:pt idx="74">
                  <c:v>45367.762499999997</c:v>
                </c:pt>
                <c:pt idx="75">
                  <c:v>45415.625694444447</c:v>
                </c:pt>
                <c:pt idx="76">
                  <c:v>45457.474999999999</c:v>
                </c:pt>
                <c:pt idx="77">
                  <c:v>45461.543749999997</c:v>
                </c:pt>
                <c:pt idx="78">
                  <c:v>45471.624305555553</c:v>
                </c:pt>
                <c:pt idx="79">
                  <c:v>45478.451388888891</c:v>
                </c:pt>
                <c:pt idx="80">
                  <c:v>45504.661805555559</c:v>
                </c:pt>
                <c:pt idx="81">
                  <c:v>45505.454861111109</c:v>
                </c:pt>
                <c:pt idx="82">
                  <c:v>45509.047222222223</c:v>
                </c:pt>
                <c:pt idx="83">
                  <c:v>45534.438194444447</c:v>
                </c:pt>
                <c:pt idx="84">
                  <c:v>45541.503472222219</c:v>
                </c:pt>
                <c:pt idx="85">
                  <c:v>45567.620833333334</c:v>
                </c:pt>
                <c:pt idx="86">
                  <c:v>45609.584722222222</c:v>
                </c:pt>
                <c:pt idx="87">
                  <c:v>45643.828472222223</c:v>
                </c:pt>
                <c:pt idx="88">
                  <c:v>45644.032638888886</c:v>
                </c:pt>
                <c:pt idx="89">
                  <c:v>45653.474999999999</c:v>
                </c:pt>
                <c:pt idx="90">
                  <c:v>45714.357638888891</c:v>
                </c:pt>
                <c:pt idx="91">
                  <c:v>45753.522222222222</c:v>
                </c:pt>
              </c:numCache>
            </c:numRef>
          </c:xVal>
          <c:yVal>
            <c:numRef>
              <c:f>Bitcoin!$M$17:$M$114</c:f>
              <c:numCache>
                <c:formatCode>0.00</c:formatCode>
                <c:ptCount val="98"/>
                <c:pt idx="0">
                  <c:v>1.2454785735</c:v>
                </c:pt>
                <c:pt idx="1">
                  <c:v>1.2412920909000003</c:v>
                </c:pt>
                <c:pt idx="2">
                  <c:v>1.2419898380000001</c:v>
                </c:pt>
                <c:pt idx="3">
                  <c:v>1.2447808264</c:v>
                </c:pt>
                <c:pt idx="4">
                  <c:v>1.2489673090000002</c:v>
                </c:pt>
                <c:pt idx="5">
                  <c:v>1.2838546640000001</c:v>
                </c:pt>
                <c:pt idx="6">
                  <c:v>1.2838546640000001</c:v>
                </c:pt>
                <c:pt idx="7">
                  <c:v>1.2538515387</c:v>
                </c:pt>
                <c:pt idx="8">
                  <c:v>1.2573402742000002</c:v>
                </c:pt>
                <c:pt idx="9">
                  <c:v>1.2831569169000001</c:v>
                </c:pt>
                <c:pt idx="10">
                  <c:v>1.3278127313000001</c:v>
                </c:pt>
                <c:pt idx="11">
                  <c:v>1.3539782475500002</c:v>
                </c:pt>
                <c:pt idx="12">
                  <c:v>1.4150311188</c:v>
                </c:pt>
                <c:pt idx="13">
                  <c:v>1.2972676665048546</c:v>
                </c:pt>
                <c:pt idx="14">
                  <c:v>1.2403640195145631</c:v>
                </c:pt>
                <c:pt idx="15">
                  <c:v>1.2410414438834951</c:v>
                </c:pt>
                <c:pt idx="16">
                  <c:v>1.2498479606796118</c:v>
                </c:pt>
                <c:pt idx="17">
                  <c:v>1.2630577358737864</c:v>
                </c:pt>
                <c:pt idx="18">
                  <c:v>1.3026240609899999</c:v>
                </c:pt>
                <c:pt idx="19">
                  <c:v>1.3175903975728156</c:v>
                </c:pt>
                <c:pt idx="20">
                  <c:v>1.3799134395145631</c:v>
                </c:pt>
                <c:pt idx="21">
                  <c:v>1.4496881495145633</c:v>
                </c:pt>
                <c:pt idx="22">
                  <c:v>1.4537526957281557</c:v>
                </c:pt>
                <c:pt idx="23">
                  <c:v>1.4889787629126214</c:v>
                </c:pt>
                <c:pt idx="24">
                  <c:v>1.4981239918932041</c:v>
                </c:pt>
                <c:pt idx="25">
                  <c:v>1.4994788406310682</c:v>
                </c:pt>
                <c:pt idx="26">
                  <c:v>1.5411404393203885</c:v>
                </c:pt>
                <c:pt idx="27">
                  <c:v>1.6441089433980585</c:v>
                </c:pt>
                <c:pt idx="28">
                  <c:v>1.7521581302427185</c:v>
                </c:pt>
                <c:pt idx="29">
                  <c:v>1.7565613886407769</c:v>
                </c:pt>
                <c:pt idx="30">
                  <c:v>1.7674001785436895</c:v>
                </c:pt>
                <c:pt idx="31">
                  <c:v>1.8364974641747573</c:v>
                </c:pt>
                <c:pt idx="32">
                  <c:v>1.9357401342233012</c:v>
                </c:pt>
                <c:pt idx="33">
                  <c:v>2.0156762097572818</c:v>
                </c:pt>
                <c:pt idx="34">
                  <c:v>2.0153374975728156</c:v>
                </c:pt>
                <c:pt idx="35">
                  <c:v>2.0844347832038834</c:v>
                </c:pt>
                <c:pt idx="36">
                  <c:v>2.3289849803883498</c:v>
                </c:pt>
                <c:pt idx="37">
                  <c:v>2.1501449469902911</c:v>
                </c:pt>
                <c:pt idx="38">
                  <c:v>1.6950851271601943</c:v>
                </c:pt>
                <c:pt idx="39">
                  <c:v>1.6962706198058255</c:v>
                </c:pt>
                <c:pt idx="40">
                  <c:v>1.6938996345145632</c:v>
                </c:pt>
                <c:pt idx="41">
                  <c:v>1.5772132869660196</c:v>
                </c:pt>
                <c:pt idx="42">
                  <c:v>1.536398468737864</c:v>
                </c:pt>
                <c:pt idx="43">
                  <c:v>1.5406323710436893</c:v>
                </c:pt>
                <c:pt idx="44">
                  <c:v>1.5188105985141742</c:v>
                </c:pt>
                <c:pt idx="45">
                  <c:v>1.5203096399757283</c:v>
                </c:pt>
                <c:pt idx="46">
                  <c:v>1.4467168854447703</c:v>
                </c:pt>
                <c:pt idx="47">
                  <c:v>1.4739992744965786</c:v>
                </c:pt>
                <c:pt idx="48">
                  <c:v>1.5133660401941749</c:v>
                </c:pt>
                <c:pt idx="49">
                  <c:v>1.5522315251026393</c:v>
                </c:pt>
                <c:pt idx="50">
                  <c:v>1.5731025527272726</c:v>
                </c:pt>
                <c:pt idx="51">
                  <c:v>1.6309412175171065</c:v>
                </c:pt>
                <c:pt idx="52">
                  <c:v>1.671544630339806</c:v>
                </c:pt>
                <c:pt idx="53">
                  <c:v>1.1117437126666667</c:v>
                </c:pt>
                <c:pt idx="54">
                  <c:v>1.1956540111650484</c:v>
                </c:pt>
                <c:pt idx="55">
                  <c:v>1.2401209943499509</c:v>
                </c:pt>
                <c:pt idx="56">
                  <c:v>1.2537621888758554</c:v>
                </c:pt>
                <c:pt idx="57">
                  <c:v>1.2901841782600196</c:v>
                </c:pt>
                <c:pt idx="58">
                  <c:v>1.3992455284946237</c:v>
                </c:pt>
                <c:pt idx="59">
                  <c:v>1.66033799172043</c:v>
                </c:pt>
                <c:pt idx="60">
                  <c:v>1.7661936612414466</c:v>
                </c:pt>
                <c:pt idx="61">
                  <c:v>1.9780414122287391</c:v>
                </c:pt>
                <c:pt idx="62">
                  <c:v>2.2773292201270774</c:v>
                </c:pt>
                <c:pt idx="63">
                  <c:v>2.4037148874095799</c:v>
                </c:pt>
                <c:pt idx="64">
                  <c:v>2.9208573033219349</c:v>
                </c:pt>
                <c:pt idx="65">
                  <c:v>3.5359791482950662</c:v>
                </c:pt>
                <c:pt idx="66">
                  <c:v>3.411983319</c:v>
                </c:pt>
                <c:pt idx="67">
                  <c:v>1.6218433592400001</c:v>
                </c:pt>
                <c:pt idx="68">
                  <c:v>1.6635337484650001</c:v>
                </c:pt>
                <c:pt idx="69">
                  <c:v>1.6093955509760003</c:v>
                </c:pt>
                <c:pt idx="70">
                  <c:v>1.7052939124000002</c:v>
                </c:pt>
                <c:pt idx="71">
                  <c:v>1.0154600008751611</c:v>
                </c:pt>
                <c:pt idx="72">
                  <c:v>0.97436893779500022</c:v>
                </c:pt>
                <c:pt idx="73">
                  <c:v>1.0179781315450001</c:v>
                </c:pt>
                <c:pt idx="74">
                  <c:v>1.0493069763350003</c:v>
                </c:pt>
                <c:pt idx="75">
                  <c:v>1.0939279033800002</c:v>
                </c:pt>
                <c:pt idx="76">
                  <c:v>1.0378988112500003</c:v>
                </c:pt>
                <c:pt idx="77">
                  <c:v>1.05897077367</c:v>
                </c:pt>
                <c:pt idx="78">
                  <c:v>1.1368672599140002</c:v>
                </c:pt>
                <c:pt idx="79">
                  <c:v>1.19300799158</c:v>
                </c:pt>
                <c:pt idx="80">
                  <c:v>1.0502489349199999</c:v>
                </c:pt>
                <c:pt idx="81">
                  <c:v>1.0786123545350002</c:v>
                </c:pt>
                <c:pt idx="82">
                  <c:v>1.3117645480000002</c:v>
                </c:pt>
                <c:pt idx="83">
                  <c:v>1.1691450407600001</c:v>
                </c:pt>
                <c:pt idx="84">
                  <c:v>1.2552191230160001</c:v>
                </c:pt>
                <c:pt idx="85">
                  <c:v>1.1265685127180001</c:v>
                </c:pt>
                <c:pt idx="86">
                  <c:v>0.75817199886000008</c:v>
                </c:pt>
                <c:pt idx="87">
                  <c:v>0.64656037274400002</c:v>
                </c:pt>
                <c:pt idx="88">
                  <c:v>0.6600440538823884</c:v>
                </c:pt>
                <c:pt idx="89">
                  <c:v>0.73078880138064528</c:v>
                </c:pt>
                <c:pt idx="90">
                  <c:v>0.79478046337333341</c:v>
                </c:pt>
                <c:pt idx="91">
                  <c:v>0.83694764645000008</c:v>
                </c:pt>
              </c:numCache>
            </c:numRef>
          </c:yVal>
          <c:bubbleSize>
            <c:numRef>
              <c:f>Bitcoin!$C$17:$C$114</c:f>
              <c:numCache>
                <c:formatCode>_("$"* #,##0.00_);_("$"* \(#,##0.00\);_("$"* "-"??_);_(@_)</c:formatCode>
                <c:ptCount val="98"/>
                <c:pt idx="0">
                  <c:v>1</c:v>
                </c:pt>
                <c:pt idx="1">
                  <c:v>1</c:v>
                </c:pt>
                <c:pt idx="2">
                  <c:v>1</c:v>
                </c:pt>
                <c:pt idx="3">
                  <c:v>1</c:v>
                </c:pt>
                <c:pt idx="4">
                  <c:v>1</c:v>
                </c:pt>
                <c:pt idx="5">
                  <c:v>1</c:v>
                </c:pt>
                <c:pt idx="6">
                  <c:v>1</c:v>
                </c:pt>
                <c:pt idx="7">
                  <c:v>1</c:v>
                </c:pt>
                <c:pt idx="8">
                  <c:v>1</c:v>
                </c:pt>
                <c:pt idx="9">
                  <c:v>1</c:v>
                </c:pt>
                <c:pt idx="10">
                  <c:v>2</c:v>
                </c:pt>
                <c:pt idx="11">
                  <c:v>2</c:v>
                </c:pt>
                <c:pt idx="12">
                  <c:v>1</c:v>
                </c:pt>
                <c:pt idx="13">
                  <c:v>1.03</c:v>
                </c:pt>
                <c:pt idx="14">
                  <c:v>1.03</c:v>
                </c:pt>
                <c:pt idx="15">
                  <c:v>1.03</c:v>
                </c:pt>
                <c:pt idx="16">
                  <c:v>1.03</c:v>
                </c:pt>
                <c:pt idx="17">
                  <c:v>2.06</c:v>
                </c:pt>
                <c:pt idx="18">
                  <c:v>10</c:v>
                </c:pt>
                <c:pt idx="19">
                  <c:v>1.03</c:v>
                </c:pt>
                <c:pt idx="20">
                  <c:v>1.03</c:v>
                </c:pt>
                <c:pt idx="21">
                  <c:v>2.06</c:v>
                </c:pt>
                <c:pt idx="22">
                  <c:v>1.03</c:v>
                </c:pt>
                <c:pt idx="23">
                  <c:v>2.06</c:v>
                </c:pt>
                <c:pt idx="24">
                  <c:v>2.06</c:v>
                </c:pt>
                <c:pt idx="25">
                  <c:v>2.06</c:v>
                </c:pt>
                <c:pt idx="26">
                  <c:v>1.03</c:v>
                </c:pt>
                <c:pt idx="27">
                  <c:v>2.06</c:v>
                </c:pt>
                <c:pt idx="28">
                  <c:v>2.06</c:v>
                </c:pt>
                <c:pt idx="29">
                  <c:v>2.06</c:v>
                </c:pt>
                <c:pt idx="30">
                  <c:v>1.03</c:v>
                </c:pt>
                <c:pt idx="31">
                  <c:v>2.06</c:v>
                </c:pt>
                <c:pt idx="32">
                  <c:v>2.06</c:v>
                </c:pt>
                <c:pt idx="33">
                  <c:v>2.06</c:v>
                </c:pt>
                <c:pt idx="34">
                  <c:v>2.06</c:v>
                </c:pt>
                <c:pt idx="35">
                  <c:v>2.06</c:v>
                </c:pt>
                <c:pt idx="36">
                  <c:v>4.12</c:v>
                </c:pt>
                <c:pt idx="37">
                  <c:v>4.12</c:v>
                </c:pt>
                <c:pt idx="38">
                  <c:v>4.12</c:v>
                </c:pt>
                <c:pt idx="39">
                  <c:v>2.06</c:v>
                </c:pt>
                <c:pt idx="40">
                  <c:v>2.06</c:v>
                </c:pt>
                <c:pt idx="41">
                  <c:v>4.12</c:v>
                </c:pt>
                <c:pt idx="42">
                  <c:v>4.12</c:v>
                </c:pt>
                <c:pt idx="43">
                  <c:v>4.12</c:v>
                </c:pt>
                <c:pt idx="44">
                  <c:v>10.23</c:v>
                </c:pt>
                <c:pt idx="45">
                  <c:v>4.12</c:v>
                </c:pt>
                <c:pt idx="46">
                  <c:v>10.23</c:v>
                </c:pt>
                <c:pt idx="47">
                  <c:v>10.23</c:v>
                </c:pt>
                <c:pt idx="48">
                  <c:v>5.15</c:v>
                </c:pt>
                <c:pt idx="49">
                  <c:v>10.23</c:v>
                </c:pt>
                <c:pt idx="50">
                  <c:v>10.23</c:v>
                </c:pt>
                <c:pt idx="51">
                  <c:v>10.23</c:v>
                </c:pt>
                <c:pt idx="52">
                  <c:v>4.12</c:v>
                </c:pt>
                <c:pt idx="53">
                  <c:v>4.2</c:v>
                </c:pt>
                <c:pt idx="54">
                  <c:v>4.12</c:v>
                </c:pt>
                <c:pt idx="55">
                  <c:v>10.23</c:v>
                </c:pt>
                <c:pt idx="56">
                  <c:v>10.23</c:v>
                </c:pt>
                <c:pt idx="57">
                  <c:v>10.23</c:v>
                </c:pt>
                <c:pt idx="58">
                  <c:v>10.23</c:v>
                </c:pt>
                <c:pt idx="59">
                  <c:v>10.23</c:v>
                </c:pt>
                <c:pt idx="60">
                  <c:v>10.23</c:v>
                </c:pt>
                <c:pt idx="61">
                  <c:v>20.46</c:v>
                </c:pt>
                <c:pt idx="62">
                  <c:v>10.23</c:v>
                </c:pt>
                <c:pt idx="63">
                  <c:v>20.46</c:v>
                </c:pt>
                <c:pt idx="64">
                  <c:v>20.47</c:v>
                </c:pt>
                <c:pt idx="65">
                  <c:v>20.47</c:v>
                </c:pt>
                <c:pt idx="66">
                  <c:v>10</c:v>
                </c:pt>
                <c:pt idx="67">
                  <c:v>25</c:v>
                </c:pt>
                <c:pt idx="68">
                  <c:v>20</c:v>
                </c:pt>
                <c:pt idx="69">
                  <c:v>25</c:v>
                </c:pt>
                <c:pt idx="70">
                  <c:v>50</c:v>
                </c:pt>
                <c:pt idx="71">
                  <c:v>7.77</c:v>
                </c:pt>
                <c:pt idx="72">
                  <c:v>20</c:v>
                </c:pt>
                <c:pt idx="73">
                  <c:v>20</c:v>
                </c:pt>
                <c:pt idx="74">
                  <c:v>20</c:v>
                </c:pt>
                <c:pt idx="75">
                  <c:v>10</c:v>
                </c:pt>
                <c:pt idx="76">
                  <c:v>10</c:v>
                </c:pt>
                <c:pt idx="77">
                  <c:v>10</c:v>
                </c:pt>
                <c:pt idx="78">
                  <c:v>50</c:v>
                </c:pt>
                <c:pt idx="79">
                  <c:v>5</c:v>
                </c:pt>
                <c:pt idx="80">
                  <c:v>20</c:v>
                </c:pt>
                <c:pt idx="81">
                  <c:v>20</c:v>
                </c:pt>
                <c:pt idx="82">
                  <c:v>25</c:v>
                </c:pt>
                <c:pt idx="83">
                  <c:v>15</c:v>
                </c:pt>
                <c:pt idx="84">
                  <c:v>50</c:v>
                </c:pt>
                <c:pt idx="85">
                  <c:v>50</c:v>
                </c:pt>
                <c:pt idx="86">
                  <c:v>100</c:v>
                </c:pt>
                <c:pt idx="87">
                  <c:v>50</c:v>
                </c:pt>
                <c:pt idx="88">
                  <c:v>33.33</c:v>
                </c:pt>
                <c:pt idx="89">
                  <c:v>93</c:v>
                </c:pt>
                <c:pt idx="90">
                  <c:v>30</c:v>
                </c:pt>
                <c:pt idx="91">
                  <c:v>50</c:v>
                </c:pt>
              </c:numCache>
            </c:numRef>
          </c:bubbleSize>
          <c:bubble3D val="0"/>
          <c:extLst>
            <c:ext xmlns:c16="http://schemas.microsoft.com/office/drawing/2014/chart" uri="{C3380CC4-5D6E-409C-BE32-E72D297353CC}">
              <c16:uniqueId val="{00000000-C4CC-4C8E-BB10-2C09FF72F23E}"/>
            </c:ext>
          </c:extLst>
        </c:ser>
        <c:ser>
          <c:idx val="1"/>
          <c:order val="1"/>
          <c:tx>
            <c:v>Sells</c:v>
          </c:tx>
          <c:spPr>
            <a:solidFill>
              <a:schemeClr val="accent2"/>
            </a:solidFill>
            <a:ln w="25400">
              <a:noFill/>
            </a:ln>
            <a:effectLst/>
          </c:spPr>
          <c:invertIfNegative val="0"/>
          <c:xVal>
            <c:numRef>
              <c:f>Bitcoin!$O$17:$O$114</c:f>
              <c:numCache>
                <c:formatCode>m/d/yyyy\ h:mm</c:formatCode>
                <c:ptCount val="98"/>
                <c:pt idx="0">
                  <c:v>44311.857638888891</c:v>
                </c:pt>
                <c:pt idx="1">
                  <c:v>44316.776388888888</c:v>
                </c:pt>
                <c:pt idx="2">
                  <c:v>44318.863194444442</c:v>
                </c:pt>
                <c:pt idx="3">
                  <c:v>44323.973611111112</c:v>
                </c:pt>
                <c:pt idx="4">
                  <c:v>44324.543749999997</c:v>
                </c:pt>
                <c:pt idx="5">
                  <c:v>44324.644444444442</c:v>
                </c:pt>
                <c:pt idx="6">
                  <c:v>44402.848611111112</c:v>
                </c:pt>
                <c:pt idx="7">
                  <c:v>44414.46597222222</c:v>
                </c:pt>
                <c:pt idx="8">
                  <c:v>44417.779861111114</c:v>
                </c:pt>
                <c:pt idx="9">
                  <c:v>44421.648611111108</c:v>
                </c:pt>
                <c:pt idx="10">
                  <c:v>44428.870833333334</c:v>
                </c:pt>
                <c:pt idx="11">
                  <c:v>44429.509027777778</c:v>
                </c:pt>
                <c:pt idx="12">
                  <c:v>44442.361805555556</c:v>
                </c:pt>
                <c:pt idx="13">
                  <c:v>44445.730555555558</c:v>
                </c:pt>
                <c:pt idx="14">
                  <c:v>44474.199305555558</c:v>
                </c:pt>
                <c:pt idx="15">
                  <c:v>44474.646527777775</c:v>
                </c:pt>
                <c:pt idx="16">
                  <c:v>44475.34097222222</c:v>
                </c:pt>
                <c:pt idx="17">
                  <c:v>44475.348611111112</c:v>
                </c:pt>
                <c:pt idx="18">
                  <c:v>44475.679861111108</c:v>
                </c:pt>
                <c:pt idx="19">
                  <c:v>44479.974999999999</c:v>
                </c:pt>
                <c:pt idx="20">
                  <c:v>44480.615277777775</c:v>
                </c:pt>
                <c:pt idx="21">
                  <c:v>44482.842361111114</c:v>
                </c:pt>
                <c:pt idx="22">
                  <c:v>44484.375</c:v>
                </c:pt>
                <c:pt idx="23">
                  <c:v>44484.640277777777</c:v>
                </c:pt>
                <c:pt idx="24">
                  <c:v>44488.60833333333</c:v>
                </c:pt>
                <c:pt idx="25">
                  <c:v>44489.4</c:v>
                </c:pt>
                <c:pt idx="26">
                  <c:v>44508.865277777775</c:v>
                </c:pt>
                <c:pt idx="27">
                  <c:v>45292.993750000001</c:v>
                </c:pt>
                <c:pt idx="28">
                  <c:v>45299.522222222222</c:v>
                </c:pt>
                <c:pt idx="29">
                  <c:v>45331.517361111109</c:v>
                </c:pt>
                <c:pt idx="30">
                  <c:v>45343.87777777778</c:v>
                </c:pt>
                <c:pt idx="31">
                  <c:v>45349.59652777778</c:v>
                </c:pt>
                <c:pt idx="32">
                  <c:v>45355.107638888891</c:v>
                </c:pt>
                <c:pt idx="33">
                  <c:v>45358.531944444447</c:v>
                </c:pt>
                <c:pt idx="34">
                  <c:v>45359.395138888889</c:v>
                </c:pt>
                <c:pt idx="35">
                  <c:v>45375.7</c:v>
                </c:pt>
                <c:pt idx="36">
                  <c:v>45427.644444444442</c:v>
                </c:pt>
                <c:pt idx="37">
                  <c:v>45462.635416666664</c:v>
                </c:pt>
                <c:pt idx="38">
                  <c:v>45470.384027777778</c:v>
                </c:pt>
                <c:pt idx="39">
                  <c:v>45606.484027777777</c:v>
                </c:pt>
                <c:pt idx="40">
                  <c:v>45609.371527777781</c:v>
                </c:pt>
                <c:pt idx="41">
                  <c:v>45620.415972222225</c:v>
                </c:pt>
                <c:pt idx="42">
                  <c:v>45621.94027777778</c:v>
                </c:pt>
                <c:pt idx="43">
                  <c:v>45641.547222222223</c:v>
                </c:pt>
                <c:pt idx="44">
                  <c:v>45642.520833333336</c:v>
                </c:pt>
                <c:pt idx="45">
                  <c:v>45788.577777777777</c:v>
                </c:pt>
                <c:pt idx="46">
                  <c:v>45798.945833333331</c:v>
                </c:pt>
                <c:pt idx="47">
                  <c:v>45818.713194444441</c:v>
                </c:pt>
              </c:numCache>
            </c:numRef>
          </c:xVal>
          <c:yVal>
            <c:numRef>
              <c:f>Bitcoin!$V$17:$V$114</c:f>
              <c:numCache>
                <c:formatCode>0.00</c:formatCode>
                <c:ptCount val="98"/>
                <c:pt idx="0">
                  <c:v>0.75979361127400158</c:v>
                </c:pt>
                <c:pt idx="1">
                  <c:v>0.85486001638301612</c:v>
                </c:pt>
                <c:pt idx="2">
                  <c:v>0.86210868808778995</c:v>
                </c:pt>
                <c:pt idx="3">
                  <c:v>0.86799673831946522</c:v>
                </c:pt>
                <c:pt idx="4">
                  <c:v>0.87547087785723343</c:v>
                </c:pt>
                <c:pt idx="5">
                  <c:v>0.88103423987712337</c:v>
                </c:pt>
                <c:pt idx="6">
                  <c:v>0.55919709202577705</c:v>
                </c:pt>
                <c:pt idx="7">
                  <c:v>0.63730708426391891</c:v>
                </c:pt>
                <c:pt idx="8">
                  <c:v>0.68434833709997778</c:v>
                </c:pt>
                <c:pt idx="9">
                  <c:v>0.70742353913671363</c:v>
                </c:pt>
                <c:pt idx="10">
                  <c:v>0.72605106842527989</c:v>
                </c:pt>
                <c:pt idx="11">
                  <c:v>0.73559400420947807</c:v>
                </c:pt>
                <c:pt idx="12">
                  <c:v>0.75569608504400199</c:v>
                </c:pt>
                <c:pt idx="13">
                  <c:v>0.78458188559898168</c:v>
                </c:pt>
                <c:pt idx="14">
                  <c:v>0.74539113842976557</c:v>
                </c:pt>
                <c:pt idx="15">
                  <c:v>0.76529017925898257</c:v>
                </c:pt>
                <c:pt idx="16">
                  <c:v>0.79010997265946559</c:v>
                </c:pt>
                <c:pt idx="17">
                  <c:v>0.81099190067923455</c:v>
                </c:pt>
                <c:pt idx="18">
                  <c:v>0.82050372261650639</c:v>
                </c:pt>
                <c:pt idx="19">
                  <c:v>0.84519522790251633</c:v>
                </c:pt>
                <c:pt idx="20">
                  <c:v>0.860940651025912</c:v>
                </c:pt>
                <c:pt idx="21">
                  <c:v>0.86101356060821477</c:v>
                </c:pt>
                <c:pt idx="22">
                  <c:v>0.88834732443704689</c:v>
                </c:pt>
                <c:pt idx="23">
                  <c:v>0.91816391886050608</c:v>
                </c:pt>
                <c:pt idx="24">
                  <c:v>0.94783733326743336</c:v>
                </c:pt>
                <c:pt idx="25">
                  <c:v>0.98486940214872465</c:v>
                </c:pt>
                <c:pt idx="26">
                  <c:v>1.0013593363278401</c:v>
                </c:pt>
                <c:pt idx="27">
                  <c:v>0.67215367295330941</c:v>
                </c:pt>
                <c:pt idx="28">
                  <c:v>0.69045549767859149</c:v>
                </c:pt>
                <c:pt idx="29">
                  <c:v>0.71556411522403363</c:v>
                </c:pt>
                <c:pt idx="30">
                  <c:v>0.76284713753288658</c:v>
                </c:pt>
                <c:pt idx="31">
                  <c:v>0.84779100966537801</c:v>
                </c:pt>
                <c:pt idx="32">
                  <c:v>0.96882407846469087</c:v>
                </c:pt>
                <c:pt idx="33">
                  <c:v>1.0030556376460087</c:v>
                </c:pt>
                <c:pt idx="34">
                  <c:v>1.039200737884109</c:v>
                </c:pt>
                <c:pt idx="35">
                  <c:v>1.0435449848935536</c:v>
                </c:pt>
                <c:pt idx="36">
                  <c:v>0.98528122823642472</c:v>
                </c:pt>
                <c:pt idx="37">
                  <c:v>0.96115808392629687</c:v>
                </c:pt>
                <c:pt idx="38">
                  <c:v>0.92338054477004428</c:v>
                </c:pt>
                <c:pt idx="39">
                  <c:v>1.192604950535749</c:v>
                </c:pt>
                <c:pt idx="40">
                  <c:v>1.3590354584137303</c:v>
                </c:pt>
                <c:pt idx="41">
                  <c:v>1.4309749547771977</c:v>
                </c:pt>
                <c:pt idx="42">
                  <c:v>1.4613451200869318</c:v>
                </c:pt>
                <c:pt idx="43">
                  <c:v>1.5404368120113299</c:v>
                </c:pt>
                <c:pt idx="44">
                  <c:v>1.5950936093735393</c:v>
                </c:pt>
                <c:pt idx="45">
                  <c:v>1.5622963414729694</c:v>
                </c:pt>
                <c:pt idx="46">
                  <c:v>1.625757544028215</c:v>
                </c:pt>
                <c:pt idx="47">
                  <c:v>1.7208122153009011</c:v>
                </c:pt>
              </c:numCache>
            </c:numRef>
          </c:yVal>
          <c:bubbleSize>
            <c:numRef>
              <c:f>Bitcoin!$P$17:$P$114</c:f>
              <c:numCache>
                <c:formatCode>_("$"* #,##0.00_);_("$"* \(#,##0.00\);_("$"* "-"??_);_(@_)</c:formatCode>
                <c:ptCount val="98"/>
                <c:pt idx="0">
                  <c:v>1</c:v>
                </c:pt>
                <c:pt idx="1">
                  <c:v>1.03</c:v>
                </c:pt>
                <c:pt idx="2">
                  <c:v>1.03</c:v>
                </c:pt>
                <c:pt idx="3">
                  <c:v>1.03</c:v>
                </c:pt>
                <c:pt idx="4">
                  <c:v>1.03</c:v>
                </c:pt>
                <c:pt idx="5">
                  <c:v>1.03</c:v>
                </c:pt>
                <c:pt idx="6">
                  <c:v>4.12</c:v>
                </c:pt>
                <c:pt idx="7">
                  <c:v>8.24</c:v>
                </c:pt>
                <c:pt idx="8">
                  <c:v>4.12</c:v>
                </c:pt>
                <c:pt idx="9">
                  <c:v>10.3</c:v>
                </c:pt>
                <c:pt idx="10">
                  <c:v>4.12</c:v>
                </c:pt>
                <c:pt idx="11">
                  <c:v>4.12</c:v>
                </c:pt>
                <c:pt idx="12">
                  <c:v>10.23</c:v>
                </c:pt>
                <c:pt idx="13">
                  <c:v>10.23</c:v>
                </c:pt>
                <c:pt idx="14">
                  <c:v>20.46</c:v>
                </c:pt>
                <c:pt idx="15">
                  <c:v>20.46</c:v>
                </c:pt>
                <c:pt idx="16">
                  <c:v>20.46</c:v>
                </c:pt>
                <c:pt idx="17">
                  <c:v>20.46</c:v>
                </c:pt>
                <c:pt idx="18">
                  <c:v>10.23</c:v>
                </c:pt>
                <c:pt idx="19">
                  <c:v>10.23</c:v>
                </c:pt>
                <c:pt idx="20">
                  <c:v>10.23</c:v>
                </c:pt>
                <c:pt idx="21">
                  <c:v>4.12</c:v>
                </c:pt>
                <c:pt idx="22">
                  <c:v>4.12</c:v>
                </c:pt>
                <c:pt idx="23">
                  <c:v>1.03</c:v>
                </c:pt>
                <c:pt idx="24">
                  <c:v>1.03</c:v>
                </c:pt>
                <c:pt idx="25">
                  <c:v>2.06</c:v>
                </c:pt>
                <c:pt idx="26">
                  <c:v>2.06</c:v>
                </c:pt>
                <c:pt idx="27">
                  <c:v>100</c:v>
                </c:pt>
                <c:pt idx="28">
                  <c:v>127.68</c:v>
                </c:pt>
                <c:pt idx="29">
                  <c:v>100</c:v>
                </c:pt>
                <c:pt idx="30">
                  <c:v>10</c:v>
                </c:pt>
                <c:pt idx="31">
                  <c:v>10</c:v>
                </c:pt>
                <c:pt idx="32">
                  <c:v>15.87</c:v>
                </c:pt>
                <c:pt idx="33">
                  <c:v>7.77</c:v>
                </c:pt>
                <c:pt idx="34">
                  <c:v>11.69</c:v>
                </c:pt>
                <c:pt idx="35">
                  <c:v>20</c:v>
                </c:pt>
                <c:pt idx="36">
                  <c:v>10</c:v>
                </c:pt>
                <c:pt idx="37">
                  <c:v>12</c:v>
                </c:pt>
                <c:pt idx="38">
                  <c:v>50</c:v>
                </c:pt>
                <c:pt idx="39">
                  <c:v>80</c:v>
                </c:pt>
                <c:pt idx="40">
                  <c:v>100</c:v>
                </c:pt>
                <c:pt idx="41">
                  <c:v>100</c:v>
                </c:pt>
                <c:pt idx="42">
                  <c:v>117</c:v>
                </c:pt>
                <c:pt idx="43">
                  <c:v>33.33</c:v>
                </c:pt>
                <c:pt idx="44">
                  <c:v>7.77</c:v>
                </c:pt>
                <c:pt idx="45">
                  <c:v>48</c:v>
                </c:pt>
                <c:pt idx="46">
                  <c:v>25</c:v>
                </c:pt>
                <c:pt idx="47">
                  <c:v>50</c:v>
                </c:pt>
              </c:numCache>
            </c:numRef>
          </c:bubbleSize>
          <c:bubble3D val="0"/>
          <c:extLst>
            <c:ext xmlns:c16="http://schemas.microsoft.com/office/drawing/2014/chart" uri="{C3380CC4-5D6E-409C-BE32-E72D297353CC}">
              <c16:uniqueId val="{00000001-C4CC-4C8E-BB10-2C09FF72F23E}"/>
            </c:ext>
          </c:extLst>
        </c:ser>
        <c:dLbls>
          <c:showLegendKey val="0"/>
          <c:showVal val="0"/>
          <c:showCatName val="0"/>
          <c:showSerName val="0"/>
          <c:showPercent val="0"/>
          <c:showBubbleSize val="0"/>
        </c:dLbls>
        <c:bubbleScale val="50"/>
        <c:showNegBubbles val="0"/>
        <c:axId val="931065008"/>
        <c:axId val="931066256"/>
      </c:bubbleChart>
      <c:valAx>
        <c:axId val="931065008"/>
        <c:scaling>
          <c:orientation val="minMax"/>
          <c:min val="44300"/>
        </c:scaling>
        <c:delete val="0"/>
        <c:axPos val="b"/>
        <c:numFmt formatCode="m/d/yyyy"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6256"/>
        <c:crossesAt val="1"/>
        <c:crossBetween val="midCat"/>
      </c:valAx>
      <c:valAx>
        <c:axId val="931066256"/>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5008"/>
        <c:crosses val="autoZero"/>
        <c:crossBetween val="midCat"/>
      </c:val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BTC Trading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184843557690259E-2"/>
          <c:y val="7.6888182540511343E-2"/>
          <c:w val="0.90020460716993012"/>
          <c:h val="0.82581916305346581"/>
        </c:manualLayout>
      </c:layout>
      <c:bubbleChart>
        <c:varyColors val="0"/>
        <c:ser>
          <c:idx val="0"/>
          <c:order val="0"/>
          <c:tx>
            <c:v>Buys</c:v>
          </c:tx>
          <c:spPr>
            <a:solidFill>
              <a:schemeClr val="accent1"/>
            </a:solidFill>
            <a:ln w="25400">
              <a:noFill/>
            </a:ln>
            <a:effectLst/>
          </c:spPr>
          <c:invertIfNegative val="0"/>
          <c:xVal>
            <c:numRef>
              <c:f>Bitcoin!$B$17:$B$114</c:f>
              <c:numCache>
                <c:formatCode>m/d/yyyy\ h:mm</c:formatCode>
                <c:ptCount val="98"/>
                <c:pt idx="0">
                  <c:v>44307.839583333334</c:v>
                </c:pt>
                <c:pt idx="1">
                  <c:v>44307.84375</c:v>
                </c:pt>
                <c:pt idx="2">
                  <c:v>44307.853472222225</c:v>
                </c:pt>
                <c:pt idx="3">
                  <c:v>44307.857638888891</c:v>
                </c:pt>
                <c:pt idx="4">
                  <c:v>44307.87222222222</c:v>
                </c:pt>
                <c:pt idx="5">
                  <c:v>44307.883333333331</c:v>
                </c:pt>
                <c:pt idx="6">
                  <c:v>44307.89166666667</c:v>
                </c:pt>
                <c:pt idx="7">
                  <c:v>44308.53402777778</c:v>
                </c:pt>
                <c:pt idx="8">
                  <c:v>44308.535416666666</c:v>
                </c:pt>
                <c:pt idx="9">
                  <c:v>44308.555555555555</c:v>
                </c:pt>
                <c:pt idx="10">
                  <c:v>44308.845833333333</c:v>
                </c:pt>
                <c:pt idx="11">
                  <c:v>44308.888888888891</c:v>
                </c:pt>
                <c:pt idx="12">
                  <c:v>44311.668055555558</c:v>
                </c:pt>
                <c:pt idx="13">
                  <c:v>44311.963194444441</c:v>
                </c:pt>
                <c:pt idx="14">
                  <c:v>44314.036111111112</c:v>
                </c:pt>
                <c:pt idx="15">
                  <c:v>44314.036805555559</c:v>
                </c:pt>
                <c:pt idx="16">
                  <c:v>44314.052083333336</c:v>
                </c:pt>
                <c:pt idx="17">
                  <c:v>44320.739583333336</c:v>
                </c:pt>
                <c:pt idx="18">
                  <c:v>44328.718055555553</c:v>
                </c:pt>
                <c:pt idx="19">
                  <c:v>44328.775000000001</c:v>
                </c:pt>
                <c:pt idx="20">
                  <c:v>44328.791666666664</c:v>
                </c:pt>
                <c:pt idx="21">
                  <c:v>44328.794444444444</c:v>
                </c:pt>
                <c:pt idx="22">
                  <c:v>44331.794444444444</c:v>
                </c:pt>
                <c:pt idx="23">
                  <c:v>44332.584027777775</c:v>
                </c:pt>
                <c:pt idx="24">
                  <c:v>44332.59097222222</c:v>
                </c:pt>
                <c:pt idx="25">
                  <c:v>44332.617361111108</c:v>
                </c:pt>
                <c:pt idx="26">
                  <c:v>44332.658333333333</c:v>
                </c:pt>
                <c:pt idx="27">
                  <c:v>44334.86041666667</c:v>
                </c:pt>
                <c:pt idx="28">
                  <c:v>44334.99722222222</c:v>
                </c:pt>
                <c:pt idx="29">
                  <c:v>44340.320138888892</c:v>
                </c:pt>
                <c:pt idx="30">
                  <c:v>44340.327777777777</c:v>
                </c:pt>
                <c:pt idx="31">
                  <c:v>44344.343055555553</c:v>
                </c:pt>
                <c:pt idx="32">
                  <c:v>44344.750694444447</c:v>
                </c:pt>
                <c:pt idx="33">
                  <c:v>44354.834722222222</c:v>
                </c:pt>
                <c:pt idx="34">
                  <c:v>44367.314583333333</c:v>
                </c:pt>
                <c:pt idx="35">
                  <c:v>44368.525000000001</c:v>
                </c:pt>
                <c:pt idx="36">
                  <c:v>44369.380555555559</c:v>
                </c:pt>
                <c:pt idx="37">
                  <c:v>44392.614583333336</c:v>
                </c:pt>
                <c:pt idx="38">
                  <c:v>44404.881944444445</c:v>
                </c:pt>
                <c:pt idx="39">
                  <c:v>44409.811111111114</c:v>
                </c:pt>
                <c:pt idx="40">
                  <c:v>44413.844444444447</c:v>
                </c:pt>
                <c:pt idx="41">
                  <c:v>44416.844444444447</c:v>
                </c:pt>
                <c:pt idx="42">
                  <c:v>44420.460416666669</c:v>
                </c:pt>
                <c:pt idx="43">
                  <c:v>44420.488888888889</c:v>
                </c:pt>
                <c:pt idx="44">
                  <c:v>44425.656944444447</c:v>
                </c:pt>
                <c:pt idx="45">
                  <c:v>44426.92083333333</c:v>
                </c:pt>
                <c:pt idx="46">
                  <c:v>44446.595833333333</c:v>
                </c:pt>
                <c:pt idx="47">
                  <c:v>44447.04583333333</c:v>
                </c:pt>
                <c:pt idx="48">
                  <c:v>44449.78402777778</c:v>
                </c:pt>
                <c:pt idx="49">
                  <c:v>44452.400694444441</c:v>
                </c:pt>
                <c:pt idx="50">
                  <c:v>44459.581944444442</c:v>
                </c:pt>
                <c:pt idx="51">
                  <c:v>44459.839583333334</c:v>
                </c:pt>
                <c:pt idx="52">
                  <c:v>44460.753472222219</c:v>
                </c:pt>
                <c:pt idx="53">
                  <c:v>44516.013888888891</c:v>
                </c:pt>
                <c:pt idx="54">
                  <c:v>44518.707638888889</c:v>
                </c:pt>
                <c:pt idx="55">
                  <c:v>44526.120138888888</c:v>
                </c:pt>
                <c:pt idx="56">
                  <c:v>44526.324305555558</c:v>
                </c:pt>
                <c:pt idx="57">
                  <c:v>44533.857638888891</c:v>
                </c:pt>
                <c:pt idx="58">
                  <c:v>44534.531944444447</c:v>
                </c:pt>
                <c:pt idx="59">
                  <c:v>44569.48541666667</c:v>
                </c:pt>
                <c:pt idx="60">
                  <c:v>44582.044444444444</c:v>
                </c:pt>
                <c:pt idx="61">
                  <c:v>44688.904166666667</c:v>
                </c:pt>
                <c:pt idx="62">
                  <c:v>44692.324999999997</c:v>
                </c:pt>
                <c:pt idx="63">
                  <c:v>44693.588194444441</c:v>
                </c:pt>
                <c:pt idx="64">
                  <c:v>44725.448611111111</c:v>
                </c:pt>
                <c:pt idx="65">
                  <c:v>44730.081250000003</c:v>
                </c:pt>
                <c:pt idx="66">
                  <c:v>44800.431944444441</c:v>
                </c:pt>
                <c:pt idx="67">
                  <c:v>45265.15</c:v>
                </c:pt>
                <c:pt idx="68">
                  <c:v>45278.817361111112</c:v>
                </c:pt>
                <c:pt idx="69">
                  <c:v>45286.613888888889</c:v>
                </c:pt>
                <c:pt idx="70">
                  <c:v>45313.553472222222</c:v>
                </c:pt>
                <c:pt idx="71">
                  <c:v>45359.424305555556</c:v>
                </c:pt>
                <c:pt idx="72">
                  <c:v>45365.479861111111</c:v>
                </c:pt>
                <c:pt idx="73">
                  <c:v>45366.170138888891</c:v>
                </c:pt>
                <c:pt idx="74">
                  <c:v>45367.762499999997</c:v>
                </c:pt>
                <c:pt idx="75">
                  <c:v>45415.625694444447</c:v>
                </c:pt>
                <c:pt idx="76">
                  <c:v>45457.474999999999</c:v>
                </c:pt>
                <c:pt idx="77">
                  <c:v>45461.543749999997</c:v>
                </c:pt>
                <c:pt idx="78">
                  <c:v>45471.624305555553</c:v>
                </c:pt>
                <c:pt idx="79">
                  <c:v>45478.451388888891</c:v>
                </c:pt>
                <c:pt idx="80">
                  <c:v>45504.661805555559</c:v>
                </c:pt>
                <c:pt idx="81">
                  <c:v>45505.454861111109</c:v>
                </c:pt>
                <c:pt idx="82">
                  <c:v>45509.047222222223</c:v>
                </c:pt>
                <c:pt idx="83">
                  <c:v>45534.438194444447</c:v>
                </c:pt>
                <c:pt idx="84">
                  <c:v>45541.503472222219</c:v>
                </c:pt>
                <c:pt idx="85">
                  <c:v>45567.620833333334</c:v>
                </c:pt>
                <c:pt idx="86">
                  <c:v>45609.584722222222</c:v>
                </c:pt>
                <c:pt idx="87">
                  <c:v>45643.828472222223</c:v>
                </c:pt>
                <c:pt idx="88">
                  <c:v>45644.032638888886</c:v>
                </c:pt>
                <c:pt idx="89">
                  <c:v>45653.474999999999</c:v>
                </c:pt>
                <c:pt idx="90">
                  <c:v>45714.357638888891</c:v>
                </c:pt>
                <c:pt idx="91">
                  <c:v>45753.522222222222</c:v>
                </c:pt>
              </c:numCache>
            </c:numRef>
          </c:xVal>
          <c:yVal>
            <c:numRef>
              <c:f>Bitcoin!$G$17:$G$114</c:f>
              <c:numCache>
                <c:formatCode>_("$"* #,##0.00_);_("$"* \(#,##0.00\);_("$"* "-"??_);_(@_)</c:formatCode>
                <c:ptCount val="98"/>
                <c:pt idx="0">
                  <c:v>54341.74</c:v>
                </c:pt>
                <c:pt idx="1">
                  <c:v>54525.01</c:v>
                </c:pt>
                <c:pt idx="2">
                  <c:v>54494.38</c:v>
                </c:pt>
                <c:pt idx="3">
                  <c:v>54372.2</c:v>
                </c:pt>
                <c:pt idx="4">
                  <c:v>54189.94</c:v>
                </c:pt>
                <c:pt idx="5">
                  <c:v>52717.39</c:v>
                </c:pt>
                <c:pt idx="6">
                  <c:v>52717.39</c:v>
                </c:pt>
                <c:pt idx="7">
                  <c:v>53978.85</c:v>
                </c:pt>
                <c:pt idx="8">
                  <c:v>53829.08</c:v>
                </c:pt>
                <c:pt idx="9">
                  <c:v>52746.06</c:v>
                </c:pt>
                <c:pt idx="10">
                  <c:v>50972.15</c:v>
                </c:pt>
                <c:pt idx="11">
                  <c:v>49987.12</c:v>
                </c:pt>
                <c:pt idx="12">
                  <c:v>47830.37</c:v>
                </c:pt>
                <c:pt idx="13">
                  <c:v>52219.32</c:v>
                </c:pt>
                <c:pt idx="14">
                  <c:v>54614.96</c:v>
                </c:pt>
                <c:pt idx="15">
                  <c:v>54585.15</c:v>
                </c:pt>
                <c:pt idx="16">
                  <c:v>54200.54</c:v>
                </c:pt>
                <c:pt idx="17">
                  <c:v>53633.68</c:v>
                </c:pt>
                <c:pt idx="18">
                  <c:v>52332.74</c:v>
                </c:pt>
                <c:pt idx="19">
                  <c:v>51413.88</c:v>
                </c:pt>
                <c:pt idx="20">
                  <c:v>49091.8</c:v>
                </c:pt>
                <c:pt idx="21">
                  <c:v>46495.33</c:v>
                </c:pt>
                <c:pt idx="22">
                  <c:v>46598.32</c:v>
                </c:pt>
                <c:pt idx="23">
                  <c:v>45495.91</c:v>
                </c:pt>
                <c:pt idx="24">
                  <c:v>45218.18</c:v>
                </c:pt>
                <c:pt idx="25">
                  <c:v>45177.32</c:v>
                </c:pt>
                <c:pt idx="26">
                  <c:v>43956.04</c:v>
                </c:pt>
                <c:pt idx="27">
                  <c:v>41203.129999999997</c:v>
                </c:pt>
                <c:pt idx="28">
                  <c:v>38662.28</c:v>
                </c:pt>
                <c:pt idx="29">
                  <c:v>38565.370000000003</c:v>
                </c:pt>
                <c:pt idx="30">
                  <c:v>38328.86</c:v>
                </c:pt>
                <c:pt idx="31">
                  <c:v>36886.76</c:v>
                </c:pt>
                <c:pt idx="32">
                  <c:v>34995.629999999997</c:v>
                </c:pt>
                <c:pt idx="33">
                  <c:v>33607.800000000003</c:v>
                </c:pt>
                <c:pt idx="34">
                  <c:v>33613.449999999997</c:v>
                </c:pt>
                <c:pt idx="35">
                  <c:v>32499.19</c:v>
                </c:pt>
                <c:pt idx="36">
                  <c:v>29086.68</c:v>
                </c:pt>
                <c:pt idx="37">
                  <c:v>31505.99</c:v>
                </c:pt>
                <c:pt idx="38">
                  <c:v>39964.03</c:v>
                </c:pt>
                <c:pt idx="39">
                  <c:v>39936.1</c:v>
                </c:pt>
                <c:pt idx="40">
                  <c:v>39992</c:v>
                </c:pt>
                <c:pt idx="41">
                  <c:v>42950.71</c:v>
                </c:pt>
                <c:pt idx="42">
                  <c:v>44091.71</c:v>
                </c:pt>
                <c:pt idx="43">
                  <c:v>43970.54</c:v>
                </c:pt>
                <c:pt idx="44">
                  <c:v>44907.49</c:v>
                </c:pt>
                <c:pt idx="45">
                  <c:v>44558.32</c:v>
                </c:pt>
                <c:pt idx="46">
                  <c:v>47145.35</c:v>
                </c:pt>
                <c:pt idx="47">
                  <c:v>46272.73</c:v>
                </c:pt>
                <c:pt idx="48">
                  <c:v>44762.76</c:v>
                </c:pt>
                <c:pt idx="49">
                  <c:v>43940.59</c:v>
                </c:pt>
                <c:pt idx="50">
                  <c:v>43357.61</c:v>
                </c:pt>
                <c:pt idx="51">
                  <c:v>41820.01</c:v>
                </c:pt>
                <c:pt idx="52">
                  <c:v>40526.85</c:v>
                </c:pt>
                <c:pt idx="53">
                  <c:v>60818.89</c:v>
                </c:pt>
                <c:pt idx="54">
                  <c:v>56660</c:v>
                </c:pt>
                <c:pt idx="55">
                  <c:v>55000</c:v>
                </c:pt>
                <c:pt idx="56">
                  <c:v>54401.04</c:v>
                </c:pt>
                <c:pt idx="57">
                  <c:v>52865.3</c:v>
                </c:pt>
                <c:pt idx="58">
                  <c:v>48744.82</c:v>
                </c:pt>
                <c:pt idx="59">
                  <c:v>41079.57</c:v>
                </c:pt>
                <c:pt idx="60">
                  <c:v>38617.49</c:v>
                </c:pt>
                <c:pt idx="61">
                  <c:v>34481.57</c:v>
                </c:pt>
                <c:pt idx="62">
                  <c:v>29950</c:v>
                </c:pt>
                <c:pt idx="63">
                  <c:v>28375.23</c:v>
                </c:pt>
                <c:pt idx="64">
                  <c:v>23339.95</c:v>
                </c:pt>
                <c:pt idx="65">
                  <c:v>23340.95</c:v>
                </c:pt>
                <c:pt idx="66">
                  <c:v>20000</c:v>
                </c:pt>
                <c:pt idx="67">
                  <c:v>42058.04</c:v>
                </c:pt>
                <c:pt idx="68">
                  <c:v>41000</c:v>
                </c:pt>
                <c:pt idx="69">
                  <c:v>42383.19</c:v>
                </c:pt>
                <c:pt idx="70">
                  <c:v>40000</c:v>
                </c:pt>
                <c:pt idx="71">
                  <c:v>66677.77</c:v>
                </c:pt>
                <c:pt idx="72">
                  <c:v>70000</c:v>
                </c:pt>
                <c:pt idx="73">
                  <c:v>67000</c:v>
                </c:pt>
                <c:pt idx="74">
                  <c:v>65000</c:v>
                </c:pt>
                <c:pt idx="75">
                  <c:v>62381.51</c:v>
                </c:pt>
                <c:pt idx="76">
                  <c:v>65750</c:v>
                </c:pt>
                <c:pt idx="77">
                  <c:v>64440</c:v>
                </c:pt>
                <c:pt idx="78">
                  <c:v>60000</c:v>
                </c:pt>
                <c:pt idx="79">
                  <c:v>56733.84</c:v>
                </c:pt>
                <c:pt idx="80">
                  <c:v>64940.91</c:v>
                </c:pt>
                <c:pt idx="81">
                  <c:v>63234.17</c:v>
                </c:pt>
                <c:pt idx="82">
                  <c:v>52000</c:v>
                </c:pt>
                <c:pt idx="83">
                  <c:v>58327.33</c:v>
                </c:pt>
                <c:pt idx="84">
                  <c:v>54342.35</c:v>
                </c:pt>
                <c:pt idx="85">
                  <c:v>60548.24</c:v>
                </c:pt>
                <c:pt idx="86">
                  <c:v>89950</c:v>
                </c:pt>
                <c:pt idx="87">
                  <c:v>105500</c:v>
                </c:pt>
                <c:pt idx="88">
                  <c:v>103333.33</c:v>
                </c:pt>
                <c:pt idx="89">
                  <c:v>93333</c:v>
                </c:pt>
                <c:pt idx="90">
                  <c:v>85800</c:v>
                </c:pt>
                <c:pt idx="91">
                  <c:v>81500</c:v>
                </c:pt>
              </c:numCache>
            </c:numRef>
          </c:yVal>
          <c:bubbleSize>
            <c:numRef>
              <c:f>Bitcoin!$C$17:$C$114</c:f>
              <c:numCache>
                <c:formatCode>_("$"* #,##0.00_);_("$"* \(#,##0.00\);_("$"* "-"??_);_(@_)</c:formatCode>
                <c:ptCount val="98"/>
                <c:pt idx="0">
                  <c:v>1</c:v>
                </c:pt>
                <c:pt idx="1">
                  <c:v>1</c:v>
                </c:pt>
                <c:pt idx="2">
                  <c:v>1</c:v>
                </c:pt>
                <c:pt idx="3">
                  <c:v>1</c:v>
                </c:pt>
                <c:pt idx="4">
                  <c:v>1</c:v>
                </c:pt>
                <c:pt idx="5">
                  <c:v>1</c:v>
                </c:pt>
                <c:pt idx="6">
                  <c:v>1</c:v>
                </c:pt>
                <c:pt idx="7">
                  <c:v>1</c:v>
                </c:pt>
                <c:pt idx="8">
                  <c:v>1</c:v>
                </c:pt>
                <c:pt idx="9">
                  <c:v>1</c:v>
                </c:pt>
                <c:pt idx="10">
                  <c:v>2</c:v>
                </c:pt>
                <c:pt idx="11">
                  <c:v>2</c:v>
                </c:pt>
                <c:pt idx="12">
                  <c:v>1</c:v>
                </c:pt>
                <c:pt idx="13">
                  <c:v>1.03</c:v>
                </c:pt>
                <c:pt idx="14">
                  <c:v>1.03</c:v>
                </c:pt>
                <c:pt idx="15">
                  <c:v>1.03</c:v>
                </c:pt>
                <c:pt idx="16">
                  <c:v>1.03</c:v>
                </c:pt>
                <c:pt idx="17">
                  <c:v>2.06</c:v>
                </c:pt>
                <c:pt idx="18">
                  <c:v>10</c:v>
                </c:pt>
                <c:pt idx="19">
                  <c:v>1.03</c:v>
                </c:pt>
                <c:pt idx="20">
                  <c:v>1.03</c:v>
                </c:pt>
                <c:pt idx="21">
                  <c:v>2.06</c:v>
                </c:pt>
                <c:pt idx="22">
                  <c:v>1.03</c:v>
                </c:pt>
                <c:pt idx="23">
                  <c:v>2.06</c:v>
                </c:pt>
                <c:pt idx="24">
                  <c:v>2.06</c:v>
                </c:pt>
                <c:pt idx="25">
                  <c:v>2.06</c:v>
                </c:pt>
                <c:pt idx="26">
                  <c:v>1.03</c:v>
                </c:pt>
                <c:pt idx="27">
                  <c:v>2.06</c:v>
                </c:pt>
                <c:pt idx="28">
                  <c:v>2.06</c:v>
                </c:pt>
                <c:pt idx="29">
                  <c:v>2.06</c:v>
                </c:pt>
                <c:pt idx="30">
                  <c:v>1.03</c:v>
                </c:pt>
                <c:pt idx="31">
                  <c:v>2.06</c:v>
                </c:pt>
                <c:pt idx="32">
                  <c:v>2.06</c:v>
                </c:pt>
                <c:pt idx="33">
                  <c:v>2.06</c:v>
                </c:pt>
                <c:pt idx="34">
                  <c:v>2.06</c:v>
                </c:pt>
                <c:pt idx="35">
                  <c:v>2.06</c:v>
                </c:pt>
                <c:pt idx="36">
                  <c:v>4.12</c:v>
                </c:pt>
                <c:pt idx="37">
                  <c:v>4.12</c:v>
                </c:pt>
                <c:pt idx="38">
                  <c:v>4.12</c:v>
                </c:pt>
                <c:pt idx="39">
                  <c:v>2.06</c:v>
                </c:pt>
                <c:pt idx="40">
                  <c:v>2.06</c:v>
                </c:pt>
                <c:pt idx="41">
                  <c:v>4.12</c:v>
                </c:pt>
                <c:pt idx="42">
                  <c:v>4.12</c:v>
                </c:pt>
                <c:pt idx="43">
                  <c:v>4.12</c:v>
                </c:pt>
                <c:pt idx="44">
                  <c:v>10.23</c:v>
                </c:pt>
                <c:pt idx="45">
                  <c:v>4.12</c:v>
                </c:pt>
                <c:pt idx="46">
                  <c:v>10.23</c:v>
                </c:pt>
                <c:pt idx="47">
                  <c:v>10.23</c:v>
                </c:pt>
                <c:pt idx="48">
                  <c:v>5.15</c:v>
                </c:pt>
                <c:pt idx="49">
                  <c:v>10.23</c:v>
                </c:pt>
                <c:pt idx="50">
                  <c:v>10.23</c:v>
                </c:pt>
                <c:pt idx="51">
                  <c:v>10.23</c:v>
                </c:pt>
                <c:pt idx="52">
                  <c:v>4.12</c:v>
                </c:pt>
                <c:pt idx="53">
                  <c:v>4.2</c:v>
                </c:pt>
                <c:pt idx="54">
                  <c:v>4.12</c:v>
                </c:pt>
                <c:pt idx="55">
                  <c:v>10.23</c:v>
                </c:pt>
                <c:pt idx="56">
                  <c:v>10.23</c:v>
                </c:pt>
                <c:pt idx="57">
                  <c:v>10.23</c:v>
                </c:pt>
                <c:pt idx="58">
                  <c:v>10.23</c:v>
                </c:pt>
                <c:pt idx="59">
                  <c:v>10.23</c:v>
                </c:pt>
                <c:pt idx="60">
                  <c:v>10.23</c:v>
                </c:pt>
                <c:pt idx="61">
                  <c:v>20.46</c:v>
                </c:pt>
                <c:pt idx="62">
                  <c:v>10.23</c:v>
                </c:pt>
                <c:pt idx="63">
                  <c:v>20.46</c:v>
                </c:pt>
                <c:pt idx="64">
                  <c:v>20.47</c:v>
                </c:pt>
                <c:pt idx="65">
                  <c:v>20.47</c:v>
                </c:pt>
                <c:pt idx="66">
                  <c:v>10</c:v>
                </c:pt>
                <c:pt idx="67">
                  <c:v>25</c:v>
                </c:pt>
                <c:pt idx="68">
                  <c:v>20</c:v>
                </c:pt>
                <c:pt idx="69">
                  <c:v>25</c:v>
                </c:pt>
                <c:pt idx="70">
                  <c:v>50</c:v>
                </c:pt>
                <c:pt idx="71">
                  <c:v>7.77</c:v>
                </c:pt>
                <c:pt idx="72">
                  <c:v>20</c:v>
                </c:pt>
                <c:pt idx="73">
                  <c:v>20</c:v>
                </c:pt>
                <c:pt idx="74">
                  <c:v>20</c:v>
                </c:pt>
                <c:pt idx="75">
                  <c:v>10</c:v>
                </c:pt>
                <c:pt idx="76">
                  <c:v>10</c:v>
                </c:pt>
                <c:pt idx="77">
                  <c:v>10</c:v>
                </c:pt>
                <c:pt idx="78">
                  <c:v>50</c:v>
                </c:pt>
                <c:pt idx="79">
                  <c:v>5</c:v>
                </c:pt>
                <c:pt idx="80">
                  <c:v>20</c:v>
                </c:pt>
                <c:pt idx="81">
                  <c:v>20</c:v>
                </c:pt>
                <c:pt idx="82">
                  <c:v>25</c:v>
                </c:pt>
                <c:pt idx="83">
                  <c:v>15</c:v>
                </c:pt>
                <c:pt idx="84">
                  <c:v>50</c:v>
                </c:pt>
                <c:pt idx="85">
                  <c:v>50</c:v>
                </c:pt>
                <c:pt idx="86">
                  <c:v>100</c:v>
                </c:pt>
                <c:pt idx="87">
                  <c:v>50</c:v>
                </c:pt>
                <c:pt idx="88">
                  <c:v>33.33</c:v>
                </c:pt>
                <c:pt idx="89">
                  <c:v>93</c:v>
                </c:pt>
                <c:pt idx="90">
                  <c:v>30</c:v>
                </c:pt>
                <c:pt idx="91">
                  <c:v>50</c:v>
                </c:pt>
              </c:numCache>
            </c:numRef>
          </c:bubbleSize>
          <c:bubble3D val="0"/>
          <c:extLst>
            <c:ext xmlns:c16="http://schemas.microsoft.com/office/drawing/2014/chart" uri="{C3380CC4-5D6E-409C-BE32-E72D297353CC}">
              <c16:uniqueId val="{00000000-8983-4669-9CB4-080BAE36395D}"/>
            </c:ext>
          </c:extLst>
        </c:ser>
        <c:ser>
          <c:idx val="1"/>
          <c:order val="1"/>
          <c:tx>
            <c:v>Sells</c:v>
          </c:tx>
          <c:spPr>
            <a:solidFill>
              <a:schemeClr val="accent2"/>
            </a:solidFill>
            <a:ln w="25400">
              <a:noFill/>
            </a:ln>
            <a:effectLst/>
          </c:spPr>
          <c:invertIfNegative val="0"/>
          <c:xVal>
            <c:numRef>
              <c:f>Bitcoin!$O$17:$O$114</c:f>
              <c:numCache>
                <c:formatCode>m/d/yyyy\ h:mm</c:formatCode>
                <c:ptCount val="98"/>
                <c:pt idx="0">
                  <c:v>44311.857638888891</c:v>
                </c:pt>
                <c:pt idx="1">
                  <c:v>44316.776388888888</c:v>
                </c:pt>
                <c:pt idx="2">
                  <c:v>44318.863194444442</c:v>
                </c:pt>
                <c:pt idx="3">
                  <c:v>44323.973611111112</c:v>
                </c:pt>
                <c:pt idx="4">
                  <c:v>44324.543749999997</c:v>
                </c:pt>
                <c:pt idx="5">
                  <c:v>44324.644444444442</c:v>
                </c:pt>
                <c:pt idx="6">
                  <c:v>44402.848611111112</c:v>
                </c:pt>
                <c:pt idx="7">
                  <c:v>44414.46597222222</c:v>
                </c:pt>
                <c:pt idx="8">
                  <c:v>44417.779861111114</c:v>
                </c:pt>
                <c:pt idx="9">
                  <c:v>44421.648611111108</c:v>
                </c:pt>
                <c:pt idx="10">
                  <c:v>44428.870833333334</c:v>
                </c:pt>
                <c:pt idx="11">
                  <c:v>44429.509027777778</c:v>
                </c:pt>
                <c:pt idx="12">
                  <c:v>44442.361805555556</c:v>
                </c:pt>
                <c:pt idx="13">
                  <c:v>44445.730555555558</c:v>
                </c:pt>
                <c:pt idx="14">
                  <c:v>44474.199305555558</c:v>
                </c:pt>
                <c:pt idx="15">
                  <c:v>44474.646527777775</c:v>
                </c:pt>
                <c:pt idx="16">
                  <c:v>44475.34097222222</c:v>
                </c:pt>
                <c:pt idx="17">
                  <c:v>44475.348611111112</c:v>
                </c:pt>
                <c:pt idx="18">
                  <c:v>44475.679861111108</c:v>
                </c:pt>
                <c:pt idx="19">
                  <c:v>44479.974999999999</c:v>
                </c:pt>
                <c:pt idx="20">
                  <c:v>44480.615277777775</c:v>
                </c:pt>
                <c:pt idx="21">
                  <c:v>44482.842361111114</c:v>
                </c:pt>
                <c:pt idx="22">
                  <c:v>44484.375</c:v>
                </c:pt>
                <c:pt idx="23">
                  <c:v>44484.640277777777</c:v>
                </c:pt>
                <c:pt idx="24">
                  <c:v>44488.60833333333</c:v>
                </c:pt>
                <c:pt idx="25">
                  <c:v>44489.4</c:v>
                </c:pt>
                <c:pt idx="26">
                  <c:v>44508.865277777775</c:v>
                </c:pt>
                <c:pt idx="27">
                  <c:v>45292.993750000001</c:v>
                </c:pt>
                <c:pt idx="28">
                  <c:v>45299.522222222222</c:v>
                </c:pt>
                <c:pt idx="29">
                  <c:v>45331.517361111109</c:v>
                </c:pt>
                <c:pt idx="30">
                  <c:v>45343.87777777778</c:v>
                </c:pt>
                <c:pt idx="31">
                  <c:v>45349.59652777778</c:v>
                </c:pt>
                <c:pt idx="32">
                  <c:v>45355.107638888891</c:v>
                </c:pt>
                <c:pt idx="33">
                  <c:v>45358.531944444447</c:v>
                </c:pt>
                <c:pt idx="34">
                  <c:v>45359.395138888889</c:v>
                </c:pt>
                <c:pt idx="35">
                  <c:v>45375.7</c:v>
                </c:pt>
                <c:pt idx="36">
                  <c:v>45427.644444444442</c:v>
                </c:pt>
                <c:pt idx="37">
                  <c:v>45462.635416666664</c:v>
                </c:pt>
                <c:pt idx="38">
                  <c:v>45470.384027777778</c:v>
                </c:pt>
                <c:pt idx="39">
                  <c:v>45606.484027777777</c:v>
                </c:pt>
                <c:pt idx="40">
                  <c:v>45609.371527777781</c:v>
                </c:pt>
                <c:pt idx="41">
                  <c:v>45620.415972222225</c:v>
                </c:pt>
                <c:pt idx="42">
                  <c:v>45621.94027777778</c:v>
                </c:pt>
                <c:pt idx="43">
                  <c:v>45641.547222222223</c:v>
                </c:pt>
                <c:pt idx="44">
                  <c:v>45642.520833333336</c:v>
                </c:pt>
                <c:pt idx="45">
                  <c:v>45788.577777777777</c:v>
                </c:pt>
                <c:pt idx="46">
                  <c:v>45798.945833333331</c:v>
                </c:pt>
                <c:pt idx="47">
                  <c:v>45818.713194444441</c:v>
                </c:pt>
              </c:numCache>
            </c:numRef>
          </c:xVal>
          <c:yVal>
            <c:numRef>
              <c:f>Bitcoin!$T$17:$T$114</c:f>
              <c:numCache>
                <c:formatCode>_("$"* #,##0.00_);_("$"* \(#,##0.00\);_("$"* "-"??_);_(@_)</c:formatCode>
                <c:ptCount val="98"/>
                <c:pt idx="0">
                  <c:v>51361.07</c:v>
                </c:pt>
                <c:pt idx="1">
                  <c:v>57735.43</c:v>
                </c:pt>
                <c:pt idx="2">
                  <c:v>58224.99</c:v>
                </c:pt>
                <c:pt idx="3">
                  <c:v>58622.65</c:v>
                </c:pt>
                <c:pt idx="4">
                  <c:v>59127.44</c:v>
                </c:pt>
                <c:pt idx="5">
                  <c:v>59503.18</c:v>
                </c:pt>
                <c:pt idx="6">
                  <c:v>37766.980000000003</c:v>
                </c:pt>
                <c:pt idx="7">
                  <c:v>43096.23</c:v>
                </c:pt>
                <c:pt idx="8">
                  <c:v>46219.43</c:v>
                </c:pt>
                <c:pt idx="9">
                  <c:v>47445.760000000002</c:v>
                </c:pt>
                <c:pt idx="10">
                  <c:v>49035.94</c:v>
                </c:pt>
                <c:pt idx="11">
                  <c:v>49680.45</c:v>
                </c:pt>
                <c:pt idx="12">
                  <c:v>50691.24</c:v>
                </c:pt>
                <c:pt idx="13">
                  <c:v>52628.87</c:v>
                </c:pt>
                <c:pt idx="14">
                  <c:v>50000</c:v>
                </c:pt>
                <c:pt idx="15">
                  <c:v>51334.81</c:v>
                </c:pt>
                <c:pt idx="16">
                  <c:v>53000</c:v>
                </c:pt>
                <c:pt idx="17">
                  <c:v>54400.43</c:v>
                </c:pt>
                <c:pt idx="18">
                  <c:v>55038.47</c:v>
                </c:pt>
                <c:pt idx="19">
                  <c:v>56694.75</c:v>
                </c:pt>
                <c:pt idx="20">
                  <c:v>57750</c:v>
                </c:pt>
                <c:pt idx="21">
                  <c:v>58151.02</c:v>
                </c:pt>
                <c:pt idx="22">
                  <c:v>60000</c:v>
                </c:pt>
                <c:pt idx="23">
                  <c:v>62000</c:v>
                </c:pt>
                <c:pt idx="24">
                  <c:v>64000</c:v>
                </c:pt>
                <c:pt idx="25">
                  <c:v>66515.98</c:v>
                </c:pt>
                <c:pt idx="26">
                  <c:v>67629.679999999993</c:v>
                </c:pt>
                <c:pt idx="27">
                  <c:v>45088.08</c:v>
                </c:pt>
                <c:pt idx="28">
                  <c:v>46200</c:v>
                </c:pt>
                <c:pt idx="29">
                  <c:v>48000</c:v>
                </c:pt>
                <c:pt idx="30">
                  <c:v>51144.81</c:v>
                </c:pt>
                <c:pt idx="31">
                  <c:v>56841.63</c:v>
                </c:pt>
                <c:pt idx="32">
                  <c:v>65000</c:v>
                </c:pt>
                <c:pt idx="33">
                  <c:v>67776.66</c:v>
                </c:pt>
                <c:pt idx="34">
                  <c:v>69691.69</c:v>
                </c:pt>
                <c:pt idx="35">
                  <c:v>70000</c:v>
                </c:pt>
                <c:pt idx="36">
                  <c:v>66060</c:v>
                </c:pt>
                <c:pt idx="37">
                  <c:v>64473.57</c:v>
                </c:pt>
                <c:pt idx="38">
                  <c:v>61934.34</c:v>
                </c:pt>
                <c:pt idx="39">
                  <c:v>80000</c:v>
                </c:pt>
                <c:pt idx="40">
                  <c:v>91173.38</c:v>
                </c:pt>
                <c:pt idx="41">
                  <c:v>96000</c:v>
                </c:pt>
                <c:pt idx="42">
                  <c:v>97777</c:v>
                </c:pt>
                <c:pt idx="43">
                  <c:v>103333.33</c:v>
                </c:pt>
                <c:pt idx="44">
                  <c:v>107777.77</c:v>
                </c:pt>
                <c:pt idx="45">
                  <c:v>104800</c:v>
                </c:pt>
                <c:pt idx="46">
                  <c:v>111000</c:v>
                </c:pt>
                <c:pt idx="47">
                  <c:v>116300</c:v>
                </c:pt>
              </c:numCache>
            </c:numRef>
          </c:yVal>
          <c:bubbleSize>
            <c:numRef>
              <c:f>Bitcoin!$P$17:$P$114</c:f>
              <c:numCache>
                <c:formatCode>_("$"* #,##0.00_);_("$"* \(#,##0.00\);_("$"* "-"??_);_(@_)</c:formatCode>
                <c:ptCount val="98"/>
                <c:pt idx="0">
                  <c:v>1</c:v>
                </c:pt>
                <c:pt idx="1">
                  <c:v>1.03</c:v>
                </c:pt>
                <c:pt idx="2">
                  <c:v>1.03</c:v>
                </c:pt>
                <c:pt idx="3">
                  <c:v>1.03</c:v>
                </c:pt>
                <c:pt idx="4">
                  <c:v>1.03</c:v>
                </c:pt>
                <c:pt idx="5">
                  <c:v>1.03</c:v>
                </c:pt>
                <c:pt idx="6">
                  <c:v>4.12</c:v>
                </c:pt>
                <c:pt idx="7">
                  <c:v>8.24</c:v>
                </c:pt>
                <c:pt idx="8">
                  <c:v>4.12</c:v>
                </c:pt>
                <c:pt idx="9">
                  <c:v>10.3</c:v>
                </c:pt>
                <c:pt idx="10">
                  <c:v>4.12</c:v>
                </c:pt>
                <c:pt idx="11">
                  <c:v>4.12</c:v>
                </c:pt>
                <c:pt idx="12">
                  <c:v>10.23</c:v>
                </c:pt>
                <c:pt idx="13">
                  <c:v>10.23</c:v>
                </c:pt>
                <c:pt idx="14">
                  <c:v>20.46</c:v>
                </c:pt>
                <c:pt idx="15">
                  <c:v>20.46</c:v>
                </c:pt>
                <c:pt idx="16">
                  <c:v>20.46</c:v>
                </c:pt>
                <c:pt idx="17">
                  <c:v>20.46</c:v>
                </c:pt>
                <c:pt idx="18">
                  <c:v>10.23</c:v>
                </c:pt>
                <c:pt idx="19">
                  <c:v>10.23</c:v>
                </c:pt>
                <c:pt idx="20">
                  <c:v>10.23</c:v>
                </c:pt>
                <c:pt idx="21">
                  <c:v>4.12</c:v>
                </c:pt>
                <c:pt idx="22">
                  <c:v>4.12</c:v>
                </c:pt>
                <c:pt idx="23">
                  <c:v>1.03</c:v>
                </c:pt>
                <c:pt idx="24">
                  <c:v>1.03</c:v>
                </c:pt>
                <c:pt idx="25">
                  <c:v>2.06</c:v>
                </c:pt>
                <c:pt idx="26">
                  <c:v>2.06</c:v>
                </c:pt>
                <c:pt idx="27">
                  <c:v>100</c:v>
                </c:pt>
                <c:pt idx="28">
                  <c:v>127.68</c:v>
                </c:pt>
                <c:pt idx="29">
                  <c:v>100</c:v>
                </c:pt>
                <c:pt idx="30">
                  <c:v>10</c:v>
                </c:pt>
                <c:pt idx="31">
                  <c:v>10</c:v>
                </c:pt>
                <c:pt idx="32">
                  <c:v>15.87</c:v>
                </c:pt>
                <c:pt idx="33">
                  <c:v>7.77</c:v>
                </c:pt>
                <c:pt idx="34">
                  <c:v>11.69</c:v>
                </c:pt>
                <c:pt idx="35">
                  <c:v>20</c:v>
                </c:pt>
                <c:pt idx="36">
                  <c:v>10</c:v>
                </c:pt>
                <c:pt idx="37">
                  <c:v>12</c:v>
                </c:pt>
                <c:pt idx="38">
                  <c:v>50</c:v>
                </c:pt>
                <c:pt idx="39">
                  <c:v>80</c:v>
                </c:pt>
                <c:pt idx="40">
                  <c:v>100</c:v>
                </c:pt>
                <c:pt idx="41">
                  <c:v>100</c:v>
                </c:pt>
                <c:pt idx="42">
                  <c:v>117</c:v>
                </c:pt>
                <c:pt idx="43">
                  <c:v>33.33</c:v>
                </c:pt>
                <c:pt idx="44">
                  <c:v>7.77</c:v>
                </c:pt>
                <c:pt idx="45">
                  <c:v>48</c:v>
                </c:pt>
                <c:pt idx="46">
                  <c:v>25</c:v>
                </c:pt>
                <c:pt idx="47">
                  <c:v>50</c:v>
                </c:pt>
              </c:numCache>
            </c:numRef>
          </c:bubbleSize>
          <c:bubble3D val="0"/>
          <c:extLst>
            <c:ext xmlns:c16="http://schemas.microsoft.com/office/drawing/2014/chart" uri="{C3380CC4-5D6E-409C-BE32-E72D297353CC}">
              <c16:uniqueId val="{00000001-8983-4669-9CB4-080BAE36395D}"/>
            </c:ext>
          </c:extLst>
        </c:ser>
        <c:ser>
          <c:idx val="3"/>
          <c:order val="2"/>
          <c:tx>
            <c:v>Current Market Value</c:v>
          </c:tx>
          <c:spPr>
            <a:solidFill>
              <a:srgbClr val="00B050"/>
            </a:solidFill>
            <a:ln>
              <a:noFill/>
            </a:ln>
            <a:effectLst/>
          </c:spPr>
          <c:invertIfNegative val="0"/>
          <c:xVal>
            <c:numRef>
              <c:f>'Current Bitcoin Price'!$B$2:$B$151</c:f>
              <c:numCache>
                <c:formatCode>m/d/yyyy\ h:mm</c:formatCode>
                <c:ptCount val="150"/>
                <c:pt idx="0">
                  <c:v>44307</c:v>
                </c:pt>
                <c:pt idx="1">
                  <c:v>44314</c:v>
                </c:pt>
                <c:pt idx="2">
                  <c:v>44321</c:v>
                </c:pt>
                <c:pt idx="3">
                  <c:v>44328</c:v>
                </c:pt>
                <c:pt idx="4">
                  <c:v>44335</c:v>
                </c:pt>
                <c:pt idx="5">
                  <c:v>44342</c:v>
                </c:pt>
                <c:pt idx="6">
                  <c:v>44349</c:v>
                </c:pt>
                <c:pt idx="7">
                  <c:v>44356</c:v>
                </c:pt>
                <c:pt idx="8">
                  <c:v>44363</c:v>
                </c:pt>
                <c:pt idx="9">
                  <c:v>44370</c:v>
                </c:pt>
                <c:pt idx="10">
                  <c:v>44377</c:v>
                </c:pt>
                <c:pt idx="11">
                  <c:v>44384</c:v>
                </c:pt>
                <c:pt idx="12">
                  <c:v>44391</c:v>
                </c:pt>
                <c:pt idx="13">
                  <c:v>44398</c:v>
                </c:pt>
                <c:pt idx="14">
                  <c:v>44405</c:v>
                </c:pt>
                <c:pt idx="15">
                  <c:v>44412</c:v>
                </c:pt>
                <c:pt idx="16">
                  <c:v>44419</c:v>
                </c:pt>
                <c:pt idx="17">
                  <c:v>44426</c:v>
                </c:pt>
                <c:pt idx="18">
                  <c:v>44433</c:v>
                </c:pt>
                <c:pt idx="19">
                  <c:v>44440</c:v>
                </c:pt>
                <c:pt idx="20">
                  <c:v>44447</c:v>
                </c:pt>
                <c:pt idx="21">
                  <c:v>44454</c:v>
                </c:pt>
                <c:pt idx="22">
                  <c:v>44461</c:v>
                </c:pt>
                <c:pt idx="23">
                  <c:v>44468</c:v>
                </c:pt>
                <c:pt idx="24">
                  <c:v>44475</c:v>
                </c:pt>
                <c:pt idx="25">
                  <c:v>44482</c:v>
                </c:pt>
                <c:pt idx="26">
                  <c:v>44489</c:v>
                </c:pt>
                <c:pt idx="27">
                  <c:v>44496</c:v>
                </c:pt>
                <c:pt idx="28">
                  <c:v>44503</c:v>
                </c:pt>
                <c:pt idx="29">
                  <c:v>44510</c:v>
                </c:pt>
                <c:pt idx="30">
                  <c:v>44517</c:v>
                </c:pt>
                <c:pt idx="31">
                  <c:v>44524</c:v>
                </c:pt>
                <c:pt idx="32">
                  <c:v>44531</c:v>
                </c:pt>
                <c:pt idx="33">
                  <c:v>44538</c:v>
                </c:pt>
                <c:pt idx="34">
                  <c:v>44545</c:v>
                </c:pt>
                <c:pt idx="35">
                  <c:v>44552</c:v>
                </c:pt>
                <c:pt idx="36">
                  <c:v>44559</c:v>
                </c:pt>
                <c:pt idx="37">
                  <c:v>44566</c:v>
                </c:pt>
                <c:pt idx="38">
                  <c:v>44573</c:v>
                </c:pt>
                <c:pt idx="39">
                  <c:v>44580</c:v>
                </c:pt>
                <c:pt idx="40">
                  <c:v>44587</c:v>
                </c:pt>
                <c:pt idx="41">
                  <c:v>44594</c:v>
                </c:pt>
                <c:pt idx="42">
                  <c:v>44601</c:v>
                </c:pt>
                <c:pt idx="43">
                  <c:v>44608</c:v>
                </c:pt>
                <c:pt idx="44">
                  <c:v>44615</c:v>
                </c:pt>
                <c:pt idx="45">
                  <c:v>44622</c:v>
                </c:pt>
                <c:pt idx="46">
                  <c:v>44629</c:v>
                </c:pt>
                <c:pt idx="47">
                  <c:v>44636</c:v>
                </c:pt>
                <c:pt idx="48">
                  <c:v>44643</c:v>
                </c:pt>
                <c:pt idx="49">
                  <c:v>44650</c:v>
                </c:pt>
                <c:pt idx="50">
                  <c:v>44657</c:v>
                </c:pt>
                <c:pt idx="51">
                  <c:v>44664</c:v>
                </c:pt>
                <c:pt idx="52">
                  <c:v>44671</c:v>
                </c:pt>
                <c:pt idx="53">
                  <c:v>44678</c:v>
                </c:pt>
                <c:pt idx="54">
                  <c:v>44685</c:v>
                </c:pt>
                <c:pt idx="55">
                  <c:v>44692</c:v>
                </c:pt>
                <c:pt idx="56">
                  <c:v>44699</c:v>
                </c:pt>
                <c:pt idx="57">
                  <c:v>44706</c:v>
                </c:pt>
                <c:pt idx="58">
                  <c:v>44713</c:v>
                </c:pt>
                <c:pt idx="59">
                  <c:v>44720</c:v>
                </c:pt>
                <c:pt idx="60">
                  <c:v>44727</c:v>
                </c:pt>
                <c:pt idx="61">
                  <c:v>44734</c:v>
                </c:pt>
                <c:pt idx="62">
                  <c:v>44741</c:v>
                </c:pt>
                <c:pt idx="63">
                  <c:v>44748</c:v>
                </c:pt>
                <c:pt idx="64">
                  <c:v>44755</c:v>
                </c:pt>
                <c:pt idx="65">
                  <c:v>44762</c:v>
                </c:pt>
                <c:pt idx="66">
                  <c:v>44769</c:v>
                </c:pt>
                <c:pt idx="67">
                  <c:v>44776</c:v>
                </c:pt>
                <c:pt idx="68">
                  <c:v>44783</c:v>
                </c:pt>
                <c:pt idx="69">
                  <c:v>44790</c:v>
                </c:pt>
                <c:pt idx="70">
                  <c:v>44797</c:v>
                </c:pt>
                <c:pt idx="71">
                  <c:v>44804</c:v>
                </c:pt>
                <c:pt idx="72">
                  <c:v>44811</c:v>
                </c:pt>
                <c:pt idx="73">
                  <c:v>44818</c:v>
                </c:pt>
                <c:pt idx="74">
                  <c:v>44825</c:v>
                </c:pt>
                <c:pt idx="75">
                  <c:v>44832</c:v>
                </c:pt>
                <c:pt idx="76">
                  <c:v>44839</c:v>
                </c:pt>
                <c:pt idx="77">
                  <c:v>44846</c:v>
                </c:pt>
                <c:pt idx="78">
                  <c:v>44853</c:v>
                </c:pt>
                <c:pt idx="79">
                  <c:v>44860</c:v>
                </c:pt>
                <c:pt idx="80">
                  <c:v>44867</c:v>
                </c:pt>
                <c:pt idx="81">
                  <c:v>44874</c:v>
                </c:pt>
                <c:pt idx="82">
                  <c:v>44881</c:v>
                </c:pt>
                <c:pt idx="83">
                  <c:v>44888</c:v>
                </c:pt>
                <c:pt idx="84">
                  <c:v>44895</c:v>
                </c:pt>
                <c:pt idx="85">
                  <c:v>44902</c:v>
                </c:pt>
                <c:pt idx="86">
                  <c:v>44909</c:v>
                </c:pt>
                <c:pt idx="87">
                  <c:v>44916</c:v>
                </c:pt>
                <c:pt idx="88">
                  <c:v>44923</c:v>
                </c:pt>
                <c:pt idx="89">
                  <c:v>44930</c:v>
                </c:pt>
                <c:pt idx="90">
                  <c:v>44937</c:v>
                </c:pt>
                <c:pt idx="91">
                  <c:v>44944</c:v>
                </c:pt>
                <c:pt idx="92">
                  <c:v>44951</c:v>
                </c:pt>
                <c:pt idx="93">
                  <c:v>44958</c:v>
                </c:pt>
                <c:pt idx="94">
                  <c:v>44965</c:v>
                </c:pt>
                <c:pt idx="95">
                  <c:v>44972</c:v>
                </c:pt>
                <c:pt idx="96">
                  <c:v>44979</c:v>
                </c:pt>
                <c:pt idx="97">
                  <c:v>44986</c:v>
                </c:pt>
                <c:pt idx="98">
                  <c:v>44993</c:v>
                </c:pt>
                <c:pt idx="99">
                  <c:v>45000</c:v>
                </c:pt>
                <c:pt idx="100">
                  <c:v>45007</c:v>
                </c:pt>
                <c:pt idx="101">
                  <c:v>45014</c:v>
                </c:pt>
                <c:pt idx="102">
                  <c:v>45021</c:v>
                </c:pt>
                <c:pt idx="103">
                  <c:v>45028</c:v>
                </c:pt>
                <c:pt idx="104">
                  <c:v>45035</c:v>
                </c:pt>
                <c:pt idx="105">
                  <c:v>45042</c:v>
                </c:pt>
                <c:pt idx="106">
                  <c:v>45049</c:v>
                </c:pt>
                <c:pt idx="107">
                  <c:v>45056</c:v>
                </c:pt>
                <c:pt idx="108">
                  <c:v>45063</c:v>
                </c:pt>
                <c:pt idx="109">
                  <c:v>45070</c:v>
                </c:pt>
                <c:pt idx="110">
                  <c:v>45077</c:v>
                </c:pt>
                <c:pt idx="111">
                  <c:v>45084</c:v>
                </c:pt>
                <c:pt idx="112">
                  <c:v>45091</c:v>
                </c:pt>
                <c:pt idx="113">
                  <c:v>45098</c:v>
                </c:pt>
                <c:pt idx="114">
                  <c:v>45105</c:v>
                </c:pt>
                <c:pt idx="115">
                  <c:v>45112</c:v>
                </c:pt>
                <c:pt idx="116">
                  <c:v>45119</c:v>
                </c:pt>
                <c:pt idx="117">
                  <c:v>45126</c:v>
                </c:pt>
                <c:pt idx="118">
                  <c:v>45133</c:v>
                </c:pt>
                <c:pt idx="119">
                  <c:v>45140</c:v>
                </c:pt>
                <c:pt idx="120">
                  <c:v>45147</c:v>
                </c:pt>
                <c:pt idx="121">
                  <c:v>45154</c:v>
                </c:pt>
                <c:pt idx="122">
                  <c:v>45161</c:v>
                </c:pt>
                <c:pt idx="123">
                  <c:v>45168</c:v>
                </c:pt>
                <c:pt idx="124">
                  <c:v>45175</c:v>
                </c:pt>
                <c:pt idx="125">
                  <c:v>45182</c:v>
                </c:pt>
                <c:pt idx="126">
                  <c:v>45189</c:v>
                </c:pt>
                <c:pt idx="127">
                  <c:v>45196</c:v>
                </c:pt>
                <c:pt idx="128">
                  <c:v>45203</c:v>
                </c:pt>
                <c:pt idx="129">
                  <c:v>45210</c:v>
                </c:pt>
                <c:pt idx="130">
                  <c:v>45217</c:v>
                </c:pt>
                <c:pt idx="131">
                  <c:v>45224</c:v>
                </c:pt>
                <c:pt idx="132">
                  <c:v>45231</c:v>
                </c:pt>
                <c:pt idx="133">
                  <c:v>45238</c:v>
                </c:pt>
                <c:pt idx="134">
                  <c:v>45245</c:v>
                </c:pt>
                <c:pt idx="135">
                  <c:v>45252</c:v>
                </c:pt>
                <c:pt idx="136">
                  <c:v>45259</c:v>
                </c:pt>
                <c:pt idx="137">
                  <c:v>45266</c:v>
                </c:pt>
                <c:pt idx="138">
                  <c:v>45273</c:v>
                </c:pt>
                <c:pt idx="139">
                  <c:v>45280</c:v>
                </c:pt>
                <c:pt idx="140">
                  <c:v>45287</c:v>
                </c:pt>
                <c:pt idx="141">
                  <c:v>45294</c:v>
                </c:pt>
                <c:pt idx="142">
                  <c:v>45301</c:v>
                </c:pt>
                <c:pt idx="143">
                  <c:v>45308</c:v>
                </c:pt>
                <c:pt idx="144">
                  <c:v>45315</c:v>
                </c:pt>
                <c:pt idx="145">
                  <c:v>45322</c:v>
                </c:pt>
                <c:pt idx="146">
                  <c:v>45329</c:v>
                </c:pt>
                <c:pt idx="147">
                  <c:v>45336</c:v>
                </c:pt>
                <c:pt idx="148">
                  <c:v>45343</c:v>
                </c:pt>
                <c:pt idx="149">
                  <c:v>45350</c:v>
                </c:pt>
              </c:numCache>
            </c:numRef>
          </c:xVal>
          <c:yVal>
            <c:numRef>
              <c:f>'Current Bitcoin Price'!$C$2:$C$151</c:f>
              <c:numCache>
                <c:formatCode>_("$"* #,##0.00_);_("$"* \(#,##0.00\);_("$"* "-"??_);_(@_)</c:formatCode>
                <c:ptCount val="150"/>
                <c:pt idx="0">
                  <c:v>69774.710000000006</c:v>
                </c:pt>
                <c:pt idx="1">
                  <c:v>69774.710000000006</c:v>
                </c:pt>
                <c:pt idx="2">
                  <c:v>69774.710000000006</c:v>
                </c:pt>
                <c:pt idx="3">
                  <c:v>69774.710000000006</c:v>
                </c:pt>
                <c:pt idx="4">
                  <c:v>69774.710000000006</c:v>
                </c:pt>
                <c:pt idx="5">
                  <c:v>69774.710000000006</c:v>
                </c:pt>
                <c:pt idx="6">
                  <c:v>69774.710000000006</c:v>
                </c:pt>
                <c:pt idx="7">
                  <c:v>69774.710000000006</c:v>
                </c:pt>
                <c:pt idx="8">
                  <c:v>69774.710000000006</c:v>
                </c:pt>
                <c:pt idx="9">
                  <c:v>69774.710000000006</c:v>
                </c:pt>
                <c:pt idx="10">
                  <c:v>69774.710000000006</c:v>
                </c:pt>
                <c:pt idx="11">
                  <c:v>69774.710000000006</c:v>
                </c:pt>
                <c:pt idx="12">
                  <c:v>69774.710000000006</c:v>
                </c:pt>
                <c:pt idx="13">
                  <c:v>69774.710000000006</c:v>
                </c:pt>
                <c:pt idx="14">
                  <c:v>69774.710000000006</c:v>
                </c:pt>
                <c:pt idx="15">
                  <c:v>69774.710000000006</c:v>
                </c:pt>
                <c:pt idx="16">
                  <c:v>69774.710000000006</c:v>
                </c:pt>
                <c:pt idx="17">
                  <c:v>69774.710000000006</c:v>
                </c:pt>
                <c:pt idx="18">
                  <c:v>69774.710000000006</c:v>
                </c:pt>
                <c:pt idx="19">
                  <c:v>69774.710000000006</c:v>
                </c:pt>
                <c:pt idx="20">
                  <c:v>69774.710000000006</c:v>
                </c:pt>
                <c:pt idx="21">
                  <c:v>69774.710000000006</c:v>
                </c:pt>
                <c:pt idx="22">
                  <c:v>69774.710000000006</c:v>
                </c:pt>
                <c:pt idx="23">
                  <c:v>69774.710000000006</c:v>
                </c:pt>
                <c:pt idx="24">
                  <c:v>69774.710000000006</c:v>
                </c:pt>
                <c:pt idx="25">
                  <c:v>69774.710000000006</c:v>
                </c:pt>
                <c:pt idx="26">
                  <c:v>69774.710000000006</c:v>
                </c:pt>
                <c:pt idx="27">
                  <c:v>69774.710000000006</c:v>
                </c:pt>
                <c:pt idx="28">
                  <c:v>69774.710000000006</c:v>
                </c:pt>
                <c:pt idx="29">
                  <c:v>69774.710000000006</c:v>
                </c:pt>
                <c:pt idx="30">
                  <c:v>69774.710000000006</c:v>
                </c:pt>
                <c:pt idx="31">
                  <c:v>69774.710000000006</c:v>
                </c:pt>
                <c:pt idx="32">
                  <c:v>69774.710000000006</c:v>
                </c:pt>
                <c:pt idx="33">
                  <c:v>69774.710000000006</c:v>
                </c:pt>
                <c:pt idx="34">
                  <c:v>69774.710000000006</c:v>
                </c:pt>
                <c:pt idx="35">
                  <c:v>69774.710000000006</c:v>
                </c:pt>
                <c:pt idx="36">
                  <c:v>69774.710000000006</c:v>
                </c:pt>
                <c:pt idx="37">
                  <c:v>69774.710000000006</c:v>
                </c:pt>
                <c:pt idx="38">
                  <c:v>69774.710000000006</c:v>
                </c:pt>
                <c:pt idx="39">
                  <c:v>69774.710000000006</c:v>
                </c:pt>
                <c:pt idx="40">
                  <c:v>69774.710000000006</c:v>
                </c:pt>
                <c:pt idx="41">
                  <c:v>69774.710000000006</c:v>
                </c:pt>
                <c:pt idx="42">
                  <c:v>69774.710000000006</c:v>
                </c:pt>
                <c:pt idx="43">
                  <c:v>69774.710000000006</c:v>
                </c:pt>
                <c:pt idx="44">
                  <c:v>69774.710000000006</c:v>
                </c:pt>
                <c:pt idx="45">
                  <c:v>69774.710000000006</c:v>
                </c:pt>
                <c:pt idx="46">
                  <c:v>69774.710000000006</c:v>
                </c:pt>
                <c:pt idx="47">
                  <c:v>69774.710000000006</c:v>
                </c:pt>
                <c:pt idx="48">
                  <c:v>69774.710000000006</c:v>
                </c:pt>
                <c:pt idx="49">
                  <c:v>69774.710000000006</c:v>
                </c:pt>
                <c:pt idx="50">
                  <c:v>69774.710000000006</c:v>
                </c:pt>
                <c:pt idx="51">
                  <c:v>69774.710000000006</c:v>
                </c:pt>
                <c:pt idx="52">
                  <c:v>69774.710000000006</c:v>
                </c:pt>
                <c:pt idx="53">
                  <c:v>69774.710000000006</c:v>
                </c:pt>
                <c:pt idx="54">
                  <c:v>69774.710000000006</c:v>
                </c:pt>
                <c:pt idx="55">
                  <c:v>69774.710000000006</c:v>
                </c:pt>
                <c:pt idx="56">
                  <c:v>69774.710000000006</c:v>
                </c:pt>
                <c:pt idx="57">
                  <c:v>69774.710000000006</c:v>
                </c:pt>
                <c:pt idx="58">
                  <c:v>69774.710000000006</c:v>
                </c:pt>
                <c:pt idx="59">
                  <c:v>69774.710000000006</c:v>
                </c:pt>
                <c:pt idx="60">
                  <c:v>69774.710000000006</c:v>
                </c:pt>
                <c:pt idx="61">
                  <c:v>69774.710000000006</c:v>
                </c:pt>
                <c:pt idx="62">
                  <c:v>69774.710000000006</c:v>
                </c:pt>
                <c:pt idx="63">
                  <c:v>69774.710000000006</c:v>
                </c:pt>
                <c:pt idx="64">
                  <c:v>69774.710000000006</c:v>
                </c:pt>
                <c:pt idx="65">
                  <c:v>69774.710000000006</c:v>
                </c:pt>
                <c:pt idx="66">
                  <c:v>69774.710000000006</c:v>
                </c:pt>
                <c:pt idx="67">
                  <c:v>69774.710000000006</c:v>
                </c:pt>
                <c:pt idx="68">
                  <c:v>69774.710000000006</c:v>
                </c:pt>
                <c:pt idx="69">
                  <c:v>69774.710000000006</c:v>
                </c:pt>
                <c:pt idx="70">
                  <c:v>69774.710000000006</c:v>
                </c:pt>
                <c:pt idx="71">
                  <c:v>69774.710000000006</c:v>
                </c:pt>
                <c:pt idx="72">
                  <c:v>69774.710000000006</c:v>
                </c:pt>
                <c:pt idx="73">
                  <c:v>69774.710000000006</c:v>
                </c:pt>
                <c:pt idx="74">
                  <c:v>69774.710000000006</c:v>
                </c:pt>
                <c:pt idx="75">
                  <c:v>69774.710000000006</c:v>
                </c:pt>
                <c:pt idx="76">
                  <c:v>69774.710000000006</c:v>
                </c:pt>
                <c:pt idx="77">
                  <c:v>69774.710000000006</c:v>
                </c:pt>
                <c:pt idx="78">
                  <c:v>69774.710000000006</c:v>
                </c:pt>
                <c:pt idx="79">
                  <c:v>69774.710000000006</c:v>
                </c:pt>
                <c:pt idx="80">
                  <c:v>69774.710000000006</c:v>
                </c:pt>
                <c:pt idx="81">
                  <c:v>69774.710000000006</c:v>
                </c:pt>
                <c:pt idx="82">
                  <c:v>69774.710000000006</c:v>
                </c:pt>
                <c:pt idx="83">
                  <c:v>69774.710000000006</c:v>
                </c:pt>
                <c:pt idx="84">
                  <c:v>69774.710000000006</c:v>
                </c:pt>
                <c:pt idx="85">
                  <c:v>69774.710000000006</c:v>
                </c:pt>
                <c:pt idx="86">
                  <c:v>69774.710000000006</c:v>
                </c:pt>
                <c:pt idx="87">
                  <c:v>69774.710000000006</c:v>
                </c:pt>
                <c:pt idx="88">
                  <c:v>69774.710000000006</c:v>
                </c:pt>
                <c:pt idx="89">
                  <c:v>69774.710000000006</c:v>
                </c:pt>
                <c:pt idx="90">
                  <c:v>69774.710000000006</c:v>
                </c:pt>
                <c:pt idx="91">
                  <c:v>69774.710000000006</c:v>
                </c:pt>
                <c:pt idx="92">
                  <c:v>69774.710000000006</c:v>
                </c:pt>
                <c:pt idx="93">
                  <c:v>69774.710000000006</c:v>
                </c:pt>
                <c:pt idx="94">
                  <c:v>69774.710000000006</c:v>
                </c:pt>
                <c:pt idx="95">
                  <c:v>69774.710000000006</c:v>
                </c:pt>
                <c:pt idx="96">
                  <c:v>69774.710000000006</c:v>
                </c:pt>
                <c:pt idx="97">
                  <c:v>69774.710000000006</c:v>
                </c:pt>
                <c:pt idx="98">
                  <c:v>69774.710000000006</c:v>
                </c:pt>
                <c:pt idx="99">
                  <c:v>69774.710000000006</c:v>
                </c:pt>
                <c:pt idx="100">
                  <c:v>69774.710000000006</c:v>
                </c:pt>
                <c:pt idx="101">
                  <c:v>69774.710000000006</c:v>
                </c:pt>
                <c:pt idx="102">
                  <c:v>69774.710000000006</c:v>
                </c:pt>
                <c:pt idx="103">
                  <c:v>69774.710000000006</c:v>
                </c:pt>
                <c:pt idx="104">
                  <c:v>69774.710000000006</c:v>
                </c:pt>
                <c:pt idx="105">
                  <c:v>69774.710000000006</c:v>
                </c:pt>
                <c:pt idx="106">
                  <c:v>69774.710000000006</c:v>
                </c:pt>
                <c:pt idx="107">
                  <c:v>69774.710000000006</c:v>
                </c:pt>
                <c:pt idx="108">
                  <c:v>69774.710000000006</c:v>
                </c:pt>
                <c:pt idx="109">
                  <c:v>69774.710000000006</c:v>
                </c:pt>
                <c:pt idx="110">
                  <c:v>69774.710000000006</c:v>
                </c:pt>
                <c:pt idx="111">
                  <c:v>69774.710000000006</c:v>
                </c:pt>
                <c:pt idx="112">
                  <c:v>69774.710000000006</c:v>
                </c:pt>
                <c:pt idx="113">
                  <c:v>69774.710000000006</c:v>
                </c:pt>
                <c:pt idx="114">
                  <c:v>69774.710000000006</c:v>
                </c:pt>
                <c:pt idx="115">
                  <c:v>69774.710000000006</c:v>
                </c:pt>
                <c:pt idx="116">
                  <c:v>69774.710000000006</c:v>
                </c:pt>
                <c:pt idx="117">
                  <c:v>69774.710000000006</c:v>
                </c:pt>
                <c:pt idx="118">
                  <c:v>69774.710000000006</c:v>
                </c:pt>
                <c:pt idx="119">
                  <c:v>69774.710000000006</c:v>
                </c:pt>
                <c:pt idx="120">
                  <c:v>69774.710000000006</c:v>
                </c:pt>
                <c:pt idx="121">
                  <c:v>69774.710000000006</c:v>
                </c:pt>
                <c:pt idx="122">
                  <c:v>69774.710000000006</c:v>
                </c:pt>
                <c:pt idx="123">
                  <c:v>69774.710000000006</c:v>
                </c:pt>
                <c:pt idx="124">
                  <c:v>69774.710000000006</c:v>
                </c:pt>
                <c:pt idx="125">
                  <c:v>69774.710000000006</c:v>
                </c:pt>
                <c:pt idx="126">
                  <c:v>69774.710000000006</c:v>
                </c:pt>
                <c:pt idx="127">
                  <c:v>69774.710000000006</c:v>
                </c:pt>
                <c:pt idx="128">
                  <c:v>69774.710000000006</c:v>
                </c:pt>
                <c:pt idx="129">
                  <c:v>69774.710000000006</c:v>
                </c:pt>
                <c:pt idx="130">
                  <c:v>69774.710000000006</c:v>
                </c:pt>
                <c:pt idx="131">
                  <c:v>69774.710000000006</c:v>
                </c:pt>
                <c:pt idx="132">
                  <c:v>69774.710000000006</c:v>
                </c:pt>
                <c:pt idx="133">
                  <c:v>69774.710000000006</c:v>
                </c:pt>
                <c:pt idx="134">
                  <c:v>69774.710000000006</c:v>
                </c:pt>
                <c:pt idx="135">
                  <c:v>69774.710000000006</c:v>
                </c:pt>
                <c:pt idx="136">
                  <c:v>69774.710000000006</c:v>
                </c:pt>
                <c:pt idx="137">
                  <c:v>69774.710000000006</c:v>
                </c:pt>
                <c:pt idx="138">
                  <c:v>69774.710000000006</c:v>
                </c:pt>
                <c:pt idx="139">
                  <c:v>69774.710000000006</c:v>
                </c:pt>
                <c:pt idx="140">
                  <c:v>69774.710000000006</c:v>
                </c:pt>
                <c:pt idx="141">
                  <c:v>69774.710000000006</c:v>
                </c:pt>
                <c:pt idx="142">
                  <c:v>69774.710000000006</c:v>
                </c:pt>
                <c:pt idx="143">
                  <c:v>69774.710000000006</c:v>
                </c:pt>
                <c:pt idx="144">
                  <c:v>69774.710000000006</c:v>
                </c:pt>
                <c:pt idx="145">
                  <c:v>69774.710000000006</c:v>
                </c:pt>
                <c:pt idx="146">
                  <c:v>69774.710000000006</c:v>
                </c:pt>
                <c:pt idx="147">
                  <c:v>69774.710000000006</c:v>
                </c:pt>
                <c:pt idx="148">
                  <c:v>69774.710000000006</c:v>
                </c:pt>
                <c:pt idx="149">
                  <c:v>69774.710000000006</c:v>
                </c:pt>
              </c:numCache>
            </c:numRef>
          </c:yVal>
          <c:bubbleSize>
            <c:numLit>
              <c:formatCode>General</c:formatCode>
              <c:ptCount val="1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numLit>
          </c:bubbleSize>
          <c:bubble3D val="0"/>
          <c:extLst>
            <c:ext xmlns:c16="http://schemas.microsoft.com/office/drawing/2014/chart" uri="{C3380CC4-5D6E-409C-BE32-E72D297353CC}">
              <c16:uniqueId val="{00000002-8983-4669-9CB4-080BAE36395D}"/>
            </c:ext>
          </c:extLst>
        </c:ser>
        <c:dLbls>
          <c:showLegendKey val="0"/>
          <c:showVal val="0"/>
          <c:showCatName val="0"/>
          <c:showSerName val="0"/>
          <c:showPercent val="0"/>
          <c:showBubbleSize val="0"/>
        </c:dLbls>
        <c:bubbleScale val="50"/>
        <c:showNegBubbles val="0"/>
        <c:axId val="931065008"/>
        <c:axId val="931066256"/>
      </c:bubbleChart>
      <c:valAx>
        <c:axId val="931065008"/>
        <c:scaling>
          <c:orientation val="minMax"/>
          <c:min val="44300"/>
        </c:scaling>
        <c:delete val="0"/>
        <c:axPos val="b"/>
        <c:numFmt formatCode="m/d/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6256"/>
        <c:crosses val="autoZero"/>
        <c:crossBetween val="midCat"/>
      </c:valAx>
      <c:valAx>
        <c:axId val="931066256"/>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500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Deviation From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928134110867188E-2"/>
          <c:y val="0.15605571798232348"/>
          <c:w val="0.8893913722860658"/>
          <c:h val="0.78283333333333338"/>
        </c:manualLayout>
      </c:layout>
      <c:lineChart>
        <c:grouping val="standard"/>
        <c:varyColors val="0"/>
        <c:ser>
          <c:idx val="1"/>
          <c:order val="0"/>
          <c:tx>
            <c:v>Acceleration</c:v>
          </c:tx>
          <c:spPr>
            <a:ln w="25400" cap="rnd">
              <a:solidFill>
                <a:srgbClr val="FE4F00"/>
              </a:solidFill>
              <a:round/>
            </a:ln>
            <a:effectLst>
              <a:glow rad="76200">
                <a:schemeClr val="accent2">
                  <a:alpha val="20000"/>
                </a:scheme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Analysis'!$AP$5:$AP$132</c:f>
              <c:numCache>
                <c:formatCode>_("$"* #,##0.00_);_("$"* \(#,##0.00\);_("$"* "-"??_);_(@_)</c:formatCode>
                <c:ptCount val="128"/>
                <c:pt idx="2">
                  <c:v>0</c:v>
                </c:pt>
                <c:pt idx="3">
                  <c:v>0</c:v>
                </c:pt>
                <c:pt idx="4">
                  <c:v>0</c:v>
                </c:pt>
                <c:pt idx="5">
                  <c:v>0</c:v>
                </c:pt>
                <c:pt idx="6">
                  <c:v>-6.2527760746888816E-13</c:v>
                </c:pt>
                <c:pt idx="7">
                  <c:v>0</c:v>
                </c:pt>
                <c:pt idx="8">
                  <c:v>0</c:v>
                </c:pt>
                <c:pt idx="9">
                  <c:v>0</c:v>
                </c:pt>
                <c:pt idx="10">
                  <c:v>0</c:v>
                </c:pt>
                <c:pt idx="11">
                  <c:v>0</c:v>
                </c:pt>
                <c:pt idx="12">
                  <c:v>0</c:v>
                </c:pt>
                <c:pt idx="13">
                  <c:v>0</c:v>
                </c:pt>
                <c:pt idx="14">
                  <c:v>0</c:v>
                </c:pt>
                <c:pt idx="15">
                  <c:v>-20</c:v>
                </c:pt>
                <c:pt idx="16">
                  <c:v>19.999999999999091</c:v>
                </c:pt>
                <c:pt idx="17">
                  <c:v>1.3642420526593924E-12</c:v>
                </c:pt>
                <c:pt idx="18">
                  <c:v>-1.3642420526593924E-12</c:v>
                </c:pt>
                <c:pt idx="19">
                  <c:v>0</c:v>
                </c:pt>
                <c:pt idx="20">
                  <c:v>0</c:v>
                </c:pt>
                <c:pt idx="21">
                  <c:v>4.5474735088646412E-13</c:v>
                </c:pt>
                <c:pt idx="22">
                  <c:v>-1.8189894035458565E-12</c:v>
                </c:pt>
                <c:pt idx="23">
                  <c:v>0</c:v>
                </c:pt>
                <c:pt idx="24">
                  <c:v>0</c:v>
                </c:pt>
                <c:pt idx="25">
                  <c:v>-9.0949470177292824E-13</c:v>
                </c:pt>
                <c:pt idx="26">
                  <c:v>9.0949470177292824E-13</c:v>
                </c:pt>
                <c:pt idx="27">
                  <c:v>0</c:v>
                </c:pt>
                <c:pt idx="28">
                  <c:v>0</c:v>
                </c:pt>
                <c:pt idx="29">
                  <c:v>-4.5474735088646412E-13</c:v>
                </c:pt>
                <c:pt idx="30">
                  <c:v>4.5474735088646412E-13</c:v>
                </c:pt>
                <c:pt idx="31">
                  <c:v>-5.0000000000004547</c:v>
                </c:pt>
                <c:pt idx="32">
                  <c:v>5.0000000000004547</c:v>
                </c:pt>
                <c:pt idx="33">
                  <c:v>0</c:v>
                </c:pt>
                <c:pt idx="34">
                  <c:v>-3.4106051316484809E-13</c:v>
                </c:pt>
                <c:pt idx="35">
                  <c:v>4.5474735088646412E-13</c:v>
                </c:pt>
                <c:pt idx="36">
                  <c:v>-6.8212102632969618E-13</c:v>
                </c:pt>
                <c:pt idx="37">
                  <c:v>2.2737367544323206E-13</c:v>
                </c:pt>
                <c:pt idx="38">
                  <c:v>0</c:v>
                </c:pt>
                <c:pt idx="39">
                  <c:v>0</c:v>
                </c:pt>
                <c:pt idx="40">
                  <c:v>0</c:v>
                </c:pt>
                <c:pt idx="41">
                  <c:v>0</c:v>
                </c:pt>
                <c:pt idx="42">
                  <c:v>0</c:v>
                </c:pt>
                <c:pt idx="43">
                  <c:v>-281.87000000000012</c:v>
                </c:pt>
                <c:pt idx="44">
                  <c:v>294.38730445852912</c:v>
                </c:pt>
                <c:pt idx="45">
                  <c:v>-12.51730445852877</c:v>
                </c:pt>
                <c:pt idx="46">
                  <c:v>0</c:v>
                </c:pt>
                <c:pt idx="47">
                  <c:v>0</c:v>
                </c:pt>
                <c:pt idx="48">
                  <c:v>4.5474735088646412E-13</c:v>
                </c:pt>
                <c:pt idx="49">
                  <c:v>0</c:v>
                </c:pt>
                <c:pt idx="50">
                  <c:v>-4.5474735088646412E-13</c:v>
                </c:pt>
                <c:pt idx="51">
                  <c:v>0</c:v>
                </c:pt>
                <c:pt idx="52">
                  <c:v>0</c:v>
                </c:pt>
                <c:pt idx="53">
                  <c:v>0</c:v>
                </c:pt>
                <c:pt idx="54">
                  <c:v>4.5474735088646412E-13</c:v>
                </c:pt>
                <c:pt idx="55">
                  <c:v>-4.5474735088646412E-13</c:v>
                </c:pt>
                <c:pt idx="56">
                  <c:v>0</c:v>
                </c:pt>
                <c:pt idx="57">
                  <c:v>0</c:v>
                </c:pt>
                <c:pt idx="58">
                  <c:v>0</c:v>
                </c:pt>
                <c:pt idx="59">
                  <c:v>0</c:v>
                </c:pt>
                <c:pt idx="60">
                  <c:v>0</c:v>
                </c:pt>
                <c:pt idx="61">
                  <c:v>0</c:v>
                </c:pt>
                <c:pt idx="62">
                  <c:v>-4.5474735088646412E-13</c:v>
                </c:pt>
                <c:pt idx="63">
                  <c:v>0</c:v>
                </c:pt>
                <c:pt idx="64">
                  <c:v>0</c:v>
                </c:pt>
                <c:pt idx="65">
                  <c:v>-9.0949470177292824E-13</c:v>
                </c:pt>
                <c:pt idx="66">
                  <c:v>1.8189894035458565E-12</c:v>
                </c:pt>
                <c:pt idx="67">
                  <c:v>-3.637978807091713E-12</c:v>
                </c:pt>
                <c:pt idx="68">
                  <c:v>3.637978807091713E-12</c:v>
                </c:pt>
                <c:pt idx="69">
                  <c:v>-1.8189894035458565E-12</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numCache>
            </c:numRef>
          </c:val>
          <c:smooth val="0"/>
          <c:extLst>
            <c:ext xmlns:c16="http://schemas.microsoft.com/office/drawing/2014/chart" uri="{C3380CC4-5D6E-409C-BE32-E72D297353CC}">
              <c16:uniqueId val="{00000001-63E5-4A66-8B9D-7E88CE49534D}"/>
            </c:ext>
          </c:extLst>
        </c:ser>
        <c:ser>
          <c:idx val="0"/>
          <c:order val="1"/>
          <c:tx>
            <c:v>Velocity</c:v>
          </c:tx>
          <c:spPr>
            <a:ln w="25400" cap="rnd">
              <a:solidFill>
                <a:srgbClr val="00B0F0"/>
              </a:solidFill>
              <a:round/>
            </a:ln>
            <a:effectLst>
              <a:glow rad="76200">
                <a:srgbClr val="00B0F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Analysis'!$AK$6:$AK$132</c:f>
              <c:numCache>
                <c:formatCode>_("$"* #,##0.00_);_("$"* \(#,##0.00\);_("$"* "-"??_);_(@_)</c:formatCode>
                <c:ptCount val="127"/>
                <c:pt idx="0">
                  <c:v>-2.2737367544323206E-13</c:v>
                </c:pt>
                <c:pt idx="1">
                  <c:v>0</c:v>
                </c:pt>
                <c:pt idx="2">
                  <c:v>0</c:v>
                </c:pt>
                <c:pt idx="3">
                  <c:v>0</c:v>
                </c:pt>
                <c:pt idx="4">
                  <c:v>-2.2737367544323206E-13</c:v>
                </c:pt>
                <c:pt idx="5">
                  <c:v>0</c:v>
                </c:pt>
                <c:pt idx="6">
                  <c:v>0</c:v>
                </c:pt>
                <c:pt idx="7">
                  <c:v>0</c:v>
                </c:pt>
                <c:pt idx="8">
                  <c:v>0</c:v>
                </c:pt>
                <c:pt idx="9">
                  <c:v>0</c:v>
                </c:pt>
                <c:pt idx="10">
                  <c:v>0</c:v>
                </c:pt>
                <c:pt idx="11">
                  <c:v>0</c:v>
                </c:pt>
                <c:pt idx="12">
                  <c:v>0</c:v>
                </c:pt>
                <c:pt idx="13">
                  <c:v>0</c:v>
                </c:pt>
                <c:pt idx="14">
                  <c:v>19.999999999999545</c:v>
                </c:pt>
                <c:pt idx="15">
                  <c:v>0</c:v>
                </c:pt>
                <c:pt idx="16">
                  <c:v>0</c:v>
                </c:pt>
                <c:pt idx="17">
                  <c:v>0</c:v>
                </c:pt>
                <c:pt idx="18">
                  <c:v>0</c:v>
                </c:pt>
                <c:pt idx="19">
                  <c:v>0</c:v>
                </c:pt>
                <c:pt idx="20">
                  <c:v>0</c:v>
                </c:pt>
                <c:pt idx="21">
                  <c:v>9.0949470177292824E-13</c:v>
                </c:pt>
                <c:pt idx="22">
                  <c:v>0</c:v>
                </c:pt>
                <c:pt idx="23">
                  <c:v>-4.5474735088646412E-13</c:v>
                </c:pt>
                <c:pt idx="24">
                  <c:v>4.5474735088646412E-13</c:v>
                </c:pt>
                <c:pt idx="25">
                  <c:v>0</c:v>
                </c:pt>
                <c:pt idx="26">
                  <c:v>0</c:v>
                </c:pt>
                <c:pt idx="27">
                  <c:v>0</c:v>
                </c:pt>
                <c:pt idx="28">
                  <c:v>0</c:v>
                </c:pt>
                <c:pt idx="29">
                  <c:v>0</c:v>
                </c:pt>
                <c:pt idx="30">
                  <c:v>5.0000000000004547</c:v>
                </c:pt>
                <c:pt idx="31">
                  <c:v>0</c:v>
                </c:pt>
                <c:pt idx="32">
                  <c:v>0</c:v>
                </c:pt>
                <c:pt idx="33">
                  <c:v>0</c:v>
                </c:pt>
                <c:pt idx="34">
                  <c:v>0</c:v>
                </c:pt>
                <c:pt idx="35">
                  <c:v>4.5474735088646412E-13</c:v>
                </c:pt>
                <c:pt idx="36">
                  <c:v>0</c:v>
                </c:pt>
                <c:pt idx="37">
                  <c:v>0</c:v>
                </c:pt>
                <c:pt idx="38">
                  <c:v>0</c:v>
                </c:pt>
                <c:pt idx="39">
                  <c:v>0</c:v>
                </c:pt>
                <c:pt idx="40">
                  <c:v>0</c:v>
                </c:pt>
                <c:pt idx="41">
                  <c:v>0</c:v>
                </c:pt>
                <c:pt idx="42">
                  <c:v>281.87000000000012</c:v>
                </c:pt>
                <c:pt idx="43">
                  <c:v>-12.517304458528997</c:v>
                </c:pt>
                <c:pt idx="44">
                  <c:v>0</c:v>
                </c:pt>
                <c:pt idx="45">
                  <c:v>0</c:v>
                </c:pt>
                <c:pt idx="46">
                  <c:v>0</c:v>
                </c:pt>
                <c:pt idx="47">
                  <c:v>-4.5474735088646412E-13</c:v>
                </c:pt>
                <c:pt idx="48">
                  <c:v>0</c:v>
                </c:pt>
                <c:pt idx="49">
                  <c:v>0</c:v>
                </c:pt>
                <c:pt idx="50">
                  <c:v>0</c:v>
                </c:pt>
                <c:pt idx="51">
                  <c:v>0</c:v>
                </c:pt>
                <c:pt idx="52">
                  <c:v>0</c:v>
                </c:pt>
                <c:pt idx="53">
                  <c:v>-4.5474735088646412E-13</c:v>
                </c:pt>
                <c:pt idx="54">
                  <c:v>0</c:v>
                </c:pt>
                <c:pt idx="55">
                  <c:v>0</c:v>
                </c:pt>
                <c:pt idx="56">
                  <c:v>0</c:v>
                </c:pt>
                <c:pt idx="57">
                  <c:v>0</c:v>
                </c:pt>
                <c:pt idx="58">
                  <c:v>0</c:v>
                </c:pt>
                <c:pt idx="59">
                  <c:v>0</c:v>
                </c:pt>
                <c:pt idx="60">
                  <c:v>0</c:v>
                </c:pt>
                <c:pt idx="61">
                  <c:v>4.5474735088646412E-13</c:v>
                </c:pt>
                <c:pt idx="62">
                  <c:v>0</c:v>
                </c:pt>
                <c:pt idx="63">
                  <c:v>0</c:v>
                </c:pt>
                <c:pt idx="64">
                  <c:v>0</c:v>
                </c:pt>
                <c:pt idx="65">
                  <c:v>-1.8189894035458565E-12</c:v>
                </c:pt>
                <c:pt idx="66">
                  <c:v>1.8189894035458565E-12</c:v>
                </c:pt>
                <c:pt idx="67">
                  <c:v>-1.8189894035458565E-12</c:v>
                </c:pt>
                <c:pt idx="68">
                  <c:v>0</c:v>
                </c:pt>
              </c:numCache>
            </c:numRef>
          </c:val>
          <c:smooth val="0"/>
          <c:extLst>
            <c:ext xmlns:c16="http://schemas.microsoft.com/office/drawing/2014/chart" uri="{C3380CC4-5D6E-409C-BE32-E72D297353CC}">
              <c16:uniqueId val="{00000000-BCF0-4288-9375-A339BC406920}"/>
            </c:ext>
          </c:extLst>
        </c:ser>
        <c:dLbls>
          <c:showLegendKey val="0"/>
          <c:showVal val="0"/>
          <c:showCatName val="0"/>
          <c:showSerName val="0"/>
          <c:showPercent val="0"/>
          <c:showBubbleSize val="0"/>
        </c:dLbls>
        <c:smooth val="0"/>
        <c:axId val="699983696"/>
        <c:axId val="699989520"/>
        <c:extLst/>
      </c:lineChart>
      <c:dateAx>
        <c:axId val="699983696"/>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0" i="0" u="none" strike="noStrike" kern="1200" baseline="0">
                <a:solidFill>
                  <a:schemeClr val="tx1">
                    <a:lumMod val="65000"/>
                    <a:lumOff val="35000"/>
                  </a:schemeClr>
                </a:solidFill>
                <a:latin typeface="+mn-lt"/>
                <a:ea typeface="+mn-ea"/>
                <a:cs typeface="+mn-cs"/>
              </a:defRPr>
            </a:pPr>
            <a:endParaRPr lang="en-US"/>
          </a:p>
        </c:txPr>
        <c:crossAx val="699989520"/>
        <c:crosses val="autoZero"/>
        <c:auto val="0"/>
        <c:lblOffset val="1000"/>
        <c:baseTimeUnit val="months"/>
        <c:majorUnit val="4"/>
        <c:majorTimeUnit val="months"/>
        <c:minorUnit val="1"/>
        <c:minorTimeUnit val="months"/>
      </c:dateAx>
      <c:valAx>
        <c:axId val="699989520"/>
        <c:scaling>
          <c:orientation val="minMax"/>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983696"/>
        <c:crosses val="autoZero"/>
        <c:crossBetween val="between"/>
      </c:valAx>
      <c:spPr>
        <a:noFill/>
        <a:ln>
          <a:noFill/>
        </a:ln>
        <a:effectLst/>
      </c:spPr>
    </c:plotArea>
    <c:legend>
      <c:legendPos val="r"/>
      <c:layout>
        <c:manualLayout>
          <c:xMode val="edge"/>
          <c:yMode val="edge"/>
          <c:x val="9.9631407010211046E-2"/>
          <c:y val="0.14899163617458275"/>
          <c:w val="0.13220079301427218"/>
          <c:h val="0.2118275680067369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&amp;LCREAM Dashboard&amp;Ras of March 2024   </c:oddHeader>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cs typeface="+mn-cs"/>
              </a:rPr>
              <a:t>Force</a:t>
            </a:r>
            <a:r>
              <a:rPr lang="en-US" b="1" baseline="0">
                <a:latin typeface="+mn-lt"/>
                <a:cs typeface="+mn-cs"/>
              </a:rPr>
              <a:t> - </a:t>
            </a:r>
            <a:r>
              <a:rPr lang="en-US" b="1">
                <a:latin typeface="+mn-lt"/>
                <a:cs typeface="+mn-cs"/>
              </a:rPr>
              <a:t>Inductance - Acceleration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699398017739171E-2"/>
          <c:y val="0.15605555555555559"/>
          <c:w val="0.8893913722860658"/>
          <c:h val="0.78283333333333338"/>
        </c:manualLayout>
      </c:layout>
      <c:lineChart>
        <c:grouping val="standard"/>
        <c:varyColors val="0"/>
        <c:ser>
          <c:idx val="0"/>
          <c:order val="0"/>
          <c:tx>
            <c:v>Model</c:v>
          </c:tx>
          <c:spPr>
            <a:ln w="25400" cap="rnd">
              <a:solidFill>
                <a:schemeClr val="tx1"/>
              </a:solidFill>
              <a:round/>
            </a:ln>
            <a:effectLst>
              <a:glow rad="76200">
                <a:schemeClr val="tx1">
                  <a:alpha val="20000"/>
                </a:scheme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Analysis'!$AM$5:$AM$132</c:f>
              <c:numCache>
                <c:formatCode>0.0000000000000000%</c:formatCode>
                <c:ptCount val="128"/>
                <c:pt idx="2" formatCode="_(&quot;$&quot;* #,##0.00_);_(&quot;$&quot;* \(#,##0.00\);_(&quot;$&quot;* &quot;-&quot;??_);_(@_)">
                  <c:v>449.91000000000008</c:v>
                </c:pt>
                <c:pt idx="3" formatCode="_(&quot;$&quot;* #,##0.00_);_(&quot;$&quot;* \(#,##0.00\);_(&quot;$&quot;* &quot;-&quot;??_);_(@_)">
                  <c:v>-870.79000000000008</c:v>
                </c:pt>
                <c:pt idx="4" formatCode="_(&quot;$&quot;* #,##0.00_);_(&quot;$&quot;* \(#,##0.00\);_(&quot;$&quot;* &quot;-&quot;??_);_(@_)">
                  <c:v>3990.9299999999976</c:v>
                </c:pt>
                <c:pt idx="5" formatCode="_(&quot;$&quot;* #,##0.00_);_(&quot;$&quot;* \(#,##0.00\);_(&quot;$&quot;* &quot;-&quot;??_);_(@_)">
                  <c:v>-3569.6099999999979</c:v>
                </c:pt>
                <c:pt idx="6" formatCode="_(&quot;$&quot;* #,##0.00_);_(&quot;$&quot;* \(#,##0.00\);_(&quot;$&quot;* &quot;-&quot;??_);_(@_)">
                  <c:v>-337.51000000000005</c:v>
                </c:pt>
                <c:pt idx="7" formatCode="_(&quot;$&quot;* #,##0.00_);_(&quot;$&quot;* \(#,##0.00\);_(&quot;$&quot;* &quot;-&quot;??_);_(@_)">
                  <c:v>-644.99</c:v>
                </c:pt>
                <c:pt idx="8" formatCode="_(&quot;$&quot;* #,##0.00_);_(&quot;$&quot;* \(#,##0.00\);_(&quot;$&quot;* &quot;-&quot;??_);_(@_)">
                  <c:v>386.1099999999999</c:v>
                </c:pt>
                <c:pt idx="9" formatCode="_(&quot;$&quot;* #,##0.00_);_(&quot;$&quot;* \(#,##0.00\);_(&quot;$&quot;* &quot;-&quot;??_);_(@_)">
                  <c:v>-277.11999999999989</c:v>
                </c:pt>
                <c:pt idx="10" formatCode="_(&quot;$&quot;* #,##0.00_);_(&quot;$&quot;* \(#,##0.00\);_(&quot;$&quot;* &quot;-&quot;??_);_(@_)">
                  <c:v>1319.52</c:v>
                </c:pt>
                <c:pt idx="11" formatCode="_(&quot;$&quot;* #,##0.00_);_(&quot;$&quot;* \(#,##0.00\);_(&quot;$&quot;* &quot;-&quot;??_);_(@_)">
                  <c:v>-972.41000000000008</c:v>
                </c:pt>
                <c:pt idx="12" formatCode="_(&quot;$&quot;* #,##0.00_);_(&quot;$&quot;* \(#,##0.00\);_(&quot;$&quot;* &quot;-&quot;??_);_(@_)">
                  <c:v>3154.33</c:v>
                </c:pt>
                <c:pt idx="13" formatCode="_(&quot;$&quot;* #,##0.00_);_(&quot;$&quot;* \(#,##0.00\);_(&quot;$&quot;* &quot;-&quot;??_);_(@_)">
                  <c:v>-1492.0399999999997</c:v>
                </c:pt>
                <c:pt idx="14" formatCode="_(&quot;$&quot;* #,##0.00_);_(&quot;$&quot;* \(#,##0.00\);_(&quot;$&quot;* &quot;-&quot;??_);_(@_)">
                  <c:v>966.3</c:v>
                </c:pt>
                <c:pt idx="15" formatCode="_(&quot;$&quot;* #,##0.00_);_(&quot;$&quot;* \(#,##0.00\);_(&quot;$&quot;* &quot;-&quot;??_);_(@_)">
                  <c:v>-1199.4099999999999</c:v>
                </c:pt>
                <c:pt idx="16" formatCode="_(&quot;$&quot;* #,##0.00_);_(&quot;$&quot;* \(#,##0.00\);_(&quot;$&quot;* &quot;-&quot;??_);_(@_)">
                  <c:v>267.86999999999989</c:v>
                </c:pt>
                <c:pt idx="17" formatCode="_(&quot;$&quot;* #,##0.00_);_(&quot;$&quot;* \(#,##0.00\);_(&quot;$&quot;* &quot;-&quot;??_);_(@_)">
                  <c:v>-26.690000000000055</c:v>
                </c:pt>
                <c:pt idx="18" formatCode="_(&quot;$&quot;* #,##0.00_);_(&quot;$&quot;* \(#,##0.00\);_(&quot;$&quot;* &quot;-&quot;??_);_(@_)">
                  <c:v>-335.34999999999991</c:v>
                </c:pt>
                <c:pt idx="19" formatCode="_(&quot;$&quot;* #,##0.00_);_(&quot;$&quot;* \(#,##0.00\);_(&quot;$&quot;* &quot;-&quot;??_);_(@_)">
                  <c:v>1401.0499999999997</c:v>
                </c:pt>
                <c:pt idx="20" formatCode="_(&quot;$&quot;* #,##0.00_);_(&quot;$&quot;* \(#,##0.00\);_(&quot;$&quot;* &quot;-&quot;??_);_(@_)">
                  <c:v>-1244.1799999999998</c:v>
                </c:pt>
                <c:pt idx="21" formatCode="_(&quot;$&quot;* #,##0.00_);_(&quot;$&quot;* \(#,##0.00\);_(&quot;$&quot;* &quot;-&quot;??_);_(@_)">
                  <c:v>231.69000000000005</c:v>
                </c:pt>
                <c:pt idx="22" formatCode="_(&quot;$&quot;* #,##0.00_);_(&quot;$&quot;* \(#,##0.00\);_(&quot;$&quot;* &quot;-&quot;??_);_(@_)">
                  <c:v>-621.17000000000007</c:v>
                </c:pt>
                <c:pt idx="23" formatCode="_(&quot;$&quot;* #,##0.00_);_(&quot;$&quot;* \(#,##0.00\);_(&quot;$&quot;* &quot;-&quot;??_);_(@_)">
                  <c:v>-4422.59</c:v>
                </c:pt>
                <c:pt idx="24" formatCode="_(&quot;$&quot;* #,##0.00_);_(&quot;$&quot;* \(#,##0.00\);_(&quot;$&quot;* &quot;-&quot;??_);_(@_)">
                  <c:v>3487.0800000000004</c:v>
                </c:pt>
                <c:pt idx="25" formatCode="_(&quot;$&quot;* #,##0.00_);_(&quot;$&quot;* \(#,##0.00\);_(&quot;$&quot;* &quot;-&quot;??_);_(@_)">
                  <c:v>-24.039999999999964</c:v>
                </c:pt>
                <c:pt idx="26" formatCode="_(&quot;$&quot;* #,##0.00_);_(&quot;$&quot;* \(#,##0.00\);_(&quot;$&quot;* &quot;-&quot;??_);_(@_)">
                  <c:v>-196.86999999999989</c:v>
                </c:pt>
                <c:pt idx="27" formatCode="_(&quot;$&quot;* #,##0.00_);_(&quot;$&quot;* \(#,##0.00\);_(&quot;$&quot;* &quot;-&quot;??_);_(@_)">
                  <c:v>-1752.27</c:v>
                </c:pt>
                <c:pt idx="28" formatCode="_(&quot;$&quot;* #,##0.00_);_(&quot;$&quot;* \(#,##0.00\);_(&quot;$&quot;* &quot;-&quot;??_);_(@_)">
                  <c:v>1804.0599999999995</c:v>
                </c:pt>
                <c:pt idx="29" formatCode="_(&quot;$&quot;* #,##0.00_);_(&quot;$&quot;* \(#,##0.00\);_(&quot;$&quot;* &quot;-&quot;??_);_(@_)">
                  <c:v>-329.70999999999958</c:v>
                </c:pt>
                <c:pt idx="30" formatCode="_(&quot;$&quot;* #,##0.00_);_(&quot;$&quot;* \(#,##0.00\);_(&quot;$&quot;* &quot;-&quot;??_);_(@_)">
                  <c:v>126.26999999999998</c:v>
                </c:pt>
                <c:pt idx="31" formatCode="_(&quot;$&quot;* #,##0.00_);_(&quot;$&quot;* \(#,##0.00\);_(&quot;$&quot;* &quot;-&quot;??_);_(@_)">
                  <c:v>-184.48999999999978</c:v>
                </c:pt>
                <c:pt idx="32" formatCode="_(&quot;$&quot;* #,##0.00_);_(&quot;$&quot;* \(#,##0.00\);_(&quot;$&quot;* &quot;-&quot;??_);_(@_)">
                  <c:v>-791.63000000000056</c:v>
                </c:pt>
                <c:pt idx="33" formatCode="_(&quot;$&quot;* #,##0.00_);_(&quot;$&quot;* \(#,##0.00\);_(&quot;$&quot;* &quot;-&quot;??_);_(@_)">
                  <c:v>2284.2800000000002</c:v>
                </c:pt>
                <c:pt idx="34" formatCode="_(&quot;$&quot;* #,##0.00_);_(&quot;$&quot;* \(#,##0.00\);_(&quot;$&quot;* &quot;-&quot;??_);_(@_)">
                  <c:v>1.5599999999999454</c:v>
                </c:pt>
                <c:pt idx="35" formatCode="_(&quot;$&quot;* #,##0.00_);_(&quot;$&quot;* \(#,##0.00\);_(&quot;$&quot;* &quot;-&quot;??_);_(@_)">
                  <c:v>102.35000000000014</c:v>
                </c:pt>
                <c:pt idx="36" formatCode="_(&quot;$&quot;* #,##0.00_);_(&quot;$&quot;* \(#,##0.00\);_(&quot;$&quot;* &quot;-&quot;??_);_(@_)">
                  <c:v>-227.22000000000003</c:v>
                </c:pt>
                <c:pt idx="37" formatCode="_(&quot;$&quot;* #,##0.00_);_(&quot;$&quot;* \(#,##0.00\);_(&quot;$&quot;* &quot;-&quot;??_);_(@_)">
                  <c:v>9.1299999999998818</c:v>
                </c:pt>
                <c:pt idx="38" formatCode="_(&quot;$&quot;* #,##0.00_);_(&quot;$&quot;* \(#,##0.00\);_(&quot;$&quot;* &quot;-&quot;??_);_(@_)">
                  <c:v>-1448.77</c:v>
                </c:pt>
                <c:pt idx="39" formatCode="_(&quot;$&quot;* #,##0.00_);_(&quot;$&quot;* \(#,##0.00\);_(&quot;$&quot;* &quot;-&quot;??_);_(@_)">
                  <c:v>2225.2700000000004</c:v>
                </c:pt>
                <c:pt idx="40" formatCode="_(&quot;$&quot;* #,##0.00_);_(&quot;$&quot;* \(#,##0.00\);_(&quot;$&quot;* &quot;-&quot;??_);_(@_)">
                  <c:v>-853.96</c:v>
                </c:pt>
                <c:pt idx="41" formatCode="_(&quot;$&quot;* #,##0.00_);_(&quot;$&quot;* \(#,##0.00\);_(&quot;$&quot;* &quot;-&quot;??_);_(@_)">
                  <c:v>-988.77</c:v>
                </c:pt>
                <c:pt idx="42" formatCode="_(&quot;$&quot;* #,##0.00_);_(&quot;$&quot;* \(#,##0.00\);_(&quot;$&quot;* &quot;-&quot;??_);_(@_)">
                  <c:v>331.77</c:v>
                </c:pt>
                <c:pt idx="43" formatCode="_(&quot;$&quot;* #,##0.00_);_(&quot;$&quot;* \(#,##0.00\);_(&quot;$&quot;* &quot;-&quot;??_);_(@_)">
                  <c:v>-270.87999999999965</c:v>
                </c:pt>
                <c:pt idx="44" formatCode="_(&quot;$&quot;* #,##0.00_);_(&quot;$&quot;* \(#,##0.00\);_(&quot;$&quot;* &quot;-&quot;??_);_(@_)">
                  <c:v>888.31</c:v>
                </c:pt>
                <c:pt idx="45" formatCode="_(&quot;$&quot;* #,##0.00_);_(&quot;$&quot;* \(#,##0.00\);_(&quot;$&quot;* &quot;-&quot;??_);_(@_)">
                  <c:v>-696.94000000000096</c:v>
                </c:pt>
                <c:pt idx="46" formatCode="_(&quot;$&quot;* #,##0.00_);_(&quot;$&quot;* \(#,##0.00\);_(&quot;$&quot;* &quot;-&quot;??_);_(@_)">
                  <c:v>439.26000000000022</c:v>
                </c:pt>
                <c:pt idx="47" formatCode="_(&quot;$&quot;* #,##0.00_);_(&quot;$&quot;* \(#,##0.00\);_(&quot;$&quot;* &quot;-&quot;??_);_(@_)">
                  <c:v>272.60000000000036</c:v>
                </c:pt>
                <c:pt idx="48" formatCode="_(&quot;$&quot;* #,##0.00_);_(&quot;$&quot;* \(#,##0.00\);_(&quot;$&quot;* &quot;-&quot;??_);_(@_)">
                  <c:v>-318.38000000000011</c:v>
                </c:pt>
                <c:pt idx="49" formatCode="_(&quot;$&quot;* #,##0.00_);_(&quot;$&quot;* \(#,##0.00\);_(&quot;$&quot;* &quot;-&quot;??_);_(@_)">
                  <c:v>773.4699999999998</c:v>
                </c:pt>
                <c:pt idx="50" formatCode="_(&quot;$&quot;* #,##0.00_);_(&quot;$&quot;* \(#,##0.00\);_(&quot;$&quot;* &quot;-&quot;??_);_(@_)">
                  <c:v>47.019999999999982</c:v>
                </c:pt>
                <c:pt idx="51" formatCode="_(&quot;$&quot;* #,##0.00_);_(&quot;$&quot;* \(#,##0.00\);_(&quot;$&quot;* &quot;-&quot;??_);_(@_)">
                  <c:v>-816.94999999999982</c:v>
                </c:pt>
                <c:pt idx="52" formatCode="_(&quot;$&quot;* #,##0.00_);_(&quot;$&quot;* \(#,##0.00\);_(&quot;$&quot;* &quot;-&quot;??_);_(@_)">
                  <c:v>-72.519999999999982</c:v>
                </c:pt>
                <c:pt idx="53" formatCode="_(&quot;$&quot;* #,##0.00_);_(&quot;$&quot;* \(#,##0.00\);_(&quot;$&quot;* &quot;-&quot;??_);_(@_)">
                  <c:v>140.86999999999989</c:v>
                </c:pt>
                <c:pt idx="54" formatCode="_(&quot;$&quot;* #,##0.00_);_(&quot;$&quot;* \(#,##0.00\);_(&quot;$&quot;* &quot;-&quot;??_);_(@_)">
                  <c:v>-272.03999999999951</c:v>
                </c:pt>
                <c:pt idx="55" formatCode="_(&quot;$&quot;* #,##0.00_);_(&quot;$&quot;* \(#,##0.00\);_(&quot;$&quot;* &quot;-&quot;??_);_(@_)">
                  <c:v>301.17999999999984</c:v>
                </c:pt>
                <c:pt idx="56" formatCode="_(&quot;$&quot;* #,##0.00_);_(&quot;$&quot;* \(#,##0.00\);_(&quot;$&quot;* &quot;-&quot;??_);_(@_)">
                  <c:v>382.36000000000013</c:v>
                </c:pt>
                <c:pt idx="57" formatCode="_(&quot;$&quot;* #,##0.00_);_(&quot;$&quot;* \(#,##0.00\);_(&quot;$&quot;* &quot;-&quot;??_);_(@_)">
                  <c:v>406.58999999999969</c:v>
                </c:pt>
                <c:pt idx="58" formatCode="_(&quot;$&quot;* #,##0.00_);_(&quot;$&quot;* \(#,##0.00\);_(&quot;$&quot;* &quot;-&quot;??_);_(@_)">
                  <c:v>-300.10999999999967</c:v>
                </c:pt>
                <c:pt idx="59" formatCode="_(&quot;$&quot;* #,##0.00_);_(&quot;$&quot;* \(#,##0.00\);_(&quot;$&quot;* &quot;-&quot;??_);_(@_)">
                  <c:v>-107.19000000000005</c:v>
                </c:pt>
                <c:pt idx="60" formatCode="_(&quot;$&quot;* #,##0.00_);_(&quot;$&quot;* \(#,##0.00\);_(&quot;$&quot;* &quot;-&quot;??_);_(@_)">
                  <c:v>-491.68000000000029</c:v>
                </c:pt>
                <c:pt idx="61" formatCode="_(&quot;$&quot;* #,##0.00_);_(&quot;$&quot;* \(#,##0.00\);_(&quot;$&quot;* &quot;-&quot;??_);_(@_)">
                  <c:v>423.63000000000011</c:v>
                </c:pt>
                <c:pt idx="62" formatCode="_(&quot;$&quot;* #,##0.00_);_(&quot;$&quot;* \(#,##0.00\);_(&quot;$&quot;* &quot;-&quot;??_);_(@_)">
                  <c:v>-337.38999999999987</c:v>
                </c:pt>
                <c:pt idx="63" formatCode="_(&quot;$&quot;* #,##0.00_);_(&quot;$&quot;* \(#,##0.00\);_(&quot;$&quot;* &quot;-&quot;??_);_(@_)">
                  <c:v>1736.1999999999989</c:v>
                </c:pt>
                <c:pt idx="64" formatCode="_(&quot;$&quot;* #,##0.00_);_(&quot;$&quot;* \(#,##0.00\);_(&quot;$&quot;* &quot;-&quot;??_);_(@_)">
                  <c:v>-574.02999999999929</c:v>
                </c:pt>
                <c:pt idx="65" formatCode="_(&quot;$&quot;* #,##0.00_);_(&quot;$&quot;* \(#,##0.00\);_(&quot;$&quot;* &quot;-&quot;??_);_(@_)">
                  <c:v>-189.90999999999894</c:v>
                </c:pt>
                <c:pt idx="66" formatCode="_(&quot;$&quot;* #,##0.00_);_(&quot;$&quot;* \(#,##0.00\);_(&quot;$&quot;* &quot;-&quot;??_);_(@_)">
                  <c:v>-228.79000000000087</c:v>
                </c:pt>
                <c:pt idx="67" formatCode="_(&quot;$&quot;* #,##0.00_);_(&quot;$&quot;* \(#,##0.00\);_(&quot;$&quot;* &quot;-&quot;??_);_(@_)">
                  <c:v>-595.10000000000036</c:v>
                </c:pt>
                <c:pt idx="68" formatCode="_(&quot;$&quot;* #,##0.00_);_(&quot;$&quot;* \(#,##0.00\);_(&quot;$&quot;* &quot;-&quot;??_);_(@_)">
                  <c:v>302.02000000000044</c:v>
                </c:pt>
                <c:pt idx="69" formatCode="_(&quot;$&quot;* #,##0.00_);_(&quot;$&quot;* \(#,##0.00\);_(&quot;$&quot;* &quot;-&quot;??_);_(@_)">
                  <c:v>-58.850000000000364</c:v>
                </c:pt>
                <c:pt idx="70" formatCode="_(&quot;$&quot;* #,##0.00_);_(&quot;$&quot;* \(#,##0.00\);_(&quot;$&quot;* &quot;-&quot;??_);_(@_)">
                  <c:v>-414.64999999999964</c:v>
                </c:pt>
                <c:pt idx="71" formatCode="_(&quot;$&quot;* #,##0.00_);_(&quot;$&quot;* \(#,##0.00\);_(&quot;$&quot;* &quot;-&quot;??_);_(@_)">
                  <c:v>0</c:v>
                </c:pt>
                <c:pt idx="72" formatCode="_(&quot;$&quot;* #,##0.00_);_(&quot;$&quot;* \(#,##0.00\);_(&quot;$&quot;* &quot;-&quot;??_);_(@_)">
                  <c:v>0</c:v>
                </c:pt>
                <c:pt idx="73" formatCode="_(&quot;$&quot;* #,##0.00_);_(&quot;$&quot;* \(#,##0.00\);_(&quot;$&quot;* &quot;-&quot;??_);_(@_)">
                  <c:v>0</c:v>
                </c:pt>
                <c:pt idx="74" formatCode="_(&quot;$&quot;* #,##0.00_);_(&quot;$&quot;* \(#,##0.00\);_(&quot;$&quot;* &quot;-&quot;??_);_(@_)">
                  <c:v>0</c:v>
                </c:pt>
                <c:pt idx="75" formatCode="_(&quot;$&quot;* #,##0.00_);_(&quot;$&quot;* \(#,##0.00\);_(&quot;$&quot;* &quot;-&quot;??_);_(@_)">
                  <c:v>0</c:v>
                </c:pt>
                <c:pt idx="76" formatCode="_(&quot;$&quot;* #,##0.00_);_(&quot;$&quot;* \(#,##0.00\);_(&quot;$&quot;* &quot;-&quot;??_);_(@_)">
                  <c:v>0</c:v>
                </c:pt>
                <c:pt idx="77" formatCode="_(&quot;$&quot;* #,##0.00_);_(&quot;$&quot;* \(#,##0.00\);_(&quot;$&quot;* &quot;-&quot;??_);_(@_)">
                  <c:v>0</c:v>
                </c:pt>
                <c:pt idx="78" formatCode="_(&quot;$&quot;* #,##0.00_);_(&quot;$&quot;* \(#,##0.00\);_(&quot;$&quot;* &quot;-&quot;??_);_(@_)">
                  <c:v>0</c:v>
                </c:pt>
                <c:pt idx="79" formatCode="_(&quot;$&quot;* #,##0.00_);_(&quot;$&quot;* \(#,##0.00\);_(&quot;$&quot;* &quot;-&quot;??_);_(@_)">
                  <c:v>0</c:v>
                </c:pt>
                <c:pt idx="80" formatCode="_(&quot;$&quot;* #,##0.00_);_(&quot;$&quot;* \(#,##0.00\);_(&quot;$&quot;* &quot;-&quot;??_);_(@_)">
                  <c:v>0</c:v>
                </c:pt>
                <c:pt idx="81" formatCode="_(&quot;$&quot;* #,##0.00_);_(&quot;$&quot;* \(#,##0.00\);_(&quot;$&quot;* &quot;-&quot;??_);_(@_)">
                  <c:v>0</c:v>
                </c:pt>
                <c:pt idx="82" formatCode="_(&quot;$&quot;* #,##0.00_);_(&quot;$&quot;* \(#,##0.00\);_(&quot;$&quot;* &quot;-&quot;??_);_(@_)">
                  <c:v>0</c:v>
                </c:pt>
                <c:pt idx="83" formatCode="_(&quot;$&quot;* #,##0.00_);_(&quot;$&quot;* \(#,##0.00\);_(&quot;$&quot;* &quot;-&quot;??_);_(@_)">
                  <c:v>0</c:v>
                </c:pt>
                <c:pt idx="84" formatCode="_(&quot;$&quot;* #,##0.00_);_(&quot;$&quot;* \(#,##0.00\);_(&quot;$&quot;* &quot;-&quot;??_);_(@_)">
                  <c:v>0</c:v>
                </c:pt>
                <c:pt idx="85" formatCode="_(&quot;$&quot;* #,##0.00_);_(&quot;$&quot;* \(#,##0.00\);_(&quot;$&quot;* &quot;-&quot;??_);_(@_)">
                  <c:v>0</c:v>
                </c:pt>
                <c:pt idx="86" formatCode="_(&quot;$&quot;* #,##0.00_);_(&quot;$&quot;* \(#,##0.00\);_(&quot;$&quot;* &quot;-&quot;??_);_(@_)">
                  <c:v>0</c:v>
                </c:pt>
                <c:pt idx="87" formatCode="_(&quot;$&quot;* #,##0.00_);_(&quot;$&quot;* \(#,##0.00\);_(&quot;$&quot;* &quot;-&quot;??_);_(@_)">
                  <c:v>0</c:v>
                </c:pt>
                <c:pt idx="88" formatCode="_(&quot;$&quot;* #,##0.00_);_(&quot;$&quot;* \(#,##0.00\);_(&quot;$&quot;* &quot;-&quot;??_);_(@_)">
                  <c:v>0</c:v>
                </c:pt>
                <c:pt idx="89" formatCode="_(&quot;$&quot;* #,##0.00_);_(&quot;$&quot;* \(#,##0.00\);_(&quot;$&quot;* &quot;-&quot;??_);_(@_)">
                  <c:v>0</c:v>
                </c:pt>
                <c:pt idx="90" formatCode="_(&quot;$&quot;* #,##0.00_);_(&quot;$&quot;* \(#,##0.00\);_(&quot;$&quot;* &quot;-&quot;??_);_(@_)">
                  <c:v>0</c:v>
                </c:pt>
                <c:pt idx="91" formatCode="_(&quot;$&quot;* #,##0.00_);_(&quot;$&quot;* \(#,##0.00\);_(&quot;$&quot;* &quot;-&quot;??_);_(@_)">
                  <c:v>0</c:v>
                </c:pt>
                <c:pt idx="92" formatCode="_(&quot;$&quot;* #,##0.00_);_(&quot;$&quot;* \(#,##0.00\);_(&quot;$&quot;* &quot;-&quot;??_);_(@_)">
                  <c:v>0</c:v>
                </c:pt>
                <c:pt idx="93" formatCode="_(&quot;$&quot;* #,##0.00_);_(&quot;$&quot;* \(#,##0.00\);_(&quot;$&quot;* &quot;-&quot;??_);_(@_)">
                  <c:v>0</c:v>
                </c:pt>
                <c:pt idx="94" formatCode="_(&quot;$&quot;* #,##0.00_);_(&quot;$&quot;* \(#,##0.00\);_(&quot;$&quot;* &quot;-&quot;??_);_(@_)">
                  <c:v>0</c:v>
                </c:pt>
                <c:pt idx="95" formatCode="_(&quot;$&quot;* #,##0.00_);_(&quot;$&quot;* \(#,##0.00\);_(&quot;$&quot;* &quot;-&quot;??_);_(@_)">
                  <c:v>0</c:v>
                </c:pt>
                <c:pt idx="96" formatCode="_(&quot;$&quot;* #,##0.00_);_(&quot;$&quot;* \(#,##0.00\);_(&quot;$&quot;* &quot;-&quot;??_);_(@_)">
                  <c:v>0</c:v>
                </c:pt>
                <c:pt idx="97" formatCode="_(&quot;$&quot;* #,##0.00_);_(&quot;$&quot;* \(#,##0.00\);_(&quot;$&quot;* &quot;-&quot;??_);_(@_)">
                  <c:v>0</c:v>
                </c:pt>
                <c:pt idx="98" formatCode="_(&quot;$&quot;* #,##0.00_);_(&quot;$&quot;* \(#,##0.00\);_(&quot;$&quot;* &quot;-&quot;??_);_(@_)">
                  <c:v>0</c:v>
                </c:pt>
                <c:pt idx="99" formatCode="_(&quot;$&quot;* #,##0.00_);_(&quot;$&quot;* \(#,##0.00\);_(&quot;$&quot;* &quot;-&quot;??_);_(@_)">
                  <c:v>0</c:v>
                </c:pt>
                <c:pt idx="100" formatCode="_(&quot;$&quot;* #,##0.00_);_(&quot;$&quot;* \(#,##0.00\);_(&quot;$&quot;* &quot;-&quot;??_);_(@_)">
                  <c:v>0</c:v>
                </c:pt>
                <c:pt idx="101" formatCode="_(&quot;$&quot;* #,##0.00_);_(&quot;$&quot;* \(#,##0.00\);_(&quot;$&quot;* &quot;-&quot;??_);_(@_)">
                  <c:v>0</c:v>
                </c:pt>
                <c:pt idx="102" formatCode="_(&quot;$&quot;* #,##0.00_);_(&quot;$&quot;* \(#,##0.00\);_(&quot;$&quot;* &quot;-&quot;??_);_(@_)">
                  <c:v>0</c:v>
                </c:pt>
                <c:pt idx="103" formatCode="_(&quot;$&quot;* #,##0.00_);_(&quot;$&quot;* \(#,##0.00\);_(&quot;$&quot;* &quot;-&quot;??_);_(@_)">
                  <c:v>0</c:v>
                </c:pt>
                <c:pt idx="104" formatCode="_(&quot;$&quot;* #,##0.00_);_(&quot;$&quot;* \(#,##0.00\);_(&quot;$&quot;* &quot;-&quot;??_);_(@_)">
                  <c:v>0</c:v>
                </c:pt>
                <c:pt idx="105" formatCode="_(&quot;$&quot;* #,##0.00_);_(&quot;$&quot;* \(#,##0.00\);_(&quot;$&quot;* &quot;-&quot;??_);_(@_)">
                  <c:v>0</c:v>
                </c:pt>
                <c:pt idx="106" formatCode="_(&quot;$&quot;* #,##0.00_);_(&quot;$&quot;* \(#,##0.00\);_(&quot;$&quot;* &quot;-&quot;??_);_(@_)">
                  <c:v>0</c:v>
                </c:pt>
                <c:pt idx="107" formatCode="_(&quot;$&quot;* #,##0.00_);_(&quot;$&quot;* \(#,##0.00\);_(&quot;$&quot;* &quot;-&quot;??_);_(@_)">
                  <c:v>0</c:v>
                </c:pt>
                <c:pt idx="108" formatCode="_(&quot;$&quot;* #,##0.00_);_(&quot;$&quot;* \(#,##0.00\);_(&quot;$&quot;* &quot;-&quot;??_);_(@_)">
                  <c:v>0</c:v>
                </c:pt>
                <c:pt idx="109" formatCode="_(&quot;$&quot;* #,##0.00_);_(&quot;$&quot;* \(#,##0.00\);_(&quot;$&quot;* &quot;-&quot;??_);_(@_)">
                  <c:v>0</c:v>
                </c:pt>
                <c:pt idx="110" formatCode="_(&quot;$&quot;* #,##0.00_);_(&quot;$&quot;* \(#,##0.00\);_(&quot;$&quot;* &quot;-&quot;??_);_(@_)">
                  <c:v>0</c:v>
                </c:pt>
                <c:pt idx="111" formatCode="_(&quot;$&quot;* #,##0.00_);_(&quot;$&quot;* \(#,##0.00\);_(&quot;$&quot;* &quot;-&quot;??_);_(@_)">
                  <c:v>0</c:v>
                </c:pt>
                <c:pt idx="112" formatCode="_(&quot;$&quot;* #,##0.00_);_(&quot;$&quot;* \(#,##0.00\);_(&quot;$&quot;* &quot;-&quot;??_);_(@_)">
                  <c:v>0</c:v>
                </c:pt>
                <c:pt idx="113" formatCode="_(&quot;$&quot;* #,##0.00_);_(&quot;$&quot;* \(#,##0.00\);_(&quot;$&quot;* &quot;-&quot;??_);_(@_)">
                  <c:v>0</c:v>
                </c:pt>
                <c:pt idx="114" formatCode="_(&quot;$&quot;* #,##0.00_);_(&quot;$&quot;* \(#,##0.00\);_(&quot;$&quot;* &quot;-&quot;??_);_(@_)">
                  <c:v>0</c:v>
                </c:pt>
                <c:pt idx="115" formatCode="_(&quot;$&quot;* #,##0.00_);_(&quot;$&quot;* \(#,##0.00\);_(&quot;$&quot;* &quot;-&quot;??_);_(@_)">
                  <c:v>0</c:v>
                </c:pt>
                <c:pt idx="116" formatCode="_(&quot;$&quot;* #,##0.00_);_(&quot;$&quot;* \(#,##0.00\);_(&quot;$&quot;* &quot;-&quot;??_);_(@_)">
                  <c:v>0</c:v>
                </c:pt>
                <c:pt idx="117" formatCode="_(&quot;$&quot;* #,##0.00_);_(&quot;$&quot;* \(#,##0.00\);_(&quot;$&quot;* &quot;-&quot;??_);_(@_)">
                  <c:v>0</c:v>
                </c:pt>
                <c:pt idx="118" formatCode="_(&quot;$&quot;* #,##0.00_);_(&quot;$&quot;* \(#,##0.00\);_(&quot;$&quot;* &quot;-&quot;??_);_(@_)">
                  <c:v>0</c:v>
                </c:pt>
                <c:pt idx="119" formatCode="_(&quot;$&quot;* #,##0.00_);_(&quot;$&quot;* \(#,##0.00\);_(&quot;$&quot;* &quot;-&quot;??_);_(@_)">
                  <c:v>0</c:v>
                </c:pt>
                <c:pt idx="120" formatCode="_(&quot;$&quot;* #,##0.00_);_(&quot;$&quot;* \(#,##0.00\);_(&quot;$&quot;* &quot;-&quot;??_);_(@_)">
                  <c:v>0</c:v>
                </c:pt>
                <c:pt idx="121" formatCode="_(&quot;$&quot;* #,##0.00_);_(&quot;$&quot;* \(#,##0.00\);_(&quot;$&quot;* &quot;-&quot;??_);_(@_)">
                  <c:v>0</c:v>
                </c:pt>
                <c:pt idx="122" formatCode="_(&quot;$&quot;* #,##0.00_);_(&quot;$&quot;* \(#,##0.00\);_(&quot;$&quot;* &quot;-&quot;??_);_(@_)">
                  <c:v>0</c:v>
                </c:pt>
                <c:pt idx="123" formatCode="_(&quot;$&quot;* #,##0.00_);_(&quot;$&quot;* \(#,##0.00\);_(&quot;$&quot;* &quot;-&quot;??_);_(@_)">
                  <c:v>0</c:v>
                </c:pt>
                <c:pt idx="124" formatCode="_(&quot;$&quot;* #,##0.00_);_(&quot;$&quot;* \(#,##0.00\);_(&quot;$&quot;* &quot;-&quot;??_);_(@_)">
                  <c:v>0</c:v>
                </c:pt>
                <c:pt idx="125" formatCode="_(&quot;$&quot;* #,##0.00_);_(&quot;$&quot;* \(#,##0.00\);_(&quot;$&quot;* &quot;-&quot;??_);_(@_)">
                  <c:v>0</c:v>
                </c:pt>
                <c:pt idx="126" formatCode="_(&quot;$&quot;* #,##0.00_);_(&quot;$&quot;* \(#,##0.00\);_(&quot;$&quot;* &quot;-&quot;??_);_(@_)">
                  <c:v>0</c:v>
                </c:pt>
                <c:pt idx="127" formatCode="_(&quot;$&quot;* #,##0.00_);_(&quot;$&quot;* \(#,##0.00\);_(&quot;$&quot;* &quot;-&quot;??_);_(@_)">
                  <c:v>0</c:v>
                </c:pt>
              </c:numCache>
            </c:numRef>
          </c:val>
          <c:smooth val="0"/>
          <c:extLst xmlns:c15="http://schemas.microsoft.com/office/drawing/2012/chart">
            <c:ext xmlns:c16="http://schemas.microsoft.com/office/drawing/2014/chart" uri="{C3380CC4-5D6E-409C-BE32-E72D297353CC}">
              <c16:uniqueId val="{00000000-E504-47AC-B419-DD82F47EF8DA}"/>
            </c:ext>
          </c:extLst>
        </c:ser>
        <c:ser>
          <c:idx val="1"/>
          <c:order val="1"/>
          <c:tx>
            <c:v>Actual</c:v>
          </c:tx>
          <c:spPr>
            <a:ln w="38100" cap="rnd">
              <a:gradFill>
                <a:gsLst>
                  <a:gs pos="0">
                    <a:srgbClr val="00B0F0"/>
                  </a:gs>
                  <a:gs pos="50000">
                    <a:schemeClr val="accent4">
                      <a:alpha val="90000"/>
                      <a:lumMod val="15000"/>
                      <a:lumOff val="85000"/>
                    </a:schemeClr>
                  </a:gs>
                  <a:gs pos="100000">
                    <a:srgbClr val="FE4F00"/>
                  </a:gs>
                </a:gsLst>
                <a:lin ang="5400000" scaled="1"/>
              </a:gradFill>
              <a:round/>
            </a:ln>
            <a:effectLst>
              <a:glow rad="63500">
                <a:schemeClr val="accent3">
                  <a:satMod val="175000"/>
                  <a:alpha val="40000"/>
                </a:scheme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Analysis'!$AO$5:$AO$132</c:f>
              <c:numCache>
                <c:formatCode>General</c:formatCode>
                <c:ptCount val="128"/>
                <c:pt idx="2" formatCode="_(&quot;$&quot;* #,##0.00_);_(&quot;$&quot;* \(#,##0.00\);_(&quot;$&quot;* &quot;-&quot;??_);_(@_)">
                  <c:v>513.74999999999989</c:v>
                </c:pt>
                <c:pt idx="3" formatCode="_(&quot;$&quot;* #,##0.00_);_(&quot;$&quot;* \(#,##0.00\);_(&quot;$&quot;* &quot;-&quot;??_);_(@_)">
                  <c:v>-855.9</c:v>
                </c:pt>
                <c:pt idx="4" formatCode="_(&quot;$&quot;* #,##0.00_);_(&quot;$&quot;* \(#,##0.00\);_(&quot;$&quot;* &quot;-&quot;??_);_(@_)">
                  <c:v>3977.41</c:v>
                </c:pt>
                <c:pt idx="5" formatCode="_(&quot;$&quot;* #,##0.00_);_(&quot;$&quot;* \(#,##0.00\);_(&quot;$&quot;* &quot;-&quot;??_);_(@_)">
                  <c:v>-3558.54</c:v>
                </c:pt>
                <c:pt idx="6" formatCode="_(&quot;$&quot;* #,##0.00_);_(&quot;$&quot;* \(#,##0.00\);_(&quot;$&quot;* &quot;-&quot;??_);_(@_)">
                  <c:v>-337.00999999999976</c:v>
                </c:pt>
                <c:pt idx="7" formatCode="_(&quot;$&quot;* #,##0.00_);_(&quot;$&quot;* \(#,##0.00\);_(&quot;$&quot;* &quot;-&quot;??_);_(@_)">
                  <c:v>-643.00000000000045</c:v>
                </c:pt>
                <c:pt idx="8" formatCode="_(&quot;$&quot;* #,##0.00_);_(&quot;$&quot;* \(#,##0.00\);_(&quot;$&quot;* &quot;-&quot;??_);_(@_)">
                  <c:v>371.10000000000036</c:v>
                </c:pt>
                <c:pt idx="9" formatCode="_(&quot;$&quot;* #,##0.00_);_(&quot;$&quot;* \(#,##0.00\);_(&quot;$&quot;* &quot;-&quot;??_);_(@_)">
                  <c:v>-256.34000000000026</c:v>
                </c:pt>
                <c:pt idx="10" formatCode="_(&quot;$&quot;* #,##0.00_);_(&quot;$&quot;* \(#,##0.00\);_(&quot;$&quot;* &quot;-&quot;??_);_(@_)">
                  <c:v>1304.73</c:v>
                </c:pt>
                <c:pt idx="11" formatCode="_(&quot;$&quot;* #,##0.00_);_(&quot;$&quot;* \(#,##0.00\);_(&quot;$&quot;* &quot;-&quot;??_);_(@_)">
                  <c:v>-947.96</c:v>
                </c:pt>
                <c:pt idx="12" formatCode="_(&quot;$&quot;* #,##0.00_);_(&quot;$&quot;* \(#,##0.00\);_(&quot;$&quot;* &quot;-&quot;??_);_(@_)">
                  <c:v>3139.8100000000004</c:v>
                </c:pt>
                <c:pt idx="13" formatCode="_(&quot;$&quot;* #,##0.00_);_(&quot;$&quot;* \(#,##0.00\);_(&quot;$&quot;* &quot;-&quot;??_);_(@_)">
                  <c:v>-1504.7500000000009</c:v>
                </c:pt>
                <c:pt idx="14" formatCode="_(&quot;$&quot;* #,##0.00_);_(&quot;$&quot;* \(#,##0.00\);_(&quot;$&quot;* &quot;-&quot;??_);_(@_)">
                  <c:v>969.72000000000025</c:v>
                </c:pt>
                <c:pt idx="15" formatCode="_(&quot;$&quot;* #,##0.00_);_(&quot;$&quot;* \(#,##0.00\);_(&quot;$&quot;* &quot;-&quot;??_);_(@_)">
                  <c:v>-1193.389999999999</c:v>
                </c:pt>
                <c:pt idx="16" formatCode="_(&quot;$&quot;* #,##0.00_);_(&quot;$&quot;* \(#,##0.00\);_(&quot;$&quot;* &quot;-&quot;??_);_(@_)">
                  <c:v>251.699999999998</c:v>
                </c:pt>
                <c:pt idx="17" formatCode="_(&quot;$&quot;* #,##0.00_);_(&quot;$&quot;* \(#,##0.00\);_(&quot;$&quot;* &quot;-&quot;??_);_(@_)">
                  <c:v>20.170000000001892</c:v>
                </c:pt>
                <c:pt idx="18" formatCode="_(&quot;$&quot;* #,##0.00_);_(&quot;$&quot;* \(#,##0.00\);_(&quot;$&quot;* &quot;-&quot;??_);_(@_)">
                  <c:v>-364.42000000000007</c:v>
                </c:pt>
                <c:pt idx="19" formatCode="_(&quot;$&quot;* #,##0.00_);_(&quot;$&quot;* \(#,##0.00\);_(&quot;$&quot;* &quot;-&quot;??_);_(@_)">
                  <c:v>1393.9099999999999</c:v>
                </c:pt>
                <c:pt idx="20" formatCode="_(&quot;$&quot;* #,##0.00_);_(&quot;$&quot;* \(#,##0.00\);_(&quot;$&quot;* &quot;-&quot;??_);_(@_)">
                  <c:v>-1259.590000000002</c:v>
                </c:pt>
                <c:pt idx="21" formatCode="_(&quot;$&quot;* #,##0.00_);_(&quot;$&quot;* \(#,##0.00\);_(&quot;$&quot;* &quot;-&quot;??_);_(@_)">
                  <c:v>260.48000000000138</c:v>
                </c:pt>
                <c:pt idx="22" formatCode="_(&quot;$&quot;* #,##0.00_);_(&quot;$&quot;* \(#,##0.00\);_(&quot;$&quot;* &quot;-&quot;??_);_(@_)">
                  <c:v>-627.67000000000007</c:v>
                </c:pt>
                <c:pt idx="23" formatCode="_(&quot;$&quot;* #,##0.00_);_(&quot;$&quot;* \(#,##0.00\);_(&quot;$&quot;* &quot;-&quot;??_);_(@_)">
                  <c:v>-4474.4399999999987</c:v>
                </c:pt>
                <c:pt idx="24" formatCode="_(&quot;$&quot;* #,##0.00_);_(&quot;$&quot;* \(#,##0.00\);_(&quot;$&quot;* &quot;-&quot;??_);_(@_)">
                  <c:v>3487.869999999999</c:v>
                </c:pt>
                <c:pt idx="25" formatCode="_(&quot;$&quot;* #,##0.00_);_(&quot;$&quot;* \(#,##0.00\);_(&quot;$&quot;* &quot;-&quot;??_);_(@_)">
                  <c:v>-6.0900000000001455</c:v>
                </c:pt>
                <c:pt idx="26" formatCode="_(&quot;$&quot;* #,##0.00_);_(&quot;$&quot;* \(#,##0.00\);_(&quot;$&quot;* &quot;-&quot;??_);_(@_)">
                  <c:v>-145.17000000000007</c:v>
                </c:pt>
                <c:pt idx="27" formatCode="_(&quot;$&quot;* #,##0.00_);_(&quot;$&quot;* \(#,##0.00\);_(&quot;$&quot;* &quot;-&quot;??_);_(@_)">
                  <c:v>-1784.7699999999995</c:v>
                </c:pt>
                <c:pt idx="28" formatCode="_(&quot;$&quot;* #,##0.00_);_(&quot;$&quot;* \(#,##0.00\);_(&quot;$&quot;* &quot;-&quot;??_);_(@_)">
                  <c:v>1815.5299999999997</c:v>
                </c:pt>
                <c:pt idx="29" formatCode="_(&quot;$&quot;* #,##0.00_);_(&quot;$&quot;* \(#,##0.00\);_(&quot;$&quot;* &quot;-&quot;??_);_(@_)">
                  <c:v>-384.64000000000033</c:v>
                </c:pt>
                <c:pt idx="30" formatCode="_(&quot;$&quot;* #,##0.00_);_(&quot;$&quot;* \(#,##0.00\);_(&quot;$&quot;* &quot;-&quot;??_);_(@_)">
                  <c:v>149.34999999999991</c:v>
                </c:pt>
                <c:pt idx="31" formatCode="_(&quot;$&quot;* #,##0.00_);_(&quot;$&quot;* \(#,##0.00\);_(&quot;$&quot;* &quot;-&quot;??_);_(@_)">
                  <c:v>-192.44999999999936</c:v>
                </c:pt>
                <c:pt idx="32" formatCode="_(&quot;$&quot;* #,##0.00_);_(&quot;$&quot;* \(#,##0.00\);_(&quot;$&quot;* &quot;-&quot;??_);_(@_)">
                  <c:v>-716.6700000000003</c:v>
                </c:pt>
                <c:pt idx="33" formatCode="_(&quot;$&quot;* #,##0.00_);_(&quot;$&quot;* \(#,##0.00\);_(&quot;$&quot;* &quot;-&quot;??_);_(@_)">
                  <c:v>2327.4299999999998</c:v>
                </c:pt>
                <c:pt idx="34" formatCode="_(&quot;$&quot;* #,##0.00_);_(&quot;$&quot;* \(#,##0.00\);_(&quot;$&quot;* &quot;-&quot;??_);_(@_)">
                  <c:v>-160.49999999999977</c:v>
                </c:pt>
                <c:pt idx="35" formatCode="_(&quot;$&quot;* #,##0.00_);_(&quot;$&quot;* \(#,##0.00\);_(&quot;$&quot;* &quot;-&quot;??_);_(@_)">
                  <c:v>102.15999999999985</c:v>
                </c:pt>
                <c:pt idx="36" formatCode="_(&quot;$&quot;* #,##0.00_);_(&quot;$&quot;* \(#,##0.00\);_(&quot;$&quot;* &quot;-&quot;??_);_(@_)">
                  <c:v>-160.02999999999975</c:v>
                </c:pt>
                <c:pt idx="37" formatCode="_(&quot;$&quot;* #,##0.00_);_(&quot;$&quot;* \(#,##0.00\);_(&quot;$&quot;* &quot;-&quot;??_);_(@_)">
                  <c:v>-15.850000000000364</c:v>
                </c:pt>
                <c:pt idx="38" formatCode="_(&quot;$&quot;* #,##0.00_);_(&quot;$&quot;* \(#,##0.00\);_(&quot;$&quot;* &quot;-&quot;??_);_(@_)">
                  <c:v>-1428.6199999999997</c:v>
                </c:pt>
                <c:pt idx="39" formatCode="_(&quot;$&quot;* #,##0.00_);_(&quot;$&quot;* \(#,##0.00\);_(&quot;$&quot;* &quot;-&quot;??_);_(@_)">
                  <c:v>2292.5</c:v>
                </c:pt>
                <c:pt idx="40" formatCode="_(&quot;$&quot;* #,##0.00_);_(&quot;$&quot;* \(#,##0.00\);_(&quot;$&quot;* &quot;-&quot;??_);_(@_)">
                  <c:v>-962.61000000000035</c:v>
                </c:pt>
                <c:pt idx="41" formatCode="_(&quot;$&quot;* #,##0.00_);_(&quot;$&quot;* \(#,##0.00\);_(&quot;$&quot;* &quot;-&quot;??_);_(@_)">
                  <c:v>-949.81999999999925</c:v>
                </c:pt>
                <c:pt idx="42" formatCode="_(&quot;$&quot;* #,##0.00_);_(&quot;$&quot;* \(#,##0.00\);_(&quot;$&quot;* &quot;-&quot;??_);_(@_)">
                  <c:v>323.65999999999894</c:v>
                </c:pt>
                <c:pt idx="43" formatCode="_(&quot;$&quot;* #,##0.00_);_(&quot;$&quot;* \(#,##0.00\);_(&quot;$&quot;* &quot;-&quot;??_);_(@_)">
                  <c:v>-233.6599999999994</c:v>
                </c:pt>
                <c:pt idx="44" formatCode="_(&quot;$&quot;* #,##0.00_);_(&quot;$&quot;* \(#,##0.00\);_(&quot;$&quot;* &quot;-&quot;??_);_(@_)">
                  <c:v>913.30730445852896</c:v>
                </c:pt>
                <c:pt idx="45" formatCode="_(&quot;$&quot;* #,##0.00_);_(&quot;$&quot;* \(#,##0.00\);_(&quot;$&quot;* &quot;-&quot;??_);_(@_)">
                  <c:v>-718.59169923831337</c:v>
                </c:pt>
                <c:pt idx="46" formatCode="_(&quot;$&quot;* #,##0.00_);_(&quot;$&quot;* \(#,##0.00\);_(&quot;$&quot;* &quot;-&quot;??_);_(@_)">
                  <c:v>419.79978790295195</c:v>
                </c:pt>
                <c:pt idx="47" formatCode="_(&quot;$&quot;* #,##0.00_);_(&quot;$&quot;* \(#,##0.00\);_(&quot;$&quot;* &quot;-&quot;??_);_(@_)">
                  <c:v>239.070031479421</c:v>
                </c:pt>
                <c:pt idx="48" formatCode="_(&quot;$&quot;* #,##0.00_);_(&quot;$&quot;* \(#,##0.00\);_(&quot;$&quot;* &quot;-&quot;??_);_(@_)">
                  <c:v>-246.15139757016345</c:v>
                </c:pt>
                <c:pt idx="49" formatCode="_(&quot;$&quot;* #,##0.00_);_(&quot;$&quot;* \(#,##0.00\);_(&quot;$&quot;* &quot;-&quot;??_);_(@_)">
                  <c:v>774.77043757098045</c:v>
                </c:pt>
                <c:pt idx="50" formatCode="_(&quot;$&quot;* #,##0.00_);_(&quot;$&quot;* \(#,##0.00\);_(&quot;$&quot;* &quot;-&quot;??_);_(@_)">
                  <c:v>-45.032349033657738</c:v>
                </c:pt>
                <c:pt idx="51" formatCode="_(&quot;$&quot;* #,##0.00_);_(&quot;$&quot;* \(#,##0.00\);_(&quot;$&quot;* &quot;-&quot;??_);_(@_)">
                  <c:v>-816.51430546910478</c:v>
                </c:pt>
                <c:pt idx="52" formatCode="_(&quot;$&quot;* #,##0.00_);_(&quot;$&quot;* \(#,##0.00\);_(&quot;$&quot;* &quot;-&quot;??_);_(@_)">
                  <c:v>193.53298099152516</c:v>
                </c:pt>
                <c:pt idx="53" formatCode="_(&quot;$&quot;* #,##0.00_);_(&quot;$&quot;* \(#,##0.00\);_(&quot;$&quot;* &quot;-&quot;??_);_(@_)">
                  <c:v>4.0783363704622388</c:v>
                </c:pt>
                <c:pt idx="54" formatCode="_(&quot;$&quot;* #,##0.00_);_(&quot;$&quot;* \(#,##0.00\);_(&quot;$&quot;* &quot;-&quot;??_);_(@_)">
                  <c:v>-412.42784884393222</c:v>
                </c:pt>
                <c:pt idx="55" formatCode="_(&quot;$&quot;* #,##0.00_);_(&quot;$&quot;* \(#,##0.00\);_(&quot;$&quot;* &quot;-&quot;??_);_(@_)">
                  <c:v>507.90814714296448</c:v>
                </c:pt>
                <c:pt idx="56" formatCode="_(&quot;$&quot;* #,##0.00_);_(&quot;$&quot;* \(#,##0.00\);_(&quot;$&quot;* &quot;-&quot;??_);_(@_)">
                  <c:v>286.59076517690301</c:v>
                </c:pt>
                <c:pt idx="57" formatCode="_(&quot;$&quot;* #,##0.00_);_(&quot;$&quot;* \(#,##0.00\);_(&quot;$&quot;* &quot;-&quot;??_);_(@_)">
                  <c:v>277.34829020126108</c:v>
                </c:pt>
                <c:pt idx="58" formatCode="_(&quot;$&quot;* #,##0.00_);_(&quot;$&quot;* \(#,##0.00\);_(&quot;$&quot;* &quot;-&quot;??_);_(@_)">
                  <c:v>-402.02165591667745</c:v>
                </c:pt>
                <c:pt idx="59" formatCode="_(&quot;$&quot;* #,##0.00_);_(&quot;$&quot;* \(#,##0.00\);_(&quot;$&quot;* &quot;-&quot;??_);_(@_)">
                  <c:v>51.050644957548684</c:v>
                </c:pt>
                <c:pt idx="60" formatCode="_(&quot;$&quot;* #,##0.00_);_(&quot;$&quot;* \(#,##0.00\);_(&quot;$&quot;* &quot;-&quot;??_);_(@_)">
                  <c:v>-1.5316115392752181</c:v>
                </c:pt>
                <c:pt idx="61" formatCode="_(&quot;$&quot;* #,##0.00_);_(&quot;$&quot;* \(#,##0.00\);_(&quot;$&quot;* &quot;-&quot;??_);_(@_)">
                  <c:v>373.5024386496716</c:v>
                </c:pt>
                <c:pt idx="62" formatCode="_(&quot;$&quot;* #,##0.00_);_(&quot;$&quot;* \(#,##0.00\);_(&quot;$&quot;* &quot;-&quot;??_);_(@_)">
                  <c:v>-544.14988008131058</c:v>
                </c:pt>
                <c:pt idx="63" formatCode="_(&quot;$&quot;* #,##0.00_);_(&quot;$&quot;* \(#,##0.00\);_(&quot;$&quot;* &quot;-&quot;??_);_(@_)">
                  <c:v>1517.4902977883321</c:v>
                </c:pt>
                <c:pt idx="64" formatCode="_(&quot;$&quot;* #,##0.00_);_(&quot;$&quot;* \(#,##0.00\);_(&quot;$&quot;* &quot;-&quot;??_);_(@_)">
                  <c:v>105.34968145065068</c:v>
                </c:pt>
                <c:pt idx="65" formatCode="_(&quot;$&quot;* #,##0.00_);_(&quot;$&quot;* \(#,##0.00\);_(&quot;$&quot;* &quot;-&quot;??_);_(@_)">
                  <c:v>30.553276879720215</c:v>
                </c:pt>
                <c:pt idx="66" formatCode="_(&quot;$&quot;* #,##0.00_);_(&quot;$&quot;* \(#,##0.00\);_(&quot;$&quot;* &quot;-&quot;??_);_(@_)">
                  <c:v>-2145.003824784626</c:v>
                </c:pt>
                <c:pt idx="67" formatCode="_(&quot;$&quot;* #,##0.00_);_(&quot;$&quot;* \(#,##0.00\);_(&quot;$&quot;* &quot;-&quot;??_);_(@_)">
                  <c:v>525.92429974505285</c:v>
                </c:pt>
                <c:pt idx="68" formatCode="_(&quot;$&quot;* #,##0.00_);_(&quot;$&quot;* \(#,##0.00\);_(&quot;$&quot;* &quot;-&quot;??_);_(@_)">
                  <c:v>671.75166738420194</c:v>
                </c:pt>
                <c:pt idx="69" formatCode="_(&quot;$&quot;* #,##0.00_);_(&quot;$&quot;* \(#,##0.00\);_(&quot;$&quot;* &quot;-&quot;??_);_(@_)">
                  <c:v>-2315.4971483011614</c:v>
                </c:pt>
                <c:pt idx="70" formatCode="_(&quot;$&quot;* #,##0.00_);_(&quot;$&quot;* \(#,##0.00\);_(&quot;$&quot;* &quot;-&quot;??_);_(@_)">
                  <c:v>1384.2233326280457</c:v>
                </c:pt>
                <c:pt idx="71" formatCode="_(&quot;$&quot;* #,##0.00_);_(&quot;$&quot;* \(#,##0.00\);_(&quot;$&quot;* &quot;-&quot;??_);_(@_)">
                  <c:v>0</c:v>
                </c:pt>
                <c:pt idx="72" formatCode="_(&quot;$&quot;* #,##0.00_);_(&quot;$&quot;* \(#,##0.00\);_(&quot;$&quot;* &quot;-&quot;??_);_(@_)">
                  <c:v>0</c:v>
                </c:pt>
                <c:pt idx="73" formatCode="_(&quot;$&quot;* #,##0.00_);_(&quot;$&quot;* \(#,##0.00\);_(&quot;$&quot;* &quot;-&quot;??_);_(@_)">
                  <c:v>0</c:v>
                </c:pt>
                <c:pt idx="74" formatCode="_(&quot;$&quot;* #,##0.00_);_(&quot;$&quot;* \(#,##0.00\);_(&quot;$&quot;* &quot;-&quot;??_);_(@_)">
                  <c:v>0</c:v>
                </c:pt>
                <c:pt idx="75" formatCode="_(&quot;$&quot;* #,##0.00_);_(&quot;$&quot;* \(#,##0.00\);_(&quot;$&quot;* &quot;-&quot;??_);_(@_)">
                  <c:v>0</c:v>
                </c:pt>
                <c:pt idx="76" formatCode="_(&quot;$&quot;* #,##0.00_);_(&quot;$&quot;* \(#,##0.00\);_(&quot;$&quot;* &quot;-&quot;??_);_(@_)">
                  <c:v>0</c:v>
                </c:pt>
                <c:pt idx="77" formatCode="_(&quot;$&quot;* #,##0.00_);_(&quot;$&quot;* \(#,##0.00\);_(&quot;$&quot;* &quot;-&quot;??_);_(@_)">
                  <c:v>0</c:v>
                </c:pt>
                <c:pt idx="78" formatCode="_(&quot;$&quot;* #,##0.00_);_(&quot;$&quot;* \(#,##0.00\);_(&quot;$&quot;* &quot;-&quot;??_);_(@_)">
                  <c:v>0</c:v>
                </c:pt>
                <c:pt idx="79" formatCode="_(&quot;$&quot;* #,##0.00_);_(&quot;$&quot;* \(#,##0.00\);_(&quot;$&quot;* &quot;-&quot;??_);_(@_)">
                  <c:v>0</c:v>
                </c:pt>
                <c:pt idx="80" formatCode="_(&quot;$&quot;* #,##0.00_);_(&quot;$&quot;* \(#,##0.00\);_(&quot;$&quot;* &quot;-&quot;??_);_(@_)">
                  <c:v>0</c:v>
                </c:pt>
                <c:pt idx="81" formatCode="_(&quot;$&quot;* #,##0.00_);_(&quot;$&quot;* \(#,##0.00\);_(&quot;$&quot;* &quot;-&quot;??_);_(@_)">
                  <c:v>0</c:v>
                </c:pt>
                <c:pt idx="82" formatCode="_(&quot;$&quot;* #,##0.00_);_(&quot;$&quot;* \(#,##0.00\);_(&quot;$&quot;* &quot;-&quot;??_);_(@_)">
                  <c:v>0</c:v>
                </c:pt>
                <c:pt idx="83" formatCode="_(&quot;$&quot;* #,##0.00_);_(&quot;$&quot;* \(#,##0.00\);_(&quot;$&quot;* &quot;-&quot;??_);_(@_)">
                  <c:v>0</c:v>
                </c:pt>
                <c:pt idx="84" formatCode="_(&quot;$&quot;* #,##0.00_);_(&quot;$&quot;* \(#,##0.00\);_(&quot;$&quot;* &quot;-&quot;??_);_(@_)">
                  <c:v>0</c:v>
                </c:pt>
                <c:pt idx="85" formatCode="_(&quot;$&quot;* #,##0.00_);_(&quot;$&quot;* \(#,##0.00\);_(&quot;$&quot;* &quot;-&quot;??_);_(@_)">
                  <c:v>0</c:v>
                </c:pt>
                <c:pt idx="86" formatCode="_(&quot;$&quot;* #,##0.00_);_(&quot;$&quot;* \(#,##0.00\);_(&quot;$&quot;* &quot;-&quot;??_);_(@_)">
                  <c:v>0</c:v>
                </c:pt>
                <c:pt idx="87" formatCode="_(&quot;$&quot;* #,##0.00_);_(&quot;$&quot;* \(#,##0.00\);_(&quot;$&quot;* &quot;-&quot;??_);_(@_)">
                  <c:v>0</c:v>
                </c:pt>
                <c:pt idx="88" formatCode="_(&quot;$&quot;* #,##0.00_);_(&quot;$&quot;* \(#,##0.00\);_(&quot;$&quot;* &quot;-&quot;??_);_(@_)">
                  <c:v>0</c:v>
                </c:pt>
                <c:pt idx="89" formatCode="_(&quot;$&quot;* #,##0.00_);_(&quot;$&quot;* \(#,##0.00\);_(&quot;$&quot;* &quot;-&quot;??_);_(@_)">
                  <c:v>0</c:v>
                </c:pt>
                <c:pt idx="90" formatCode="_(&quot;$&quot;* #,##0.00_);_(&quot;$&quot;* \(#,##0.00\);_(&quot;$&quot;* &quot;-&quot;??_);_(@_)">
                  <c:v>0</c:v>
                </c:pt>
                <c:pt idx="91" formatCode="_(&quot;$&quot;* #,##0.00_);_(&quot;$&quot;* \(#,##0.00\);_(&quot;$&quot;* &quot;-&quot;??_);_(@_)">
                  <c:v>0</c:v>
                </c:pt>
                <c:pt idx="92" formatCode="_(&quot;$&quot;* #,##0.00_);_(&quot;$&quot;* \(#,##0.00\);_(&quot;$&quot;* &quot;-&quot;??_);_(@_)">
                  <c:v>0</c:v>
                </c:pt>
                <c:pt idx="93" formatCode="_(&quot;$&quot;* #,##0.00_);_(&quot;$&quot;* \(#,##0.00\);_(&quot;$&quot;* &quot;-&quot;??_);_(@_)">
                  <c:v>0</c:v>
                </c:pt>
                <c:pt idx="94" formatCode="_(&quot;$&quot;* #,##0.00_);_(&quot;$&quot;* \(#,##0.00\);_(&quot;$&quot;* &quot;-&quot;??_);_(@_)">
                  <c:v>0</c:v>
                </c:pt>
                <c:pt idx="95" formatCode="_(&quot;$&quot;* #,##0.00_);_(&quot;$&quot;* \(#,##0.00\);_(&quot;$&quot;* &quot;-&quot;??_);_(@_)">
                  <c:v>0</c:v>
                </c:pt>
                <c:pt idx="96" formatCode="_(&quot;$&quot;* #,##0.00_);_(&quot;$&quot;* \(#,##0.00\);_(&quot;$&quot;* &quot;-&quot;??_);_(@_)">
                  <c:v>0</c:v>
                </c:pt>
                <c:pt idx="97" formatCode="_(&quot;$&quot;* #,##0.00_);_(&quot;$&quot;* \(#,##0.00\);_(&quot;$&quot;* &quot;-&quot;??_);_(@_)">
                  <c:v>0</c:v>
                </c:pt>
                <c:pt idx="98" formatCode="_(&quot;$&quot;* #,##0.00_);_(&quot;$&quot;* \(#,##0.00\);_(&quot;$&quot;* &quot;-&quot;??_);_(@_)">
                  <c:v>0</c:v>
                </c:pt>
                <c:pt idx="99" formatCode="_(&quot;$&quot;* #,##0.00_);_(&quot;$&quot;* \(#,##0.00\);_(&quot;$&quot;* &quot;-&quot;??_);_(@_)">
                  <c:v>0</c:v>
                </c:pt>
                <c:pt idx="100" formatCode="_(&quot;$&quot;* #,##0.00_);_(&quot;$&quot;* \(#,##0.00\);_(&quot;$&quot;* &quot;-&quot;??_);_(@_)">
                  <c:v>0</c:v>
                </c:pt>
                <c:pt idx="101" formatCode="_(&quot;$&quot;* #,##0.00_);_(&quot;$&quot;* \(#,##0.00\);_(&quot;$&quot;* &quot;-&quot;??_);_(@_)">
                  <c:v>0</c:v>
                </c:pt>
                <c:pt idx="102" formatCode="_(&quot;$&quot;* #,##0.00_);_(&quot;$&quot;* \(#,##0.00\);_(&quot;$&quot;* &quot;-&quot;??_);_(@_)">
                  <c:v>0</c:v>
                </c:pt>
                <c:pt idx="103" formatCode="_(&quot;$&quot;* #,##0.00_);_(&quot;$&quot;* \(#,##0.00\);_(&quot;$&quot;* &quot;-&quot;??_);_(@_)">
                  <c:v>0</c:v>
                </c:pt>
                <c:pt idx="104" formatCode="_(&quot;$&quot;* #,##0.00_);_(&quot;$&quot;* \(#,##0.00\);_(&quot;$&quot;* &quot;-&quot;??_);_(@_)">
                  <c:v>0</c:v>
                </c:pt>
                <c:pt idx="105" formatCode="_(&quot;$&quot;* #,##0.00_);_(&quot;$&quot;* \(#,##0.00\);_(&quot;$&quot;* &quot;-&quot;??_);_(@_)">
                  <c:v>0</c:v>
                </c:pt>
                <c:pt idx="106" formatCode="_(&quot;$&quot;* #,##0.00_);_(&quot;$&quot;* \(#,##0.00\);_(&quot;$&quot;* &quot;-&quot;??_);_(@_)">
                  <c:v>0</c:v>
                </c:pt>
                <c:pt idx="107" formatCode="_(&quot;$&quot;* #,##0.00_);_(&quot;$&quot;* \(#,##0.00\);_(&quot;$&quot;* &quot;-&quot;??_);_(@_)">
                  <c:v>0</c:v>
                </c:pt>
                <c:pt idx="108" formatCode="_(&quot;$&quot;* #,##0.00_);_(&quot;$&quot;* \(#,##0.00\);_(&quot;$&quot;* &quot;-&quot;??_);_(@_)">
                  <c:v>0</c:v>
                </c:pt>
                <c:pt idx="109" formatCode="_(&quot;$&quot;* #,##0.00_);_(&quot;$&quot;* \(#,##0.00\);_(&quot;$&quot;* &quot;-&quot;??_);_(@_)">
                  <c:v>0</c:v>
                </c:pt>
                <c:pt idx="110" formatCode="_(&quot;$&quot;* #,##0.00_);_(&quot;$&quot;* \(#,##0.00\);_(&quot;$&quot;* &quot;-&quot;??_);_(@_)">
                  <c:v>0</c:v>
                </c:pt>
                <c:pt idx="111" formatCode="_(&quot;$&quot;* #,##0.00_);_(&quot;$&quot;* \(#,##0.00\);_(&quot;$&quot;* &quot;-&quot;??_);_(@_)">
                  <c:v>0</c:v>
                </c:pt>
                <c:pt idx="112" formatCode="_(&quot;$&quot;* #,##0.00_);_(&quot;$&quot;* \(#,##0.00\);_(&quot;$&quot;* &quot;-&quot;??_);_(@_)">
                  <c:v>0</c:v>
                </c:pt>
                <c:pt idx="113" formatCode="_(&quot;$&quot;* #,##0.00_);_(&quot;$&quot;* \(#,##0.00\);_(&quot;$&quot;* &quot;-&quot;??_);_(@_)">
                  <c:v>0</c:v>
                </c:pt>
                <c:pt idx="114" formatCode="_(&quot;$&quot;* #,##0.00_);_(&quot;$&quot;* \(#,##0.00\);_(&quot;$&quot;* &quot;-&quot;??_);_(@_)">
                  <c:v>0</c:v>
                </c:pt>
                <c:pt idx="115" formatCode="_(&quot;$&quot;* #,##0.00_);_(&quot;$&quot;* \(#,##0.00\);_(&quot;$&quot;* &quot;-&quot;??_);_(@_)">
                  <c:v>0</c:v>
                </c:pt>
                <c:pt idx="116" formatCode="_(&quot;$&quot;* #,##0.00_);_(&quot;$&quot;* \(#,##0.00\);_(&quot;$&quot;* &quot;-&quot;??_);_(@_)">
                  <c:v>0</c:v>
                </c:pt>
                <c:pt idx="117" formatCode="_(&quot;$&quot;* #,##0.00_);_(&quot;$&quot;* \(#,##0.00\);_(&quot;$&quot;* &quot;-&quot;??_);_(@_)">
                  <c:v>0</c:v>
                </c:pt>
                <c:pt idx="118" formatCode="_(&quot;$&quot;* #,##0.00_);_(&quot;$&quot;* \(#,##0.00\);_(&quot;$&quot;* &quot;-&quot;??_);_(@_)">
                  <c:v>0</c:v>
                </c:pt>
                <c:pt idx="119" formatCode="_(&quot;$&quot;* #,##0.00_);_(&quot;$&quot;* \(#,##0.00\);_(&quot;$&quot;* &quot;-&quot;??_);_(@_)">
                  <c:v>0</c:v>
                </c:pt>
                <c:pt idx="120" formatCode="_(&quot;$&quot;* #,##0.00_);_(&quot;$&quot;* \(#,##0.00\);_(&quot;$&quot;* &quot;-&quot;??_);_(@_)">
                  <c:v>0</c:v>
                </c:pt>
                <c:pt idx="121" formatCode="_(&quot;$&quot;* #,##0.00_);_(&quot;$&quot;* \(#,##0.00\);_(&quot;$&quot;* &quot;-&quot;??_);_(@_)">
                  <c:v>0</c:v>
                </c:pt>
                <c:pt idx="122" formatCode="_(&quot;$&quot;* #,##0.00_);_(&quot;$&quot;* \(#,##0.00\);_(&quot;$&quot;* &quot;-&quot;??_);_(@_)">
                  <c:v>0</c:v>
                </c:pt>
                <c:pt idx="123" formatCode="_(&quot;$&quot;* #,##0.00_);_(&quot;$&quot;* \(#,##0.00\);_(&quot;$&quot;* &quot;-&quot;??_);_(@_)">
                  <c:v>0</c:v>
                </c:pt>
                <c:pt idx="124" formatCode="_(&quot;$&quot;* #,##0.00_);_(&quot;$&quot;* \(#,##0.00\);_(&quot;$&quot;* &quot;-&quot;??_);_(@_)">
                  <c:v>0</c:v>
                </c:pt>
                <c:pt idx="125" formatCode="_(&quot;$&quot;* #,##0.00_);_(&quot;$&quot;* \(#,##0.00\);_(&quot;$&quot;* &quot;-&quot;??_);_(@_)">
                  <c:v>0</c:v>
                </c:pt>
                <c:pt idx="126" formatCode="_(&quot;$&quot;* #,##0.00_);_(&quot;$&quot;* \(#,##0.00\);_(&quot;$&quot;* &quot;-&quot;??_);_(@_)">
                  <c:v>0</c:v>
                </c:pt>
                <c:pt idx="127" formatCode="_(&quot;$&quot;* #,##0.00_);_(&quot;$&quot;* \(#,##0.00\);_(&quot;$&quot;* &quot;-&quot;??_);_(@_)">
                  <c:v>0</c:v>
                </c:pt>
              </c:numCache>
            </c:numRef>
          </c:val>
          <c:smooth val="0"/>
          <c:extLst>
            <c:ext xmlns:c16="http://schemas.microsoft.com/office/drawing/2014/chart" uri="{C3380CC4-5D6E-409C-BE32-E72D297353CC}">
              <c16:uniqueId val="{00000001-E504-47AC-B419-DD82F47EF8DA}"/>
            </c:ext>
          </c:extLst>
        </c:ser>
        <c:dLbls>
          <c:showLegendKey val="0"/>
          <c:showVal val="0"/>
          <c:showCatName val="0"/>
          <c:showSerName val="0"/>
          <c:showPercent val="0"/>
          <c:showBubbleSize val="0"/>
        </c:dLbls>
        <c:smooth val="0"/>
        <c:axId val="699983696"/>
        <c:axId val="699989520"/>
        <c:extLst/>
      </c:lineChart>
      <c:dateAx>
        <c:axId val="699983696"/>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0" i="0" u="none" strike="noStrike" kern="1200" baseline="0">
                <a:solidFill>
                  <a:schemeClr val="tx1">
                    <a:lumMod val="65000"/>
                    <a:lumOff val="35000"/>
                  </a:schemeClr>
                </a:solidFill>
                <a:latin typeface="+mn-lt"/>
                <a:ea typeface="+mn-ea"/>
                <a:cs typeface="+mn-cs"/>
              </a:defRPr>
            </a:pPr>
            <a:endParaRPr lang="en-US"/>
          </a:p>
        </c:txPr>
        <c:crossAx val="699989520"/>
        <c:crosses val="autoZero"/>
        <c:auto val="0"/>
        <c:lblOffset val="1000"/>
        <c:baseTimeUnit val="months"/>
        <c:majorUnit val="4"/>
        <c:majorTimeUnit val="months"/>
        <c:minorUnit val="1"/>
        <c:minorTimeUnit val="months"/>
      </c:dateAx>
      <c:valAx>
        <c:axId val="699989520"/>
        <c:scaling>
          <c:orientation val="minMax"/>
          <c:min val="-5000"/>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983696"/>
        <c:crosses val="autoZero"/>
        <c:crossBetween val="between"/>
      </c:valAx>
      <c:spPr>
        <a:noFill/>
        <a:ln>
          <a:noFill/>
        </a:ln>
        <a:effectLst/>
      </c:spPr>
    </c:plotArea>
    <c:legend>
      <c:legendPos val="r"/>
      <c:layout>
        <c:manualLayout>
          <c:xMode val="edge"/>
          <c:yMode val="edge"/>
          <c:x val="0.83514314285317737"/>
          <c:y val="0.11761023622047244"/>
          <c:w val="9.3404076944973519E-2"/>
          <c:h val="0.1730781344639612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&amp;LCREAM Dashboard&amp;Ras of March 2024   </c:oddHeader>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Value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570349193214959E-2"/>
          <c:y val="7.6888182540511343E-2"/>
          <c:w val="0.85694085247426111"/>
          <c:h val="0.82581916305346581"/>
        </c:manualLayout>
      </c:layout>
      <c:scatterChart>
        <c:scatterStyle val="smoothMarker"/>
        <c:varyColors val="0"/>
        <c:ser>
          <c:idx val="0"/>
          <c:order val="0"/>
          <c:tx>
            <c:v>Market Model</c:v>
          </c:tx>
          <c:spPr>
            <a:ln w="19050" cap="rnd">
              <a:solidFill>
                <a:srgbClr val="00B0F0"/>
              </a:solidFill>
              <a:round/>
            </a:ln>
            <a:effectLst/>
          </c:spPr>
          <c:marker>
            <c:symbol val="none"/>
          </c:marker>
          <c:xVal>
            <c:numRef>
              <c:f>'Data Analysis'!$B$47:$B$72</c:f>
              <c:numCache>
                <c:formatCode>mmm\-yyyy</c:formatCode>
                <c:ptCount val="26"/>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pt idx="15">
                  <c:v>45689</c:v>
                </c:pt>
                <c:pt idx="16">
                  <c:v>45717</c:v>
                </c:pt>
                <c:pt idx="17">
                  <c:v>45748</c:v>
                </c:pt>
                <c:pt idx="18">
                  <c:v>45778</c:v>
                </c:pt>
                <c:pt idx="19">
                  <c:v>45809</c:v>
                </c:pt>
                <c:pt idx="20">
                  <c:v>45839</c:v>
                </c:pt>
                <c:pt idx="21">
                  <c:v>45870</c:v>
                </c:pt>
                <c:pt idx="22">
                  <c:v>45901</c:v>
                </c:pt>
                <c:pt idx="23">
                  <c:v>45931</c:v>
                </c:pt>
                <c:pt idx="24">
                  <c:v>45962</c:v>
                </c:pt>
                <c:pt idx="25">
                  <c:v>45992</c:v>
                </c:pt>
              </c:numCache>
            </c:numRef>
          </c:xVal>
          <c:yVal>
            <c:numRef>
              <c:f>'Data Analysis'!$H$47:$H$72</c:f>
              <c:numCache>
                <c:formatCode>_("$"* #,##0.00_);_("$"* \(#,##0.00\);_("$"* "-"??_);_(@_)</c:formatCode>
                <c:ptCount val="26"/>
                <c:pt idx="0">
                  <c:v>0</c:v>
                </c:pt>
                <c:pt idx="1">
                  <c:v>748.31</c:v>
                </c:pt>
                <c:pt idx="2">
                  <c:v>716.35730445852914</c:v>
                </c:pt>
                <c:pt idx="3">
                  <c:v>706.60730445852914</c:v>
                </c:pt>
                <c:pt idx="4">
                  <c:v>706.60730445852914</c:v>
                </c:pt>
                <c:pt idx="5">
                  <c:v>791.30730445852919</c:v>
                </c:pt>
                <c:pt idx="6">
                  <c:v>798.98730445852914</c:v>
                </c:pt>
                <c:pt idx="7">
                  <c:v>1140.1473044585291</c:v>
                </c:pt>
                <c:pt idx="8">
                  <c:v>1337.1073044585291</c:v>
                </c:pt>
                <c:pt idx="9">
                  <c:v>1734.2773044585292</c:v>
                </c:pt>
                <c:pt idx="10">
                  <c:v>1933.4273044585293</c:v>
                </c:pt>
                <c:pt idx="11">
                  <c:v>2130.8073044585294</c:v>
                </c:pt>
                <c:pt idx="12">
                  <c:v>2135.7473044585295</c:v>
                </c:pt>
                <c:pt idx="13">
                  <c:v>2243.4673044585293</c:v>
                </c:pt>
                <c:pt idx="14">
                  <c:v>2243.4673044585293</c:v>
                </c:pt>
                <c:pt idx="15">
                  <c:v>2243.4673044585293</c:v>
                </c:pt>
                <c:pt idx="16">
                  <c:v>2433.4673044585293</c:v>
                </c:pt>
                <c:pt idx="17">
                  <c:v>2632.2473044585295</c:v>
                </c:pt>
                <c:pt idx="18">
                  <c:v>2932.2473044585295</c:v>
                </c:pt>
                <c:pt idx="19">
                  <c:v>3262.2473044585295</c:v>
                </c:pt>
                <c:pt idx="20">
                  <c:v>3797.2473044585295</c:v>
                </c:pt>
                <c:pt idx="21">
                  <c:v>4646.2773044585292</c:v>
                </c:pt>
                <c:pt idx="22">
                  <c:v>5432.4173044585295</c:v>
                </c:pt>
                <c:pt idx="23">
                  <c:v>7129.8573044585301</c:v>
                </c:pt>
                <c:pt idx="24">
                  <c:v>8486.0373044585303</c:v>
                </c:pt>
                <c:pt idx="25">
                  <c:v>9504.4173044585295</c:v>
                </c:pt>
              </c:numCache>
            </c:numRef>
          </c:yVal>
          <c:smooth val="1"/>
          <c:extLst>
            <c:ext xmlns:c16="http://schemas.microsoft.com/office/drawing/2014/chart" uri="{C3380CC4-5D6E-409C-BE32-E72D297353CC}">
              <c16:uniqueId val="{00000000-FB8B-4C67-8741-CDBCF6ACB850}"/>
            </c:ext>
          </c:extLst>
        </c:ser>
        <c:ser>
          <c:idx val="1"/>
          <c:order val="1"/>
          <c:tx>
            <c:v>Market Actual</c:v>
          </c:tx>
          <c:spPr>
            <a:ln w="19050" cap="rnd">
              <a:solidFill>
                <a:srgbClr val="FE4F00"/>
              </a:solidFill>
              <a:round/>
            </a:ln>
            <a:effectLst/>
          </c:spPr>
          <c:marker>
            <c:symbol val="none"/>
          </c:marker>
          <c:xVal>
            <c:numRef>
              <c:f>'Data Analysis'!$B$47:$B$72</c:f>
              <c:numCache>
                <c:formatCode>mmm\-yyyy</c:formatCode>
                <c:ptCount val="26"/>
                <c:pt idx="0">
                  <c:v>45231</c:v>
                </c:pt>
                <c:pt idx="1">
                  <c:v>45261</c:v>
                </c:pt>
                <c:pt idx="2">
                  <c:v>45292</c:v>
                </c:pt>
                <c:pt idx="3">
                  <c:v>45323</c:v>
                </c:pt>
                <c:pt idx="4">
                  <c:v>45352</c:v>
                </c:pt>
                <c:pt idx="5">
                  <c:v>45383</c:v>
                </c:pt>
                <c:pt idx="6">
                  <c:v>45413</c:v>
                </c:pt>
                <c:pt idx="7">
                  <c:v>45444</c:v>
                </c:pt>
                <c:pt idx="8">
                  <c:v>45474</c:v>
                </c:pt>
                <c:pt idx="9">
                  <c:v>45505</c:v>
                </c:pt>
                <c:pt idx="10">
                  <c:v>45536</c:v>
                </c:pt>
                <c:pt idx="11">
                  <c:v>45566</c:v>
                </c:pt>
                <c:pt idx="12">
                  <c:v>45597</c:v>
                </c:pt>
                <c:pt idx="13">
                  <c:v>45627</c:v>
                </c:pt>
                <c:pt idx="14">
                  <c:v>45658</c:v>
                </c:pt>
                <c:pt idx="15">
                  <c:v>45689</c:v>
                </c:pt>
                <c:pt idx="16">
                  <c:v>45717</c:v>
                </c:pt>
                <c:pt idx="17">
                  <c:v>45748</c:v>
                </c:pt>
                <c:pt idx="18">
                  <c:v>45778</c:v>
                </c:pt>
                <c:pt idx="19">
                  <c:v>45809</c:v>
                </c:pt>
                <c:pt idx="20">
                  <c:v>45839</c:v>
                </c:pt>
                <c:pt idx="21">
                  <c:v>45870</c:v>
                </c:pt>
                <c:pt idx="22">
                  <c:v>45901</c:v>
                </c:pt>
                <c:pt idx="23">
                  <c:v>45931</c:v>
                </c:pt>
                <c:pt idx="24">
                  <c:v>45962</c:v>
                </c:pt>
                <c:pt idx="25">
                  <c:v>45992</c:v>
                </c:pt>
              </c:numCache>
            </c:numRef>
          </c:xVal>
          <c:yVal>
            <c:numRef>
              <c:f>'Data Analysis'!$Q$47:$Q$72</c:f>
              <c:numCache>
                <c:formatCode>_("$"* #,##0.00_);_("$"* \(#,##0.00\);_("$"* "-"??_);_(@_)</c:formatCode>
                <c:ptCount val="26"/>
                <c:pt idx="0">
                  <c:v>0</c:v>
                </c:pt>
                <c:pt idx="1">
                  <c:v>946.1</c:v>
                </c:pt>
                <c:pt idx="2">
                  <c:v>716.35730445852914</c:v>
                </c:pt>
                <c:pt idx="3">
                  <c:v>498.98290967874453</c:v>
                </c:pt>
                <c:pt idx="4">
                  <c:v>475.49830280191225</c:v>
                </c:pt>
                <c:pt idx="5">
                  <c:v>487.16372740450089</c:v>
                </c:pt>
                <c:pt idx="6">
                  <c:v>427.08775443692605</c:v>
                </c:pt>
                <c:pt idx="7">
                  <c:v>734.97221904033154</c:v>
                </c:pt>
                <c:pt idx="8">
                  <c:v>894.98433461007926</c:v>
                </c:pt>
                <c:pt idx="9">
                  <c:v>1247.2421447107226</c:v>
                </c:pt>
                <c:pt idx="10">
                  <c:v>1545.5029358028912</c:v>
                </c:pt>
                <c:pt idx="11">
                  <c:v>1660.4720632655217</c:v>
                </c:pt>
                <c:pt idx="12">
                  <c:v>1600.9133418842193</c:v>
                </c:pt>
                <c:pt idx="13">
                  <c:v>1905.1727676458825</c:v>
                </c:pt>
                <c:pt idx="14">
                  <c:v>1967.2329585844482</c:v>
                </c:pt>
                <c:pt idx="15">
                  <c:v>1891.3914397242754</c:v>
                </c:pt>
                <c:pt idx="16">
                  <c:v>1912.6882649474242</c:v>
                </c:pt>
                <c:pt idx="17">
                  <c:v>2205.7057351281219</c:v>
                </c:pt>
                <c:pt idx="18">
                  <c:v>2673.5615937695457</c:v>
                </c:pt>
                <c:pt idx="19">
                  <c:v>3374.4098910606403</c:v>
                </c:pt>
                <c:pt idx="20">
                  <c:v>4363.0383082704238</c:v>
                </c:pt>
                <c:pt idx="21">
                  <c:v>5166.8670232685399</c:v>
                </c:pt>
                <c:pt idx="22">
                  <c:v>6616.2154197173068</c:v>
                </c:pt>
                <c:pt idx="23">
                  <c:v>9306.2570930457932</c:v>
                </c:pt>
                <c:pt idx="24">
                  <c:v>9258.5649415896532</c:v>
                </c:pt>
                <c:pt idx="25">
                  <c:v>10275.727089878568</c:v>
                </c:pt>
              </c:numCache>
            </c:numRef>
          </c:yVal>
          <c:smooth val="1"/>
          <c:extLst>
            <c:ext xmlns:c16="http://schemas.microsoft.com/office/drawing/2014/chart" uri="{C3380CC4-5D6E-409C-BE32-E72D297353CC}">
              <c16:uniqueId val="{00000001-FB8B-4C67-8741-CDBCF6ACB850}"/>
            </c:ext>
          </c:extLst>
        </c:ser>
        <c:ser>
          <c:idx val="3"/>
          <c:order val="2"/>
          <c:tx>
            <c:v>Bitcoin</c:v>
          </c:tx>
          <c:spPr>
            <a:ln w="19050" cap="rnd">
              <a:solidFill>
                <a:schemeClr val="accent4"/>
              </a:solidFill>
              <a:round/>
            </a:ln>
            <a:effectLst/>
          </c:spPr>
          <c:marker>
            <c:symbol val="none"/>
          </c:marker>
          <c:xVal>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xVal>
          <c:yVal>
            <c:numRef>
              <c:f>'Data Analysis'!$O$5:$O$72</c:f>
              <c:numCache>
                <c:formatCode>_("$"* #,##0.00_);_("$"* \(#,##0.00\);_("$"* "-"??_);_(@_)</c:formatCode>
                <c:ptCount val="68"/>
                <c:pt idx="11">
                  <c:v>18</c:v>
                </c:pt>
                <c:pt idx="12">
                  <c:v>36.69</c:v>
                </c:pt>
                <c:pt idx="13">
                  <c:v>46.39</c:v>
                </c:pt>
                <c:pt idx="14">
                  <c:v>59.24</c:v>
                </c:pt>
                <c:pt idx="15">
                  <c:v>67.73</c:v>
                </c:pt>
                <c:pt idx="16">
                  <c:v>102.59</c:v>
                </c:pt>
                <c:pt idx="17">
                  <c:v>5.89</c:v>
                </c:pt>
                <c:pt idx="18">
                  <c:v>31.89</c:v>
                </c:pt>
                <c:pt idx="19">
                  <c:v>48.42</c:v>
                </c:pt>
                <c:pt idx="20">
                  <c:v>56.57</c:v>
                </c:pt>
                <c:pt idx="21">
                  <c:v>62.06</c:v>
                </c:pt>
                <c:pt idx="22">
                  <c:v>64.040000000000006</c:v>
                </c:pt>
                <c:pt idx="23">
                  <c:v>54.47</c:v>
                </c:pt>
                <c:pt idx="24">
                  <c:v>95.58</c:v>
                </c:pt>
                <c:pt idx="25">
                  <c:v>97.93</c:v>
                </c:pt>
                <c:pt idx="26">
                  <c:v>113.49</c:v>
                </c:pt>
                <c:pt idx="27">
                  <c:v>105.55</c:v>
                </c:pt>
                <c:pt idx="28">
                  <c:v>103.66</c:v>
                </c:pt>
                <c:pt idx="29">
                  <c:v>109.32</c:v>
                </c:pt>
                <c:pt idx="30">
                  <c:v>91.37</c:v>
                </c:pt>
                <c:pt idx="31">
                  <c:v>88.54</c:v>
                </c:pt>
                <c:pt idx="32">
                  <c:v>123.28</c:v>
                </c:pt>
                <c:pt idx="33">
                  <c:v>125.51</c:v>
                </c:pt>
                <c:pt idx="34">
                  <c:v>151.18</c:v>
                </c:pt>
                <c:pt idx="35">
                  <c:v>152.55000000000001</c:v>
                </c:pt>
                <c:pt idx="36">
                  <c:v>145.25</c:v>
                </c:pt>
                <c:pt idx="37">
                  <c:v>160.33000000000001</c:v>
                </c:pt>
                <c:pt idx="38">
                  <c:v>154.07</c:v>
                </c:pt>
                <c:pt idx="39">
                  <c:v>154.07</c:v>
                </c:pt>
                <c:pt idx="40">
                  <c:v>144.47999999999999</c:v>
                </c:pt>
                <c:pt idx="41">
                  <c:v>184.07</c:v>
                </c:pt>
                <c:pt idx="42">
                  <c:v>201.48</c:v>
                </c:pt>
                <c:pt idx="43">
                  <c:v>292.73</c:v>
                </c:pt>
                <c:pt idx="44">
                  <c:v>137.8773044585291</c:v>
                </c:pt>
                <c:pt idx="45">
                  <c:v>54.342909678744562</c:v>
                </c:pt>
                <c:pt idx="46">
                  <c:v>73.69830280191222</c:v>
                </c:pt>
                <c:pt idx="47">
                  <c:v>62.6437274045009</c:v>
                </c:pt>
                <c:pt idx="48">
                  <c:v>70.68775443692607</c:v>
                </c:pt>
                <c:pt idx="49">
                  <c:v>73.582219040331566</c:v>
                </c:pt>
                <c:pt idx="50">
                  <c:v>98.224334610079239</c:v>
                </c:pt>
                <c:pt idx="51">
                  <c:v>148.96214471072261</c:v>
                </c:pt>
                <c:pt idx="52">
                  <c:v>218.72293580289116</c:v>
                </c:pt>
                <c:pt idx="53">
                  <c:v>293.24206326552167</c:v>
                </c:pt>
                <c:pt idx="54">
                  <c:v>100.47334188421932</c:v>
                </c:pt>
                <c:pt idx="55">
                  <c:v>221.81276764588259</c:v>
                </c:pt>
                <c:pt idx="56">
                  <c:v>242.22295858444826</c:v>
                </c:pt>
                <c:pt idx="57">
                  <c:v>228.17143972427542</c:v>
                </c:pt>
                <c:pt idx="58">
                  <c:v>224.61826494742434</c:v>
                </c:pt>
                <c:pt idx="59">
                  <c:v>313.32573512812166</c:v>
                </c:pt>
                <c:pt idx="60">
                  <c:v>274.72159376954562</c:v>
                </c:pt>
                <c:pt idx="61">
                  <c:v>281.65989106064035</c:v>
                </c:pt>
                <c:pt idx="62">
                  <c:v>254.3783082704241</c:v>
                </c:pt>
                <c:pt idx="63">
                  <c:v>236.94702326853948</c:v>
                </c:pt>
                <c:pt idx="64">
                  <c:v>251.67541971730708</c:v>
                </c:pt>
                <c:pt idx="65">
                  <c:v>242.60709304579424</c:v>
                </c:pt>
                <c:pt idx="66">
                  <c:v>189.35494158965452</c:v>
                </c:pt>
                <c:pt idx="67">
                  <c:v>192.57708987856796</c:v>
                </c:pt>
              </c:numCache>
            </c:numRef>
          </c:yVal>
          <c:smooth val="1"/>
          <c:extLst>
            <c:ext xmlns:c16="http://schemas.microsoft.com/office/drawing/2014/chart" uri="{C3380CC4-5D6E-409C-BE32-E72D297353CC}">
              <c16:uniqueId val="{00000002-FB8B-4C67-8741-CDBCF6ACB850}"/>
            </c:ext>
          </c:extLst>
        </c:ser>
        <c:ser>
          <c:idx val="2"/>
          <c:order val="3"/>
          <c:tx>
            <c:v>Stocks</c:v>
          </c:tx>
          <c:spPr>
            <a:ln w="19050" cap="rnd">
              <a:solidFill>
                <a:srgbClr val="00B050"/>
              </a:solidFill>
              <a:round/>
            </a:ln>
            <a:effectLst/>
          </c:spPr>
          <c:marker>
            <c:symbol val="none"/>
          </c:marker>
          <c:xVal>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xVal>
          <c:yVal>
            <c:numRef>
              <c:f>'Data Analysis'!$P$5:$P$72</c:f>
              <c:numCache>
                <c:formatCode>_("$"* #,##0.00_);_("$"* \(#,##0.00\);_("$"* "-"??_);_(@_)</c:formatCode>
                <c:ptCount val="68"/>
                <c:pt idx="42">
                  <c:v>0</c:v>
                </c:pt>
                <c:pt idx="43">
                  <c:v>653.37</c:v>
                </c:pt>
                <c:pt idx="44">
                  <c:v>578.48</c:v>
                </c:pt>
                <c:pt idx="45">
                  <c:v>444.64</c:v>
                </c:pt>
                <c:pt idx="46">
                  <c:v>401.8</c:v>
                </c:pt>
                <c:pt idx="47">
                  <c:v>424.52</c:v>
                </c:pt>
                <c:pt idx="48">
                  <c:v>356.4</c:v>
                </c:pt>
                <c:pt idx="49">
                  <c:v>661.39</c:v>
                </c:pt>
                <c:pt idx="50">
                  <c:v>796.76</c:v>
                </c:pt>
                <c:pt idx="51">
                  <c:v>1098.28</c:v>
                </c:pt>
                <c:pt idx="52">
                  <c:v>1326.78</c:v>
                </c:pt>
                <c:pt idx="53">
                  <c:v>1367.23</c:v>
                </c:pt>
                <c:pt idx="54">
                  <c:v>1500.44</c:v>
                </c:pt>
                <c:pt idx="55">
                  <c:v>1683.36</c:v>
                </c:pt>
                <c:pt idx="56">
                  <c:v>1725.01</c:v>
                </c:pt>
                <c:pt idx="57">
                  <c:v>1663.22</c:v>
                </c:pt>
                <c:pt idx="58">
                  <c:v>1688.07</c:v>
                </c:pt>
                <c:pt idx="59">
                  <c:v>1892.38</c:v>
                </c:pt>
                <c:pt idx="60">
                  <c:v>2398.84</c:v>
                </c:pt>
                <c:pt idx="61">
                  <c:v>3092.75</c:v>
                </c:pt>
                <c:pt idx="62">
                  <c:v>4108.66</c:v>
                </c:pt>
                <c:pt idx="63">
                  <c:v>4929.92</c:v>
                </c:pt>
                <c:pt idx="64">
                  <c:v>6364.54</c:v>
                </c:pt>
                <c:pt idx="65">
                  <c:v>9063.65</c:v>
                </c:pt>
                <c:pt idx="66">
                  <c:v>9069.2099999999991</c:v>
                </c:pt>
                <c:pt idx="67">
                  <c:v>10083.15</c:v>
                </c:pt>
              </c:numCache>
            </c:numRef>
          </c:yVal>
          <c:smooth val="1"/>
          <c:extLst>
            <c:ext xmlns:c16="http://schemas.microsoft.com/office/drawing/2014/chart" uri="{C3380CC4-5D6E-409C-BE32-E72D297353CC}">
              <c16:uniqueId val="{00000003-FB8B-4C67-8741-CDBCF6ACB850}"/>
            </c:ext>
          </c:extLst>
        </c:ser>
        <c:ser>
          <c:idx val="4"/>
          <c:order val="4"/>
          <c:tx>
            <c:v>Market Profit To-Date</c:v>
          </c:tx>
          <c:spPr>
            <a:ln w="19050" cap="rnd">
              <a:solidFill>
                <a:schemeClr val="accent5"/>
              </a:solidFill>
              <a:round/>
            </a:ln>
            <a:effectLst/>
          </c:spPr>
          <c:marker>
            <c:symbol val="none"/>
          </c:marker>
          <c:xVal>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xVal>
          <c:yVal>
            <c:numRef>
              <c:f>'Data Analysis'!$BL$5:$BL$72</c:f>
              <c:numCache>
                <c:formatCode>General</c:formatCode>
                <c:ptCount val="68"/>
                <c:pt idx="42">
                  <c:v>0</c:v>
                </c:pt>
                <c:pt idx="43" formatCode="_(&quot;$&quot;* #,##0.00_);_(&quot;$&quot;* \(#,##0.00\);_(&quot;$&quot;* &quot;-&quot;??_);_(@_)">
                  <c:v>0</c:v>
                </c:pt>
                <c:pt idx="44" formatCode="_(&quot;$&quot;* #,##0.00_);_(&quot;$&quot;* \(#,##0.00\);_(&quot;$&quot;* &quot;-&quot;??_);_(@_)">
                  <c:v>61.597304458529123</c:v>
                </c:pt>
                <c:pt idx="45" formatCode="_(&quot;$&quot;* #,##0.00_);_(&quot;$&quot;* \(#,##0.00\);_(&quot;$&quot;* &quot;-&quot;??_);_(@_)">
                  <c:v>128.27290967874438</c:v>
                </c:pt>
                <c:pt idx="46" formatCode="_(&quot;$&quot;* #,##0.00_);_(&quot;$&quot;* \(#,##0.00\);_(&quot;$&quot;* &quot;-&quot;??_);_(@_)">
                  <c:v>150.47830280191204</c:v>
                </c:pt>
                <c:pt idx="47" formatCode="_(&quot;$&quot;* #,##0.00_);_(&quot;$&quot;* \(#,##0.00\);_(&quot;$&quot;* &quot;-&quot;??_);_(@_)">
                  <c:v>99.593727404500726</c:v>
                </c:pt>
                <c:pt idx="48" formatCode="_(&quot;$&quot;* #,##0.00_);_(&quot;$&quot;* \(#,##0.00\);_(&quot;$&quot;* &quot;-&quot;??_);_(@_)">
                  <c:v>131.14775443692577</c:v>
                </c:pt>
                <c:pt idx="49" formatCode="_(&quot;$&quot;* #,##0.00_);_(&quot;$&quot;* \(#,##0.00\);_(&quot;$&quot;* &quot;-&quot;??_);_(@_)">
                  <c:v>113.23221904033143</c:v>
                </c:pt>
                <c:pt idx="50" formatCode="_(&quot;$&quot;* #,##0.00_);_(&quot;$&quot;* \(#,##0.00\);_(&quot;$&quot;* &quot;-&quot;??_);_(@_)">
                  <c:v>102.02433461007931</c:v>
                </c:pt>
                <c:pt idx="51" formatCode="_(&quot;$&quot;* #,##0.00_);_(&quot;$&quot;* \(#,##0.00\);_(&quot;$&quot;* &quot;-&quot;??_);_(@_)">
                  <c:v>107.67214471072253</c:v>
                </c:pt>
                <c:pt idx="52" formatCode="_(&quot;$&quot;* #,##0.00_);_(&quot;$&quot;* \(#,##0.00\);_(&quot;$&quot;* &quot;-&quot;??_);_(@_)">
                  <c:v>206.69293580289107</c:v>
                </c:pt>
                <c:pt idx="53" formatCode="_(&quot;$&quot;* #,##0.00_);_(&quot;$&quot;* \(#,##0.00\);_(&quot;$&quot;* &quot;-&quot;??_);_(@_)">
                  <c:v>244.96206326552181</c:v>
                </c:pt>
                <c:pt idx="54" formatCode="_(&quot;$&quot;* #,##0.00_);_(&quot;$&quot;* \(#,##0.00\);_(&quot;$&quot;* &quot;-&quot;??_);_(@_)">
                  <c:v>363.1533418842194</c:v>
                </c:pt>
                <c:pt idx="55" formatCode="_(&quot;$&quot;* #,##0.00_);_(&quot;$&quot;* \(#,##0.00\);_(&quot;$&quot;* &quot;-&quot;??_);_(@_)">
                  <c:v>451.16276764588224</c:v>
                </c:pt>
                <c:pt idx="56" formatCode="_(&quot;$&quot;* #,##0.00_);_(&quot;$&quot;* \(#,##0.00\);_(&quot;$&quot;* &quot;-&quot;??_);_(@_)">
                  <c:v>453.22295858444807</c:v>
                </c:pt>
                <c:pt idx="57" formatCode="_(&quot;$&quot;* #,##0.00_);_(&quot;$&quot;* \(#,##0.00\);_(&quot;$&quot;* &quot;-&quot;??_);_(@_)">
                  <c:v>375.68143972427538</c:v>
                </c:pt>
                <c:pt idx="58" formatCode="_(&quot;$&quot;* #,##0.00_);_(&quot;$&quot;* \(#,##0.00\);_(&quot;$&quot;* &quot;-&quot;??_);_(@_)">
                  <c:v>206.97826494742424</c:v>
                </c:pt>
                <c:pt idx="59" formatCode="_(&quot;$&quot;* #,##0.00_);_(&quot;$&quot;* \(#,##0.00\);_(&quot;$&quot;* &quot;-&quot;??_);_(@_)">
                  <c:v>299.99573512812128</c:v>
                </c:pt>
                <c:pt idx="60" formatCode="_(&quot;$&quot;* #,##0.00_);_(&quot;$&quot;* \(#,##0.00\);_(&quot;$&quot;* &quot;-&quot;??_);_(@_)">
                  <c:v>666.74159376954537</c:v>
                </c:pt>
                <c:pt idx="61" formatCode="_(&quot;$&quot;* #,##0.00_);_(&quot;$&quot;* \(#,##0.00\);_(&quot;$&quot;* &quot;-&quot;??_);_(@_)">
                  <c:v>1121.02989106064</c:v>
                </c:pt>
                <c:pt idx="62" formatCode="_(&quot;$&quot;* #,##0.00_);_(&quot;$&quot;* \(#,##0.00\);_(&quot;$&quot;* &quot;-&quot;??_);_(@_)">
                  <c:v>1298.1383082704233</c:v>
                </c:pt>
                <c:pt idx="63" formatCode="_(&quot;$&quot;* #,##0.00_);_(&quot;$&quot;* \(#,##0.00\);_(&quot;$&quot;* &quot;-&quot;??_);_(@_)">
                  <c:v>1302.6270232685388</c:v>
                </c:pt>
                <c:pt idx="64" formatCode="_(&quot;$&quot;* #,##0.00_);_(&quot;$&quot;* \(#,##0.00\);_(&quot;$&quot;* &quot;-&quot;??_);_(@_)">
                  <c:v>1960.9554197173068</c:v>
                </c:pt>
                <c:pt idx="65" formatCode="_(&quot;$&quot;* #,##0.00_);_(&quot;$&quot;* \(#,##0.00\);_(&quot;$&quot;* &quot;-&quot;??_);_(@_)">
                  <c:v>2950.917093045794</c:v>
                </c:pt>
                <c:pt idx="66" formatCode="_(&quot;$&quot;* #,##0.00_);_(&quot;$&quot;* \(#,##0.00\);_(&quot;$&quot;* &quot;-&quot;??_);_(@_)">
                  <c:v>1861.5149415896544</c:v>
                </c:pt>
                <c:pt idx="67" formatCode="_(&quot;$&quot;* #,##0.00_);_(&quot;$&quot;* \(#,##0.00\);_(&quot;$&quot;* &quot;-&quot;??_);_(@_)">
                  <c:v>1924.247089878568</c:v>
                </c:pt>
              </c:numCache>
            </c:numRef>
          </c:yVal>
          <c:smooth val="1"/>
          <c:extLst>
            <c:ext xmlns:c16="http://schemas.microsoft.com/office/drawing/2014/chart" uri="{C3380CC4-5D6E-409C-BE32-E72D297353CC}">
              <c16:uniqueId val="{00000000-6005-4FED-993C-A890CFFE6371}"/>
            </c:ext>
          </c:extLst>
        </c:ser>
        <c:dLbls>
          <c:showLegendKey val="0"/>
          <c:showVal val="0"/>
          <c:showCatName val="0"/>
          <c:showSerName val="0"/>
          <c:showPercent val="0"/>
          <c:showBubbleSize val="0"/>
        </c:dLbls>
        <c:axId val="931065008"/>
        <c:axId val="931066256"/>
      </c:scatterChart>
      <c:valAx>
        <c:axId val="931065008"/>
        <c:scaling>
          <c:orientation val="minMax"/>
          <c:min val="44300"/>
        </c:scaling>
        <c:delete val="0"/>
        <c:axPos val="b"/>
        <c:numFmt formatCode="m/d/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6256"/>
        <c:crosses val="autoZero"/>
        <c:crossBetween val="midCat"/>
      </c:valAx>
      <c:valAx>
        <c:axId val="931066256"/>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5008"/>
        <c:crosses val="autoZero"/>
        <c:crossBetween val="midCat"/>
        <c:majorUnit val="1000"/>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Percent Gain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66047873001217"/>
          <c:y val="7.6888182540511343E-2"/>
          <c:w val="0.85485072293746389"/>
          <c:h val="0.82581916305346581"/>
        </c:manualLayout>
      </c:layout>
      <c:scatterChart>
        <c:scatterStyle val="smoothMarker"/>
        <c:varyColors val="0"/>
        <c:ser>
          <c:idx val="1"/>
          <c:order val="0"/>
          <c:tx>
            <c:v>Real Profit - Bitcoin</c:v>
          </c:tx>
          <c:spPr>
            <a:ln w="19050" cap="rnd">
              <a:solidFill>
                <a:srgbClr val="00B05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Analysis'!$BC$48:$BC$72</c:f>
              <c:numCache>
                <c:formatCode>0.00%</c:formatCode>
                <c:ptCount val="25"/>
                <c:pt idx="0">
                  <c:v>0</c:v>
                </c:pt>
                <c:pt idx="1">
                  <c:v>0.1710248055095486</c:v>
                </c:pt>
                <c:pt idx="2">
                  <c:v>0.17379817205504161</c:v>
                </c:pt>
                <c:pt idx="3">
                  <c:v>0.11061921787058278</c:v>
                </c:pt>
                <c:pt idx="4">
                  <c:v>0.11061921787058278</c:v>
                </c:pt>
                <c:pt idx="5">
                  <c:v>0.10643375653284383</c:v>
                </c:pt>
                <c:pt idx="6">
                  <c:v>7.8555276823346801E-2</c:v>
                </c:pt>
                <c:pt idx="7">
                  <c:v>6.2923362671147065E-2</c:v>
                </c:pt>
                <c:pt idx="8">
                  <c:v>4.2692698494172149E-2</c:v>
                </c:pt>
                <c:pt idx="9">
                  <c:v>3.3108691274367365E-2</c:v>
                </c:pt>
                <c:pt idx="10">
                  <c:v>1.6660535469516215E-2</c:v>
                </c:pt>
                <c:pt idx="11">
                  <c:v>0</c:v>
                </c:pt>
                <c:pt idx="12">
                  <c:v>0</c:v>
                </c:pt>
                <c:pt idx="13">
                  <c:v>0</c:v>
                </c:pt>
                <c:pt idx="14">
                  <c:v>0</c:v>
                </c:pt>
                <c:pt idx="15" formatCode="_(&quot;$&quot;* #,##0.00_);_(&quot;$&quot;* \(#,##0.00\);_(&quot;$&quot;* &quot;-&quot;??_);_(@_)">
                  <c:v>0</c:v>
                </c:pt>
                <c:pt idx="16" formatCode="_(&quot;$&quot;* #,##0.00_);_(&quot;$&quot;* \(#,##0.00\);_(&quot;$&quot;* &quot;-&quot;??_);_(@_)">
                  <c:v>0</c:v>
                </c:pt>
                <c:pt idx="17" formatCode="_(&quot;$&quot;* #,##0.00_);_(&quot;$&quot;* \(#,##0.00\);_(&quot;$&quot;* &quot;-&quot;??_);_(@_)">
                  <c:v>0</c:v>
                </c:pt>
                <c:pt idx="18">
                  <c:v>0</c:v>
                </c:pt>
                <c:pt idx="19">
                  <c:v>0</c:v>
                </c:pt>
                <c:pt idx="20">
                  <c:v>0</c:v>
                </c:pt>
                <c:pt idx="21">
                  <c:v>0</c:v>
                </c:pt>
                <c:pt idx="22">
                  <c:v>0</c:v>
                </c:pt>
                <c:pt idx="23">
                  <c:v>0</c:v>
                </c:pt>
                <c:pt idx="24">
                  <c:v>0</c:v>
                </c:pt>
              </c:numCache>
            </c:numRef>
          </c:yVal>
          <c:smooth val="1"/>
          <c:extLst>
            <c:ext xmlns:c16="http://schemas.microsoft.com/office/drawing/2014/chart" uri="{C3380CC4-5D6E-409C-BE32-E72D297353CC}">
              <c16:uniqueId val="{00000001-6288-4EB2-9F3D-BADD2C48E22B}"/>
            </c:ext>
          </c:extLst>
        </c:ser>
        <c:ser>
          <c:idx val="0"/>
          <c:order val="1"/>
          <c:tx>
            <c:v>Real Profit - Stocks</c:v>
          </c:tx>
          <c:spPr>
            <a:ln w="19050" cap="rnd">
              <a:solidFill>
                <a:srgbClr val="00B0F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Analysis'!$BA$48:$BA$72</c:f>
              <c:numCache>
                <c:formatCode>0.00%</c:formatCode>
                <c:ptCount val="25"/>
                <c:pt idx="0">
                  <c:v>0</c:v>
                </c:pt>
                <c:pt idx="1">
                  <c:v>8.6544889904893341E-2</c:v>
                </c:pt>
                <c:pt idx="2">
                  <c:v>9.3731042613343696E-2</c:v>
                </c:pt>
                <c:pt idx="3">
                  <c:v>8.8582470621152723E-2</c:v>
                </c:pt>
                <c:pt idx="4">
                  <c:v>9.2971929677338111E-2</c:v>
                </c:pt>
                <c:pt idx="5">
                  <c:v>8.879946656742338E-2</c:v>
                </c:pt>
                <c:pt idx="6">
                  <c:v>8.8149330879666421E-2</c:v>
                </c:pt>
                <c:pt idx="7">
                  <c:v>9.5900700430022745E-2</c:v>
                </c:pt>
                <c:pt idx="8">
                  <c:v>8.2815378809740381E-2</c:v>
                </c:pt>
                <c:pt idx="9">
                  <c:v>5.9690553745928243E-2</c:v>
                </c:pt>
                <c:pt idx="10">
                  <c:v>8.8424797887632675E-2</c:v>
                </c:pt>
                <c:pt idx="11">
                  <c:v>9.1817369388185383E-2</c:v>
                </c:pt>
                <c:pt idx="12">
                  <c:v>0.11199766561906545</c:v>
                </c:pt>
                <c:pt idx="13">
                  <c:v>0.11199766561906545</c:v>
                </c:pt>
                <c:pt idx="14">
                  <c:v>0.11223404506757315</c:v>
                </c:pt>
                <c:pt idx="15">
                  <c:v>0.11223404506757315</c:v>
                </c:pt>
                <c:pt idx="16">
                  <c:v>0.11223404506757315</c:v>
                </c:pt>
                <c:pt idx="17">
                  <c:v>0.1208508215904112</c:v>
                </c:pt>
                <c:pt idx="18">
                  <c:v>0.14301141244324472</c:v>
                </c:pt>
                <c:pt idx="19">
                  <c:v>0.15278455008353251</c:v>
                </c:pt>
                <c:pt idx="20">
                  <c:v>0.15858233904399632</c:v>
                </c:pt>
                <c:pt idx="21">
                  <c:v>0.18983736002148197</c:v>
                </c:pt>
                <c:pt idx="22">
                  <c:v>0.28325268946719973</c:v>
                </c:pt>
                <c:pt idx="23">
                  <c:v>0.28254187878915915</c:v>
                </c:pt>
                <c:pt idx="24">
                  <c:v>0.27793799397817082</c:v>
                </c:pt>
              </c:numCache>
            </c:numRef>
          </c:yVal>
          <c:smooth val="1"/>
          <c:extLst>
            <c:ext xmlns:c16="http://schemas.microsoft.com/office/drawing/2014/chart" uri="{C3380CC4-5D6E-409C-BE32-E72D297353CC}">
              <c16:uniqueId val="{00000000-6288-4EB2-9F3D-BADD2C48E22B}"/>
            </c:ext>
          </c:extLst>
        </c:ser>
        <c:ser>
          <c:idx val="2"/>
          <c:order val="2"/>
          <c:tx>
            <c:v>Virtual Profit - Bitcoin</c:v>
          </c:tx>
          <c:spPr>
            <a:ln w="19050" cap="rnd">
              <a:solidFill>
                <a:srgbClr val="7030A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Analysis'!$BG$48:$BG$72</c:f>
              <c:numCache>
                <c:formatCode>0.00%</c:formatCode>
                <c:ptCount val="25"/>
                <c:pt idx="0">
                  <c:v>0</c:v>
                </c:pt>
                <c:pt idx="1">
                  <c:v>0.26520130159869459</c:v>
                </c:pt>
                <c:pt idx="2">
                  <c:v>4.5131062880954751</c:v>
                </c:pt>
                <c:pt idx="3">
                  <c:v>19.62351834012895</c:v>
                </c:pt>
                <c:pt idx="4">
                  <c:v>16.530038167815739</c:v>
                </c:pt>
                <c:pt idx="5">
                  <c:v>24.567263424294069</c:v>
                </c:pt>
                <c:pt idx="6">
                  <c:v>24.980713856732724</c:v>
                </c:pt>
                <c:pt idx="7">
                  <c:v>4.1730075471409043</c:v>
                </c:pt>
                <c:pt idx="8">
                  <c:v>1.218417356705908</c:v>
                </c:pt>
                <c:pt idx="9">
                  <c:v>0.96380600702689145</c:v>
                </c:pt>
                <c:pt idx="10">
                  <c:v>0.93918242594669421</c:v>
                </c:pt>
                <c:pt idx="11">
                  <c:v>-3.4423527250933725</c:v>
                </c:pt>
                <c:pt idx="12">
                  <c:v>-13.125196964309938</c:v>
                </c:pt>
                <c:pt idx="13">
                  <c:v>-14.240901834844594</c:v>
                </c:pt>
                <c:pt idx="14">
                  <c:v>-735.07817866204914</c:v>
                </c:pt>
                <c:pt idx="15">
                  <c:v>-723.64682655325464</c:v>
                </c:pt>
                <c:pt idx="16">
                  <c:v>8.1109833797420396</c:v>
                </c:pt>
                <c:pt idx="17">
                  <c:v>-33.747391773059377</c:v>
                </c:pt>
                <c:pt idx="18">
                  <c:v>-34.574451402816898</c:v>
                </c:pt>
                <c:pt idx="19">
                  <c:v>-8.2047842245224185</c:v>
                </c:pt>
                <c:pt idx="20">
                  <c:v>7.7110760618703509</c:v>
                </c:pt>
                <c:pt idx="21">
                  <c:v>8.1282300209012615</c:v>
                </c:pt>
                <c:pt idx="22">
                  <c:v>7.8713868278241419</c:v>
                </c:pt>
                <c:pt idx="23">
                  <c:v>6.3631204062816158</c:v>
                </c:pt>
                <c:pt idx="24">
                  <c:v>6.4543816593297967</c:v>
                </c:pt>
              </c:numCache>
            </c:numRef>
          </c:yVal>
          <c:smooth val="1"/>
          <c:extLst>
            <c:ext xmlns:c16="http://schemas.microsoft.com/office/drawing/2014/chart" uri="{C3380CC4-5D6E-409C-BE32-E72D297353CC}">
              <c16:uniqueId val="{00000006-6288-4EB2-9F3D-BADD2C48E22B}"/>
            </c:ext>
          </c:extLst>
        </c:ser>
        <c:ser>
          <c:idx val="3"/>
          <c:order val="3"/>
          <c:tx>
            <c:v>Virtual Profit - Stocks</c:v>
          </c:tx>
          <c:spPr>
            <a:ln w="19050" cap="rnd">
              <a:solidFill>
                <a:srgbClr val="00206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Analysis'!$BE$48:$BE$72</c:f>
              <c:numCache>
                <c:formatCode>0.00%</c:formatCode>
                <c:ptCount val="25"/>
                <c:pt idx="0">
                  <c:v>0</c:v>
                </c:pt>
                <c:pt idx="1">
                  <c:v>-0.10360430160845431</c:v>
                </c:pt>
                <c:pt idx="2">
                  <c:v>-0.14551464370820205</c:v>
                </c:pt>
                <c:pt idx="3">
                  <c:v>-0.16352659519100637</c:v>
                </c:pt>
                <c:pt idx="4">
                  <c:v>-0.23147108874325631</c:v>
                </c:pt>
                <c:pt idx="5">
                  <c:v>-0.23234324854071986</c:v>
                </c:pt>
                <c:pt idx="6">
                  <c:v>-0.16956707347697214</c:v>
                </c:pt>
                <c:pt idx="7">
                  <c:v>-0.17483792124940425</c:v>
                </c:pt>
                <c:pt idx="8">
                  <c:v>-0.12011600612076466</c:v>
                </c:pt>
                <c:pt idx="9">
                  <c:v>-2.3111981563427003E-2</c:v>
                </c:pt>
                <c:pt idx="10">
                  <c:v>-5.6034631556417573E-2</c:v>
                </c:pt>
                <c:pt idx="11">
                  <c:v>-4.3324683273930339E-2</c:v>
                </c:pt>
                <c:pt idx="12">
                  <c:v>-9.6018073990397825E-3</c:v>
                </c:pt>
                <c:pt idx="13">
                  <c:v>-1.9702445899254323E-2</c:v>
                </c:pt>
                <c:pt idx="14">
                  <c:v>-4.1194917794636368E-2</c:v>
                </c:pt>
                <c:pt idx="15">
                  <c:v>-0.12293472161606081</c:v>
                </c:pt>
                <c:pt idx="16">
                  <c:v>-8.7868972564443745E-2</c:v>
                </c:pt>
                <c:pt idx="17">
                  <c:v>5.3610801219265779E-2</c:v>
                </c:pt>
                <c:pt idx="18">
                  <c:v>0.18702191926984371</c:v>
                </c:pt>
                <c:pt idx="19">
                  <c:v>0.17452367680059452</c:v>
                </c:pt>
                <c:pt idx="20">
                  <c:v>0.13536904698845956</c:v>
                </c:pt>
                <c:pt idx="21">
                  <c:v>0.21707120715800518</c:v>
                </c:pt>
                <c:pt idx="22">
                  <c:v>0.25372265156534651</c:v>
                </c:pt>
                <c:pt idx="23">
                  <c:v>6.4704950076602027E-2</c:v>
                </c:pt>
                <c:pt idx="24">
                  <c:v>5.2078301090459946E-2</c:v>
                </c:pt>
              </c:numCache>
            </c:numRef>
          </c:yVal>
          <c:smooth val="1"/>
          <c:extLst>
            <c:ext xmlns:c16="http://schemas.microsoft.com/office/drawing/2014/chart" uri="{C3380CC4-5D6E-409C-BE32-E72D297353CC}">
              <c16:uniqueId val="{00000002-6288-4EB2-9F3D-BADD2C48E22B}"/>
            </c:ext>
          </c:extLst>
        </c:ser>
        <c:ser>
          <c:idx val="5"/>
          <c:order val="4"/>
          <c:tx>
            <c:v>Total Profit - Bitcoin</c:v>
          </c:tx>
          <c:spPr>
            <a:ln w="19050" cap="rnd">
              <a:solidFill>
                <a:srgbClr val="FFC00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Analysis'!$BK$48:$BK$72</c:f>
              <c:numCache>
                <c:formatCode>0.00%</c:formatCode>
                <c:ptCount val="25"/>
                <c:pt idx="0">
                  <c:v>0</c:v>
                </c:pt>
                <c:pt idx="1">
                  <c:v>0.19350926598428966</c:v>
                </c:pt>
                <c:pt idx="2">
                  <c:v>0.26750555302605855</c:v>
                </c:pt>
                <c:pt idx="3">
                  <c:v>0.24363492961335312</c:v>
                </c:pt>
                <c:pt idx="4">
                  <c:v>0.22254726527889179</c:v>
                </c:pt>
                <c:pt idx="5">
                  <c:v>0.23302713196234845</c:v>
                </c:pt>
                <c:pt idx="6">
                  <c:v>0.19528022746736504</c:v>
                </c:pt>
                <c:pt idx="7">
                  <c:v>0.18695263121019512</c:v>
                </c:pt>
                <c:pt idx="8">
                  <c:v>0.1572388275307193</c:v>
                </c:pt>
                <c:pt idx="9">
                  <c:v>0.1733353207473971</c:v>
                </c:pt>
                <c:pt idx="10">
                  <c:v>0.19342143289009578</c:v>
                </c:pt>
                <c:pt idx="11">
                  <c:v>0.27914727725896754</c:v>
                </c:pt>
                <c:pt idx="12">
                  <c:v>0.21899748265767169</c:v>
                </c:pt>
                <c:pt idx="13">
                  <c:v>0.2381520891412395</c:v>
                </c:pt>
                <c:pt idx="14">
                  <c:v>0.19142114894279119</c:v>
                </c:pt>
                <c:pt idx="15">
                  <c:v>0.1881778695152424</c:v>
                </c:pt>
                <c:pt idx="16">
                  <c:v>0.21375386070282495</c:v>
                </c:pt>
                <c:pt idx="17">
                  <c:v>0.24197249685264297</c:v>
                </c:pt>
                <c:pt idx="18">
                  <c:v>0.24802923579122682</c:v>
                </c:pt>
                <c:pt idx="19">
                  <c:v>0.2665604367076283</c:v>
                </c:pt>
                <c:pt idx="20">
                  <c:v>0.25134391625729041</c:v>
                </c:pt>
                <c:pt idx="21">
                  <c:v>0.26420096872009652</c:v>
                </c:pt>
                <c:pt idx="22">
                  <c:v>0.25628483527196</c:v>
                </c:pt>
                <c:pt idx="23">
                  <c:v>0.20979873562014231</c:v>
                </c:pt>
                <c:pt idx="24">
                  <c:v>0.21261148782555758</c:v>
                </c:pt>
              </c:numCache>
            </c:numRef>
          </c:yVal>
          <c:smooth val="1"/>
          <c:extLst>
            <c:ext xmlns:c16="http://schemas.microsoft.com/office/drawing/2014/chart" uri="{C3380CC4-5D6E-409C-BE32-E72D297353CC}">
              <c16:uniqueId val="{00000005-6288-4EB2-9F3D-BADD2C48E22B}"/>
            </c:ext>
          </c:extLst>
        </c:ser>
        <c:ser>
          <c:idx val="4"/>
          <c:order val="5"/>
          <c:tx>
            <c:v>Total Profit - Stocks</c:v>
          </c:tx>
          <c:spPr>
            <a:ln w="19050" cap="rnd">
              <a:solidFill>
                <a:srgbClr val="FF990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Analysis'!$BI$48:$BI$72</c:f>
              <c:numCache>
                <c:formatCode>0.00%</c:formatCode>
                <c:ptCount val="25"/>
                <c:pt idx="0">
                  <c:v>0</c:v>
                </c:pt>
                <c:pt idx="1">
                  <c:v>-2.4102143314427837E-2</c:v>
                </c:pt>
                <c:pt idx="2">
                  <c:v>4.4260166567433694E-3</c:v>
                </c:pt>
                <c:pt idx="3">
                  <c:v>1.4014519436217341E-2</c:v>
                </c:pt>
                <c:pt idx="4">
                  <c:v>-9.7876756707166376E-3</c:v>
                </c:pt>
                <c:pt idx="5">
                  <c:v>3.7969704052952164E-3</c:v>
                </c:pt>
                <c:pt idx="6">
                  <c:v>-2.0927676412397793E-3</c:v>
                </c:pt>
                <c:pt idx="7">
                  <c:v>-6.0901149748162136E-3</c:v>
                </c:pt>
                <c:pt idx="8">
                  <c:v>-2.2949540517407823E-4</c:v>
                </c:pt>
                <c:pt idx="9">
                  <c:v>2.4548695850532997E-2</c:v>
                </c:pt>
                <c:pt idx="10">
                  <c:v>2.7069031749150457E-2</c:v>
                </c:pt>
                <c:pt idx="11">
                  <c:v>3.2282166301047507E-2</c:v>
                </c:pt>
                <c:pt idx="12">
                  <c:v>5.7467079313065161E-2</c:v>
                </c:pt>
                <c:pt idx="13">
                  <c:v>5.1805504692000688E-2</c:v>
                </c:pt>
                <c:pt idx="14">
                  <c:v>4.3107187474838903E-2</c:v>
                </c:pt>
                <c:pt idx="15">
                  <c:v>2.0296175655984554E-4</c:v>
                </c:pt>
                <c:pt idx="16">
                  <c:v>1.3156984084177994E-2</c:v>
                </c:pt>
                <c:pt idx="17">
                  <c:v>8.6756180723669737E-2</c:v>
                </c:pt>
                <c:pt idx="18">
                  <c:v>0.16571719367862867</c:v>
                </c:pt>
                <c:pt idx="19">
                  <c:v>0.16545864533838203</c:v>
                </c:pt>
                <c:pt idx="20">
                  <c:v>0.14425298222818042</c:v>
                </c:pt>
                <c:pt idx="21">
                  <c:v>0.20767247284653928</c:v>
                </c:pt>
                <c:pt idx="22">
                  <c:v>0.2621889914032029</c:v>
                </c:pt>
                <c:pt idx="23">
                  <c:v>0.13174787508014926</c:v>
                </c:pt>
                <c:pt idx="24">
                  <c:v>0.12147900685424098</c:v>
                </c:pt>
              </c:numCache>
            </c:numRef>
          </c:yVal>
          <c:smooth val="1"/>
          <c:extLst>
            <c:ext xmlns:c16="http://schemas.microsoft.com/office/drawing/2014/chart" uri="{C3380CC4-5D6E-409C-BE32-E72D297353CC}">
              <c16:uniqueId val="{00000004-6288-4EB2-9F3D-BADD2C48E22B}"/>
            </c:ext>
          </c:extLst>
        </c:ser>
        <c:ser>
          <c:idx val="6"/>
          <c:order val="6"/>
          <c:tx>
            <c:v>Net Profit</c:v>
          </c:tx>
          <c:spPr>
            <a:ln w="19050" cap="rnd">
              <a:solidFill>
                <a:srgbClr val="FE4F00"/>
              </a:solidFill>
              <a:round/>
            </a:ln>
            <a:effectLst/>
          </c:spPr>
          <c:marker>
            <c:symbol val="none"/>
          </c:marker>
          <c:xVal>
            <c:numRef>
              <c:f>'Data Analysis'!$B$48:$B$72</c:f>
              <c:numCache>
                <c:formatCode>mmm\-yyyy</c:formatCode>
                <c:ptCount val="25"/>
                <c:pt idx="0">
                  <c:v>45261</c:v>
                </c:pt>
                <c:pt idx="1">
                  <c:v>45292</c:v>
                </c:pt>
                <c:pt idx="2">
                  <c:v>45323</c:v>
                </c:pt>
                <c:pt idx="3">
                  <c:v>45352</c:v>
                </c:pt>
                <c:pt idx="4">
                  <c:v>45383</c:v>
                </c:pt>
                <c:pt idx="5">
                  <c:v>45413</c:v>
                </c:pt>
                <c:pt idx="6">
                  <c:v>45444</c:v>
                </c:pt>
                <c:pt idx="7">
                  <c:v>45474</c:v>
                </c:pt>
                <c:pt idx="8">
                  <c:v>45505</c:v>
                </c:pt>
                <c:pt idx="9">
                  <c:v>45536</c:v>
                </c:pt>
                <c:pt idx="10">
                  <c:v>45566</c:v>
                </c:pt>
                <c:pt idx="11">
                  <c:v>45597</c:v>
                </c:pt>
                <c:pt idx="12">
                  <c:v>45627</c:v>
                </c:pt>
                <c:pt idx="13">
                  <c:v>45658</c:v>
                </c:pt>
                <c:pt idx="14">
                  <c:v>45689</c:v>
                </c:pt>
                <c:pt idx="15">
                  <c:v>45717</c:v>
                </c:pt>
                <c:pt idx="16">
                  <c:v>45748</c:v>
                </c:pt>
                <c:pt idx="17">
                  <c:v>45778</c:v>
                </c:pt>
                <c:pt idx="18">
                  <c:v>45809</c:v>
                </c:pt>
                <c:pt idx="19">
                  <c:v>45839</c:v>
                </c:pt>
                <c:pt idx="20">
                  <c:v>45870</c:v>
                </c:pt>
                <c:pt idx="21">
                  <c:v>45901</c:v>
                </c:pt>
                <c:pt idx="22">
                  <c:v>45931</c:v>
                </c:pt>
                <c:pt idx="23">
                  <c:v>45962</c:v>
                </c:pt>
                <c:pt idx="24">
                  <c:v>45992</c:v>
                </c:pt>
              </c:numCache>
            </c:numRef>
          </c:xVal>
          <c:yVal>
            <c:numRef>
              <c:f>'Data Analysis'!$BM$48:$BM$72</c:f>
              <c:numCache>
                <c:formatCode>0.00%</c:formatCode>
                <c:ptCount val="25"/>
                <c:pt idx="0">
                  <c:v>0</c:v>
                </c:pt>
                <c:pt idx="1">
                  <c:v>3.9347231812945083E-2</c:v>
                </c:pt>
                <c:pt idx="2">
                  <c:v>6.9318722536176658E-2</c:v>
                </c:pt>
                <c:pt idx="3">
                  <c:v>7.0046923217461643E-2</c:v>
                </c:pt>
                <c:pt idx="4">
                  <c:v>4.3907738302436217E-2</c:v>
                </c:pt>
                <c:pt idx="5">
                  <c:v>5.7313560335157998E-2</c:v>
                </c:pt>
                <c:pt idx="6">
                  <c:v>3.9334224599937517E-2</c:v>
                </c:pt>
                <c:pt idx="7">
                  <c:v>3.1958606125843003E-2</c:v>
                </c:pt>
                <c:pt idx="8">
                  <c:v>2.8794039859635578E-2</c:v>
                </c:pt>
                <c:pt idx="9">
                  <c:v>5.2468259248993121E-2</c:v>
                </c:pt>
                <c:pt idx="10">
                  <c:v>5.8332772918334053E-2</c:v>
                </c:pt>
                <c:pt idx="11">
                  <c:v>8.1618680736959437E-2</c:v>
                </c:pt>
                <c:pt idx="12">
                  <c:v>9.291367040230547E-2</c:v>
                </c:pt>
                <c:pt idx="13">
                  <c:v>9.219869288414495E-2</c:v>
                </c:pt>
                <c:pt idx="14">
                  <c:v>7.5960919688998985E-2</c:v>
                </c:pt>
                <c:pt idx="15">
                  <c:v>4.0301703548367929E-2</c:v>
                </c:pt>
                <c:pt idx="16">
                  <c:v>5.6224040078587612E-2</c:v>
                </c:pt>
                <c:pt idx="17">
                  <c:v>0.11830637323528226</c:v>
                </c:pt>
                <c:pt idx="18">
                  <c:v>0.18093617708041032</c:v>
                </c:pt>
                <c:pt idx="19">
                  <c:v>0.18166655120413666</c:v>
                </c:pt>
                <c:pt idx="20">
                  <c:v>0.15925080849571116</c:v>
                </c:pt>
                <c:pt idx="21">
                  <c:v>0.21476459903680167</c:v>
                </c:pt>
                <c:pt idx="22">
                  <c:v>0.26158942807248042</c:v>
                </c:pt>
                <c:pt idx="23">
                  <c:v>0.1383951893719928</c:v>
                </c:pt>
                <c:pt idx="24">
                  <c:v>0.12844772367517376</c:v>
                </c:pt>
              </c:numCache>
            </c:numRef>
          </c:yVal>
          <c:smooth val="1"/>
          <c:extLst>
            <c:ext xmlns:c16="http://schemas.microsoft.com/office/drawing/2014/chart" uri="{C3380CC4-5D6E-409C-BE32-E72D297353CC}">
              <c16:uniqueId val="{00000001-E0EE-45A2-BAC4-F5184F301A8C}"/>
            </c:ext>
          </c:extLst>
        </c:ser>
        <c:dLbls>
          <c:showLegendKey val="0"/>
          <c:showVal val="0"/>
          <c:showCatName val="0"/>
          <c:showSerName val="0"/>
          <c:showPercent val="0"/>
          <c:showBubbleSize val="0"/>
        </c:dLbls>
        <c:axId val="931065008"/>
        <c:axId val="931066256"/>
      </c:scatterChart>
      <c:valAx>
        <c:axId val="931065008"/>
        <c:scaling>
          <c:orientation val="minMax"/>
          <c:min val="44300"/>
        </c:scaling>
        <c:delete val="0"/>
        <c:axPos val="b"/>
        <c:numFmt formatCode="m/d/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6256"/>
        <c:crosses val="autoZero"/>
        <c:crossBetween val="midCat"/>
      </c:valAx>
      <c:valAx>
        <c:axId val="931066256"/>
        <c:scaling>
          <c:orientation val="minMax"/>
          <c:max val="0.5"/>
          <c:min val="-0.25"/>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65008"/>
        <c:crosses val="autoZero"/>
        <c:crossBetween val="midCat"/>
      </c:valAx>
      <c:spPr>
        <a:noFill/>
        <a:ln>
          <a:noFill/>
        </a:ln>
        <a:effectLst/>
      </c:spPr>
    </c:plotArea>
    <c:legend>
      <c:legendPos val="t"/>
      <c:layout>
        <c:manualLayout>
          <c:xMode val="edge"/>
          <c:yMode val="edge"/>
          <c:x val="0.14852934816770727"/>
          <c:y val="0.11825203252032522"/>
          <c:w val="0.72043250366282252"/>
          <c:h val="0.13109852122143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F35-44BA-82E0-4FB670042A6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F35-44BA-82E0-4FB670042A6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F35-44BA-82E0-4FB670042A6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F35-44BA-82E0-4FB670042A6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F35-44BA-82E0-4FB670042A6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9F35-44BA-82E0-4FB670042A6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9F35-44BA-82E0-4FB670042A6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9F35-44BA-82E0-4FB670042A6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7-9F35-44BA-82E0-4FB670042A6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9-9F35-44BA-82E0-4FB670042A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Analysis'!$L$4:$P$4</c:f>
              <c:strCache>
                <c:ptCount val="5"/>
                <c:pt idx="0">
                  <c:v>Balance</c:v>
                </c:pt>
                <c:pt idx="1">
                  <c:v>Savings A</c:v>
                </c:pt>
                <c:pt idx="2">
                  <c:v>Savings B</c:v>
                </c:pt>
                <c:pt idx="3">
                  <c:v>Bitcoin</c:v>
                </c:pt>
                <c:pt idx="4">
                  <c:v>Stocks</c:v>
                </c:pt>
              </c:strCache>
            </c:strRef>
          </c:cat>
          <c:val>
            <c:numRef>
              <c:f>'Data Analysis'!$L$66:$P$66</c:f>
              <c:numCache>
                <c:formatCode>_("$"* #,##0.00_);_("$"* \(#,##0.00\);_("$"* "-"??_);_(@_)</c:formatCode>
                <c:ptCount val="5"/>
                <c:pt idx="0">
                  <c:v>1419.3600000000001</c:v>
                </c:pt>
                <c:pt idx="1">
                  <c:v>290</c:v>
                </c:pt>
                <c:pt idx="2">
                  <c:v>1066.0899999999999</c:v>
                </c:pt>
                <c:pt idx="3">
                  <c:v>281.65989106064035</c:v>
                </c:pt>
                <c:pt idx="4">
                  <c:v>3092.75</c:v>
                </c:pt>
              </c:numCache>
            </c:numRef>
          </c:val>
          <c:extLst>
            <c:ext xmlns:c16="http://schemas.microsoft.com/office/drawing/2014/chart" uri="{C3380CC4-5D6E-409C-BE32-E72D297353CC}">
              <c16:uniqueId val="{0000000C-9F35-44BA-82E0-4FB670042A6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Deviation from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699398017739171E-2"/>
          <c:y val="0.15605555555555559"/>
          <c:w val="0.8893913722860658"/>
          <c:h val="0.78283333333333338"/>
        </c:manualLayout>
      </c:layout>
      <c:lineChart>
        <c:grouping val="standard"/>
        <c:varyColors val="0"/>
        <c:ser>
          <c:idx val="1"/>
          <c:order val="0"/>
          <c:tx>
            <c:v>$</c:v>
          </c:tx>
          <c:spPr>
            <a:ln w="25400" cap="rnd">
              <a:solidFill>
                <a:srgbClr val="00B050"/>
              </a:solidFill>
              <a:round/>
            </a:ln>
            <a:effectLst>
              <a:glow rad="76200">
                <a:srgbClr val="00B05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Analysis'!$AR$6:$AR$132</c:f>
              <c:numCache>
                <c:formatCode>_("$"* #,##0.00_);_("$"* \(#,##0.00\);_("$"* "-"??_);_(@_)</c:formatCode>
                <c:ptCount val="127"/>
                <c:pt idx="0">
                  <c:v>-70.730000000000132</c:v>
                </c:pt>
                <c:pt idx="1">
                  <c:v>-77.620000000000118</c:v>
                </c:pt>
                <c:pt idx="2">
                  <c:v>-69.62</c:v>
                </c:pt>
                <c:pt idx="3">
                  <c:v>-75.139999999998054</c:v>
                </c:pt>
                <c:pt idx="4">
                  <c:v>-69.589999999998327</c:v>
                </c:pt>
                <c:pt idx="5">
                  <c:v>-63.53999999999769</c:v>
                </c:pt>
                <c:pt idx="6">
                  <c:v>-55.499999999998181</c:v>
                </c:pt>
                <c:pt idx="7">
                  <c:v>-62.469999999997981</c:v>
                </c:pt>
                <c:pt idx="8">
                  <c:v>-48.659999999998149</c:v>
                </c:pt>
                <c:pt idx="9">
                  <c:v>-49.639999999998167</c:v>
                </c:pt>
                <c:pt idx="10">
                  <c:v>-26.169999999998083</c:v>
                </c:pt>
                <c:pt idx="11">
                  <c:v>-17.219999999997071</c:v>
                </c:pt>
                <c:pt idx="12">
                  <c:v>-20.97999999999729</c:v>
                </c:pt>
                <c:pt idx="13">
                  <c:v>-21.31999999999789</c:v>
                </c:pt>
                <c:pt idx="14">
                  <c:v>4.3600000000024011</c:v>
                </c:pt>
                <c:pt idx="15">
                  <c:v>-6.1299999999982901</c:v>
                </c:pt>
                <c:pt idx="16">
                  <c:v>30.240000000001601</c:v>
                </c:pt>
                <c:pt idx="17">
                  <c:v>37.540000000002692</c:v>
                </c:pt>
                <c:pt idx="18">
                  <c:v>37.700000000004366</c:v>
                </c:pt>
                <c:pt idx="19">
                  <c:v>22.450000000002547</c:v>
                </c:pt>
                <c:pt idx="20">
                  <c:v>35.990000000001601</c:v>
                </c:pt>
                <c:pt idx="21">
                  <c:v>43.030000000002474</c:v>
                </c:pt>
                <c:pt idx="22">
                  <c:v>-1.7799999999970169</c:v>
                </c:pt>
                <c:pt idx="23">
                  <c:v>-45.799999999997453</c:v>
                </c:pt>
                <c:pt idx="24">
                  <c:v>-71.869999999997162</c:v>
                </c:pt>
                <c:pt idx="25">
                  <c:v>-46.239999999997963</c:v>
                </c:pt>
                <c:pt idx="26">
                  <c:v>-53.109999999997854</c:v>
                </c:pt>
                <c:pt idx="27">
                  <c:v>-48.50999999999749</c:v>
                </c:pt>
                <c:pt idx="28">
                  <c:v>-98.839999999997417</c:v>
                </c:pt>
                <c:pt idx="29">
                  <c:v>-126.08999999999787</c:v>
                </c:pt>
                <c:pt idx="30">
                  <c:v>-156.29999999999745</c:v>
                </c:pt>
                <c:pt idx="31">
                  <c:v>-116.54999999999734</c:v>
                </c:pt>
                <c:pt idx="32">
                  <c:v>-33.64999999999759</c:v>
                </c:pt>
                <c:pt idx="33">
                  <c:v>-112.80999999999722</c:v>
                </c:pt>
                <c:pt idx="34">
                  <c:v>-192.15999999999758</c:v>
                </c:pt>
                <c:pt idx="35">
                  <c:v>-204.31999999999698</c:v>
                </c:pt>
                <c:pt idx="36">
                  <c:v>-241.45999999999685</c:v>
                </c:pt>
                <c:pt idx="37">
                  <c:v>-258.44999999999641</c:v>
                </c:pt>
                <c:pt idx="38">
                  <c:v>-208.2099999999964</c:v>
                </c:pt>
                <c:pt idx="39">
                  <c:v>-266.61999999999671</c:v>
                </c:pt>
                <c:pt idx="40">
                  <c:v>-286.07999999999629</c:v>
                </c:pt>
                <c:pt idx="41">
                  <c:v>-313.64999999999691</c:v>
                </c:pt>
                <c:pt idx="42">
                  <c:v>-22.129999999997153</c:v>
                </c:pt>
                <c:pt idx="43">
                  <c:v>2.5011104298755527E-12</c:v>
                </c:pt>
                <c:pt idx="44">
                  <c:v>12.995605220218522</c:v>
                </c:pt>
                <c:pt idx="45">
                  <c:v>6.5309983433865</c:v>
                </c:pt>
                <c:pt idx="46">
                  <c:v>-33.463577054024881</c:v>
                </c:pt>
                <c:pt idx="47">
                  <c:v>-1.2295500216000619</c:v>
                </c:pt>
                <c:pt idx="48">
                  <c:v>32.304914581805406</c:v>
                </c:pt>
                <c:pt idx="49">
                  <c:v>-26.212969848446392</c:v>
                </c:pt>
                <c:pt idx="50">
                  <c:v>-84.295159747803154</c:v>
                </c:pt>
                <c:pt idx="51">
                  <c:v>123.67563134436523</c:v>
                </c:pt>
                <c:pt idx="52">
                  <c:v>194.85475880699596</c:v>
                </c:pt>
                <c:pt idx="53">
                  <c:v>125.64603742569352</c:v>
                </c:pt>
                <c:pt idx="54">
                  <c:v>263.16546318735618</c:v>
                </c:pt>
                <c:pt idx="55">
                  <c:v>304.91565412592172</c:v>
                </c:pt>
                <c:pt idx="56">
                  <c:v>217.42413526574865</c:v>
                </c:pt>
                <c:pt idx="57">
                  <c:v>28.020960488897799</c:v>
                </c:pt>
                <c:pt idx="58">
                  <c:v>-3.1415693304043089</c:v>
                </c:pt>
                <c:pt idx="59">
                  <c:v>455.84428931101866</c:v>
                </c:pt>
                <c:pt idx="60">
                  <c:v>864.70258660211312</c:v>
                </c:pt>
                <c:pt idx="61">
                  <c:v>1066.8010038118973</c:v>
                </c:pt>
                <c:pt idx="62">
                  <c:v>1050.1897188100138</c:v>
                </c:pt>
                <c:pt idx="63">
                  <c:v>1712.9581152587798</c:v>
                </c:pt>
                <c:pt idx="64">
                  <c:v>2596.1897885872659</c:v>
                </c:pt>
                <c:pt idx="65">
                  <c:v>1563.207637131125</c:v>
                </c:pt>
                <c:pt idx="66">
                  <c:v>1651.249785420041</c:v>
                </c:pt>
                <c:pt idx="67">
                  <c:v>2109.0236010931549</c:v>
                </c:pt>
                <c:pt idx="68">
                  <c:v>310.15026846510955</c:v>
                </c:pt>
              </c:numCache>
            </c:numRef>
          </c:val>
          <c:smooth val="0"/>
          <c:extLst>
            <c:ext xmlns:c16="http://schemas.microsoft.com/office/drawing/2014/chart" uri="{C3380CC4-5D6E-409C-BE32-E72D297353CC}">
              <c16:uniqueId val="{00000000-F2F7-4D3E-8220-5B5CC1D9132F}"/>
            </c:ext>
          </c:extLst>
        </c:ser>
        <c:ser>
          <c:idx val="0"/>
          <c:order val="1"/>
          <c:tx>
            <c:v>Velocity</c:v>
          </c:tx>
          <c:spPr>
            <a:ln w="25400" cap="rnd">
              <a:solidFill>
                <a:srgbClr val="00B0F0"/>
              </a:solidFill>
              <a:round/>
            </a:ln>
            <a:effectLst>
              <a:glow rad="76200">
                <a:srgbClr val="00B0F0">
                  <a:alpha val="20000"/>
                </a:srgb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Analysis'!$AS$6:$AS$132</c:f>
              <c:numCache>
                <c:formatCode>_("$"* #,##0.00_);_("$"* \(#,##0.00\);_("$"* "-"??_);_(@_)</c:formatCode>
                <c:ptCount val="127"/>
                <c:pt idx="0">
                  <c:v>-70.730000000000018</c:v>
                </c:pt>
                <c:pt idx="1">
                  <c:v>-6.8900000000001</c:v>
                </c:pt>
                <c:pt idx="2">
                  <c:v>8</c:v>
                </c:pt>
                <c:pt idx="3">
                  <c:v>-5.5199999999977081</c:v>
                </c:pt>
                <c:pt idx="4">
                  <c:v>5.5499999999999545</c:v>
                </c:pt>
                <c:pt idx="5">
                  <c:v>6.0500000000001819</c:v>
                </c:pt>
                <c:pt idx="6">
                  <c:v>8.0399999999997362</c:v>
                </c:pt>
                <c:pt idx="7">
                  <c:v>-6.9699999999997999</c:v>
                </c:pt>
                <c:pt idx="8">
                  <c:v>13.809999999999945</c:v>
                </c:pt>
                <c:pt idx="9">
                  <c:v>-0.98000000000001819</c:v>
                </c:pt>
                <c:pt idx="10">
                  <c:v>23.470000000000027</c:v>
                </c:pt>
                <c:pt idx="11">
                  <c:v>8.9500000000007276</c:v>
                </c:pt>
                <c:pt idx="12">
                  <c:v>-3.7600000000004457</c:v>
                </c:pt>
                <c:pt idx="13">
                  <c:v>-0.34000000000014552</c:v>
                </c:pt>
                <c:pt idx="14">
                  <c:v>5.6800000000007458</c:v>
                </c:pt>
                <c:pt idx="15">
                  <c:v>-10.490000000001146</c:v>
                </c:pt>
                <c:pt idx="16">
                  <c:v>36.3700000000008</c:v>
                </c:pt>
                <c:pt idx="17">
                  <c:v>7.3000000000006366</c:v>
                </c:pt>
                <c:pt idx="18">
                  <c:v>0.16000000000076398</c:v>
                </c:pt>
                <c:pt idx="19">
                  <c:v>-15.250000000001364</c:v>
                </c:pt>
                <c:pt idx="20">
                  <c:v>13.539999999999964</c:v>
                </c:pt>
                <c:pt idx="21">
                  <c:v>7.0399999999999636</c:v>
                </c:pt>
                <c:pt idx="22">
                  <c:v>-44.809999999998581</c:v>
                </c:pt>
                <c:pt idx="23">
                  <c:v>-44.019999999999982</c:v>
                </c:pt>
                <c:pt idx="24">
                  <c:v>-26.070000000000164</c:v>
                </c:pt>
                <c:pt idx="25">
                  <c:v>25.629999999999654</c:v>
                </c:pt>
                <c:pt idx="26">
                  <c:v>-6.8699999999998909</c:v>
                </c:pt>
                <c:pt idx="27">
                  <c:v>4.6000000000003638</c:v>
                </c:pt>
                <c:pt idx="28">
                  <c:v>-50.330000000000382</c:v>
                </c:pt>
                <c:pt idx="29">
                  <c:v>-27.250000000000455</c:v>
                </c:pt>
                <c:pt idx="30">
                  <c:v>-35.210000000000036</c:v>
                </c:pt>
                <c:pt idx="31">
                  <c:v>39.750000000000227</c:v>
                </c:pt>
                <c:pt idx="32">
                  <c:v>82.899999999999864</c:v>
                </c:pt>
                <c:pt idx="33">
                  <c:v>-79.159999999999854</c:v>
                </c:pt>
                <c:pt idx="34">
                  <c:v>-79.350000000000136</c:v>
                </c:pt>
                <c:pt idx="35">
                  <c:v>-12.159999999999854</c:v>
                </c:pt>
                <c:pt idx="36">
                  <c:v>-37.1400000000001</c:v>
                </c:pt>
                <c:pt idx="37">
                  <c:v>-16.989999999999782</c:v>
                </c:pt>
                <c:pt idx="38">
                  <c:v>50.240000000000009</c:v>
                </c:pt>
                <c:pt idx="39">
                  <c:v>-58.410000000000309</c:v>
                </c:pt>
                <c:pt idx="40">
                  <c:v>-19.459999999999582</c:v>
                </c:pt>
                <c:pt idx="41">
                  <c:v>-27.570000000000618</c:v>
                </c:pt>
                <c:pt idx="42">
                  <c:v>9.6499999999996362</c:v>
                </c:pt>
                <c:pt idx="43">
                  <c:v>34.647304458528652</c:v>
                </c:pt>
                <c:pt idx="44">
                  <c:v>12.995605220216021</c:v>
                </c:pt>
                <c:pt idx="45">
                  <c:v>-6.464606876832022</c:v>
                </c:pt>
                <c:pt idx="46">
                  <c:v>-39.994575397411154</c:v>
                </c:pt>
                <c:pt idx="47">
                  <c:v>32.234027032425274</c:v>
                </c:pt>
                <c:pt idx="48">
                  <c:v>33.534464603405922</c:v>
                </c:pt>
                <c:pt idx="49">
                  <c:v>-58.517884430251797</c:v>
                </c:pt>
                <c:pt idx="50">
                  <c:v>-58.082189899356763</c:v>
                </c:pt>
                <c:pt idx="51">
                  <c:v>207.97079109216838</c:v>
                </c:pt>
                <c:pt idx="52">
                  <c:v>71.179127462630731</c:v>
                </c:pt>
                <c:pt idx="53">
                  <c:v>-69.208721381301984</c:v>
                </c:pt>
                <c:pt idx="54">
                  <c:v>137.51942576166266</c:v>
                </c:pt>
                <c:pt idx="55">
                  <c:v>41.750190938565538</c:v>
                </c:pt>
                <c:pt idx="56">
                  <c:v>-87.491518860173073</c:v>
                </c:pt>
                <c:pt idx="57">
                  <c:v>-189.40317477685085</c:v>
                </c:pt>
                <c:pt idx="58">
                  <c:v>-31.162529819302108</c:v>
                </c:pt>
                <c:pt idx="59">
                  <c:v>458.98585864142296</c:v>
                </c:pt>
                <c:pt idx="60">
                  <c:v>408.85829729109446</c:v>
                </c:pt>
                <c:pt idx="61">
                  <c:v>202.09841720978375</c:v>
                </c:pt>
                <c:pt idx="62">
                  <c:v>-16.611285001883061</c:v>
                </c:pt>
                <c:pt idx="63">
                  <c:v>662.76839644876691</c:v>
                </c:pt>
                <c:pt idx="64">
                  <c:v>883.23167332848607</c:v>
                </c:pt>
                <c:pt idx="65">
                  <c:v>-1032.982151456139</c:v>
                </c:pt>
                <c:pt idx="66">
                  <c:v>88.042148288914177</c:v>
                </c:pt>
                <c:pt idx="67">
                  <c:v>457.77381567311568</c:v>
                </c:pt>
                <c:pt idx="68">
                  <c:v>-1798.8733326280453</c:v>
                </c:pt>
              </c:numCache>
            </c:numRef>
          </c:val>
          <c:smooth val="0"/>
          <c:extLst xmlns:c15="http://schemas.microsoft.com/office/drawing/2012/chart">
            <c:ext xmlns:c16="http://schemas.microsoft.com/office/drawing/2014/chart" uri="{C3380CC4-5D6E-409C-BE32-E72D297353CC}">
              <c16:uniqueId val="{00000001-F2F7-4D3E-8220-5B5CC1D9132F}"/>
            </c:ext>
          </c:extLst>
        </c:ser>
        <c:ser>
          <c:idx val="2"/>
          <c:order val="2"/>
          <c:tx>
            <c:v>Acceleration</c:v>
          </c:tx>
          <c:spPr>
            <a:ln w="25400" cap="rnd">
              <a:solidFill>
                <a:srgbClr val="FE4F00"/>
              </a:solidFill>
              <a:round/>
            </a:ln>
            <a:effectLst>
              <a:glow rad="76200">
                <a:schemeClr val="accent2">
                  <a:alpha val="20000"/>
                </a:schemeClr>
              </a:glow>
            </a:effectLst>
          </c:spPr>
          <c:marker>
            <c:symbol val="none"/>
          </c:marker>
          <c:cat>
            <c:numRef>
              <c:f>'Data Analysis'!$B$5:$B$132</c:f>
              <c:numCache>
                <c:formatCode>mmm\-yyyy</c:formatCode>
                <c:ptCount val="12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pt idx="68">
                  <c:v>46023</c:v>
                </c:pt>
                <c:pt idx="69">
                  <c:v>46054</c:v>
                </c:pt>
                <c:pt idx="70">
                  <c:v>46082</c:v>
                </c:pt>
                <c:pt idx="71">
                  <c:v>46113</c:v>
                </c:pt>
                <c:pt idx="72">
                  <c:v>46143</c:v>
                </c:pt>
                <c:pt idx="73">
                  <c:v>46174</c:v>
                </c:pt>
                <c:pt idx="74">
                  <c:v>46204</c:v>
                </c:pt>
                <c:pt idx="75">
                  <c:v>46235</c:v>
                </c:pt>
                <c:pt idx="76">
                  <c:v>46266</c:v>
                </c:pt>
                <c:pt idx="77">
                  <c:v>46296</c:v>
                </c:pt>
                <c:pt idx="78">
                  <c:v>46327</c:v>
                </c:pt>
                <c:pt idx="79">
                  <c:v>46357</c:v>
                </c:pt>
                <c:pt idx="80">
                  <c:v>46388</c:v>
                </c:pt>
                <c:pt idx="81">
                  <c:v>46419</c:v>
                </c:pt>
                <c:pt idx="82">
                  <c:v>46447</c:v>
                </c:pt>
                <c:pt idx="83">
                  <c:v>46478</c:v>
                </c:pt>
                <c:pt idx="84">
                  <c:v>46508</c:v>
                </c:pt>
                <c:pt idx="85">
                  <c:v>46539</c:v>
                </c:pt>
                <c:pt idx="86">
                  <c:v>46569</c:v>
                </c:pt>
                <c:pt idx="87">
                  <c:v>46600</c:v>
                </c:pt>
                <c:pt idx="88">
                  <c:v>46631</c:v>
                </c:pt>
                <c:pt idx="89">
                  <c:v>46661</c:v>
                </c:pt>
                <c:pt idx="90">
                  <c:v>46692</c:v>
                </c:pt>
                <c:pt idx="91">
                  <c:v>46722</c:v>
                </c:pt>
                <c:pt idx="92">
                  <c:v>46753</c:v>
                </c:pt>
                <c:pt idx="93">
                  <c:v>46784</c:v>
                </c:pt>
                <c:pt idx="94">
                  <c:v>46813</c:v>
                </c:pt>
                <c:pt idx="95">
                  <c:v>46844</c:v>
                </c:pt>
                <c:pt idx="96">
                  <c:v>46874</c:v>
                </c:pt>
                <c:pt idx="97">
                  <c:v>46905</c:v>
                </c:pt>
                <c:pt idx="98">
                  <c:v>46935</c:v>
                </c:pt>
                <c:pt idx="99">
                  <c:v>46966</c:v>
                </c:pt>
                <c:pt idx="100">
                  <c:v>46997</c:v>
                </c:pt>
                <c:pt idx="101">
                  <c:v>47027</c:v>
                </c:pt>
                <c:pt idx="102">
                  <c:v>47058</c:v>
                </c:pt>
                <c:pt idx="103">
                  <c:v>47088</c:v>
                </c:pt>
                <c:pt idx="104">
                  <c:v>47119</c:v>
                </c:pt>
                <c:pt idx="105">
                  <c:v>47150</c:v>
                </c:pt>
                <c:pt idx="106">
                  <c:v>47178</c:v>
                </c:pt>
                <c:pt idx="107">
                  <c:v>47209</c:v>
                </c:pt>
                <c:pt idx="108">
                  <c:v>47239</c:v>
                </c:pt>
                <c:pt idx="109">
                  <c:v>47270</c:v>
                </c:pt>
                <c:pt idx="110">
                  <c:v>47300</c:v>
                </c:pt>
                <c:pt idx="111">
                  <c:v>47331</c:v>
                </c:pt>
                <c:pt idx="112">
                  <c:v>47362</c:v>
                </c:pt>
                <c:pt idx="113">
                  <c:v>47392</c:v>
                </c:pt>
                <c:pt idx="114">
                  <c:v>47423</c:v>
                </c:pt>
                <c:pt idx="115">
                  <c:v>47453</c:v>
                </c:pt>
                <c:pt idx="116">
                  <c:v>47484</c:v>
                </c:pt>
                <c:pt idx="117">
                  <c:v>47515</c:v>
                </c:pt>
                <c:pt idx="118">
                  <c:v>47543</c:v>
                </c:pt>
                <c:pt idx="119">
                  <c:v>47574</c:v>
                </c:pt>
                <c:pt idx="120">
                  <c:v>47604</c:v>
                </c:pt>
                <c:pt idx="121">
                  <c:v>47635</c:v>
                </c:pt>
                <c:pt idx="122">
                  <c:v>47665</c:v>
                </c:pt>
                <c:pt idx="123">
                  <c:v>47696</c:v>
                </c:pt>
                <c:pt idx="124">
                  <c:v>47727</c:v>
                </c:pt>
                <c:pt idx="125">
                  <c:v>47757</c:v>
                </c:pt>
                <c:pt idx="126">
                  <c:v>47788</c:v>
                </c:pt>
                <c:pt idx="127">
                  <c:v>47818</c:v>
                </c:pt>
              </c:numCache>
            </c:numRef>
          </c:cat>
          <c:val>
            <c:numRef>
              <c:f>'Data Analysis'!$AQ$6:$AQ$132</c:f>
              <c:numCache>
                <c:formatCode>_("$"* #,##0.00_);_("$"* \(#,##0.00\);_("$"* "-"??_);_(@_)</c:formatCode>
                <c:ptCount val="127"/>
                <c:pt idx="1">
                  <c:v>63.840000000000146</c:v>
                </c:pt>
                <c:pt idx="2">
                  <c:v>14.8900000000001</c:v>
                </c:pt>
                <c:pt idx="3">
                  <c:v>-13.519999999998618</c:v>
                </c:pt>
                <c:pt idx="4">
                  <c:v>11.06999999999789</c:v>
                </c:pt>
                <c:pt idx="5">
                  <c:v>0.50000000000090949</c:v>
                </c:pt>
                <c:pt idx="6">
                  <c:v>1.9899999999988722</c:v>
                </c:pt>
                <c:pt idx="7">
                  <c:v>-15.009999999999309</c:v>
                </c:pt>
                <c:pt idx="8">
                  <c:v>20.779999999999632</c:v>
                </c:pt>
                <c:pt idx="9">
                  <c:v>-14.789999999999964</c:v>
                </c:pt>
                <c:pt idx="10">
                  <c:v>24.450000000000045</c:v>
                </c:pt>
                <c:pt idx="11">
                  <c:v>-14.519999999999527</c:v>
                </c:pt>
                <c:pt idx="12">
                  <c:v>-12.710000000000946</c:v>
                </c:pt>
                <c:pt idx="13">
                  <c:v>3.419999999999618</c:v>
                </c:pt>
                <c:pt idx="14">
                  <c:v>26.020000000000891</c:v>
                </c:pt>
                <c:pt idx="15">
                  <c:v>-36.170000000000982</c:v>
                </c:pt>
                <c:pt idx="16">
                  <c:v>46.860000000000582</c:v>
                </c:pt>
                <c:pt idx="17">
                  <c:v>-29.069999999998799</c:v>
                </c:pt>
                <c:pt idx="18">
                  <c:v>-7.1399999999994179</c:v>
                </c:pt>
                <c:pt idx="19">
                  <c:v>-15.410000000003492</c:v>
                </c:pt>
                <c:pt idx="20">
                  <c:v>28.790000000000873</c:v>
                </c:pt>
                <c:pt idx="21">
                  <c:v>-6.499999999998181</c:v>
                </c:pt>
                <c:pt idx="22">
                  <c:v>-51.850000000000364</c:v>
                </c:pt>
                <c:pt idx="23">
                  <c:v>0.78999999999905413</c:v>
                </c:pt>
                <c:pt idx="24">
                  <c:v>17.950000000000728</c:v>
                </c:pt>
                <c:pt idx="25">
                  <c:v>51.699999999998909</c:v>
                </c:pt>
                <c:pt idx="26">
                  <c:v>-32.499999999999091</c:v>
                </c:pt>
                <c:pt idx="27">
                  <c:v>11.470000000000255</c:v>
                </c:pt>
                <c:pt idx="28">
                  <c:v>-54.930000000000291</c:v>
                </c:pt>
                <c:pt idx="29">
                  <c:v>23.079999999999472</c:v>
                </c:pt>
                <c:pt idx="30">
                  <c:v>-2.9599999999991269</c:v>
                </c:pt>
                <c:pt idx="31">
                  <c:v>69.959999999999809</c:v>
                </c:pt>
                <c:pt idx="32">
                  <c:v>43.149999999999636</c:v>
                </c:pt>
                <c:pt idx="33">
                  <c:v>-162.05999999999938</c:v>
                </c:pt>
                <c:pt idx="34">
                  <c:v>-0.19000000000073669</c:v>
                </c:pt>
                <c:pt idx="35">
                  <c:v>67.190000000000964</c:v>
                </c:pt>
                <c:pt idx="36">
                  <c:v>-24.980000000000473</c:v>
                </c:pt>
                <c:pt idx="37">
                  <c:v>20.150000000000318</c:v>
                </c:pt>
                <c:pt idx="38">
                  <c:v>67.229999999999563</c:v>
                </c:pt>
                <c:pt idx="39">
                  <c:v>-108.65000000000032</c:v>
                </c:pt>
                <c:pt idx="40">
                  <c:v>38.950000000000728</c:v>
                </c:pt>
                <c:pt idx="41">
                  <c:v>-8.1100000000010368</c:v>
                </c:pt>
                <c:pt idx="42">
                  <c:v>319.09000000000037</c:v>
                </c:pt>
                <c:pt idx="43">
                  <c:v>-269.3900000000001</c:v>
                </c:pt>
                <c:pt idx="44">
                  <c:v>-9.1343947797836336</c:v>
                </c:pt>
                <c:pt idx="45">
                  <c:v>-19.460212097048043</c:v>
                </c:pt>
                <c:pt idx="46">
                  <c:v>-33.529968520579359</c:v>
                </c:pt>
                <c:pt idx="47">
                  <c:v>72.228602429836201</c:v>
                </c:pt>
                <c:pt idx="48">
                  <c:v>1.3004375709806482</c:v>
                </c:pt>
                <c:pt idx="49">
                  <c:v>-92.052349033657265</c:v>
                </c:pt>
                <c:pt idx="50">
                  <c:v>0.4356945308950344</c:v>
                </c:pt>
                <c:pt idx="51">
                  <c:v>266.05298099152515</c:v>
                </c:pt>
                <c:pt idx="52">
                  <c:v>-136.79166362953765</c:v>
                </c:pt>
                <c:pt idx="53">
                  <c:v>-140.38784884393317</c:v>
                </c:pt>
                <c:pt idx="54">
                  <c:v>206.7281471429651</c:v>
                </c:pt>
                <c:pt idx="55">
                  <c:v>-95.769234823097122</c:v>
                </c:pt>
                <c:pt idx="56">
                  <c:v>-129.24170979873861</c:v>
                </c:pt>
                <c:pt idx="57">
                  <c:v>-101.91165591667777</c:v>
                </c:pt>
                <c:pt idx="58">
                  <c:v>158.24064495754874</c:v>
                </c:pt>
                <c:pt idx="59">
                  <c:v>490.14838846072507</c:v>
                </c:pt>
                <c:pt idx="60">
                  <c:v>-50.127561350328506</c:v>
                </c:pt>
                <c:pt idx="61">
                  <c:v>-206.75988008131026</c:v>
                </c:pt>
                <c:pt idx="62">
                  <c:v>-218.70970221166772</c:v>
                </c:pt>
                <c:pt idx="63">
                  <c:v>679.37968145064951</c:v>
                </c:pt>
                <c:pt idx="64">
                  <c:v>220.46327687972007</c:v>
                </c:pt>
                <c:pt idx="65">
                  <c:v>-1916.2138247846269</c:v>
                </c:pt>
                <c:pt idx="66">
                  <c:v>1121.0242997450569</c:v>
                </c:pt>
                <c:pt idx="67">
                  <c:v>369.73166738419786</c:v>
                </c:pt>
                <c:pt idx="68">
                  <c:v>-2256.6471483011592</c:v>
                </c:pt>
                <c:pt idx="69">
                  <c:v>1798.8733326280453</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2-F2F7-4D3E-8220-5B5CC1D9132F}"/>
            </c:ext>
          </c:extLst>
        </c:ser>
        <c:dLbls>
          <c:showLegendKey val="0"/>
          <c:showVal val="0"/>
          <c:showCatName val="0"/>
          <c:showSerName val="0"/>
          <c:showPercent val="0"/>
          <c:showBubbleSize val="0"/>
        </c:dLbls>
        <c:smooth val="0"/>
        <c:axId val="699983696"/>
        <c:axId val="699989520"/>
        <c:extLst/>
      </c:lineChart>
      <c:dateAx>
        <c:axId val="699983696"/>
        <c:scaling>
          <c:orientation val="minMax"/>
          <c:max val="47818"/>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0" i="0" u="none" strike="noStrike" kern="1200" baseline="0">
                <a:solidFill>
                  <a:schemeClr val="tx1">
                    <a:lumMod val="65000"/>
                    <a:lumOff val="35000"/>
                  </a:schemeClr>
                </a:solidFill>
                <a:latin typeface="+mn-lt"/>
                <a:ea typeface="+mn-ea"/>
                <a:cs typeface="+mn-cs"/>
              </a:defRPr>
            </a:pPr>
            <a:endParaRPr lang="en-US"/>
          </a:p>
        </c:txPr>
        <c:crossAx val="699989520"/>
        <c:crosses val="autoZero"/>
        <c:auto val="0"/>
        <c:lblOffset val="1000"/>
        <c:baseTimeUnit val="months"/>
        <c:majorUnit val="4"/>
        <c:majorTimeUnit val="months"/>
        <c:minorUnit val="1"/>
        <c:minorTimeUnit val="months"/>
      </c:dateAx>
      <c:valAx>
        <c:axId val="699989520"/>
        <c:scaling>
          <c:orientation val="minMax"/>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983696"/>
        <c:crosses val="autoZero"/>
        <c:crossBetween val="between"/>
      </c:valAx>
      <c:spPr>
        <a:noFill/>
        <a:ln>
          <a:noFill/>
        </a:ln>
        <a:effectLst/>
      </c:spPr>
    </c:plotArea>
    <c:legend>
      <c:legendPos val="l"/>
      <c:layout>
        <c:manualLayout>
          <c:xMode val="edge"/>
          <c:yMode val="edge"/>
          <c:x val="0.10241781493170551"/>
          <c:y val="0.12960461255449862"/>
          <c:w val="0.13166805857211003"/>
          <c:h val="0.33928301922636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Addiction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lotArea>
      <c:layout>
        <c:manualLayout>
          <c:layoutTarget val="inner"/>
          <c:xMode val="edge"/>
          <c:yMode val="edge"/>
          <c:x val="7.7769848995054194E-2"/>
          <c:y val="7.4909944620274255E-2"/>
          <c:w val="0.89995736711481955"/>
          <c:h val="0.64991397427634712"/>
        </c:manualLayout>
      </c:layout>
      <c:lineChart>
        <c:grouping val="standard"/>
        <c:varyColors val="0"/>
        <c:ser>
          <c:idx val="3"/>
          <c:order val="0"/>
          <c:tx>
            <c:v>Gym</c:v>
          </c:tx>
          <c:spPr>
            <a:ln w="22225" cap="rnd">
              <a:solidFill>
                <a:schemeClr val="accent4"/>
              </a:solidFill>
            </a:ln>
            <a:effectLst/>
          </c:spPr>
          <c:marker>
            <c:symbol val="none"/>
          </c:marker>
          <c:cat>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cat>
          <c:val>
            <c:numRef>
              <c:f>'Data Analysis'!$BU$5:$BU$72</c:f>
              <c:numCache>
                <c:formatCode>General</c:formatCode>
                <c:ptCount val="68"/>
                <c:pt idx="16">
                  <c:v>200</c:v>
                </c:pt>
                <c:pt idx="17">
                  <c:v>612.90322580645159</c:v>
                </c:pt>
                <c:pt idx="18">
                  <c:v>633.33333333333326</c:v>
                </c:pt>
                <c:pt idx="19">
                  <c:v>516.12903225806451</c:v>
                </c:pt>
                <c:pt idx="20">
                  <c:v>516.12903225806451</c:v>
                </c:pt>
                <c:pt idx="21">
                  <c:v>655.17241379310337</c:v>
                </c:pt>
                <c:pt idx="22">
                  <c:v>612.90322580645159</c:v>
                </c:pt>
                <c:pt idx="23">
                  <c:v>800</c:v>
                </c:pt>
                <c:pt idx="24">
                  <c:v>774.19354838709671</c:v>
                </c:pt>
                <c:pt idx="25">
                  <c:v>800</c:v>
                </c:pt>
                <c:pt idx="26">
                  <c:v>833.33333333333337</c:v>
                </c:pt>
                <c:pt idx="27">
                  <c:v>870.9677419354839</c:v>
                </c:pt>
                <c:pt idx="28">
                  <c:v>866.66666666666674</c:v>
                </c:pt>
                <c:pt idx="29">
                  <c:v>709.67741935483878</c:v>
                </c:pt>
                <c:pt idx="30">
                  <c:v>733.33333333333326</c:v>
                </c:pt>
                <c:pt idx="31">
                  <c:v>838.70967741935488</c:v>
                </c:pt>
                <c:pt idx="32">
                  <c:v>806.45161290322574</c:v>
                </c:pt>
                <c:pt idx="33">
                  <c:v>827.58620689655174</c:v>
                </c:pt>
                <c:pt idx="34">
                  <c:v>806.45161290322574</c:v>
                </c:pt>
                <c:pt idx="35">
                  <c:v>700</c:v>
                </c:pt>
                <c:pt idx="36">
                  <c:v>612.90322580645159</c:v>
                </c:pt>
                <c:pt idx="37">
                  <c:v>566.66666666666663</c:v>
                </c:pt>
                <c:pt idx="38">
                  <c:v>566.66666666666663</c:v>
                </c:pt>
                <c:pt idx="39">
                  <c:v>870.9677419354839</c:v>
                </c:pt>
                <c:pt idx="40">
                  <c:v>766.66666666666674</c:v>
                </c:pt>
                <c:pt idx="41">
                  <c:v>677.41935483870964</c:v>
                </c:pt>
                <c:pt idx="42">
                  <c:v>633.33333333333326</c:v>
                </c:pt>
                <c:pt idx="43">
                  <c:v>566.66666666666663</c:v>
                </c:pt>
                <c:pt idx="44">
                  <c:v>741.9354838709678</c:v>
                </c:pt>
                <c:pt idx="45">
                  <c:v>517.24137931034488</c:v>
                </c:pt>
                <c:pt idx="46">
                  <c:v>400</c:v>
                </c:pt>
                <c:pt idx="47">
                  <c:v>366.66666666666663</c:v>
                </c:pt>
                <c:pt idx="48">
                  <c:v>258.06451612903226</c:v>
                </c:pt>
                <c:pt idx="49">
                  <c:v>300</c:v>
                </c:pt>
                <c:pt idx="50">
                  <c:v>354.83870967741939</c:v>
                </c:pt>
                <c:pt idx="51">
                  <c:v>419.35483870967744</c:v>
                </c:pt>
                <c:pt idx="52">
                  <c:v>400</c:v>
                </c:pt>
                <c:pt idx="53">
                  <c:v>709.67741935483878</c:v>
                </c:pt>
                <c:pt idx="54">
                  <c:v>633.33333333333326</c:v>
                </c:pt>
                <c:pt idx="55">
                  <c:v>677.41935483870964</c:v>
                </c:pt>
              </c:numCache>
            </c:numRef>
          </c:val>
          <c:smooth val="0"/>
          <c:extLst>
            <c:ext xmlns:c16="http://schemas.microsoft.com/office/drawing/2014/chart" uri="{C3380CC4-5D6E-409C-BE32-E72D297353CC}">
              <c16:uniqueId val="{00000003-F812-4140-85D1-80CF8B0FB6B9}"/>
            </c:ext>
          </c:extLst>
        </c:ser>
        <c:ser>
          <c:idx val="5"/>
          <c:order val="1"/>
          <c:tx>
            <c:v>Green</c:v>
          </c:tx>
          <c:spPr>
            <a:ln w="19050" cap="rnd">
              <a:solidFill>
                <a:srgbClr val="00B050"/>
              </a:solidFill>
            </a:ln>
            <a:effectLst/>
          </c:spPr>
          <c:marker>
            <c:symbol val="none"/>
          </c:marker>
          <c:cat>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extLst xmlns:c15="http://schemas.microsoft.com/office/drawing/2012/chart"/>
            </c:numRef>
          </c:cat>
          <c:val>
            <c:numRef>
              <c:f>'Data Analysis'!$AB$5:$AB$72</c:f>
              <c:numCache>
                <c:formatCode>_("$"* #,##0.00_);_("$"* \(#,##0.00\);_("$"* "-"??_);_(@_)</c:formatCode>
                <c:ptCount val="68"/>
                <c:pt idx="0">
                  <c:v>205</c:v>
                </c:pt>
                <c:pt idx="1">
                  <c:v>195</c:v>
                </c:pt>
                <c:pt idx="2">
                  <c:v>470</c:v>
                </c:pt>
                <c:pt idx="3">
                  <c:v>375</c:v>
                </c:pt>
                <c:pt idx="4">
                  <c:v>385</c:v>
                </c:pt>
                <c:pt idx="5">
                  <c:v>235</c:v>
                </c:pt>
                <c:pt idx="6">
                  <c:v>340</c:v>
                </c:pt>
                <c:pt idx="7">
                  <c:v>590</c:v>
                </c:pt>
                <c:pt idx="8">
                  <c:v>655</c:v>
                </c:pt>
                <c:pt idx="9">
                  <c:v>480</c:v>
                </c:pt>
                <c:pt idx="10">
                  <c:v>300</c:v>
                </c:pt>
                <c:pt idx="11">
                  <c:v>305</c:v>
                </c:pt>
                <c:pt idx="12">
                  <c:v>320</c:v>
                </c:pt>
                <c:pt idx="13">
                  <c:v>510</c:v>
                </c:pt>
                <c:pt idx="14">
                  <c:v>450</c:v>
                </c:pt>
                <c:pt idx="15">
                  <c:v>390</c:v>
                </c:pt>
                <c:pt idx="16">
                  <c:v>338</c:v>
                </c:pt>
                <c:pt idx="17">
                  <c:v>300</c:v>
                </c:pt>
                <c:pt idx="18">
                  <c:v>260</c:v>
                </c:pt>
                <c:pt idx="19">
                  <c:v>140</c:v>
                </c:pt>
                <c:pt idx="20">
                  <c:v>110</c:v>
                </c:pt>
                <c:pt idx="21">
                  <c:v>175</c:v>
                </c:pt>
                <c:pt idx="22">
                  <c:v>170</c:v>
                </c:pt>
                <c:pt idx="23">
                  <c:v>120</c:v>
                </c:pt>
                <c:pt idx="24">
                  <c:v>140</c:v>
                </c:pt>
                <c:pt idx="25">
                  <c:v>160</c:v>
                </c:pt>
                <c:pt idx="26">
                  <c:v>140</c:v>
                </c:pt>
                <c:pt idx="27">
                  <c:v>100</c:v>
                </c:pt>
                <c:pt idx="28">
                  <c:v>0</c:v>
                </c:pt>
                <c:pt idx="29">
                  <c:v>0</c:v>
                </c:pt>
                <c:pt idx="30">
                  <c:v>0</c:v>
                </c:pt>
                <c:pt idx="31">
                  <c:v>70</c:v>
                </c:pt>
                <c:pt idx="32">
                  <c:v>0</c:v>
                </c:pt>
                <c:pt idx="33">
                  <c:v>0</c:v>
                </c:pt>
                <c:pt idx="34">
                  <c:v>40</c:v>
                </c:pt>
                <c:pt idx="35">
                  <c:v>90</c:v>
                </c:pt>
                <c:pt idx="36">
                  <c:v>200</c:v>
                </c:pt>
                <c:pt idx="37">
                  <c:v>40</c:v>
                </c:pt>
                <c:pt idx="38">
                  <c:v>0</c:v>
                </c:pt>
                <c:pt idx="39">
                  <c:v>0</c:v>
                </c:pt>
                <c:pt idx="40">
                  <c:v>0</c:v>
                </c:pt>
                <c:pt idx="41">
                  <c:v>0</c:v>
                </c:pt>
                <c:pt idx="42">
                  <c:v>60</c:v>
                </c:pt>
                <c:pt idx="43">
                  <c:v>315</c:v>
                </c:pt>
                <c:pt idx="44">
                  <c:v>232</c:v>
                </c:pt>
                <c:pt idx="45">
                  <c:v>295</c:v>
                </c:pt>
                <c:pt idx="46">
                  <c:v>300</c:v>
                </c:pt>
                <c:pt idx="47">
                  <c:v>321</c:v>
                </c:pt>
                <c:pt idx="48">
                  <c:v>440</c:v>
                </c:pt>
                <c:pt idx="49">
                  <c:v>425</c:v>
                </c:pt>
                <c:pt idx="50">
                  <c:v>536</c:v>
                </c:pt>
                <c:pt idx="51">
                  <c:v>360</c:v>
                </c:pt>
                <c:pt idx="52">
                  <c:v>331</c:v>
                </c:pt>
                <c:pt idx="53">
                  <c:v>207</c:v>
                </c:pt>
                <c:pt idx="54">
                  <c:v>289</c:v>
                </c:pt>
                <c:pt idx="55">
                  <c:v>312</c:v>
                </c:pt>
                <c:pt idx="56">
                  <c:v>287</c:v>
                </c:pt>
                <c:pt idx="57">
                  <c:v>141</c:v>
                </c:pt>
                <c:pt idx="58">
                  <c:v>289</c:v>
                </c:pt>
                <c:pt idx="59">
                  <c:v>180</c:v>
                </c:pt>
                <c:pt idx="60">
                  <c:v>542</c:v>
                </c:pt>
                <c:pt idx="61">
                  <c:v>298</c:v>
                </c:pt>
                <c:pt idx="62">
                  <c:v>210</c:v>
                </c:pt>
                <c:pt idx="63">
                  <c:v>160</c:v>
                </c:pt>
                <c:pt idx="64">
                  <c:v>240</c:v>
                </c:pt>
                <c:pt idx="65">
                  <c:v>240</c:v>
                </c:pt>
                <c:pt idx="66">
                  <c:v>260</c:v>
                </c:pt>
                <c:pt idx="67">
                  <c:v>560</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F812-4140-85D1-80CF8B0FB6B9}"/>
            </c:ext>
          </c:extLst>
        </c:ser>
        <c:dLbls>
          <c:showLegendKey val="0"/>
          <c:showVal val="0"/>
          <c:showCatName val="0"/>
          <c:showSerName val="0"/>
          <c:showPercent val="0"/>
          <c:showBubbleSize val="0"/>
        </c:dLbls>
        <c:marker val="1"/>
        <c:smooth val="0"/>
        <c:axId val="1835843071"/>
        <c:axId val="1835543695"/>
        <c:extLst/>
      </c:lineChart>
      <c:lineChart>
        <c:grouping val="standard"/>
        <c:varyColors val="0"/>
        <c:ser>
          <c:idx val="7"/>
          <c:order val="2"/>
          <c:tx>
            <c:v>Weight</c:v>
          </c:tx>
          <c:spPr>
            <a:ln w="22225" cap="rnd">
              <a:solidFill>
                <a:srgbClr val="00B0F0"/>
              </a:solidFill>
            </a:ln>
            <a:effectLst/>
          </c:spPr>
          <c:marker>
            <c:symbol val="none"/>
          </c:marker>
          <c:cat>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cat>
          <c:val>
            <c:numRef>
              <c:f>'Data Analysis'!$BW$5:$BW$60</c:f>
              <c:numCache>
                <c:formatCode>General</c:formatCode>
                <c:ptCount val="56"/>
                <c:pt idx="16">
                  <c:v>147.65</c:v>
                </c:pt>
                <c:pt idx="17">
                  <c:v>148.9</c:v>
                </c:pt>
                <c:pt idx="18">
                  <c:v>152.96</c:v>
                </c:pt>
                <c:pt idx="19">
                  <c:v>157.44999999999999</c:v>
                </c:pt>
                <c:pt idx="20">
                  <c:v>160.6</c:v>
                </c:pt>
                <c:pt idx="21">
                  <c:v>160.51999999999998</c:v>
                </c:pt>
                <c:pt idx="22">
                  <c:v>162.4</c:v>
                </c:pt>
                <c:pt idx="23">
                  <c:v>162.55000000000001</c:v>
                </c:pt>
                <c:pt idx="24">
                  <c:v>164.5</c:v>
                </c:pt>
                <c:pt idx="25">
                  <c:v>166.28</c:v>
                </c:pt>
                <c:pt idx="26">
                  <c:v>168.55</c:v>
                </c:pt>
                <c:pt idx="27">
                  <c:v>169.95</c:v>
                </c:pt>
                <c:pt idx="28">
                  <c:v>171.68</c:v>
                </c:pt>
                <c:pt idx="29">
                  <c:v>178.06666666666669</c:v>
                </c:pt>
                <c:pt idx="30">
                  <c:v>180.75</c:v>
                </c:pt>
                <c:pt idx="31">
                  <c:v>180.05</c:v>
                </c:pt>
                <c:pt idx="32">
                  <c:v>178.2</c:v>
                </c:pt>
                <c:pt idx="33">
                  <c:v>175.8</c:v>
                </c:pt>
                <c:pt idx="34">
                  <c:v>177.25</c:v>
                </c:pt>
                <c:pt idx="35">
                  <c:v>177.32</c:v>
                </c:pt>
                <c:pt idx="36">
                  <c:v>178</c:v>
                </c:pt>
                <c:pt idx="37">
                  <c:v>175.53333333333333</c:v>
                </c:pt>
                <c:pt idx="38">
                  <c:v>171.7</c:v>
                </c:pt>
                <c:pt idx="39">
                  <c:v>172.72</c:v>
                </c:pt>
                <c:pt idx="40">
                  <c:v>175.95</c:v>
                </c:pt>
                <c:pt idx="41">
                  <c:v>179.73333333333335</c:v>
                </c:pt>
                <c:pt idx="42">
                  <c:v>183.83999999999997</c:v>
                </c:pt>
                <c:pt idx="43">
                  <c:v>188.8</c:v>
                </c:pt>
                <c:pt idx="44">
                  <c:v>186.5333333333333</c:v>
                </c:pt>
                <c:pt idx="45">
                  <c:v>183.99999999999997</c:v>
                </c:pt>
                <c:pt idx="46">
                  <c:v>184.39999999999998</c:v>
                </c:pt>
                <c:pt idx="47">
                  <c:v>181.35</c:v>
                </c:pt>
                <c:pt idx="48">
                  <c:v>180.05</c:v>
                </c:pt>
                <c:pt idx="49">
                  <c:v>178.35999999999999</c:v>
                </c:pt>
                <c:pt idx="50">
                  <c:v>175.45</c:v>
                </c:pt>
                <c:pt idx="51">
                  <c:v>173.95000000000002</c:v>
                </c:pt>
                <c:pt idx="52">
                  <c:v>171.25</c:v>
                </c:pt>
                <c:pt idx="53">
                  <c:v>169.2</c:v>
                </c:pt>
                <c:pt idx="54">
                  <c:v>175.15</c:v>
                </c:pt>
                <c:pt idx="55">
                  <c:v>180.5</c:v>
                </c:pt>
              </c:numCache>
            </c:numRef>
          </c:val>
          <c:smooth val="0"/>
          <c:extLst>
            <c:ext xmlns:c16="http://schemas.microsoft.com/office/drawing/2014/chart" uri="{C3380CC4-5D6E-409C-BE32-E72D297353CC}">
              <c16:uniqueId val="{00000006-F812-4140-85D1-80CF8B0FB6B9}"/>
            </c:ext>
          </c:extLst>
        </c:ser>
        <c:dLbls>
          <c:showLegendKey val="0"/>
          <c:showVal val="0"/>
          <c:showCatName val="0"/>
          <c:showSerName val="0"/>
          <c:showPercent val="0"/>
          <c:showBubbleSize val="0"/>
        </c:dLbls>
        <c:marker val="1"/>
        <c:smooth val="0"/>
        <c:axId val="1186792831"/>
        <c:axId val="1186798591"/>
      </c:lineChart>
      <c:dateAx>
        <c:axId val="1835843071"/>
        <c:scaling>
          <c:orientation val="minMax"/>
        </c:scaling>
        <c:delete val="0"/>
        <c:axPos val="b"/>
        <c:numFmt formatCode="[$-409]mmm\-yy;@" sourceLinked="0"/>
        <c:majorTickMark val="out"/>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lgn="ctr">
              <a:defRPr lang="en-US" sz="900" b="0" i="0" u="none" strike="noStrike" kern="1200" baseline="0">
                <a:solidFill>
                  <a:schemeClr val="tx1"/>
                </a:solidFill>
                <a:effectLst/>
                <a:latin typeface="+mn-lt"/>
                <a:ea typeface="+mn-ea"/>
                <a:cs typeface="+mn-cs"/>
              </a:defRPr>
            </a:pPr>
            <a:endParaRPr lang="en-US"/>
          </a:p>
        </c:txPr>
        <c:crossAx val="1835543695"/>
        <c:crossesAt val="0"/>
        <c:auto val="0"/>
        <c:lblOffset val="100"/>
        <c:baseTimeUnit val="months"/>
        <c:minorUnit val="1"/>
      </c:dateAx>
      <c:valAx>
        <c:axId val="1835543695"/>
        <c:scaling>
          <c:orientation val="minMax"/>
          <c:min val="0"/>
        </c:scaling>
        <c:delete val="0"/>
        <c:axPos val="l"/>
        <c:numFmt formatCode="_(&quot;$&quot;* #,##0_);_(&quot;$&quot;* \(#,##0\);_(&quot;$&quot;* &quot;-&quot;_);_(@_)" sourceLinked="0"/>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835843071"/>
        <c:crosses val="autoZero"/>
        <c:crossBetween val="midCat"/>
      </c:valAx>
      <c:valAx>
        <c:axId val="1186798591"/>
        <c:scaling>
          <c:orientation val="minMax"/>
          <c:min val="14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6792831"/>
        <c:crosses val="max"/>
        <c:crossBetween val="between"/>
      </c:valAx>
      <c:dateAx>
        <c:axId val="1186792831"/>
        <c:scaling>
          <c:orientation val="minMax"/>
        </c:scaling>
        <c:delete val="1"/>
        <c:axPos val="b"/>
        <c:numFmt formatCode="mmm\-yyyy" sourceLinked="1"/>
        <c:majorTickMark val="out"/>
        <c:minorTickMark val="none"/>
        <c:tickLblPos val="nextTo"/>
        <c:crossAx val="1186798591"/>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Loan </a:t>
            </a:r>
            <a:r>
              <a:rPr lang="en-US" sz="1400" b="0" i="0" u="none" strike="noStrike" baseline="0">
                <a:effectLst/>
              </a:rPr>
              <a:t>Repayment </a:t>
            </a:r>
            <a:r>
              <a:rPr lang="en-US"/>
              <a:t>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v>Principal</c:v>
          </c:tx>
          <c:spPr>
            <a:ln w="19050" cap="rnd">
              <a:solidFill>
                <a:schemeClr val="accent2"/>
              </a:solidFill>
              <a:round/>
            </a:ln>
            <a:effectLst/>
          </c:spPr>
          <c:marker>
            <c:symbol val="none"/>
          </c:marker>
          <c:cat>
            <c:numRef>
              <c:f>'Student Loans'!$B$19:$B$170</c:f>
              <c:numCache>
                <c:formatCode>mmm\-yy</c:formatCode>
                <c:ptCount val="152"/>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Loans'!$D$19:$D$170</c:f>
              <c:numCache>
                <c:formatCode>_("$"* #,##0.00_);_("$"* \(#,##0.00\);_("$"* "-"??_);_(@_)</c:formatCode>
                <c:ptCount val="152"/>
                <c:pt idx="0">
                  <c:v>42637.54</c:v>
                </c:pt>
                <c:pt idx="1">
                  <c:v>42195.64</c:v>
                </c:pt>
                <c:pt idx="2">
                  <c:v>41495.339999999997</c:v>
                </c:pt>
                <c:pt idx="3">
                  <c:v>40635.64</c:v>
                </c:pt>
                <c:pt idx="4">
                  <c:v>39795.64</c:v>
                </c:pt>
                <c:pt idx="5">
                  <c:v>38975.64</c:v>
                </c:pt>
                <c:pt idx="6">
                  <c:v>38175.64</c:v>
                </c:pt>
                <c:pt idx="7">
                  <c:v>37393.64</c:v>
                </c:pt>
                <c:pt idx="8">
                  <c:v>36629.64</c:v>
                </c:pt>
                <c:pt idx="9">
                  <c:v>35883.64</c:v>
                </c:pt>
                <c:pt idx="10">
                  <c:v>35153.64</c:v>
                </c:pt>
                <c:pt idx="11">
                  <c:v>34437.64</c:v>
                </c:pt>
                <c:pt idx="12">
                  <c:v>33737.64</c:v>
                </c:pt>
                <c:pt idx="13">
                  <c:v>33051.64</c:v>
                </c:pt>
                <c:pt idx="14">
                  <c:v>32379.64</c:v>
                </c:pt>
                <c:pt idx="15">
                  <c:v>31721.64</c:v>
                </c:pt>
                <c:pt idx="16">
                  <c:v>31077.64</c:v>
                </c:pt>
                <c:pt idx="17">
                  <c:v>30447.64</c:v>
                </c:pt>
                <c:pt idx="18">
                  <c:v>29829.64</c:v>
                </c:pt>
                <c:pt idx="19">
                  <c:v>29225.64</c:v>
                </c:pt>
                <c:pt idx="20">
                  <c:v>28633.64</c:v>
                </c:pt>
                <c:pt idx="21">
                  <c:v>28053.64</c:v>
                </c:pt>
                <c:pt idx="22">
                  <c:v>28053.64</c:v>
                </c:pt>
                <c:pt idx="23">
                  <c:v>28053.64</c:v>
                </c:pt>
                <c:pt idx="24">
                  <c:v>28053.64</c:v>
                </c:pt>
                <c:pt idx="25">
                  <c:v>28053.64</c:v>
                </c:pt>
                <c:pt idx="26">
                  <c:v>28053.64</c:v>
                </c:pt>
                <c:pt idx="27">
                  <c:v>28053.64</c:v>
                </c:pt>
                <c:pt idx="28">
                  <c:v>28054.829999999998</c:v>
                </c:pt>
                <c:pt idx="29">
                  <c:v>27668.970782279997</c:v>
                </c:pt>
                <c:pt idx="30">
                  <c:v>27374.833423550492</c:v>
                </c:pt>
                <c:pt idx="31">
                  <c:v>27181.823423550493</c:v>
                </c:pt>
                <c:pt idx="32">
                  <c:v>26985.223423550495</c:v>
                </c:pt>
                <c:pt idx="33">
                  <c:v>26787.433423550494</c:v>
                </c:pt>
                <c:pt idx="34">
                  <c:v>26645.943423550492</c:v>
                </c:pt>
                <c:pt idx="35">
                  <c:v>26296.09</c:v>
                </c:pt>
                <c:pt idx="36">
                  <c:v>26071.74</c:v>
                </c:pt>
                <c:pt idx="37">
                  <c:v>25838.09</c:v>
                </c:pt>
                <c:pt idx="38">
                  <c:v>25641.279999999999</c:v>
                </c:pt>
                <c:pt idx="39">
                  <c:v>25382.880000000001</c:v>
                </c:pt>
                <c:pt idx="40">
                  <c:v>25112</c:v>
                </c:pt>
                <c:pt idx="41">
                  <c:v>24887.119999999999</c:v>
                </c:pt>
                <c:pt idx="42">
                  <c:v>24666.87</c:v>
                </c:pt>
                <c:pt idx="43">
                  <c:v>24445.91</c:v>
                </c:pt>
                <c:pt idx="44">
                  <c:v>24226.93</c:v>
                </c:pt>
                <c:pt idx="45">
                  <c:v>24001.94</c:v>
                </c:pt>
                <c:pt idx="46">
                  <c:v>23789.09</c:v>
                </c:pt>
                <c:pt idx="47">
                  <c:v>23560.15</c:v>
                </c:pt>
                <c:pt idx="48">
                  <c:v>23333.050000000003</c:v>
                </c:pt>
                <c:pt idx="49">
                  <c:v>23009.83</c:v>
                </c:pt>
                <c:pt idx="50">
                  <c:v>22687.9</c:v>
                </c:pt>
                <c:pt idx="51">
                  <c:v>22364.400000000001</c:v>
                </c:pt>
                <c:pt idx="52">
                  <c:v>22135.800000000003</c:v>
                </c:pt>
                <c:pt idx="53">
                  <c:v>21971.890000000003</c:v>
                </c:pt>
                <c:pt idx="54">
                  <c:v>21442.610000000004</c:v>
                </c:pt>
                <c:pt idx="55">
                  <c:v>21334.240000000002</c:v>
                </c:pt>
                <c:pt idx="56">
                  <c:v>21107.140000000003</c:v>
                </c:pt>
                <c:pt idx="57">
                  <c:v>20814.904275000004</c:v>
                </c:pt>
                <c:pt idx="58">
                  <c:v>20521.572666031254</c:v>
                </c:pt>
                <c:pt idx="59">
                  <c:v>20227.14106352887</c:v>
                </c:pt>
                <c:pt idx="60">
                  <c:v>19931.605342517105</c:v>
                </c:pt>
                <c:pt idx="61">
                  <c:v>19634.961362551545</c:v>
                </c:pt>
                <c:pt idx="62">
                  <c:v>19337.204967661113</c:v>
                </c:pt>
                <c:pt idx="63">
                  <c:v>19038.331986289842</c:v>
                </c:pt>
                <c:pt idx="64">
                  <c:v>18738.338231238431</c:v>
                </c:pt>
                <c:pt idx="65">
                  <c:v>18437.219499605577</c:v>
                </c:pt>
                <c:pt idx="66">
                  <c:v>18134.971572729097</c:v>
                </c:pt>
                <c:pt idx="67">
                  <c:v>17831.590216126831</c:v>
                </c:pt>
                <c:pt idx="68">
                  <c:v>17527.071179437306</c:v>
                </c:pt>
                <c:pt idx="69">
                  <c:v>17221.410196360197</c:v>
                </c:pt>
                <c:pt idx="70">
                  <c:v>16914.60298459655</c:v>
                </c:pt>
                <c:pt idx="71">
                  <c:v>16606.645245788786</c:v>
                </c:pt>
                <c:pt idx="72">
                  <c:v>16297.532665460494</c:v>
                </c:pt>
                <c:pt idx="73">
                  <c:v>15987.260912955971</c:v>
                </c:pt>
                <c:pt idx="74">
                  <c:v>15675.825641379557</c:v>
                </c:pt>
                <c:pt idx="75">
                  <c:v>15363.222487534731</c:v>
                </c:pt>
                <c:pt idx="76">
                  <c:v>15049.447071862985</c:v>
                </c:pt>
                <c:pt idx="77">
                  <c:v>14734.494998382472</c:v>
                </c:pt>
                <c:pt idx="78">
                  <c:v>14418.361854626406</c:v>
                </c:pt>
                <c:pt idx="79">
                  <c:v>14101.043211581255</c:v>
                </c:pt>
                <c:pt idx="80">
                  <c:v>13782.534623624684</c:v>
                </c:pt>
                <c:pt idx="81">
                  <c:v>13462.831628463277</c:v>
                </c:pt>
                <c:pt idx="82">
                  <c:v>13141.929747070013</c:v>
                </c:pt>
                <c:pt idx="83">
                  <c:v>12819.824483621525</c:v>
                </c:pt>
                <c:pt idx="84">
                  <c:v>12496.511325435105</c:v>
                </c:pt>
                <c:pt idx="85">
                  <c:v>12171.985742905486</c:v>
                </c:pt>
                <c:pt idx="86">
                  <c:v>11846.243189441382</c:v>
                </c:pt>
                <c:pt idx="87">
                  <c:v>11519.279101401788</c:v>
                </c:pt>
                <c:pt idx="88">
                  <c:v>11191.088898032045</c:v>
                </c:pt>
                <c:pt idx="89">
                  <c:v>10861.667981399665</c:v>
                </c:pt>
                <c:pt idx="90">
                  <c:v>10531.011736329914</c:v>
                </c:pt>
                <c:pt idx="91">
                  <c:v>10199.115530341151</c:v>
                </c:pt>
                <c:pt idx="92">
                  <c:v>9865.9747135799298</c:v>
                </c:pt>
                <c:pt idx="93">
                  <c:v>9531.5846187558545</c:v>
                </c:pt>
                <c:pt idx="94">
                  <c:v>9195.9405610761896</c:v>
                </c:pt>
                <c:pt idx="95">
                  <c:v>8859.0378381802257</c:v>
                </c:pt>
                <c:pt idx="96">
                  <c:v>8520.8717300734006</c:v>
                </c:pt>
                <c:pt idx="97">
                  <c:v>8181.4374990611768</c:v>
                </c:pt>
                <c:pt idx="98">
                  <c:v>7840.7303896826561</c:v>
                </c:pt>
                <c:pt idx="99">
                  <c:v>7498.7456286439665</c:v>
                </c:pt>
                <c:pt idx="100">
                  <c:v>7155.4784247513817</c:v>
                </c:pt>
                <c:pt idx="101">
                  <c:v>6810.9239688441994</c:v>
                </c:pt>
                <c:pt idx="102">
                  <c:v>6465.0774337273651</c:v>
                </c:pt>
                <c:pt idx="103">
                  <c:v>6117.933974103843</c:v>
                </c:pt>
                <c:pt idx="104">
                  <c:v>5769.4887265067327</c:v>
                </c:pt>
                <c:pt idx="105">
                  <c:v>5419.7368092311326</c:v>
                </c:pt>
                <c:pt idx="106">
                  <c:v>5068.6733222657494</c:v>
                </c:pt>
                <c:pt idx="107">
                  <c:v>4716.2933472242457</c:v>
                </c:pt>
                <c:pt idx="108">
                  <c:v>4362.5919472763362</c:v>
                </c:pt>
                <c:pt idx="109">
                  <c:v>4007.5641670786231</c:v>
                </c:pt>
                <c:pt idx="110">
                  <c:v>3651.2050327051679</c:v>
                </c:pt>
                <c:pt idx="111">
                  <c:v>3293.5095515778121</c:v>
                </c:pt>
                <c:pt idx="112">
                  <c:v>2934.4727123962289</c:v>
                </c:pt>
                <c:pt idx="113">
                  <c:v>2574.0894850677146</c:v>
                </c:pt>
                <c:pt idx="114">
                  <c:v>2212.3548206367186</c:v>
                </c:pt>
                <c:pt idx="115">
                  <c:v>1849.2636512141064</c:v>
                </c:pt>
                <c:pt idx="116">
                  <c:v>1484.810889906159</c:v>
                </c:pt>
                <c:pt idx="117">
                  <c:v>1118.9914307433071</c:v>
                </c:pt>
                <c:pt idx="118">
                  <c:v>751.80014860859444</c:v>
                </c:pt>
                <c:pt idx="119">
                  <c:v>383.23189916587671</c:v>
                </c:pt>
                <c:pt idx="120">
                  <c:v>13.28151878774875</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2-4131-4065-81C1-DFAC721CD040}"/>
            </c:ext>
          </c:extLst>
        </c:ser>
        <c:ser>
          <c:idx val="3"/>
          <c:order val="3"/>
          <c:tx>
            <c:v>Balance</c:v>
          </c:tx>
          <c:spPr>
            <a:ln w="19050" cap="rnd">
              <a:solidFill>
                <a:schemeClr val="accent4"/>
              </a:solidFill>
              <a:round/>
            </a:ln>
            <a:effectLst/>
          </c:spPr>
          <c:marker>
            <c:symbol val="none"/>
          </c:marker>
          <c:cat>
            <c:numRef>
              <c:f>'Student Loans'!$B$19:$B$170</c:f>
              <c:numCache>
                <c:formatCode>mmm\-yy</c:formatCode>
                <c:ptCount val="152"/>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Loans'!$F$19:$F$170</c:f>
              <c:numCache>
                <c:formatCode>_("$"* #,##0.00_);_("$"* \(#,##0.00\);_("$"* "-"??_);_(@_)</c:formatCode>
                <c:ptCount val="152"/>
                <c:pt idx="0">
                  <c:v>42195.54</c:v>
                </c:pt>
                <c:pt idx="1">
                  <c:v>41495.64</c:v>
                </c:pt>
                <c:pt idx="2">
                  <c:v>40635.339999999997</c:v>
                </c:pt>
                <c:pt idx="3">
                  <c:v>39795.64</c:v>
                </c:pt>
                <c:pt idx="4">
                  <c:v>38975.64</c:v>
                </c:pt>
                <c:pt idx="5">
                  <c:v>38175.64</c:v>
                </c:pt>
                <c:pt idx="6">
                  <c:v>37393.64</c:v>
                </c:pt>
                <c:pt idx="7">
                  <c:v>36629.64</c:v>
                </c:pt>
                <c:pt idx="8">
                  <c:v>35883.64</c:v>
                </c:pt>
                <c:pt idx="9">
                  <c:v>35153.64</c:v>
                </c:pt>
                <c:pt idx="10">
                  <c:v>34437.64</c:v>
                </c:pt>
                <c:pt idx="11">
                  <c:v>33737.64</c:v>
                </c:pt>
                <c:pt idx="12">
                  <c:v>33051.64</c:v>
                </c:pt>
                <c:pt idx="13">
                  <c:v>32379.64</c:v>
                </c:pt>
                <c:pt idx="14">
                  <c:v>31721.64</c:v>
                </c:pt>
                <c:pt idx="15">
                  <c:v>31077.64</c:v>
                </c:pt>
                <c:pt idx="16">
                  <c:v>30447.64</c:v>
                </c:pt>
                <c:pt idx="17">
                  <c:v>29829.64</c:v>
                </c:pt>
                <c:pt idx="18">
                  <c:v>29225.64</c:v>
                </c:pt>
                <c:pt idx="19">
                  <c:v>28633.64</c:v>
                </c:pt>
                <c:pt idx="20">
                  <c:v>28053.64</c:v>
                </c:pt>
                <c:pt idx="21">
                  <c:v>28053.64</c:v>
                </c:pt>
                <c:pt idx="22">
                  <c:v>28053.64</c:v>
                </c:pt>
                <c:pt idx="23">
                  <c:v>28053.64</c:v>
                </c:pt>
                <c:pt idx="24">
                  <c:v>28053.64</c:v>
                </c:pt>
                <c:pt idx="25">
                  <c:v>28053.64</c:v>
                </c:pt>
                <c:pt idx="26">
                  <c:v>28053.64</c:v>
                </c:pt>
                <c:pt idx="27">
                  <c:v>28054.829999999998</c:v>
                </c:pt>
                <c:pt idx="28">
                  <c:v>27668.970782279997</c:v>
                </c:pt>
                <c:pt idx="29">
                  <c:v>27374.833423550492</c:v>
                </c:pt>
                <c:pt idx="30">
                  <c:v>27181.823423550493</c:v>
                </c:pt>
                <c:pt idx="31">
                  <c:v>26985.223423550495</c:v>
                </c:pt>
                <c:pt idx="32">
                  <c:v>26787.433423550494</c:v>
                </c:pt>
                <c:pt idx="33">
                  <c:v>26645.943423550492</c:v>
                </c:pt>
                <c:pt idx="34">
                  <c:v>26503.553423550493</c:v>
                </c:pt>
                <c:pt idx="35">
                  <c:v>26208.79</c:v>
                </c:pt>
                <c:pt idx="36">
                  <c:v>25990.49</c:v>
                </c:pt>
                <c:pt idx="37">
                  <c:v>25751.74</c:v>
                </c:pt>
                <c:pt idx="38">
                  <c:v>25538.09</c:v>
                </c:pt>
                <c:pt idx="39">
                  <c:v>25297.68</c:v>
                </c:pt>
                <c:pt idx="40">
                  <c:v>25044.28</c:v>
                </c:pt>
                <c:pt idx="41">
                  <c:v>24812</c:v>
                </c:pt>
                <c:pt idx="42">
                  <c:v>24587.119999999999</c:v>
                </c:pt>
                <c:pt idx="43">
                  <c:v>24366.87</c:v>
                </c:pt>
                <c:pt idx="44">
                  <c:v>24161.65</c:v>
                </c:pt>
                <c:pt idx="45">
                  <c:v>23926.93</c:v>
                </c:pt>
                <c:pt idx="46">
                  <c:v>23704.51</c:v>
                </c:pt>
                <c:pt idx="47">
                  <c:v>23489.09</c:v>
                </c:pt>
                <c:pt idx="48">
                  <c:v>23260.15</c:v>
                </c:pt>
                <c:pt idx="49">
                  <c:v>22933.050000000003</c:v>
                </c:pt>
                <c:pt idx="50">
                  <c:v>22609.83</c:v>
                </c:pt>
                <c:pt idx="51">
                  <c:v>22287.9</c:v>
                </c:pt>
                <c:pt idx="52">
                  <c:v>22064.400000000001</c:v>
                </c:pt>
                <c:pt idx="53">
                  <c:v>21885.800000000003</c:v>
                </c:pt>
                <c:pt idx="54">
                  <c:v>21386.370000000003</c:v>
                </c:pt>
                <c:pt idx="55">
                  <c:v>21270.140000000003</c:v>
                </c:pt>
                <c:pt idx="56">
                  <c:v>21107.140000000003</c:v>
                </c:pt>
                <c:pt idx="57">
                  <c:v>20737.140000000003</c:v>
                </c:pt>
                <c:pt idx="58">
                  <c:v>20444.904275000004</c:v>
                </c:pt>
                <c:pt idx="59">
                  <c:v>20151.572666031254</c:v>
                </c:pt>
                <c:pt idx="60">
                  <c:v>19857.14106352887</c:v>
                </c:pt>
                <c:pt idx="61">
                  <c:v>19561.605342517105</c:v>
                </c:pt>
                <c:pt idx="62">
                  <c:v>19264.961362551545</c:v>
                </c:pt>
                <c:pt idx="63">
                  <c:v>18967.204967661113</c:v>
                </c:pt>
                <c:pt idx="64">
                  <c:v>18668.331986289842</c:v>
                </c:pt>
                <c:pt idx="65">
                  <c:v>18368.338231238431</c:v>
                </c:pt>
                <c:pt idx="66">
                  <c:v>18067.219499605577</c:v>
                </c:pt>
                <c:pt idx="67">
                  <c:v>17764.971572729097</c:v>
                </c:pt>
                <c:pt idx="68">
                  <c:v>17461.590216126831</c:v>
                </c:pt>
                <c:pt idx="69">
                  <c:v>17157.071179437306</c:v>
                </c:pt>
                <c:pt idx="70">
                  <c:v>16851.410196360197</c:v>
                </c:pt>
                <c:pt idx="71">
                  <c:v>16544.60298459655</c:v>
                </c:pt>
                <c:pt idx="72">
                  <c:v>16236.645245788786</c:v>
                </c:pt>
                <c:pt idx="73">
                  <c:v>15927.532665460494</c:v>
                </c:pt>
                <c:pt idx="74">
                  <c:v>15617.260912955971</c:v>
                </c:pt>
                <c:pt idx="75">
                  <c:v>15305.825641379557</c:v>
                </c:pt>
                <c:pt idx="76">
                  <c:v>14993.222487534731</c:v>
                </c:pt>
                <c:pt idx="77">
                  <c:v>14679.447071862985</c:v>
                </c:pt>
                <c:pt idx="78">
                  <c:v>14364.494998382472</c:v>
                </c:pt>
                <c:pt idx="79">
                  <c:v>14048.361854626406</c:v>
                </c:pt>
                <c:pt idx="80">
                  <c:v>13731.043211581255</c:v>
                </c:pt>
                <c:pt idx="81">
                  <c:v>13412.534623624684</c:v>
                </c:pt>
                <c:pt idx="82">
                  <c:v>13092.831628463277</c:v>
                </c:pt>
                <c:pt idx="83">
                  <c:v>12771.929747070013</c:v>
                </c:pt>
                <c:pt idx="84">
                  <c:v>12449.824483621525</c:v>
                </c:pt>
                <c:pt idx="85">
                  <c:v>12126.511325435105</c:v>
                </c:pt>
                <c:pt idx="86">
                  <c:v>11801.985742905486</c:v>
                </c:pt>
                <c:pt idx="87">
                  <c:v>11476.243189441382</c:v>
                </c:pt>
                <c:pt idx="88">
                  <c:v>11149.279101401788</c:v>
                </c:pt>
                <c:pt idx="89">
                  <c:v>10821.088898032045</c:v>
                </c:pt>
                <c:pt idx="90">
                  <c:v>10491.667981399665</c:v>
                </c:pt>
                <c:pt idx="91">
                  <c:v>10161.011736329914</c:v>
                </c:pt>
                <c:pt idx="92">
                  <c:v>9829.1155303411506</c:v>
                </c:pt>
                <c:pt idx="93">
                  <c:v>9495.9747135799298</c:v>
                </c:pt>
                <c:pt idx="94">
                  <c:v>9161.5846187558545</c:v>
                </c:pt>
                <c:pt idx="95">
                  <c:v>8825.9405610761896</c:v>
                </c:pt>
                <c:pt idx="96">
                  <c:v>8489.0378381802257</c:v>
                </c:pt>
                <c:pt idx="97">
                  <c:v>8150.8717300734015</c:v>
                </c:pt>
                <c:pt idx="98">
                  <c:v>7811.4374990611768</c:v>
                </c:pt>
                <c:pt idx="99">
                  <c:v>7470.7303896826561</c:v>
                </c:pt>
                <c:pt idx="100">
                  <c:v>7128.7456286439665</c:v>
                </c:pt>
                <c:pt idx="101">
                  <c:v>6785.4784247513817</c:v>
                </c:pt>
                <c:pt idx="102">
                  <c:v>6440.9239688441994</c:v>
                </c:pt>
                <c:pt idx="103">
                  <c:v>6095.0774337273651</c:v>
                </c:pt>
                <c:pt idx="104">
                  <c:v>5747.933974103843</c:v>
                </c:pt>
                <c:pt idx="105">
                  <c:v>5399.4887265067327</c:v>
                </c:pt>
                <c:pt idx="106">
                  <c:v>5049.7368092311326</c:v>
                </c:pt>
                <c:pt idx="107">
                  <c:v>4698.6733222657494</c:v>
                </c:pt>
                <c:pt idx="108">
                  <c:v>4346.2933472242457</c:v>
                </c:pt>
                <c:pt idx="109">
                  <c:v>3992.5919472763367</c:v>
                </c:pt>
                <c:pt idx="110">
                  <c:v>3637.5641670786231</c:v>
                </c:pt>
                <c:pt idx="111">
                  <c:v>3281.2050327051679</c:v>
                </c:pt>
                <c:pt idx="112">
                  <c:v>2923.5095515778121</c:v>
                </c:pt>
                <c:pt idx="113">
                  <c:v>2564.4727123962289</c:v>
                </c:pt>
                <c:pt idx="114">
                  <c:v>2204.0894850677146</c:v>
                </c:pt>
                <c:pt idx="115">
                  <c:v>1842.3548206367186</c:v>
                </c:pt>
                <c:pt idx="116">
                  <c:v>1479.2636512141062</c:v>
                </c:pt>
                <c:pt idx="117">
                  <c:v>1114.810889906159</c:v>
                </c:pt>
                <c:pt idx="118">
                  <c:v>748.99143074330709</c:v>
                </c:pt>
                <c:pt idx="119">
                  <c:v>381.8001486085945</c:v>
                </c:pt>
                <c:pt idx="120">
                  <c:v>13.231899165876712</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4-4131-4065-81C1-DFAC721CD040}"/>
            </c:ext>
          </c:extLst>
        </c:ser>
        <c:dLbls>
          <c:showLegendKey val="0"/>
          <c:showVal val="0"/>
          <c:showCatName val="0"/>
          <c:showSerName val="0"/>
          <c:showPercent val="0"/>
          <c:showBubbleSize val="0"/>
        </c:dLbls>
        <c:marker val="1"/>
        <c:smooth val="0"/>
        <c:axId val="255206512"/>
        <c:axId val="255209840"/>
      </c:lineChart>
      <c:lineChart>
        <c:grouping val="standard"/>
        <c:varyColors val="0"/>
        <c:ser>
          <c:idx val="0"/>
          <c:order val="0"/>
          <c:tx>
            <c:v>Payment</c:v>
          </c:tx>
          <c:spPr>
            <a:ln w="19050" cap="rnd">
              <a:solidFill>
                <a:srgbClr val="00B05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Loans'!$C$19:$C$170</c:f>
              <c:numCache>
                <c:formatCode>_("$"* #,##0.00_);_("$"* \(#,##0.00\);_("$"* "-"??_);_(@_)</c:formatCode>
                <c:ptCount val="152"/>
                <c:pt idx="0">
                  <c:v>442</c:v>
                </c:pt>
                <c:pt idx="1">
                  <c:v>700</c:v>
                </c:pt>
                <c:pt idx="2">
                  <c:v>860</c:v>
                </c:pt>
                <c:pt idx="3">
                  <c:v>840</c:v>
                </c:pt>
                <c:pt idx="4">
                  <c:v>820</c:v>
                </c:pt>
                <c:pt idx="5">
                  <c:v>800</c:v>
                </c:pt>
                <c:pt idx="6">
                  <c:v>782</c:v>
                </c:pt>
                <c:pt idx="7">
                  <c:v>764</c:v>
                </c:pt>
                <c:pt idx="8">
                  <c:v>746</c:v>
                </c:pt>
                <c:pt idx="9">
                  <c:v>730</c:v>
                </c:pt>
                <c:pt idx="10">
                  <c:v>716</c:v>
                </c:pt>
                <c:pt idx="11">
                  <c:v>700</c:v>
                </c:pt>
                <c:pt idx="12">
                  <c:v>686</c:v>
                </c:pt>
                <c:pt idx="13">
                  <c:v>672</c:v>
                </c:pt>
                <c:pt idx="14">
                  <c:v>658</c:v>
                </c:pt>
                <c:pt idx="15">
                  <c:v>644</c:v>
                </c:pt>
                <c:pt idx="16">
                  <c:v>630</c:v>
                </c:pt>
                <c:pt idx="17">
                  <c:v>618</c:v>
                </c:pt>
                <c:pt idx="18">
                  <c:v>604</c:v>
                </c:pt>
                <c:pt idx="19">
                  <c:v>592</c:v>
                </c:pt>
                <c:pt idx="20">
                  <c:v>580</c:v>
                </c:pt>
                <c:pt idx="28">
                  <c:v>500</c:v>
                </c:pt>
                <c:pt idx="29">
                  <c:v>400</c:v>
                </c:pt>
                <c:pt idx="30">
                  <c:v>300</c:v>
                </c:pt>
                <c:pt idx="31">
                  <c:v>300</c:v>
                </c:pt>
                <c:pt idx="32">
                  <c:v>300</c:v>
                </c:pt>
                <c:pt idx="33">
                  <c:v>240</c:v>
                </c:pt>
                <c:pt idx="34">
                  <c:v>240</c:v>
                </c:pt>
                <c:pt idx="35">
                  <c:v>280</c:v>
                </c:pt>
                <c:pt idx="36">
                  <c:v>310</c:v>
                </c:pt>
                <c:pt idx="37">
                  <c:v>320</c:v>
                </c:pt>
                <c:pt idx="38">
                  <c:v>300</c:v>
                </c:pt>
                <c:pt idx="39">
                  <c:v>343.6</c:v>
                </c:pt>
                <c:pt idx="40">
                  <c:v>338.6</c:v>
                </c:pt>
                <c:pt idx="41">
                  <c:v>300</c:v>
                </c:pt>
                <c:pt idx="42">
                  <c:v>300</c:v>
                </c:pt>
                <c:pt idx="43">
                  <c:v>300</c:v>
                </c:pt>
                <c:pt idx="44">
                  <c:v>300</c:v>
                </c:pt>
                <c:pt idx="45">
                  <c:v>300</c:v>
                </c:pt>
                <c:pt idx="46">
                  <c:v>300</c:v>
                </c:pt>
                <c:pt idx="47">
                  <c:v>300</c:v>
                </c:pt>
                <c:pt idx="48">
                  <c:v>300</c:v>
                </c:pt>
                <c:pt idx="49">
                  <c:v>400</c:v>
                </c:pt>
                <c:pt idx="50">
                  <c:v>400</c:v>
                </c:pt>
                <c:pt idx="51">
                  <c:v>400</c:v>
                </c:pt>
                <c:pt idx="52">
                  <c:v>300</c:v>
                </c:pt>
                <c:pt idx="53">
                  <c:v>250</c:v>
                </c:pt>
                <c:pt idx="54">
                  <c:v>585.52</c:v>
                </c:pt>
                <c:pt idx="55">
                  <c:v>172.47</c:v>
                </c:pt>
                <c:pt idx="56">
                  <c:v>227.1</c:v>
                </c:pt>
                <c:pt idx="57">
                  <c:v>370</c:v>
                </c:pt>
                <c:pt idx="58">
                  <c:v>370</c:v>
                </c:pt>
                <c:pt idx="59">
                  <c:v>370</c:v>
                </c:pt>
                <c:pt idx="60">
                  <c:v>370</c:v>
                </c:pt>
                <c:pt idx="61">
                  <c:v>370</c:v>
                </c:pt>
                <c:pt idx="62">
                  <c:v>370</c:v>
                </c:pt>
                <c:pt idx="63">
                  <c:v>370</c:v>
                </c:pt>
                <c:pt idx="64">
                  <c:v>370</c:v>
                </c:pt>
                <c:pt idx="65">
                  <c:v>370</c:v>
                </c:pt>
                <c:pt idx="66">
                  <c:v>370</c:v>
                </c:pt>
                <c:pt idx="67">
                  <c:v>370</c:v>
                </c:pt>
                <c:pt idx="68">
                  <c:v>370</c:v>
                </c:pt>
                <c:pt idx="69">
                  <c:v>370</c:v>
                </c:pt>
                <c:pt idx="70">
                  <c:v>370</c:v>
                </c:pt>
                <c:pt idx="71">
                  <c:v>370</c:v>
                </c:pt>
                <c:pt idx="72">
                  <c:v>370</c:v>
                </c:pt>
                <c:pt idx="73">
                  <c:v>370</c:v>
                </c:pt>
                <c:pt idx="74">
                  <c:v>370</c:v>
                </c:pt>
                <c:pt idx="75">
                  <c:v>370</c:v>
                </c:pt>
                <c:pt idx="76">
                  <c:v>370</c:v>
                </c:pt>
                <c:pt idx="77">
                  <c:v>370</c:v>
                </c:pt>
                <c:pt idx="78">
                  <c:v>370</c:v>
                </c:pt>
                <c:pt idx="79">
                  <c:v>370</c:v>
                </c:pt>
                <c:pt idx="80">
                  <c:v>370</c:v>
                </c:pt>
                <c:pt idx="81">
                  <c:v>370</c:v>
                </c:pt>
                <c:pt idx="82">
                  <c:v>370</c:v>
                </c:pt>
                <c:pt idx="83">
                  <c:v>370</c:v>
                </c:pt>
                <c:pt idx="84">
                  <c:v>370</c:v>
                </c:pt>
                <c:pt idx="85">
                  <c:v>370</c:v>
                </c:pt>
                <c:pt idx="86">
                  <c:v>370</c:v>
                </c:pt>
                <c:pt idx="87">
                  <c:v>370</c:v>
                </c:pt>
                <c:pt idx="88">
                  <c:v>370</c:v>
                </c:pt>
                <c:pt idx="89">
                  <c:v>370</c:v>
                </c:pt>
                <c:pt idx="90">
                  <c:v>370</c:v>
                </c:pt>
                <c:pt idx="91">
                  <c:v>370</c:v>
                </c:pt>
                <c:pt idx="92">
                  <c:v>370</c:v>
                </c:pt>
                <c:pt idx="93">
                  <c:v>370</c:v>
                </c:pt>
                <c:pt idx="94">
                  <c:v>370</c:v>
                </c:pt>
                <c:pt idx="95">
                  <c:v>370</c:v>
                </c:pt>
                <c:pt idx="96">
                  <c:v>370</c:v>
                </c:pt>
                <c:pt idx="97">
                  <c:v>370</c:v>
                </c:pt>
                <c:pt idx="98">
                  <c:v>370</c:v>
                </c:pt>
                <c:pt idx="99">
                  <c:v>370</c:v>
                </c:pt>
                <c:pt idx="100">
                  <c:v>370</c:v>
                </c:pt>
                <c:pt idx="101">
                  <c:v>370</c:v>
                </c:pt>
                <c:pt idx="102">
                  <c:v>370</c:v>
                </c:pt>
                <c:pt idx="103">
                  <c:v>370</c:v>
                </c:pt>
                <c:pt idx="104">
                  <c:v>370</c:v>
                </c:pt>
                <c:pt idx="105">
                  <c:v>370</c:v>
                </c:pt>
                <c:pt idx="106">
                  <c:v>370</c:v>
                </c:pt>
                <c:pt idx="107">
                  <c:v>370</c:v>
                </c:pt>
                <c:pt idx="108">
                  <c:v>370</c:v>
                </c:pt>
                <c:pt idx="109">
                  <c:v>370</c:v>
                </c:pt>
                <c:pt idx="110">
                  <c:v>370</c:v>
                </c:pt>
                <c:pt idx="111">
                  <c:v>370</c:v>
                </c:pt>
                <c:pt idx="112">
                  <c:v>370</c:v>
                </c:pt>
                <c:pt idx="113">
                  <c:v>370</c:v>
                </c:pt>
                <c:pt idx="114">
                  <c:v>370</c:v>
                </c:pt>
                <c:pt idx="115">
                  <c:v>370</c:v>
                </c:pt>
                <c:pt idx="116">
                  <c:v>370</c:v>
                </c:pt>
                <c:pt idx="117">
                  <c:v>370</c:v>
                </c:pt>
                <c:pt idx="118">
                  <c:v>370</c:v>
                </c:pt>
                <c:pt idx="119">
                  <c:v>370</c:v>
                </c:pt>
                <c:pt idx="120">
                  <c:v>370</c:v>
                </c:pt>
                <c:pt idx="121">
                  <c:v>370</c:v>
                </c:pt>
                <c:pt idx="122">
                  <c:v>370</c:v>
                </c:pt>
                <c:pt idx="123">
                  <c:v>370</c:v>
                </c:pt>
                <c:pt idx="124">
                  <c:v>370</c:v>
                </c:pt>
                <c:pt idx="125">
                  <c:v>370</c:v>
                </c:pt>
                <c:pt idx="126">
                  <c:v>370</c:v>
                </c:pt>
              </c:numCache>
            </c:numRef>
          </c:val>
          <c:smooth val="0"/>
          <c:extLst>
            <c:ext xmlns:c16="http://schemas.microsoft.com/office/drawing/2014/chart" uri="{C3380CC4-5D6E-409C-BE32-E72D297353CC}">
              <c16:uniqueId val="{00000000-4131-4065-81C1-DFAC721CD040}"/>
            </c:ext>
          </c:extLst>
        </c:ser>
        <c:ser>
          <c:idx val="2"/>
          <c:order val="2"/>
          <c:tx>
            <c:v>Interest</c:v>
          </c:tx>
          <c:spPr>
            <a:ln w="19050" cap="rnd">
              <a:solidFill>
                <a:srgbClr val="0070C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Loans'!$E$19:$E$170</c:f>
              <c:numCache>
                <c:formatCode>_("$"* #,##0.00_);_("$"* \(#,##0.00\);_("$"* "-"??_);_(@_)</c:formatCode>
                <c:ptCount val="152"/>
                <c:pt idx="27">
                  <c:v>1.19</c:v>
                </c:pt>
                <c:pt idx="28">
                  <c:v>114.14078228</c:v>
                </c:pt>
                <c:pt idx="29">
                  <c:v>105.862641270496</c:v>
                </c:pt>
                <c:pt idx="30">
                  <c:v>106.99</c:v>
                </c:pt>
                <c:pt idx="31">
                  <c:v>103.4</c:v>
                </c:pt>
                <c:pt idx="32">
                  <c:v>102.21000000000001</c:v>
                </c:pt>
                <c:pt idx="33">
                  <c:v>98.51</c:v>
                </c:pt>
                <c:pt idx="34">
                  <c:v>97.61</c:v>
                </c:pt>
                <c:pt idx="35">
                  <c:v>87.3</c:v>
                </c:pt>
                <c:pt idx="36">
                  <c:v>81.25</c:v>
                </c:pt>
                <c:pt idx="37">
                  <c:v>86.35</c:v>
                </c:pt>
                <c:pt idx="38">
                  <c:v>103.19000000000001</c:v>
                </c:pt>
                <c:pt idx="39">
                  <c:v>85.199999999999989</c:v>
                </c:pt>
                <c:pt idx="40">
                  <c:v>67.72</c:v>
                </c:pt>
                <c:pt idx="41">
                  <c:v>75.12</c:v>
                </c:pt>
                <c:pt idx="42">
                  <c:v>79.75</c:v>
                </c:pt>
                <c:pt idx="43">
                  <c:v>79.040000000000006</c:v>
                </c:pt>
                <c:pt idx="44">
                  <c:v>65.28</c:v>
                </c:pt>
                <c:pt idx="45">
                  <c:v>75.010000000000005</c:v>
                </c:pt>
                <c:pt idx="46">
                  <c:v>84.58</c:v>
                </c:pt>
                <c:pt idx="47">
                  <c:v>71.06</c:v>
                </c:pt>
                <c:pt idx="48">
                  <c:v>72.900000000000006</c:v>
                </c:pt>
                <c:pt idx="49">
                  <c:v>76.78</c:v>
                </c:pt>
                <c:pt idx="50">
                  <c:v>78.070000000000007</c:v>
                </c:pt>
                <c:pt idx="51">
                  <c:v>76.5</c:v>
                </c:pt>
                <c:pt idx="52">
                  <c:v>71.400000000000006</c:v>
                </c:pt>
                <c:pt idx="53">
                  <c:v>86.09</c:v>
                </c:pt>
                <c:pt idx="54">
                  <c:v>56.24</c:v>
                </c:pt>
                <c:pt idx="55">
                  <c:v>64.099999999999994</c:v>
                </c:pt>
                <c:pt idx="56">
                  <c:v>0</c:v>
                </c:pt>
                <c:pt idx="57">
                  <c:v>77.764275000000012</c:v>
                </c:pt>
                <c:pt idx="58">
                  <c:v>76.66839103125001</c:v>
                </c:pt>
                <c:pt idx="59">
                  <c:v>75.568397497617198</c:v>
                </c:pt>
                <c:pt idx="60">
                  <c:v>74.464278988233261</c:v>
                </c:pt>
                <c:pt idx="61">
                  <c:v>73.35602003443914</c:v>
                </c:pt>
                <c:pt idx="62">
                  <c:v>72.243605109568293</c:v>
                </c:pt>
                <c:pt idx="63">
                  <c:v>71.127018628729175</c:v>
                </c:pt>
                <c:pt idx="64">
                  <c:v>70.006244948586911</c:v>
                </c:pt>
                <c:pt idx="65">
                  <c:v>68.881268367144116</c:v>
                </c:pt>
                <c:pt idx="66">
                  <c:v>67.752073123520915</c:v>
                </c:pt>
                <c:pt idx="67">
                  <c:v>66.618643397734104</c:v>
                </c:pt>
                <c:pt idx="68">
                  <c:v>65.480963310475616</c:v>
                </c:pt>
                <c:pt idx="69">
                  <c:v>64.339016922889897</c:v>
                </c:pt>
                <c:pt idx="70">
                  <c:v>63.192788236350736</c:v>
                </c:pt>
                <c:pt idx="71">
                  <c:v>62.042261192237056</c:v>
                </c:pt>
                <c:pt idx="72">
                  <c:v>60.887419671707946</c:v>
                </c:pt>
                <c:pt idx="73">
                  <c:v>59.72824749547685</c:v>
                </c:pt>
                <c:pt idx="74">
                  <c:v>58.564728423584889</c:v>
                </c:pt>
                <c:pt idx="75">
                  <c:v>57.396846155173336</c:v>
                </c:pt>
                <c:pt idx="76">
                  <c:v>56.22458432825524</c:v>
                </c:pt>
                <c:pt idx="77">
                  <c:v>55.047926519486197</c:v>
                </c:pt>
                <c:pt idx="78">
                  <c:v>53.866856243934265</c:v>
                </c:pt>
                <c:pt idx="79">
                  <c:v>52.681356954849022</c:v>
                </c:pt>
                <c:pt idx="80">
                  <c:v>51.491412043429705</c:v>
                </c:pt>
                <c:pt idx="81">
                  <c:v>50.297004838592564</c:v>
                </c:pt>
                <c:pt idx="82">
                  <c:v>49.098118606737287</c:v>
                </c:pt>
                <c:pt idx="83">
                  <c:v>47.894736551512544</c:v>
                </c:pt>
                <c:pt idx="84">
                  <c:v>46.68684181358072</c:v>
                </c:pt>
                <c:pt idx="85">
                  <c:v>45.474417470381646</c:v>
                </c:pt>
                <c:pt idx="86">
                  <c:v>44.257446535895575</c:v>
                </c:pt>
                <c:pt idx="87">
                  <c:v>43.03591196040518</c:v>
                </c:pt>
                <c:pt idx="88">
                  <c:v>41.809796630256699</c:v>
                </c:pt>
                <c:pt idx="89">
                  <c:v>40.579083367620164</c:v>
                </c:pt>
                <c:pt idx="90">
                  <c:v>39.343754930248743</c:v>
                </c:pt>
                <c:pt idx="91">
                  <c:v>38.103794011237177</c:v>
                </c:pt>
                <c:pt idx="92">
                  <c:v>36.859183238779316</c:v>
                </c:pt>
                <c:pt idx="93">
                  <c:v>35.609905175924737</c:v>
                </c:pt>
                <c:pt idx="94">
                  <c:v>34.355942320334456</c:v>
                </c:pt>
                <c:pt idx="95">
                  <c:v>33.097277104035712</c:v>
                </c:pt>
                <c:pt idx="96">
                  <c:v>31.833891893175846</c:v>
                </c:pt>
                <c:pt idx="97">
                  <c:v>30.565768987775254</c:v>
                </c:pt>
                <c:pt idx="98">
                  <c:v>29.292890621479412</c:v>
                </c:pt>
                <c:pt idx="99">
                  <c:v>28.015238961309958</c:v>
                </c:pt>
                <c:pt idx="100">
                  <c:v>26.732796107414874</c:v>
                </c:pt>
                <c:pt idx="101">
                  <c:v>25.445544092817681</c:v>
                </c:pt>
                <c:pt idx="102">
                  <c:v>24.153464883165746</c:v>
                </c:pt>
                <c:pt idx="103">
                  <c:v>22.856540376477618</c:v>
                </c:pt>
                <c:pt idx="104">
                  <c:v>21.55475240288941</c:v>
                </c:pt>
                <c:pt idx="105">
                  <c:v>20.248082724400248</c:v>
                </c:pt>
                <c:pt idx="106">
                  <c:v>18.936513034616748</c:v>
                </c:pt>
                <c:pt idx="107">
                  <c:v>17.620024958496561</c:v>
                </c:pt>
                <c:pt idx="108">
                  <c:v>16.298600052090922</c:v>
                </c:pt>
                <c:pt idx="109">
                  <c:v>14.972219802286261</c:v>
                </c:pt>
                <c:pt idx="110">
                  <c:v>13.640865626544835</c:v>
                </c:pt>
                <c:pt idx="111">
                  <c:v>12.30451887264438</c:v>
                </c:pt>
                <c:pt idx="112">
                  <c:v>10.963160818416794</c:v>
                </c:pt>
                <c:pt idx="113">
                  <c:v>9.6167726714858581</c:v>
                </c:pt>
                <c:pt idx="114">
                  <c:v>8.2653355690039287</c:v>
                </c:pt>
                <c:pt idx="115">
                  <c:v>6.9088305773876941</c:v>
                </c:pt>
                <c:pt idx="116">
                  <c:v>5.5472386920528978</c:v>
                </c:pt>
                <c:pt idx="117">
                  <c:v>4.1805408371480963</c:v>
                </c:pt>
                <c:pt idx="118">
                  <c:v>2.8087178652874014</c:v>
                </c:pt>
                <c:pt idx="119">
                  <c:v>1.4317505572822293</c:v>
                </c:pt>
                <c:pt idx="120">
                  <c:v>4.9619621872037667E-2</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3-4131-4065-81C1-DFAC721CD040}"/>
            </c:ext>
          </c:extLst>
        </c:ser>
        <c:ser>
          <c:idx val="4"/>
          <c:order val="4"/>
          <c:tx>
            <c:v>Original Payment</c:v>
          </c:tx>
          <c:spPr>
            <a:ln w="19050" cap="rnd">
              <a:solidFill>
                <a:srgbClr val="C0000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Loans'!$AA$19:$AA$170</c:f>
              <c:numCache>
                <c:formatCode>_("$"* #,##0.00_);_("$"* \(#,##0.00\);_("$"* "-"??_);_(@_)</c:formatCode>
                <c:ptCount val="152"/>
                <c:pt idx="0">
                  <c:v>442</c:v>
                </c:pt>
                <c:pt idx="1">
                  <c:v>442</c:v>
                </c:pt>
                <c:pt idx="2">
                  <c:v>442</c:v>
                </c:pt>
                <c:pt idx="3">
                  <c:v>442</c:v>
                </c:pt>
                <c:pt idx="4">
                  <c:v>442</c:v>
                </c:pt>
                <c:pt idx="5">
                  <c:v>442</c:v>
                </c:pt>
                <c:pt idx="6">
                  <c:v>442</c:v>
                </c:pt>
                <c:pt idx="7">
                  <c:v>442</c:v>
                </c:pt>
                <c:pt idx="8">
                  <c:v>442</c:v>
                </c:pt>
                <c:pt idx="9">
                  <c:v>442</c:v>
                </c:pt>
                <c:pt idx="10">
                  <c:v>442</c:v>
                </c:pt>
                <c:pt idx="11">
                  <c:v>442</c:v>
                </c:pt>
                <c:pt idx="12">
                  <c:v>442</c:v>
                </c:pt>
                <c:pt idx="13">
                  <c:v>442</c:v>
                </c:pt>
                <c:pt idx="14">
                  <c:v>442</c:v>
                </c:pt>
                <c:pt idx="15">
                  <c:v>442</c:v>
                </c:pt>
                <c:pt idx="16">
                  <c:v>442</c:v>
                </c:pt>
                <c:pt idx="17">
                  <c:v>442</c:v>
                </c:pt>
                <c:pt idx="18">
                  <c:v>442</c:v>
                </c:pt>
                <c:pt idx="19">
                  <c:v>442</c:v>
                </c:pt>
                <c:pt idx="20">
                  <c:v>442</c:v>
                </c:pt>
                <c:pt idx="21">
                  <c:v>442</c:v>
                </c:pt>
                <c:pt idx="22">
                  <c:v>442</c:v>
                </c:pt>
                <c:pt idx="23">
                  <c:v>442</c:v>
                </c:pt>
                <c:pt idx="24">
                  <c:v>442</c:v>
                </c:pt>
                <c:pt idx="25">
                  <c:v>442</c:v>
                </c:pt>
                <c:pt idx="26">
                  <c:v>442</c:v>
                </c:pt>
                <c:pt idx="27">
                  <c:v>442</c:v>
                </c:pt>
                <c:pt idx="28">
                  <c:v>442</c:v>
                </c:pt>
                <c:pt idx="29">
                  <c:v>442</c:v>
                </c:pt>
                <c:pt idx="30">
                  <c:v>442</c:v>
                </c:pt>
                <c:pt idx="31">
                  <c:v>442</c:v>
                </c:pt>
                <c:pt idx="32">
                  <c:v>442</c:v>
                </c:pt>
                <c:pt idx="33">
                  <c:v>442</c:v>
                </c:pt>
                <c:pt idx="34">
                  <c:v>442</c:v>
                </c:pt>
                <c:pt idx="35">
                  <c:v>442</c:v>
                </c:pt>
                <c:pt idx="36">
                  <c:v>442</c:v>
                </c:pt>
                <c:pt idx="37">
                  <c:v>442</c:v>
                </c:pt>
                <c:pt idx="38">
                  <c:v>442</c:v>
                </c:pt>
                <c:pt idx="39">
                  <c:v>442</c:v>
                </c:pt>
                <c:pt idx="40">
                  <c:v>442</c:v>
                </c:pt>
                <c:pt idx="41">
                  <c:v>442</c:v>
                </c:pt>
                <c:pt idx="42">
                  <c:v>442</c:v>
                </c:pt>
                <c:pt idx="43">
                  <c:v>442</c:v>
                </c:pt>
                <c:pt idx="44">
                  <c:v>442</c:v>
                </c:pt>
                <c:pt idx="45">
                  <c:v>442</c:v>
                </c:pt>
                <c:pt idx="46">
                  <c:v>442</c:v>
                </c:pt>
                <c:pt idx="47">
                  <c:v>442</c:v>
                </c:pt>
                <c:pt idx="48">
                  <c:v>442</c:v>
                </c:pt>
                <c:pt idx="49">
                  <c:v>442</c:v>
                </c:pt>
                <c:pt idx="50">
                  <c:v>442</c:v>
                </c:pt>
                <c:pt idx="51">
                  <c:v>442</c:v>
                </c:pt>
                <c:pt idx="52">
                  <c:v>442</c:v>
                </c:pt>
                <c:pt idx="53">
                  <c:v>442</c:v>
                </c:pt>
                <c:pt idx="54">
                  <c:v>442</c:v>
                </c:pt>
                <c:pt idx="55">
                  <c:v>442</c:v>
                </c:pt>
                <c:pt idx="56">
                  <c:v>442</c:v>
                </c:pt>
                <c:pt idx="57">
                  <c:v>442</c:v>
                </c:pt>
                <c:pt idx="58">
                  <c:v>442</c:v>
                </c:pt>
                <c:pt idx="59">
                  <c:v>442</c:v>
                </c:pt>
                <c:pt idx="60">
                  <c:v>442</c:v>
                </c:pt>
                <c:pt idx="61">
                  <c:v>442</c:v>
                </c:pt>
                <c:pt idx="62">
                  <c:v>442</c:v>
                </c:pt>
                <c:pt idx="63">
                  <c:v>442</c:v>
                </c:pt>
                <c:pt idx="64">
                  <c:v>442</c:v>
                </c:pt>
                <c:pt idx="65">
                  <c:v>442</c:v>
                </c:pt>
                <c:pt idx="66">
                  <c:v>442</c:v>
                </c:pt>
                <c:pt idx="67">
                  <c:v>442</c:v>
                </c:pt>
                <c:pt idx="68">
                  <c:v>442</c:v>
                </c:pt>
                <c:pt idx="69">
                  <c:v>442</c:v>
                </c:pt>
                <c:pt idx="70">
                  <c:v>442</c:v>
                </c:pt>
                <c:pt idx="71">
                  <c:v>442</c:v>
                </c:pt>
                <c:pt idx="72">
                  <c:v>442</c:v>
                </c:pt>
                <c:pt idx="73">
                  <c:v>442</c:v>
                </c:pt>
                <c:pt idx="74">
                  <c:v>442</c:v>
                </c:pt>
                <c:pt idx="75">
                  <c:v>442</c:v>
                </c:pt>
                <c:pt idx="76">
                  <c:v>442</c:v>
                </c:pt>
                <c:pt idx="77">
                  <c:v>442</c:v>
                </c:pt>
                <c:pt idx="78">
                  <c:v>442</c:v>
                </c:pt>
                <c:pt idx="79">
                  <c:v>442</c:v>
                </c:pt>
                <c:pt idx="80">
                  <c:v>442</c:v>
                </c:pt>
                <c:pt idx="81">
                  <c:v>442</c:v>
                </c:pt>
                <c:pt idx="82">
                  <c:v>442</c:v>
                </c:pt>
                <c:pt idx="83">
                  <c:v>442</c:v>
                </c:pt>
                <c:pt idx="84">
                  <c:v>442</c:v>
                </c:pt>
                <c:pt idx="85">
                  <c:v>442</c:v>
                </c:pt>
                <c:pt idx="86">
                  <c:v>442</c:v>
                </c:pt>
                <c:pt idx="87">
                  <c:v>442</c:v>
                </c:pt>
                <c:pt idx="88">
                  <c:v>442</c:v>
                </c:pt>
                <c:pt idx="89">
                  <c:v>442</c:v>
                </c:pt>
                <c:pt idx="90">
                  <c:v>442</c:v>
                </c:pt>
                <c:pt idx="91">
                  <c:v>442</c:v>
                </c:pt>
                <c:pt idx="92">
                  <c:v>442</c:v>
                </c:pt>
                <c:pt idx="93">
                  <c:v>442</c:v>
                </c:pt>
                <c:pt idx="94">
                  <c:v>442</c:v>
                </c:pt>
                <c:pt idx="95">
                  <c:v>442</c:v>
                </c:pt>
                <c:pt idx="96">
                  <c:v>442</c:v>
                </c:pt>
                <c:pt idx="97">
                  <c:v>442</c:v>
                </c:pt>
                <c:pt idx="98">
                  <c:v>442</c:v>
                </c:pt>
                <c:pt idx="99">
                  <c:v>442</c:v>
                </c:pt>
                <c:pt idx="100">
                  <c:v>442</c:v>
                </c:pt>
                <c:pt idx="101">
                  <c:v>442</c:v>
                </c:pt>
                <c:pt idx="102">
                  <c:v>442</c:v>
                </c:pt>
                <c:pt idx="103">
                  <c:v>442</c:v>
                </c:pt>
                <c:pt idx="104">
                  <c:v>442</c:v>
                </c:pt>
                <c:pt idx="105">
                  <c:v>442</c:v>
                </c:pt>
                <c:pt idx="106">
                  <c:v>442</c:v>
                </c:pt>
                <c:pt idx="107">
                  <c:v>442</c:v>
                </c:pt>
                <c:pt idx="108">
                  <c:v>442</c:v>
                </c:pt>
                <c:pt idx="109">
                  <c:v>442</c:v>
                </c:pt>
                <c:pt idx="110">
                  <c:v>442</c:v>
                </c:pt>
                <c:pt idx="111">
                  <c:v>442</c:v>
                </c:pt>
                <c:pt idx="112">
                  <c:v>442</c:v>
                </c:pt>
                <c:pt idx="113">
                  <c:v>442</c:v>
                </c:pt>
                <c:pt idx="114">
                  <c:v>442</c:v>
                </c:pt>
                <c:pt idx="115">
                  <c:v>442</c:v>
                </c:pt>
                <c:pt idx="116">
                  <c:v>442</c:v>
                </c:pt>
                <c:pt idx="117">
                  <c:v>442</c:v>
                </c:pt>
                <c:pt idx="118">
                  <c:v>442</c:v>
                </c:pt>
                <c:pt idx="119">
                  <c:v>442</c:v>
                </c:pt>
                <c:pt idx="120">
                  <c:v>442</c:v>
                </c:pt>
              </c:numCache>
            </c:numRef>
          </c:val>
          <c:smooth val="0"/>
          <c:extLst>
            <c:ext xmlns:c16="http://schemas.microsoft.com/office/drawing/2014/chart" uri="{C3380CC4-5D6E-409C-BE32-E72D297353CC}">
              <c16:uniqueId val="{00000000-50CD-4EA6-872C-1189448D47B3}"/>
            </c:ext>
          </c:extLst>
        </c:ser>
        <c:dLbls>
          <c:showLegendKey val="0"/>
          <c:showVal val="0"/>
          <c:showCatName val="0"/>
          <c:showSerName val="0"/>
          <c:showPercent val="0"/>
          <c:showBubbleSize val="0"/>
        </c:dLbls>
        <c:marker val="1"/>
        <c:smooth val="0"/>
        <c:axId val="748691168"/>
        <c:axId val="748693248"/>
      </c:lineChart>
      <c:dateAx>
        <c:axId val="255206512"/>
        <c:scaling>
          <c:orientation val="minMax"/>
        </c:scaling>
        <c:delete val="0"/>
        <c:axPos val="b"/>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9840"/>
        <c:crosses val="autoZero"/>
        <c:auto val="1"/>
        <c:lblOffset val="100"/>
        <c:baseTimeUnit val="months"/>
      </c:dateAx>
      <c:valAx>
        <c:axId val="255209840"/>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6512"/>
        <c:crosses val="autoZero"/>
        <c:crossBetween val="between"/>
      </c:valAx>
      <c:valAx>
        <c:axId val="748693248"/>
        <c:scaling>
          <c:orientation val="minMax"/>
          <c:max val="1000"/>
        </c:scaling>
        <c:delete val="0"/>
        <c:axPos val="r"/>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91168"/>
        <c:crosses val="max"/>
        <c:crossBetween val="between"/>
      </c:valAx>
      <c:dateAx>
        <c:axId val="748691168"/>
        <c:scaling>
          <c:orientation val="minMax"/>
        </c:scaling>
        <c:delete val="1"/>
        <c:axPos val="b"/>
        <c:numFmt formatCode="mmm\-yy" sourceLinked="1"/>
        <c:majorTickMark val="out"/>
        <c:minorTickMark val="none"/>
        <c:tickLblPos val="nextTo"/>
        <c:crossAx val="74869324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Objective Loan</a:t>
            </a:r>
            <a:r>
              <a:rPr lang="en-US" baseline="0"/>
              <a:t> </a:t>
            </a:r>
            <a:r>
              <a:rPr lang="en-US" sz="1400" b="0" i="0" u="none" strike="noStrike" baseline="0">
                <a:effectLst/>
              </a:rPr>
              <a:t>Repayment </a:t>
            </a:r>
            <a:r>
              <a:rPr lang="en-US"/>
              <a:t>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v>Principal</c:v>
          </c:tx>
          <c:spPr>
            <a:ln w="19050" cap="rnd">
              <a:solidFill>
                <a:schemeClr val="accent2"/>
              </a:solidFill>
              <a:round/>
            </a:ln>
            <a:effectLst/>
          </c:spPr>
          <c:marker>
            <c:symbol val="none"/>
          </c:marker>
          <c:cat>
            <c:numRef>
              <c:f>'Student Loans'!$B$19:$B$170</c:f>
              <c:numCache>
                <c:formatCode>mmm\-yy</c:formatCode>
                <c:ptCount val="152"/>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Loans'!$J$19:$J$145</c:f>
              <c:numCache>
                <c:formatCode>_("$"* #,##0.00_);_("$"* \(#,##0.00\);_("$"* "-"??_);_(@_)</c:formatCode>
                <c:ptCount val="127"/>
                <c:pt idx="0">
                  <c:v>42637.54</c:v>
                </c:pt>
                <c:pt idx="1">
                  <c:v>42195.64</c:v>
                </c:pt>
                <c:pt idx="2">
                  <c:v>41495.339999999997</c:v>
                </c:pt>
                <c:pt idx="3">
                  <c:v>40635.64</c:v>
                </c:pt>
                <c:pt idx="4">
                  <c:v>39795.64</c:v>
                </c:pt>
                <c:pt idx="5">
                  <c:v>38975.64</c:v>
                </c:pt>
                <c:pt idx="6">
                  <c:v>38175.64</c:v>
                </c:pt>
                <c:pt idx="7">
                  <c:v>37393.64</c:v>
                </c:pt>
                <c:pt idx="8">
                  <c:v>36629.64</c:v>
                </c:pt>
                <c:pt idx="9">
                  <c:v>35883.64</c:v>
                </c:pt>
                <c:pt idx="10">
                  <c:v>35153.64</c:v>
                </c:pt>
                <c:pt idx="11">
                  <c:v>34437.64</c:v>
                </c:pt>
                <c:pt idx="12">
                  <c:v>33737.64</c:v>
                </c:pt>
                <c:pt idx="13">
                  <c:v>33051.64</c:v>
                </c:pt>
                <c:pt idx="14">
                  <c:v>32379.64</c:v>
                </c:pt>
                <c:pt idx="15">
                  <c:v>31721.64</c:v>
                </c:pt>
                <c:pt idx="16">
                  <c:v>31077.64</c:v>
                </c:pt>
                <c:pt idx="17">
                  <c:v>30447.64</c:v>
                </c:pt>
                <c:pt idx="18">
                  <c:v>29829.64</c:v>
                </c:pt>
                <c:pt idx="19">
                  <c:v>29225.64</c:v>
                </c:pt>
                <c:pt idx="20">
                  <c:v>28633.64</c:v>
                </c:pt>
                <c:pt idx="21">
                  <c:v>28053.64</c:v>
                </c:pt>
                <c:pt idx="22">
                  <c:v>28053.64</c:v>
                </c:pt>
                <c:pt idx="23">
                  <c:v>28053.64</c:v>
                </c:pt>
                <c:pt idx="24">
                  <c:v>28053.64</c:v>
                </c:pt>
                <c:pt idx="25">
                  <c:v>28053.64</c:v>
                </c:pt>
                <c:pt idx="26">
                  <c:v>28053.64</c:v>
                </c:pt>
                <c:pt idx="27">
                  <c:v>28053.64</c:v>
                </c:pt>
                <c:pt idx="28">
                  <c:v>28054.829999999998</c:v>
                </c:pt>
                <c:pt idx="29">
                  <c:v>27668.970782279997</c:v>
                </c:pt>
                <c:pt idx="30">
                  <c:v>27374.833423550492</c:v>
                </c:pt>
                <c:pt idx="31">
                  <c:v>27181.823423550493</c:v>
                </c:pt>
                <c:pt idx="32">
                  <c:v>26985.223423550495</c:v>
                </c:pt>
                <c:pt idx="33">
                  <c:v>26787.433423550494</c:v>
                </c:pt>
                <c:pt idx="34">
                  <c:v>26645.943423550492</c:v>
                </c:pt>
                <c:pt idx="35">
                  <c:v>26296.09</c:v>
                </c:pt>
                <c:pt idx="36">
                  <c:v>26071.74</c:v>
                </c:pt>
                <c:pt idx="37">
                  <c:v>25838.09</c:v>
                </c:pt>
                <c:pt idx="38">
                  <c:v>25641.279999999999</c:v>
                </c:pt>
                <c:pt idx="39">
                  <c:v>25382.880000000001</c:v>
                </c:pt>
                <c:pt idx="40">
                  <c:v>25112</c:v>
                </c:pt>
                <c:pt idx="41">
                  <c:v>24887.119999999999</c:v>
                </c:pt>
                <c:pt idx="42">
                  <c:v>24666.87</c:v>
                </c:pt>
                <c:pt idx="43">
                  <c:v>24445.91</c:v>
                </c:pt>
                <c:pt idx="44">
                  <c:v>24226.93</c:v>
                </c:pt>
                <c:pt idx="45">
                  <c:v>24001.94</c:v>
                </c:pt>
                <c:pt idx="46">
                  <c:v>23789.09</c:v>
                </c:pt>
                <c:pt idx="47">
                  <c:v>23560.15</c:v>
                </c:pt>
                <c:pt idx="48">
                  <c:v>23333.050000000003</c:v>
                </c:pt>
                <c:pt idx="49">
                  <c:v>23009.83</c:v>
                </c:pt>
                <c:pt idx="50">
                  <c:v>22687.9</c:v>
                </c:pt>
                <c:pt idx="51">
                  <c:v>22364.400000000001</c:v>
                </c:pt>
                <c:pt idx="52">
                  <c:v>22135.800000000003</c:v>
                </c:pt>
                <c:pt idx="53">
                  <c:v>21971.890000000003</c:v>
                </c:pt>
                <c:pt idx="54">
                  <c:v>21442.610000000004</c:v>
                </c:pt>
                <c:pt idx="55">
                  <c:v>21334.240000000002</c:v>
                </c:pt>
                <c:pt idx="56">
                  <c:v>21107.140000000003</c:v>
                </c:pt>
                <c:pt idx="57">
                  <c:v>20629.693950582929</c:v>
                </c:pt>
                <c:pt idx="58">
                  <c:v>20156.888613003845</c:v>
                </c:pt>
                <c:pt idx="59">
                  <c:v>19688.929563387537</c:v>
                </c:pt>
                <c:pt idx="60">
                  <c:v>19225.755286543135</c:v>
                </c:pt>
                <c:pt idx="61">
                  <c:v>18767.305918487084</c:v>
                </c:pt>
                <c:pt idx="62">
                  <c:v>18313.522296275827</c:v>
                </c:pt>
                <c:pt idx="63">
                  <c:v>17864.345952869309</c:v>
                </c:pt>
                <c:pt idx="64">
                  <c:v>17419.719108784211</c:v>
                </c:pt>
                <c:pt idx="65">
                  <c:v>16979.584663858088</c:v>
                </c:pt>
                <c:pt idx="66">
                  <c:v>16543.88618911157</c:v>
                </c:pt>
                <c:pt idx="67">
                  <c:v>16112.567918707551</c:v>
                </c:pt>
                <c:pt idx="68">
                  <c:v>15685.574742006123</c:v>
                </c:pt>
                <c:pt idx="69">
                  <c:v>15262.852195714195</c:v>
                </c:pt>
                <c:pt idx="70">
                  <c:v>14844.346456128607</c:v>
                </c:pt>
                <c:pt idx="71">
                  <c:v>14430.004331471666</c:v>
                </c:pt>
                <c:pt idx="72">
                  <c:v>14019.773254317959</c:v>
                </c:pt>
                <c:pt idx="73">
                  <c:v>13613.601274111408</c:v>
                </c:pt>
                <c:pt idx="74">
                  <c:v>13211.437049771432</c:v>
                </c:pt>
                <c:pt idx="75">
                  <c:v>12813.229842387189</c:v>
                </c:pt>
                <c:pt idx="76">
                  <c:v>12418.929507998848</c:v>
                </c:pt>
                <c:pt idx="77">
                  <c:v>12028.486490464826</c:v>
                </c:pt>
                <c:pt idx="78">
                  <c:v>11641.851814413991</c:v>
                </c:pt>
                <c:pt idx="79">
                  <c:v>11258.977078281807</c:v>
                </c:pt>
                <c:pt idx="80">
                  <c:v>10879.814447429406</c:v>
                </c:pt>
                <c:pt idx="81">
                  <c:v>10504.316647344631</c:v>
                </c:pt>
                <c:pt idx="82">
                  <c:v>10132.436956924035</c:v>
                </c:pt>
                <c:pt idx="83">
                  <c:v>9764.1292018348886</c:v>
                </c:pt>
                <c:pt idx="84">
                  <c:v>9399.3477479562443</c:v>
                </c:pt>
                <c:pt idx="85">
                  <c:v>9038.0474948980991</c:v>
                </c:pt>
                <c:pt idx="86">
                  <c:v>8680.1838695977422</c:v>
                </c:pt>
                <c:pt idx="87">
                  <c:v>8325.7128199923573</c:v>
                </c:pt>
                <c:pt idx="88">
                  <c:v>7974.5908087669559</c:v>
                </c:pt>
                <c:pt idx="89">
                  <c:v>7626.7748071767728</c:v>
                </c:pt>
                <c:pt idx="90">
                  <c:v>7282.2222889432041</c:v>
                </c:pt>
                <c:pt idx="91">
                  <c:v>6940.8912242224387</c:v>
                </c:pt>
                <c:pt idx="92">
                  <c:v>6602.740073645884</c:v>
                </c:pt>
                <c:pt idx="93">
                  <c:v>6267.7277824315624</c:v>
                </c:pt>
                <c:pt idx="94">
                  <c:v>5935.8137745656049</c:v>
                </c:pt>
                <c:pt idx="95">
                  <c:v>5606.9579470530216</c:v>
                </c:pt>
                <c:pt idx="96">
                  <c:v>5281.120664236907</c:v>
                </c:pt>
                <c:pt idx="97">
                  <c:v>4958.2627521852892</c:v>
                </c:pt>
                <c:pt idx="98">
                  <c:v>4638.3454931447804</c:v>
                </c:pt>
                <c:pt idx="99">
                  <c:v>4321.3306200602656</c:v>
                </c:pt>
                <c:pt idx="100">
                  <c:v>4007.1803111598142</c:v>
                </c:pt>
                <c:pt idx="101">
                  <c:v>3695.8571846040518</c:v>
                </c:pt>
                <c:pt idx="102">
                  <c:v>3387.3242931992249</c:v>
                </c:pt>
                <c:pt idx="103">
                  <c:v>3081.5451191731804</c:v>
                </c:pt>
                <c:pt idx="104">
                  <c:v>2778.4835690135301</c:v>
                </c:pt>
                <c:pt idx="105">
                  <c:v>2478.1039683672425</c:v>
                </c:pt>
                <c:pt idx="106">
                  <c:v>2180.3710570009375</c:v>
                </c:pt>
                <c:pt idx="107">
                  <c:v>1885.2499838211568</c:v>
                </c:pt>
                <c:pt idx="108">
                  <c:v>1592.7063019538914</c:v>
                </c:pt>
                <c:pt idx="109">
                  <c:v>1302.7059638826629</c:v>
                </c:pt>
                <c:pt idx="110">
                  <c:v>1015.2153166444596</c:v>
                </c:pt>
                <c:pt idx="111">
                  <c:v>730.2010970828311</c:v>
                </c:pt>
                <c:pt idx="112">
                  <c:v>447.63042715746741</c:v>
                </c:pt>
                <c:pt idx="113">
                  <c:v>167.47080930958202</c:v>
                </c:pt>
                <c:pt idx="114">
                  <c:v>0.58332522784096619</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0-5727-447B-958C-BC7B341A8D01}"/>
            </c:ext>
          </c:extLst>
        </c:ser>
        <c:ser>
          <c:idx val="3"/>
          <c:order val="3"/>
          <c:tx>
            <c:v>Balance</c:v>
          </c:tx>
          <c:spPr>
            <a:ln w="19050" cap="rnd">
              <a:solidFill>
                <a:schemeClr val="accent4"/>
              </a:solidFill>
              <a:round/>
            </a:ln>
            <a:effectLst/>
          </c:spPr>
          <c:marker>
            <c:symbol val="none"/>
          </c:marker>
          <c:cat>
            <c:numRef>
              <c:f>'Student Loans'!$B$19:$B$170</c:f>
              <c:numCache>
                <c:formatCode>mmm\-yy</c:formatCode>
                <c:ptCount val="152"/>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Loans'!$L$19:$L$145</c:f>
              <c:numCache>
                <c:formatCode>_("$"* #,##0.00_);_("$"* \(#,##0.00\);_("$"* "-"??_);_(@_)</c:formatCode>
                <c:ptCount val="127"/>
                <c:pt idx="0">
                  <c:v>42195.54</c:v>
                </c:pt>
                <c:pt idx="1">
                  <c:v>41495.64</c:v>
                </c:pt>
                <c:pt idx="2">
                  <c:v>40635.339999999997</c:v>
                </c:pt>
                <c:pt idx="3">
                  <c:v>39795.64</c:v>
                </c:pt>
                <c:pt idx="4">
                  <c:v>38975.64</c:v>
                </c:pt>
                <c:pt idx="5">
                  <c:v>38175.64</c:v>
                </c:pt>
                <c:pt idx="6">
                  <c:v>37393.64</c:v>
                </c:pt>
                <c:pt idx="7">
                  <c:v>36629.64</c:v>
                </c:pt>
                <c:pt idx="8">
                  <c:v>35883.64</c:v>
                </c:pt>
                <c:pt idx="9">
                  <c:v>35153.64</c:v>
                </c:pt>
                <c:pt idx="10">
                  <c:v>34437.64</c:v>
                </c:pt>
                <c:pt idx="11">
                  <c:v>33737.64</c:v>
                </c:pt>
                <c:pt idx="12">
                  <c:v>33051.64</c:v>
                </c:pt>
                <c:pt idx="13">
                  <c:v>32379.64</c:v>
                </c:pt>
                <c:pt idx="14">
                  <c:v>31721.64</c:v>
                </c:pt>
                <c:pt idx="15">
                  <c:v>31077.64</c:v>
                </c:pt>
                <c:pt idx="16">
                  <c:v>30447.64</c:v>
                </c:pt>
                <c:pt idx="17">
                  <c:v>29829.64</c:v>
                </c:pt>
                <c:pt idx="18">
                  <c:v>29225.64</c:v>
                </c:pt>
                <c:pt idx="19">
                  <c:v>28633.64</c:v>
                </c:pt>
                <c:pt idx="20">
                  <c:v>28053.64</c:v>
                </c:pt>
                <c:pt idx="21">
                  <c:v>28053.64</c:v>
                </c:pt>
                <c:pt idx="22">
                  <c:v>28053.64</c:v>
                </c:pt>
                <c:pt idx="23">
                  <c:v>28053.64</c:v>
                </c:pt>
                <c:pt idx="24">
                  <c:v>28053.64</c:v>
                </c:pt>
                <c:pt idx="25">
                  <c:v>28053.64</c:v>
                </c:pt>
                <c:pt idx="26">
                  <c:v>28053.64</c:v>
                </c:pt>
                <c:pt idx="27">
                  <c:v>28054.829999999998</c:v>
                </c:pt>
                <c:pt idx="28">
                  <c:v>27668.970782279997</c:v>
                </c:pt>
                <c:pt idx="29">
                  <c:v>27374.833423550492</c:v>
                </c:pt>
                <c:pt idx="30">
                  <c:v>27181.823423550493</c:v>
                </c:pt>
                <c:pt idx="31">
                  <c:v>26985.223423550495</c:v>
                </c:pt>
                <c:pt idx="32">
                  <c:v>26787.433423550494</c:v>
                </c:pt>
                <c:pt idx="33">
                  <c:v>26645.943423550492</c:v>
                </c:pt>
                <c:pt idx="34">
                  <c:v>26503.553423550493</c:v>
                </c:pt>
                <c:pt idx="35">
                  <c:v>26208.79</c:v>
                </c:pt>
                <c:pt idx="36">
                  <c:v>25990.49</c:v>
                </c:pt>
                <c:pt idx="37">
                  <c:v>25751.74</c:v>
                </c:pt>
                <c:pt idx="38">
                  <c:v>25538.09</c:v>
                </c:pt>
                <c:pt idx="39">
                  <c:v>25297.68</c:v>
                </c:pt>
                <c:pt idx="40">
                  <c:v>25044.28</c:v>
                </c:pt>
                <c:pt idx="41">
                  <c:v>24812</c:v>
                </c:pt>
                <c:pt idx="42">
                  <c:v>24587.119999999999</c:v>
                </c:pt>
                <c:pt idx="43">
                  <c:v>24366.87</c:v>
                </c:pt>
                <c:pt idx="44">
                  <c:v>24161.65</c:v>
                </c:pt>
                <c:pt idx="45">
                  <c:v>23926.93</c:v>
                </c:pt>
                <c:pt idx="46">
                  <c:v>23704.51</c:v>
                </c:pt>
                <c:pt idx="47">
                  <c:v>23489.09</c:v>
                </c:pt>
                <c:pt idx="48">
                  <c:v>23260.15</c:v>
                </c:pt>
                <c:pt idx="49">
                  <c:v>22933.050000000003</c:v>
                </c:pt>
                <c:pt idx="50">
                  <c:v>22609.83</c:v>
                </c:pt>
                <c:pt idx="51">
                  <c:v>22287.9</c:v>
                </c:pt>
                <c:pt idx="52">
                  <c:v>22064.400000000001</c:v>
                </c:pt>
                <c:pt idx="53">
                  <c:v>21885.800000000003</c:v>
                </c:pt>
                <c:pt idx="54">
                  <c:v>21386.370000000003</c:v>
                </c:pt>
                <c:pt idx="55">
                  <c:v>21270.140000000003</c:v>
                </c:pt>
                <c:pt idx="56">
                  <c:v>21107.140000000003</c:v>
                </c:pt>
                <c:pt idx="57">
                  <c:v>20555.48124634293</c:v>
                </c:pt>
                <c:pt idx="58">
                  <c:v>20084.615540941704</c:v>
                </c:pt>
                <c:pt idx="59">
                  <c:v>19618.312055145587</c:v>
                </c:pt>
                <c:pt idx="60">
                  <c:v>19156.777301357244</c:v>
                </c:pt>
                <c:pt idx="61">
                  <c:v>18699.950689495512</c:v>
                </c:pt>
                <c:pt idx="62">
                  <c:v>18247.77326965156</c:v>
                </c:pt>
                <c:pt idx="63">
                  <c:v>17800.186782053213</c:v>
                </c:pt>
                <c:pt idx="64">
                  <c:v>17357.133652058514</c:v>
                </c:pt>
                <c:pt idx="65">
                  <c:v>16918.55698193745</c:v>
                </c:pt>
                <c:pt idx="66">
                  <c:v>16484.40054276308</c:v>
                </c:pt>
                <c:pt idx="67">
                  <c:v>16054.608766399197</c:v>
                </c:pt>
                <c:pt idx="68">
                  <c:v>15629.126737583463</c:v>
                </c:pt>
                <c:pt idx="69">
                  <c:v>15207.900186104851</c:v>
                </c:pt>
                <c:pt idx="70">
                  <c:v>14790.875479074262</c:v>
                </c:pt>
                <c:pt idx="71">
                  <c:v>14377.99961328724</c:v>
                </c:pt>
                <c:pt idx="72">
                  <c:v>13969.220207677641</c:v>
                </c:pt>
                <c:pt idx="73">
                  <c:v>13564.485495861214</c:v>
                </c:pt>
                <c:pt idx="74">
                  <c:v>13163.744318767984</c:v>
                </c:pt>
                <c:pt idx="75">
                  <c:v>12766.9461173624</c:v>
                </c:pt>
                <c:pt idx="76">
                  <c:v>12374.040925450201</c:v>
                </c:pt>
                <c:pt idx="77">
                  <c:v>11984.979362570943</c:v>
                </c:pt>
                <c:pt idx="78">
                  <c:v>11599.712626975192</c:v>
                </c:pt>
                <c:pt idx="79">
                  <c:v>11218.192488685361</c:v>
                </c:pt>
                <c:pt idx="80">
                  <c:v>10840.371282639187</c:v>
                </c:pt>
                <c:pt idx="81">
                  <c:v>10466.201901914872</c:v>
                </c:pt>
                <c:pt idx="82">
                  <c:v>10095.637791036903</c:v>
                </c:pt>
                <c:pt idx="83">
                  <c:v>9728.6329393616033</c:v>
                </c:pt>
                <c:pt idx="84">
                  <c:v>9365.1418745414485</c:v>
                </c:pt>
                <c:pt idx="85">
                  <c:v>9005.1196560672106</c:v>
                </c:pt>
                <c:pt idx="86">
                  <c:v>8648.52186888701</c:v>
                </c:pt>
                <c:pt idx="87">
                  <c:v>8295.3046171013502</c:v>
                </c:pt>
                <c:pt idx="88">
                  <c:v>7945.4245177332277</c:v>
                </c:pt>
                <c:pt idx="89">
                  <c:v>7598.8386945724224</c:v>
                </c:pt>
                <c:pt idx="90">
                  <c:v>7255.5047720930879</c:v>
                </c:pt>
                <c:pt idx="91">
                  <c:v>6915.3808694437594</c:v>
                </c:pt>
                <c:pt idx="92">
                  <c:v>6578.4255945089199</c:v>
                </c:pt>
                <c:pt idx="93">
                  <c:v>6244.5980380412693</c:v>
                </c:pt>
                <c:pt idx="94">
                  <c:v>5913.8577678638521</c:v>
                </c:pt>
                <c:pt idx="95">
                  <c:v>5586.1648231412119</c:v>
                </c:pt>
                <c:pt idx="96">
                  <c:v>5261.4797087187426</c:v>
                </c:pt>
                <c:pt idx="97">
                  <c:v>4939.7633895294339</c:v>
                </c:pt>
                <c:pt idx="98">
                  <c:v>4620.9772850671952</c:v>
                </c:pt>
                <c:pt idx="99">
                  <c:v>4305.0832639259697</c:v>
                </c:pt>
                <c:pt idx="100">
                  <c:v>3992.0436384038503</c:v>
                </c:pt>
                <c:pt idx="101">
                  <c:v>3681.8211591714239</c:v>
                </c:pt>
                <c:pt idx="102">
                  <c:v>3374.3790100035781</c:v>
                </c:pt>
                <c:pt idx="103">
                  <c:v>3069.6808025740079</c:v>
                </c:pt>
                <c:pt idx="104">
                  <c:v>2767.6905713116798</c:v>
                </c:pt>
                <c:pt idx="105">
                  <c:v>2468.3727683185107</c:v>
                </c:pt>
                <c:pt idx="106">
                  <c:v>2171.6922583475298</c:v>
                </c:pt>
                <c:pt idx="107">
                  <c:v>1877.614313840807</c:v>
                </c:pt>
                <c:pt idx="108">
                  <c:v>1586.1046100264271</c:v>
                </c:pt>
                <c:pt idx="109">
                  <c:v>1297.1292200738101</c:v>
                </c:pt>
                <c:pt idx="110">
                  <c:v>1010.6546103066801</c:v>
                </c:pt>
                <c:pt idx="111">
                  <c:v>726.64763547299276</c:v>
                </c:pt>
                <c:pt idx="112">
                  <c:v>445.07553407114438</c:v>
                </c:pt>
                <c:pt idx="113">
                  <c:v>165.90592373178788</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1-5727-447B-958C-BC7B341A8D01}"/>
            </c:ext>
          </c:extLst>
        </c:ser>
        <c:dLbls>
          <c:showLegendKey val="0"/>
          <c:showVal val="0"/>
          <c:showCatName val="0"/>
          <c:showSerName val="0"/>
          <c:showPercent val="0"/>
          <c:showBubbleSize val="0"/>
        </c:dLbls>
        <c:marker val="1"/>
        <c:smooth val="0"/>
        <c:axId val="255206512"/>
        <c:axId val="255209840"/>
      </c:lineChart>
      <c:lineChart>
        <c:grouping val="standard"/>
        <c:varyColors val="0"/>
        <c:ser>
          <c:idx val="0"/>
          <c:order val="0"/>
          <c:tx>
            <c:v>Payment</c:v>
          </c:tx>
          <c:spPr>
            <a:ln w="19050" cap="rnd">
              <a:solidFill>
                <a:srgbClr val="00B05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Loans'!$I$19:$I$145</c:f>
              <c:numCache>
                <c:formatCode>_("$"* #,##0.00_);_("$"* \(#,##0.00\);_("$"* "-"??_);_(@_)</c:formatCode>
                <c:ptCount val="127"/>
                <c:pt idx="0">
                  <c:v>442</c:v>
                </c:pt>
                <c:pt idx="1">
                  <c:v>700</c:v>
                </c:pt>
                <c:pt idx="2">
                  <c:v>860</c:v>
                </c:pt>
                <c:pt idx="3">
                  <c:v>840</c:v>
                </c:pt>
                <c:pt idx="4">
                  <c:v>820</c:v>
                </c:pt>
                <c:pt idx="5">
                  <c:v>800</c:v>
                </c:pt>
                <c:pt idx="6">
                  <c:v>782</c:v>
                </c:pt>
                <c:pt idx="7">
                  <c:v>764</c:v>
                </c:pt>
                <c:pt idx="8">
                  <c:v>746</c:v>
                </c:pt>
                <c:pt idx="9">
                  <c:v>730</c:v>
                </c:pt>
                <c:pt idx="10">
                  <c:v>716</c:v>
                </c:pt>
                <c:pt idx="11">
                  <c:v>700</c:v>
                </c:pt>
                <c:pt idx="12">
                  <c:v>686</c:v>
                </c:pt>
                <c:pt idx="13">
                  <c:v>672</c:v>
                </c:pt>
                <c:pt idx="14">
                  <c:v>658</c:v>
                </c:pt>
                <c:pt idx="15">
                  <c:v>644</c:v>
                </c:pt>
                <c:pt idx="16">
                  <c:v>630</c:v>
                </c:pt>
                <c:pt idx="17">
                  <c:v>618</c:v>
                </c:pt>
                <c:pt idx="18">
                  <c:v>604</c:v>
                </c:pt>
                <c:pt idx="19">
                  <c:v>592</c:v>
                </c:pt>
                <c:pt idx="20">
                  <c:v>580</c:v>
                </c:pt>
                <c:pt idx="28">
                  <c:v>500</c:v>
                </c:pt>
                <c:pt idx="29">
                  <c:v>400</c:v>
                </c:pt>
                <c:pt idx="30">
                  <c:v>300</c:v>
                </c:pt>
                <c:pt idx="31">
                  <c:v>300</c:v>
                </c:pt>
                <c:pt idx="32">
                  <c:v>300</c:v>
                </c:pt>
                <c:pt idx="33">
                  <c:v>240</c:v>
                </c:pt>
                <c:pt idx="34">
                  <c:v>240</c:v>
                </c:pt>
                <c:pt idx="35">
                  <c:v>280</c:v>
                </c:pt>
                <c:pt idx="36">
                  <c:v>310</c:v>
                </c:pt>
                <c:pt idx="37">
                  <c:v>320</c:v>
                </c:pt>
                <c:pt idx="38">
                  <c:v>300</c:v>
                </c:pt>
                <c:pt idx="39">
                  <c:v>343.6</c:v>
                </c:pt>
                <c:pt idx="40">
                  <c:v>338.6</c:v>
                </c:pt>
                <c:pt idx="41">
                  <c:v>300</c:v>
                </c:pt>
                <c:pt idx="42">
                  <c:v>300</c:v>
                </c:pt>
                <c:pt idx="43">
                  <c:v>300</c:v>
                </c:pt>
                <c:pt idx="44">
                  <c:v>300</c:v>
                </c:pt>
                <c:pt idx="45">
                  <c:v>300</c:v>
                </c:pt>
                <c:pt idx="46">
                  <c:v>300</c:v>
                </c:pt>
                <c:pt idx="47">
                  <c:v>300</c:v>
                </c:pt>
                <c:pt idx="48">
                  <c:v>300</c:v>
                </c:pt>
                <c:pt idx="49">
                  <c:v>400</c:v>
                </c:pt>
                <c:pt idx="50">
                  <c:v>400</c:v>
                </c:pt>
                <c:pt idx="51">
                  <c:v>400</c:v>
                </c:pt>
                <c:pt idx="52">
                  <c:v>300</c:v>
                </c:pt>
                <c:pt idx="53">
                  <c:v>250</c:v>
                </c:pt>
                <c:pt idx="54">
                  <c:v>585.52</c:v>
                </c:pt>
                <c:pt idx="55">
                  <c:v>172.47</c:v>
                </c:pt>
                <c:pt idx="56">
                  <c:v>227.1</c:v>
                </c:pt>
                <c:pt idx="57">
                  <c:v>551.65875365707484</c:v>
                </c:pt>
                <c:pt idx="58">
                  <c:v>545.07840964122374</c:v>
                </c:pt>
                <c:pt idx="59">
                  <c:v>538.57655785826091</c:v>
                </c:pt>
                <c:pt idx="60">
                  <c:v>532.15226203029454</c:v>
                </c:pt>
                <c:pt idx="61">
                  <c:v>525.80459704762393</c:v>
                </c:pt>
                <c:pt idx="62">
                  <c:v>519.53264883552299</c:v>
                </c:pt>
                <c:pt idx="63">
                  <c:v>513.3355142226111</c:v>
                </c:pt>
                <c:pt idx="64">
                  <c:v>507.21230081079523</c:v>
                </c:pt>
                <c:pt idx="65">
                  <c:v>501.16212684676321</c:v>
                </c:pt>
                <c:pt idx="66">
                  <c:v>495.1841210950094</c:v>
                </c:pt>
                <c:pt idx="67">
                  <c:v>489.2774227123756</c:v>
                </c:pt>
                <c:pt idx="68">
                  <c:v>483.44118112408779</c:v>
                </c:pt>
                <c:pt idx="69">
                  <c:v>477.67455590127224</c:v>
                </c:pt>
                <c:pt idx="70">
                  <c:v>471.97671663993208</c:v>
                </c:pt>
                <c:pt idx="71">
                  <c:v>466.34684284136767</c:v>
                </c:pt>
                <c:pt idx="72">
                  <c:v>460.78412379402369</c:v>
                </c:pt>
                <c:pt idx="73">
                  <c:v>455.28775845674483</c:v>
                </c:pt>
                <c:pt idx="74">
                  <c:v>449.85695534342477</c:v>
                </c:pt>
                <c:pt idx="75">
                  <c:v>444.49093240903073</c:v>
                </c:pt>
                <c:pt idx="76">
                  <c:v>439.1889169369876</c:v>
                </c:pt>
                <c:pt idx="77">
                  <c:v>433.9501454279054</c:v>
                </c:pt>
                <c:pt idx="78">
                  <c:v>428.77386348963438</c:v>
                </c:pt>
                <c:pt idx="79">
                  <c:v>423.65932572863062</c:v>
                </c:pt>
                <c:pt idx="80">
                  <c:v>418.6057956426186</c:v>
                </c:pt>
                <c:pt idx="81">
                  <c:v>413.61254551453345</c:v>
                </c:pt>
                <c:pt idx="82">
                  <c:v>408.67885630772827</c:v>
                </c:pt>
                <c:pt idx="83">
                  <c:v>403.80401756243185</c:v>
                </c:pt>
                <c:pt idx="84">
                  <c:v>398.98732729344113</c:v>
                </c:pt>
                <c:pt idx="85">
                  <c:v>394.22809188903403</c:v>
                </c:pt>
                <c:pt idx="86">
                  <c:v>389.52562601108849</c:v>
                </c:pt>
                <c:pt idx="87">
                  <c:v>384.87925249639193</c:v>
                </c:pt>
                <c:pt idx="88">
                  <c:v>380.28830225912941</c:v>
                </c:pt>
                <c:pt idx="89">
                  <c:v>375.75211419453353</c:v>
                </c:pt>
                <c:pt idx="90">
                  <c:v>371.27003508368449</c:v>
                </c:pt>
                <c:pt idx="91">
                  <c:v>366.84141949944524</c:v>
                </c:pt>
                <c:pt idx="92">
                  <c:v>362.46562971351881</c:v>
                </c:pt>
                <c:pt idx="93">
                  <c:v>358.14203560461482</c:v>
                </c:pt>
                <c:pt idx="94">
                  <c:v>353.87001456771026</c:v>
                </c:pt>
                <c:pt idx="95">
                  <c:v>349.64895142439377</c:v>
                </c:pt>
                <c:pt idx="96">
                  <c:v>345.47823833427867</c:v>
                </c:pt>
                <c:pt idx="97">
                  <c:v>341.35727470747304</c:v>
                </c:pt>
                <c:pt idx="98">
                  <c:v>337.28546711809344</c:v>
                </c:pt>
                <c:pt idx="99">
                  <c:v>333.26222921881094</c:v>
                </c:pt>
                <c:pt idx="100">
                  <c:v>329.28698165641583</c:v>
                </c:pt>
                <c:pt idx="101">
                  <c:v>325.35915198838995</c:v>
                </c:pt>
                <c:pt idx="102">
                  <c:v>321.47817460047361</c:v>
                </c:pt>
                <c:pt idx="103">
                  <c:v>317.64349062521671</c:v>
                </c:pt>
                <c:pt idx="104">
                  <c:v>313.85454786150046</c:v>
                </c:pt>
                <c:pt idx="105">
                  <c:v>310.11080069501952</c:v>
                </c:pt>
                <c:pt idx="106">
                  <c:v>306.4117100197127</c:v>
                </c:pt>
                <c:pt idx="107">
                  <c:v>302.75674316013072</c:v>
                </c:pt>
                <c:pt idx="108">
                  <c:v>299.14537379472989</c:v>
                </c:pt>
                <c:pt idx="109">
                  <c:v>295.57708188008127</c:v>
                </c:pt>
                <c:pt idx="110">
                  <c:v>292.051353575983</c:v>
                </c:pt>
                <c:pt idx="111">
                  <c:v>288.5676811714668</c:v>
                </c:pt>
                <c:pt idx="112">
                  <c:v>285.12556301168667</c:v>
                </c:pt>
                <c:pt idx="113">
                  <c:v>281.72450342567953</c:v>
                </c:pt>
                <c:pt idx="114">
                  <c:v>278.36401265498802</c:v>
                </c:pt>
                <c:pt idx="115">
                  <c:v>275.04360678313412</c:v>
                </c:pt>
                <c:pt idx="116">
                  <c:v>271.76280766593464</c:v>
                </c:pt>
                <c:pt idx="117">
                  <c:v>268.52114286264742</c:v>
                </c:pt>
                <c:pt idx="118">
                  <c:v>265.31814556793915</c:v>
                </c:pt>
                <c:pt idx="119">
                  <c:v>262.15335454466469</c:v>
                </c:pt>
                <c:pt idx="120">
                  <c:v>259.02631405744785</c:v>
                </c:pt>
                <c:pt idx="121">
                  <c:v>255.93657380705483</c:v>
                </c:pt>
                <c:pt idx="122">
                  <c:v>252.8836888655506</c:v>
                </c:pt>
                <c:pt idx="123">
                  <c:v>249.86721961222804</c:v>
                </c:pt>
                <c:pt idx="124">
                  <c:v>246.88673167030234</c:v>
                </c:pt>
                <c:pt idx="125">
                  <c:v>243.94179584435946</c:v>
                </c:pt>
                <c:pt idx="126">
                  <c:v>241.0319880585516</c:v>
                </c:pt>
              </c:numCache>
            </c:numRef>
          </c:val>
          <c:smooth val="0"/>
          <c:extLst>
            <c:ext xmlns:c16="http://schemas.microsoft.com/office/drawing/2014/chart" uri="{C3380CC4-5D6E-409C-BE32-E72D297353CC}">
              <c16:uniqueId val="{00000002-5727-447B-958C-BC7B341A8D01}"/>
            </c:ext>
          </c:extLst>
        </c:ser>
        <c:ser>
          <c:idx val="2"/>
          <c:order val="2"/>
          <c:tx>
            <c:v>Interest</c:v>
          </c:tx>
          <c:spPr>
            <a:ln w="19050" cap="rnd">
              <a:solidFill>
                <a:srgbClr val="0070C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Loans'!$K$19:$K$145</c:f>
              <c:numCache>
                <c:formatCode>_("$"* #,##0.00_);_("$"* \(#,##0.00\);_("$"* "-"??_);_(@_)</c:formatCode>
                <c:ptCount val="127"/>
                <c:pt idx="27">
                  <c:v>1.19</c:v>
                </c:pt>
                <c:pt idx="28">
                  <c:v>114.14078228</c:v>
                </c:pt>
                <c:pt idx="29">
                  <c:v>105.862641270496</c:v>
                </c:pt>
                <c:pt idx="30">
                  <c:v>106.99</c:v>
                </c:pt>
                <c:pt idx="31">
                  <c:v>103.4</c:v>
                </c:pt>
                <c:pt idx="32">
                  <c:v>102.21000000000001</c:v>
                </c:pt>
                <c:pt idx="33">
                  <c:v>98.51</c:v>
                </c:pt>
                <c:pt idx="34">
                  <c:v>97.61</c:v>
                </c:pt>
                <c:pt idx="35">
                  <c:v>87.3</c:v>
                </c:pt>
                <c:pt idx="36">
                  <c:v>81.25</c:v>
                </c:pt>
                <c:pt idx="37">
                  <c:v>86.35</c:v>
                </c:pt>
                <c:pt idx="38">
                  <c:v>103.19000000000001</c:v>
                </c:pt>
                <c:pt idx="39">
                  <c:v>85.199999999999989</c:v>
                </c:pt>
                <c:pt idx="40">
                  <c:v>67.72</c:v>
                </c:pt>
                <c:pt idx="41">
                  <c:v>75.12</c:v>
                </c:pt>
                <c:pt idx="42">
                  <c:v>79.75</c:v>
                </c:pt>
                <c:pt idx="43">
                  <c:v>79.040000000000006</c:v>
                </c:pt>
                <c:pt idx="44">
                  <c:v>65.28</c:v>
                </c:pt>
                <c:pt idx="45">
                  <c:v>75.010000000000005</c:v>
                </c:pt>
                <c:pt idx="46">
                  <c:v>84.58</c:v>
                </c:pt>
                <c:pt idx="47">
                  <c:v>71.06</c:v>
                </c:pt>
                <c:pt idx="48">
                  <c:v>72.900000000000006</c:v>
                </c:pt>
                <c:pt idx="49">
                  <c:v>76.78</c:v>
                </c:pt>
                <c:pt idx="50">
                  <c:v>78.070000000000007</c:v>
                </c:pt>
                <c:pt idx="51">
                  <c:v>76.5</c:v>
                </c:pt>
                <c:pt idx="52">
                  <c:v>71.400000000000006</c:v>
                </c:pt>
                <c:pt idx="53">
                  <c:v>86.09</c:v>
                </c:pt>
                <c:pt idx="54">
                  <c:v>56.24</c:v>
                </c:pt>
                <c:pt idx="55">
                  <c:v>64.099999999999994</c:v>
                </c:pt>
                <c:pt idx="56">
                  <c:v>0</c:v>
                </c:pt>
                <c:pt idx="57">
                  <c:v>74.212704240000008</c:v>
                </c:pt>
                <c:pt idx="58">
                  <c:v>72.273072062141736</c:v>
                </c:pt>
                <c:pt idx="59">
                  <c:v>70.617508241951029</c:v>
                </c:pt>
                <c:pt idx="60">
                  <c:v>68.977985185891882</c:v>
                </c:pt>
                <c:pt idx="61">
                  <c:v>67.355228991572076</c:v>
                </c:pt>
                <c:pt idx="62">
                  <c:v>65.749026624266222</c:v>
                </c:pt>
                <c:pt idx="63">
                  <c:v>64.159170816094885</c:v>
                </c:pt>
                <c:pt idx="64">
                  <c:v>62.585456725699096</c:v>
                </c:pt>
                <c:pt idx="65">
                  <c:v>61.027681920637733</c:v>
                </c:pt>
                <c:pt idx="66">
                  <c:v>59.485646348492075</c:v>
                </c:pt>
                <c:pt idx="67">
                  <c:v>57.959152308354987</c:v>
                </c:pt>
                <c:pt idx="68">
                  <c:v>56.448004422659572</c:v>
                </c:pt>
                <c:pt idx="69">
                  <c:v>54.952009609343456</c:v>
                </c:pt>
                <c:pt idx="70">
                  <c:v>53.470977054344658</c:v>
                </c:pt>
                <c:pt idx="71">
                  <c:v>52.004718184425109</c:v>
                </c:pt>
                <c:pt idx="72">
                  <c:v>50.553046640317937</c:v>
                </c:pt>
                <c:pt idx="73">
                  <c:v>49.115778250194587</c:v>
                </c:pt>
                <c:pt idx="74">
                  <c:v>47.692731003448031</c:v>
                </c:pt>
                <c:pt idx="75">
                  <c:v>46.283725024788232</c:v>
                </c:pt>
                <c:pt idx="76">
                  <c:v>44.888582548646198</c:v>
                </c:pt>
                <c:pt idx="77">
                  <c:v>43.50712789388291</c:v>
                </c:pt>
                <c:pt idx="78">
                  <c:v>42.139187438799432</c:v>
                </c:pt>
                <c:pt idx="79">
                  <c:v>40.784589596444775</c:v>
                </c:pt>
                <c:pt idx="80">
                  <c:v>39.443164790217729</c:v>
                </c:pt>
                <c:pt idx="81">
                  <c:v>38.114745429759381</c:v>
                </c:pt>
                <c:pt idx="82">
                  <c:v>36.799165887132688</c:v>
                </c:pt>
                <c:pt idx="83">
                  <c:v>35.496262473285753</c:v>
                </c:pt>
                <c:pt idx="84">
                  <c:v>34.205873414795398</c:v>
                </c:pt>
                <c:pt idx="85">
                  <c:v>32.92783883088773</c:v>
                </c:pt>
                <c:pt idx="86">
                  <c:v>31.662000710732311</c:v>
                </c:pt>
                <c:pt idx="87">
                  <c:v>30.408202891006727</c:v>
                </c:pt>
                <c:pt idx="88">
                  <c:v>29.166291033728349</c:v>
                </c:pt>
                <c:pt idx="89">
                  <c:v>27.936112604350029</c:v>
                </c:pt>
                <c:pt idx="90">
                  <c:v>26.717516850116638</c:v>
                </c:pt>
                <c:pt idx="91">
                  <c:v>25.510354778679297</c:v>
                </c:pt>
                <c:pt idx="92">
                  <c:v>24.314479136964259</c:v>
                </c:pt>
                <c:pt idx="93">
                  <c:v>23.129744390293361</c:v>
                </c:pt>
                <c:pt idx="94">
                  <c:v>21.956006701753104</c:v>
                </c:pt>
                <c:pt idx="95">
                  <c:v>20.793123911809303</c:v>
                </c:pt>
                <c:pt idx="96">
                  <c:v>19.6409555181645</c:v>
                </c:pt>
                <c:pt idx="97">
                  <c:v>18.499362655855098</c:v>
                </c:pt>
                <c:pt idx="98">
                  <c:v>17.368208077585489</c:v>
                </c:pt>
                <c:pt idx="99">
                  <c:v>16.247356134296258</c:v>
                </c:pt>
                <c:pt idx="100">
                  <c:v>15.13667275596371</c:v>
                </c:pt>
                <c:pt idx="101">
                  <c:v>14.036025432627937</c:v>
                </c:pt>
                <c:pt idx="102">
                  <c:v>12.945283195646727</c:v>
                </c:pt>
                <c:pt idx="103">
                  <c:v>11.864316599172581</c:v>
                </c:pt>
                <c:pt idx="104">
                  <c:v>10.792997701850211</c:v>
                </c:pt>
                <c:pt idx="105">
                  <c:v>9.7312000487318659</c:v>
                </c:pt>
                <c:pt idx="106">
                  <c:v>8.6787986534078829</c:v>
                </c:pt>
                <c:pt idx="107">
                  <c:v>7.6356699803499151</c:v>
                </c:pt>
                <c:pt idx="108">
                  <c:v>6.6016919274642776</c:v>
                </c:pt>
                <c:pt idx="109">
                  <c:v>5.5767438088529175</c:v>
                </c:pt>
                <c:pt idx="110">
                  <c:v>4.5607063377795161</c:v>
                </c:pt>
                <c:pt idx="111">
                  <c:v>3.553461609838287</c:v>
                </c:pt>
                <c:pt idx="112">
                  <c:v>2.5548930863230424</c:v>
                </c:pt>
                <c:pt idx="113">
                  <c:v>1.5648855777941437</c:v>
                </c:pt>
                <c:pt idx="114">
                  <c:v>0.58332522784096619</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3-5727-447B-958C-BC7B341A8D01}"/>
            </c:ext>
          </c:extLst>
        </c:ser>
        <c:ser>
          <c:idx val="4"/>
          <c:order val="4"/>
          <c:tx>
            <c:v>Original Payment</c:v>
          </c:tx>
          <c:spPr>
            <a:ln w="19050" cap="rnd">
              <a:solidFill>
                <a:srgbClr val="C0000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Loans'!$AA$19:$AA$145</c:f>
              <c:numCache>
                <c:formatCode>_("$"* #,##0.00_);_("$"* \(#,##0.00\);_("$"* "-"??_);_(@_)</c:formatCode>
                <c:ptCount val="127"/>
                <c:pt idx="0">
                  <c:v>442</c:v>
                </c:pt>
                <c:pt idx="1">
                  <c:v>442</c:v>
                </c:pt>
                <c:pt idx="2">
                  <c:v>442</c:v>
                </c:pt>
                <c:pt idx="3">
                  <c:v>442</c:v>
                </c:pt>
                <c:pt idx="4">
                  <c:v>442</c:v>
                </c:pt>
                <c:pt idx="5">
                  <c:v>442</c:v>
                </c:pt>
                <c:pt idx="6">
                  <c:v>442</c:v>
                </c:pt>
                <c:pt idx="7">
                  <c:v>442</c:v>
                </c:pt>
                <c:pt idx="8">
                  <c:v>442</c:v>
                </c:pt>
                <c:pt idx="9">
                  <c:v>442</c:v>
                </c:pt>
                <c:pt idx="10">
                  <c:v>442</c:v>
                </c:pt>
                <c:pt idx="11">
                  <c:v>442</c:v>
                </c:pt>
                <c:pt idx="12">
                  <c:v>442</c:v>
                </c:pt>
                <c:pt idx="13">
                  <c:v>442</c:v>
                </c:pt>
                <c:pt idx="14">
                  <c:v>442</c:v>
                </c:pt>
                <c:pt idx="15">
                  <c:v>442</c:v>
                </c:pt>
                <c:pt idx="16">
                  <c:v>442</c:v>
                </c:pt>
                <c:pt idx="17">
                  <c:v>442</c:v>
                </c:pt>
                <c:pt idx="18">
                  <c:v>442</c:v>
                </c:pt>
                <c:pt idx="19">
                  <c:v>442</c:v>
                </c:pt>
                <c:pt idx="20">
                  <c:v>442</c:v>
                </c:pt>
                <c:pt idx="21">
                  <c:v>442</c:v>
                </c:pt>
                <c:pt idx="22">
                  <c:v>442</c:v>
                </c:pt>
                <c:pt idx="23">
                  <c:v>442</c:v>
                </c:pt>
                <c:pt idx="24">
                  <c:v>442</c:v>
                </c:pt>
                <c:pt idx="25">
                  <c:v>442</c:v>
                </c:pt>
                <c:pt idx="26">
                  <c:v>442</c:v>
                </c:pt>
                <c:pt idx="27">
                  <c:v>442</c:v>
                </c:pt>
                <c:pt idx="28">
                  <c:v>442</c:v>
                </c:pt>
                <c:pt idx="29">
                  <c:v>442</c:v>
                </c:pt>
                <c:pt idx="30">
                  <c:v>442</c:v>
                </c:pt>
                <c:pt idx="31">
                  <c:v>442</c:v>
                </c:pt>
                <c:pt idx="32">
                  <c:v>442</c:v>
                </c:pt>
                <c:pt idx="33">
                  <c:v>442</c:v>
                </c:pt>
                <c:pt idx="34">
                  <c:v>442</c:v>
                </c:pt>
                <c:pt idx="35">
                  <c:v>442</c:v>
                </c:pt>
                <c:pt idx="36">
                  <c:v>442</c:v>
                </c:pt>
                <c:pt idx="37">
                  <c:v>442</c:v>
                </c:pt>
                <c:pt idx="38">
                  <c:v>442</c:v>
                </c:pt>
                <c:pt idx="39">
                  <c:v>442</c:v>
                </c:pt>
                <c:pt idx="40">
                  <c:v>442</c:v>
                </c:pt>
                <c:pt idx="41">
                  <c:v>442</c:v>
                </c:pt>
                <c:pt idx="42">
                  <c:v>442</c:v>
                </c:pt>
                <c:pt idx="43">
                  <c:v>442</c:v>
                </c:pt>
                <c:pt idx="44">
                  <c:v>442</c:v>
                </c:pt>
                <c:pt idx="45">
                  <c:v>442</c:v>
                </c:pt>
                <c:pt idx="46">
                  <c:v>442</c:v>
                </c:pt>
                <c:pt idx="47">
                  <c:v>442</c:v>
                </c:pt>
                <c:pt idx="48">
                  <c:v>442</c:v>
                </c:pt>
                <c:pt idx="49">
                  <c:v>442</c:v>
                </c:pt>
                <c:pt idx="50">
                  <c:v>442</c:v>
                </c:pt>
                <c:pt idx="51">
                  <c:v>442</c:v>
                </c:pt>
                <c:pt idx="52">
                  <c:v>442</c:v>
                </c:pt>
                <c:pt idx="53">
                  <c:v>442</c:v>
                </c:pt>
                <c:pt idx="54">
                  <c:v>442</c:v>
                </c:pt>
                <c:pt idx="55">
                  <c:v>442</c:v>
                </c:pt>
                <c:pt idx="56">
                  <c:v>442</c:v>
                </c:pt>
                <c:pt idx="57">
                  <c:v>442</c:v>
                </c:pt>
                <c:pt idx="58">
                  <c:v>442</c:v>
                </c:pt>
                <c:pt idx="59">
                  <c:v>442</c:v>
                </c:pt>
                <c:pt idx="60">
                  <c:v>442</c:v>
                </c:pt>
                <c:pt idx="61">
                  <c:v>442</c:v>
                </c:pt>
                <c:pt idx="62">
                  <c:v>442</c:v>
                </c:pt>
                <c:pt idx="63">
                  <c:v>442</c:v>
                </c:pt>
                <c:pt idx="64">
                  <c:v>442</c:v>
                </c:pt>
                <c:pt idx="65">
                  <c:v>442</c:v>
                </c:pt>
                <c:pt idx="66">
                  <c:v>442</c:v>
                </c:pt>
                <c:pt idx="67">
                  <c:v>442</c:v>
                </c:pt>
                <c:pt idx="68">
                  <c:v>442</c:v>
                </c:pt>
                <c:pt idx="69">
                  <c:v>442</c:v>
                </c:pt>
                <c:pt idx="70">
                  <c:v>442</c:v>
                </c:pt>
                <c:pt idx="71">
                  <c:v>442</c:v>
                </c:pt>
                <c:pt idx="72">
                  <c:v>442</c:v>
                </c:pt>
                <c:pt idx="73">
                  <c:v>442</c:v>
                </c:pt>
                <c:pt idx="74">
                  <c:v>442</c:v>
                </c:pt>
                <c:pt idx="75">
                  <c:v>442</c:v>
                </c:pt>
                <c:pt idx="76">
                  <c:v>442</c:v>
                </c:pt>
                <c:pt idx="77">
                  <c:v>442</c:v>
                </c:pt>
                <c:pt idx="78">
                  <c:v>442</c:v>
                </c:pt>
                <c:pt idx="79">
                  <c:v>442</c:v>
                </c:pt>
                <c:pt idx="80">
                  <c:v>442</c:v>
                </c:pt>
                <c:pt idx="81">
                  <c:v>442</c:v>
                </c:pt>
                <c:pt idx="82">
                  <c:v>442</c:v>
                </c:pt>
                <c:pt idx="83">
                  <c:v>442</c:v>
                </c:pt>
                <c:pt idx="84">
                  <c:v>442</c:v>
                </c:pt>
                <c:pt idx="85">
                  <c:v>442</c:v>
                </c:pt>
                <c:pt idx="86">
                  <c:v>442</c:v>
                </c:pt>
                <c:pt idx="87">
                  <c:v>442</c:v>
                </c:pt>
                <c:pt idx="88">
                  <c:v>442</c:v>
                </c:pt>
                <c:pt idx="89">
                  <c:v>442</c:v>
                </c:pt>
                <c:pt idx="90">
                  <c:v>442</c:v>
                </c:pt>
                <c:pt idx="91">
                  <c:v>442</c:v>
                </c:pt>
                <c:pt idx="92">
                  <c:v>442</c:v>
                </c:pt>
                <c:pt idx="93">
                  <c:v>442</c:v>
                </c:pt>
                <c:pt idx="94">
                  <c:v>442</c:v>
                </c:pt>
                <c:pt idx="95">
                  <c:v>442</c:v>
                </c:pt>
                <c:pt idx="96">
                  <c:v>442</c:v>
                </c:pt>
                <c:pt idx="97">
                  <c:v>442</c:v>
                </c:pt>
                <c:pt idx="98">
                  <c:v>442</c:v>
                </c:pt>
                <c:pt idx="99">
                  <c:v>442</c:v>
                </c:pt>
                <c:pt idx="100">
                  <c:v>442</c:v>
                </c:pt>
                <c:pt idx="101">
                  <c:v>442</c:v>
                </c:pt>
                <c:pt idx="102">
                  <c:v>442</c:v>
                </c:pt>
                <c:pt idx="103">
                  <c:v>442</c:v>
                </c:pt>
                <c:pt idx="104">
                  <c:v>442</c:v>
                </c:pt>
                <c:pt idx="105">
                  <c:v>442</c:v>
                </c:pt>
                <c:pt idx="106">
                  <c:v>442</c:v>
                </c:pt>
                <c:pt idx="107">
                  <c:v>442</c:v>
                </c:pt>
                <c:pt idx="108">
                  <c:v>442</c:v>
                </c:pt>
                <c:pt idx="109">
                  <c:v>442</c:v>
                </c:pt>
                <c:pt idx="110">
                  <c:v>442</c:v>
                </c:pt>
                <c:pt idx="111">
                  <c:v>442</c:v>
                </c:pt>
                <c:pt idx="112">
                  <c:v>442</c:v>
                </c:pt>
                <c:pt idx="113">
                  <c:v>442</c:v>
                </c:pt>
                <c:pt idx="114">
                  <c:v>442</c:v>
                </c:pt>
                <c:pt idx="115">
                  <c:v>442</c:v>
                </c:pt>
                <c:pt idx="116">
                  <c:v>442</c:v>
                </c:pt>
                <c:pt idx="117">
                  <c:v>442</c:v>
                </c:pt>
                <c:pt idx="118">
                  <c:v>442</c:v>
                </c:pt>
                <c:pt idx="119">
                  <c:v>442</c:v>
                </c:pt>
                <c:pt idx="120">
                  <c:v>442</c:v>
                </c:pt>
              </c:numCache>
            </c:numRef>
          </c:val>
          <c:smooth val="0"/>
          <c:extLst>
            <c:ext xmlns:c16="http://schemas.microsoft.com/office/drawing/2014/chart" uri="{C3380CC4-5D6E-409C-BE32-E72D297353CC}">
              <c16:uniqueId val="{00000000-6A40-4071-9F5A-F5A3B0EEB3FD}"/>
            </c:ext>
          </c:extLst>
        </c:ser>
        <c:dLbls>
          <c:showLegendKey val="0"/>
          <c:showVal val="0"/>
          <c:showCatName val="0"/>
          <c:showSerName val="0"/>
          <c:showPercent val="0"/>
          <c:showBubbleSize val="0"/>
        </c:dLbls>
        <c:marker val="1"/>
        <c:smooth val="0"/>
        <c:axId val="748691168"/>
        <c:axId val="748693248"/>
      </c:lineChart>
      <c:dateAx>
        <c:axId val="255206512"/>
        <c:scaling>
          <c:orientation val="minMax"/>
        </c:scaling>
        <c:delete val="0"/>
        <c:axPos val="b"/>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9840"/>
        <c:crosses val="autoZero"/>
        <c:auto val="1"/>
        <c:lblOffset val="100"/>
        <c:baseTimeUnit val="months"/>
        <c:majorUnit val="9"/>
        <c:majorTimeUnit val="months"/>
      </c:dateAx>
      <c:valAx>
        <c:axId val="255209840"/>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6512"/>
        <c:crosses val="autoZero"/>
        <c:crossBetween val="between"/>
      </c:valAx>
      <c:valAx>
        <c:axId val="748693248"/>
        <c:scaling>
          <c:orientation val="minMax"/>
          <c:max val="1000"/>
        </c:scaling>
        <c:delete val="0"/>
        <c:axPos val="r"/>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91168"/>
        <c:crosses val="max"/>
        <c:crossBetween val="between"/>
      </c:valAx>
      <c:dateAx>
        <c:axId val="748691168"/>
        <c:scaling>
          <c:orientation val="minMax"/>
        </c:scaling>
        <c:delete val="1"/>
        <c:axPos val="b"/>
        <c:numFmt formatCode="mmm\-yy" sourceLinked="1"/>
        <c:majorTickMark val="out"/>
        <c:minorTickMark val="none"/>
        <c:tickLblPos val="nextTo"/>
        <c:crossAx val="74869324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Adjustable Loan Repayment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v>Principal</c:v>
          </c:tx>
          <c:spPr>
            <a:ln w="19050" cap="rnd">
              <a:solidFill>
                <a:schemeClr val="accent2"/>
              </a:solidFill>
              <a:round/>
            </a:ln>
            <a:effectLst/>
          </c:spPr>
          <c:marker>
            <c:symbol val="none"/>
          </c:marker>
          <c:cat>
            <c:numRef>
              <c:f>'Student Loans'!$B$19:$B$146</c:f>
              <c:numCache>
                <c:formatCode>mmm\-yy</c:formatCode>
                <c:ptCount val="128"/>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Loans'!$R$19:$R$169</c:f>
              <c:numCache>
                <c:formatCode>_("$"* #,##0.00_);_("$"* \(#,##0.00\);_("$"* "-"??_);_(@_)</c:formatCode>
                <c:ptCount val="151"/>
                <c:pt idx="0">
                  <c:v>42637.54</c:v>
                </c:pt>
                <c:pt idx="1">
                  <c:v>42195.64</c:v>
                </c:pt>
                <c:pt idx="2">
                  <c:v>41495.339999999997</c:v>
                </c:pt>
                <c:pt idx="3">
                  <c:v>40635.64</c:v>
                </c:pt>
                <c:pt idx="4">
                  <c:v>39795.64</c:v>
                </c:pt>
                <c:pt idx="5">
                  <c:v>38975.64</c:v>
                </c:pt>
                <c:pt idx="6">
                  <c:v>38175.64</c:v>
                </c:pt>
                <c:pt idx="7">
                  <c:v>37393.64</c:v>
                </c:pt>
                <c:pt idx="8">
                  <c:v>36629.64</c:v>
                </c:pt>
                <c:pt idx="9">
                  <c:v>35883.64</c:v>
                </c:pt>
                <c:pt idx="10">
                  <c:v>35153.64</c:v>
                </c:pt>
                <c:pt idx="11">
                  <c:v>34437.64</c:v>
                </c:pt>
                <c:pt idx="12">
                  <c:v>33737.64</c:v>
                </c:pt>
                <c:pt idx="13">
                  <c:v>33051.64</c:v>
                </c:pt>
                <c:pt idx="14">
                  <c:v>32379.64</c:v>
                </c:pt>
                <c:pt idx="15">
                  <c:v>31721.64</c:v>
                </c:pt>
                <c:pt idx="16">
                  <c:v>31077.64</c:v>
                </c:pt>
                <c:pt idx="17">
                  <c:v>30447.64</c:v>
                </c:pt>
                <c:pt idx="18">
                  <c:v>29829.64</c:v>
                </c:pt>
                <c:pt idx="19">
                  <c:v>29225.64</c:v>
                </c:pt>
                <c:pt idx="20">
                  <c:v>28633.64</c:v>
                </c:pt>
                <c:pt idx="21">
                  <c:v>28053.64</c:v>
                </c:pt>
                <c:pt idx="22">
                  <c:v>28053.64</c:v>
                </c:pt>
                <c:pt idx="23">
                  <c:v>28053.64</c:v>
                </c:pt>
                <c:pt idx="24">
                  <c:v>28053.64</c:v>
                </c:pt>
                <c:pt idx="25">
                  <c:v>28053.64</c:v>
                </c:pt>
                <c:pt idx="26">
                  <c:v>28053.64</c:v>
                </c:pt>
                <c:pt idx="27">
                  <c:v>28053.64</c:v>
                </c:pt>
                <c:pt idx="28">
                  <c:v>28054.829999999998</c:v>
                </c:pt>
                <c:pt idx="29">
                  <c:v>27668.970782279997</c:v>
                </c:pt>
                <c:pt idx="30">
                  <c:v>27374.833423550492</c:v>
                </c:pt>
                <c:pt idx="31">
                  <c:v>27181.823423550493</c:v>
                </c:pt>
                <c:pt idx="32">
                  <c:v>26985.223423550495</c:v>
                </c:pt>
                <c:pt idx="33">
                  <c:v>26787.433423550494</c:v>
                </c:pt>
                <c:pt idx="34">
                  <c:v>26645.943423550492</c:v>
                </c:pt>
                <c:pt idx="35">
                  <c:v>26296.09</c:v>
                </c:pt>
                <c:pt idx="36">
                  <c:v>26071.74</c:v>
                </c:pt>
                <c:pt idx="37">
                  <c:v>25838.09</c:v>
                </c:pt>
                <c:pt idx="38">
                  <c:v>25641.279999999999</c:v>
                </c:pt>
                <c:pt idx="39">
                  <c:v>25382.880000000001</c:v>
                </c:pt>
                <c:pt idx="40">
                  <c:v>25112</c:v>
                </c:pt>
                <c:pt idx="41">
                  <c:v>24887.119999999999</c:v>
                </c:pt>
                <c:pt idx="42">
                  <c:v>24666.87</c:v>
                </c:pt>
                <c:pt idx="43">
                  <c:v>24445.91</c:v>
                </c:pt>
                <c:pt idx="44">
                  <c:v>24226.93</c:v>
                </c:pt>
                <c:pt idx="45">
                  <c:v>24001.94</c:v>
                </c:pt>
                <c:pt idx="46">
                  <c:v>23789.09</c:v>
                </c:pt>
                <c:pt idx="47">
                  <c:v>23560.15</c:v>
                </c:pt>
                <c:pt idx="48">
                  <c:v>23333.050000000003</c:v>
                </c:pt>
                <c:pt idx="49">
                  <c:v>23009.83</c:v>
                </c:pt>
                <c:pt idx="50">
                  <c:v>22687.9</c:v>
                </c:pt>
                <c:pt idx="51">
                  <c:v>22364.400000000001</c:v>
                </c:pt>
                <c:pt idx="52">
                  <c:v>22135.800000000003</c:v>
                </c:pt>
                <c:pt idx="53">
                  <c:v>21971.890000000003</c:v>
                </c:pt>
                <c:pt idx="54">
                  <c:v>21442.610000000004</c:v>
                </c:pt>
                <c:pt idx="55">
                  <c:v>21334.240000000002</c:v>
                </c:pt>
                <c:pt idx="56">
                  <c:v>21107.140000000003</c:v>
                </c:pt>
                <c:pt idx="57">
                  <c:v>20689.68253772199</c:v>
                </c:pt>
                <c:pt idx="58">
                  <c:v>20271.674956660194</c:v>
                </c:pt>
                <c:pt idx="59">
                  <c:v>19853.379507384729</c:v>
                </c:pt>
                <c:pt idx="60">
                  <c:v>19434.791427284043</c:v>
                </c:pt>
                <c:pt idx="61">
                  <c:v>19015.906882599593</c:v>
                </c:pt>
                <c:pt idx="62">
                  <c:v>18596.722029591252</c:v>
                </c:pt>
                <c:pt idx="63">
                  <c:v>18177.233017786937</c:v>
                </c:pt>
                <c:pt idx="64">
                  <c:v>17757.435989931346</c:v>
                </c:pt>
                <c:pt idx="65">
                  <c:v>17337.327081946132</c:v>
                </c:pt>
                <c:pt idx="66">
                  <c:v>16916.902422889983</c:v>
                </c:pt>
                <c:pt idx="67">
                  <c:v>16496.158134918558</c:v>
                </c:pt>
                <c:pt idx="68">
                  <c:v>16075.090333244334</c:v>
                </c:pt>
                <c:pt idx="69">
                  <c:v>15653.695126096369</c:v>
                </c:pt>
                <c:pt idx="70">
                  <c:v>15231.968614679929</c:v>
                </c:pt>
                <c:pt idx="71">
                  <c:v>14809.90689313604</c:v>
                </c:pt>
                <c:pt idx="72">
                  <c:v>14387.506048500922</c:v>
                </c:pt>
                <c:pt idx="73">
                  <c:v>13964.762160665316</c:v>
                </c:pt>
                <c:pt idx="74">
                  <c:v>13541.671302333727</c:v>
                </c:pt>
                <c:pt idx="75">
                  <c:v>13118.229538983533</c:v>
                </c:pt>
                <c:pt idx="76">
                  <c:v>12694.432928824006</c:v>
                </c:pt>
                <c:pt idx="77">
                  <c:v>12270.277522755234</c:v>
                </c:pt>
                <c:pt idx="78">
                  <c:v>11845.759364326908</c:v>
                </c:pt>
                <c:pt idx="79">
                  <c:v>11420.874489697038</c:v>
                </c:pt>
                <c:pt idx="80">
                  <c:v>10995.618927590531</c:v>
                </c:pt>
                <c:pt idx="81">
                  <c:v>10569.988699257678</c:v>
                </c:pt>
                <c:pt idx="82">
                  <c:v>10143.979818432534</c:v>
                </c:pt>
                <c:pt idx="83">
                  <c:v>9717.5882912911729</c:v>
                </c:pt>
                <c:pt idx="84">
                  <c:v>9290.8101164098516</c:v>
                </c:pt>
                <c:pt idx="85">
                  <c:v>8863.6412847230549</c:v>
                </c:pt>
                <c:pt idx="86">
                  <c:v>8436.0777794814294</c:v>
                </c:pt>
                <c:pt idx="87">
                  <c:v>8008.1155762096114</c:v>
                </c:pt>
                <c:pt idx="88">
                  <c:v>7579.7506426639411</c:v>
                </c:pt>
                <c:pt idx="89">
                  <c:v>7150.9789387900637</c:v>
                </c:pt>
                <c:pt idx="90">
                  <c:v>6721.7964166804195</c:v>
                </c:pt>
                <c:pt idx="91">
                  <c:v>6292.199020531626</c:v>
                </c:pt>
                <c:pt idx="92">
                  <c:v>5862.1826866017363</c:v>
                </c:pt>
                <c:pt idx="93">
                  <c:v>5431.7433431673944</c:v>
                </c:pt>
                <c:pt idx="94">
                  <c:v>5000.8769104808725</c:v>
                </c:pt>
                <c:pt idx="95">
                  <c:v>4569.5793007269895</c:v>
                </c:pt>
                <c:pt idx="96">
                  <c:v>4137.846417979923</c:v>
                </c:pt>
                <c:pt idx="97">
                  <c:v>3705.6741581598972</c:v>
                </c:pt>
                <c:pt idx="98">
                  <c:v>3273.0584089897607</c:v>
                </c:pt>
                <c:pt idx="99">
                  <c:v>2839.9950499514466</c:v>
                </c:pt>
                <c:pt idx="100">
                  <c:v>2406.4799522423123</c:v>
                </c:pt>
                <c:pt idx="101">
                  <c:v>1972.5089787313652</c:v>
                </c:pt>
                <c:pt idx="102">
                  <c:v>1538.0779839153699</c:v>
                </c:pt>
                <c:pt idx="103">
                  <c:v>1103.1828138748358</c:v>
                </c:pt>
                <c:pt idx="104">
                  <c:v>667.81930622988546</c:v>
                </c:pt>
                <c:pt idx="105">
                  <c:v>231.98329009600553</c:v>
                </c:pt>
                <c:pt idx="106">
                  <c:v>0.80744521135473901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0-FE67-4FBE-B4B9-8BAB667945C9}"/>
            </c:ext>
          </c:extLst>
        </c:ser>
        <c:ser>
          <c:idx val="3"/>
          <c:order val="3"/>
          <c:spPr>
            <a:ln w="19050" cap="rnd">
              <a:solidFill>
                <a:schemeClr val="accent4"/>
              </a:solidFill>
              <a:round/>
            </a:ln>
            <a:effectLst/>
          </c:spPr>
          <c:marker>
            <c:symbol val="none"/>
          </c:marker>
          <c:cat>
            <c:numRef>
              <c:f>'Student Loans'!$B$19:$B$146</c:f>
              <c:numCache>
                <c:formatCode>mmm\-yy</c:formatCode>
                <c:ptCount val="128"/>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Loans'!$T$19:$T$169</c:f>
              <c:numCache>
                <c:formatCode>_("$"* #,##0.00_);_("$"* \(#,##0.00\);_("$"* "-"??_);_(@_)</c:formatCode>
                <c:ptCount val="151"/>
                <c:pt idx="0">
                  <c:v>42195.54</c:v>
                </c:pt>
                <c:pt idx="1">
                  <c:v>41495.64</c:v>
                </c:pt>
                <c:pt idx="2">
                  <c:v>40635.339999999997</c:v>
                </c:pt>
                <c:pt idx="3">
                  <c:v>39795.64</c:v>
                </c:pt>
                <c:pt idx="4">
                  <c:v>38975.64</c:v>
                </c:pt>
                <c:pt idx="5">
                  <c:v>38175.64</c:v>
                </c:pt>
                <c:pt idx="6">
                  <c:v>37393.64</c:v>
                </c:pt>
                <c:pt idx="7">
                  <c:v>36629.64</c:v>
                </c:pt>
                <c:pt idx="8">
                  <c:v>35883.64</c:v>
                </c:pt>
                <c:pt idx="9">
                  <c:v>35153.64</c:v>
                </c:pt>
                <c:pt idx="10">
                  <c:v>34437.64</c:v>
                </c:pt>
                <c:pt idx="11">
                  <c:v>33737.64</c:v>
                </c:pt>
                <c:pt idx="12">
                  <c:v>33051.64</c:v>
                </c:pt>
                <c:pt idx="13">
                  <c:v>32379.64</c:v>
                </c:pt>
                <c:pt idx="14">
                  <c:v>31721.64</c:v>
                </c:pt>
                <c:pt idx="15">
                  <c:v>31077.64</c:v>
                </c:pt>
                <c:pt idx="16">
                  <c:v>30447.64</c:v>
                </c:pt>
                <c:pt idx="17">
                  <c:v>29829.64</c:v>
                </c:pt>
                <c:pt idx="18">
                  <c:v>29225.64</c:v>
                </c:pt>
                <c:pt idx="19">
                  <c:v>28633.64</c:v>
                </c:pt>
                <c:pt idx="20">
                  <c:v>28053.64</c:v>
                </c:pt>
                <c:pt idx="21">
                  <c:v>28053.64</c:v>
                </c:pt>
                <c:pt idx="22">
                  <c:v>28053.64</c:v>
                </c:pt>
                <c:pt idx="23">
                  <c:v>28053.64</c:v>
                </c:pt>
                <c:pt idx="24">
                  <c:v>28053.64</c:v>
                </c:pt>
                <c:pt idx="25">
                  <c:v>28053.64</c:v>
                </c:pt>
                <c:pt idx="26">
                  <c:v>28053.64</c:v>
                </c:pt>
                <c:pt idx="27">
                  <c:v>28054.829999999998</c:v>
                </c:pt>
                <c:pt idx="28">
                  <c:v>27668.970782279997</c:v>
                </c:pt>
                <c:pt idx="29">
                  <c:v>27374.833423550492</c:v>
                </c:pt>
                <c:pt idx="30">
                  <c:v>27181.823423550493</c:v>
                </c:pt>
                <c:pt idx="31">
                  <c:v>26985.223423550495</c:v>
                </c:pt>
                <c:pt idx="32">
                  <c:v>26787.433423550494</c:v>
                </c:pt>
                <c:pt idx="33">
                  <c:v>26645.943423550492</c:v>
                </c:pt>
                <c:pt idx="34">
                  <c:v>26503.553423550493</c:v>
                </c:pt>
                <c:pt idx="35">
                  <c:v>26208.79</c:v>
                </c:pt>
                <c:pt idx="36">
                  <c:v>25990.49</c:v>
                </c:pt>
                <c:pt idx="37">
                  <c:v>25751.74</c:v>
                </c:pt>
                <c:pt idx="38">
                  <c:v>25538.09</c:v>
                </c:pt>
                <c:pt idx="39">
                  <c:v>25297.68</c:v>
                </c:pt>
                <c:pt idx="40">
                  <c:v>25044.28</c:v>
                </c:pt>
                <c:pt idx="41">
                  <c:v>24812</c:v>
                </c:pt>
                <c:pt idx="42">
                  <c:v>24587.119999999999</c:v>
                </c:pt>
                <c:pt idx="43">
                  <c:v>24366.87</c:v>
                </c:pt>
                <c:pt idx="44">
                  <c:v>24161.65</c:v>
                </c:pt>
                <c:pt idx="45">
                  <c:v>23926.93</c:v>
                </c:pt>
                <c:pt idx="46">
                  <c:v>23704.51</c:v>
                </c:pt>
                <c:pt idx="47">
                  <c:v>23489.09</c:v>
                </c:pt>
                <c:pt idx="48">
                  <c:v>23260.15</c:v>
                </c:pt>
                <c:pt idx="49">
                  <c:v>22933.050000000003</c:v>
                </c:pt>
                <c:pt idx="50">
                  <c:v>22609.83</c:v>
                </c:pt>
                <c:pt idx="51">
                  <c:v>22287.9</c:v>
                </c:pt>
                <c:pt idx="52">
                  <c:v>22064.400000000001</c:v>
                </c:pt>
                <c:pt idx="53">
                  <c:v>21885.800000000003</c:v>
                </c:pt>
                <c:pt idx="54">
                  <c:v>21386.370000000003</c:v>
                </c:pt>
                <c:pt idx="55">
                  <c:v>21270.140000000003</c:v>
                </c:pt>
                <c:pt idx="56">
                  <c:v>21107.140000000003</c:v>
                </c:pt>
                <c:pt idx="57">
                  <c:v>20615.469833481991</c:v>
                </c:pt>
                <c:pt idx="58">
                  <c:v>20199.190964725673</c:v>
                </c:pt>
                <c:pt idx="59">
                  <c:v>19782.359151952754</c:v>
                </c:pt>
                <c:pt idx="60">
                  <c:v>19365.236652505777</c:v>
                </c:pt>
                <c:pt idx="61">
                  <c:v>18947.818710529384</c:v>
                </c:pt>
                <c:pt idx="62">
                  <c:v>18530.101499005032</c:v>
                </c:pt>
                <c:pt idx="63">
                  <c:v>18112.081180916437</c:v>
                </c:pt>
                <c:pt idx="64">
                  <c:v>17693.753912499244</c:v>
                </c:pt>
                <c:pt idx="65">
                  <c:v>17275.115843189786</c:v>
                </c:pt>
                <c:pt idx="66">
                  <c:v>16856.163115585328</c:v>
                </c:pt>
                <c:pt idx="67">
                  <c:v>16436.891865404159</c:v>
                </c:pt>
                <c:pt idx="68">
                  <c:v>16017.298221445573</c:v>
                </c:pt>
                <c:pt idx="69">
                  <c:v>15597.378305549766</c:v>
                </c:pt>
                <c:pt idx="70">
                  <c:v>15177.128232557616</c:v>
                </c:pt>
                <c:pt idx="71">
                  <c:v>14756.544110270368</c:v>
                </c:pt>
                <c:pt idx="72">
                  <c:v>14335.622039409211</c:v>
                </c:pt>
                <c:pt idx="73">
                  <c:v>13914.358113574754</c:v>
                </c:pt>
                <c:pt idx="74">
                  <c:v>13492.748419206398</c:v>
                </c:pt>
                <c:pt idx="75">
                  <c:v>13070.789035541602</c:v>
                </c:pt>
                <c:pt idx="76">
                  <c:v>12648.476034575042</c:v>
                </c:pt>
                <c:pt idx="77">
                  <c:v>12225.805481017667</c:v>
                </c:pt>
                <c:pt idx="78">
                  <c:v>11802.77343225565</c:v>
                </c:pt>
                <c:pt idx="79">
                  <c:v>11379.375938309227</c:v>
                </c:pt>
                <c:pt idx="80">
                  <c:v>10955.609041791435</c:v>
                </c:pt>
                <c:pt idx="81">
                  <c:v>10531.468777866739</c:v>
                </c:pt>
                <c:pt idx="82">
                  <c:v>10106.951174209555</c:v>
                </c:pt>
                <c:pt idx="83">
                  <c:v>9682.0522509626517</c:v>
                </c:pt>
                <c:pt idx="84">
                  <c:v>9256.7680206954665</c:v>
                </c:pt>
                <c:pt idx="85">
                  <c:v>8831.0944883622888</c:v>
                </c:pt>
                <c:pt idx="86">
                  <c:v>8405.0276512603468</c:v>
                </c:pt>
                <c:pt idx="87">
                  <c:v>7978.5634989877799</c:v>
                </c:pt>
                <c:pt idx="88">
                  <c:v>7551.6980134015002</c:v>
                </c:pt>
                <c:pt idx="89">
                  <c:v>7124.4271685749436</c:v>
                </c:pt>
                <c:pt idx="90">
                  <c:v>6696.7469307557103</c:v>
                </c:pt>
                <c:pt idx="91">
                  <c:v>6268.6532583230892</c:v>
                </c:pt>
                <c:pt idx="92">
                  <c:v>5840.1421017454722</c:v>
                </c:pt>
                <c:pt idx="93">
                  <c:v>5411.2094035376576</c:v>
                </c:pt>
                <c:pt idx="94">
                  <c:v>4981.8510982180342</c:v>
                </c:pt>
                <c:pt idx="95">
                  <c:v>4552.063112265655</c:v>
                </c:pt>
                <c:pt idx="96">
                  <c:v>4121.8413640771969</c:v>
                </c:pt>
                <c:pt idx="97">
                  <c:v>3691.1817639238016</c:v>
                </c:pt>
                <c:pt idx="98">
                  <c:v>3260.0802139078046</c:v>
                </c:pt>
                <c:pt idx="99">
                  <c:v>2828.5326079193469</c:v>
                </c:pt>
                <c:pt idx="100">
                  <c:v>2396.5348315928677</c:v>
                </c:pt>
                <c:pt idx="101">
                  <c:v>1964.0827622634847</c:v>
                </c:pt>
                <c:pt idx="102">
                  <c:v>1531.1722689232515</c:v>
                </c:pt>
                <c:pt idx="103">
                  <c:v>1097.7992121773016</c:v>
                </c:pt>
                <c:pt idx="104">
                  <c:v>663.95944419987006</c:v>
                </c:pt>
                <c:pt idx="105">
                  <c:v>229.64880869019879</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1-FE67-4FBE-B4B9-8BAB667945C9}"/>
            </c:ext>
          </c:extLst>
        </c:ser>
        <c:dLbls>
          <c:showLegendKey val="0"/>
          <c:showVal val="0"/>
          <c:showCatName val="0"/>
          <c:showSerName val="0"/>
          <c:showPercent val="0"/>
          <c:showBubbleSize val="0"/>
        </c:dLbls>
        <c:marker val="1"/>
        <c:smooth val="0"/>
        <c:axId val="255206512"/>
        <c:axId val="255209840"/>
      </c:lineChart>
      <c:lineChart>
        <c:grouping val="standard"/>
        <c:varyColors val="0"/>
        <c:ser>
          <c:idx val="0"/>
          <c:order val="0"/>
          <c:tx>
            <c:v>Payment</c:v>
          </c:tx>
          <c:spPr>
            <a:ln w="19050" cap="rnd">
              <a:solidFill>
                <a:srgbClr val="00B05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Loans'!$Q$19:$Q$169</c:f>
              <c:numCache>
                <c:formatCode>_("$"* #,##0.00_);_("$"* \(#,##0.00\);_("$"* "-"??_);_(@_)</c:formatCode>
                <c:ptCount val="151"/>
                <c:pt idx="0">
                  <c:v>442</c:v>
                </c:pt>
                <c:pt idx="1">
                  <c:v>700</c:v>
                </c:pt>
                <c:pt idx="2">
                  <c:v>860</c:v>
                </c:pt>
                <c:pt idx="3">
                  <c:v>840</c:v>
                </c:pt>
                <c:pt idx="4">
                  <c:v>820</c:v>
                </c:pt>
                <c:pt idx="5">
                  <c:v>800</c:v>
                </c:pt>
                <c:pt idx="6">
                  <c:v>782</c:v>
                </c:pt>
                <c:pt idx="7">
                  <c:v>764</c:v>
                </c:pt>
                <c:pt idx="8">
                  <c:v>746</c:v>
                </c:pt>
                <c:pt idx="9">
                  <c:v>730</c:v>
                </c:pt>
                <c:pt idx="10">
                  <c:v>716</c:v>
                </c:pt>
                <c:pt idx="11">
                  <c:v>700</c:v>
                </c:pt>
                <c:pt idx="12">
                  <c:v>686</c:v>
                </c:pt>
                <c:pt idx="13">
                  <c:v>672</c:v>
                </c:pt>
                <c:pt idx="14">
                  <c:v>658</c:v>
                </c:pt>
                <c:pt idx="15">
                  <c:v>644</c:v>
                </c:pt>
                <c:pt idx="16">
                  <c:v>630</c:v>
                </c:pt>
                <c:pt idx="17">
                  <c:v>618</c:v>
                </c:pt>
                <c:pt idx="18">
                  <c:v>604</c:v>
                </c:pt>
                <c:pt idx="19">
                  <c:v>592</c:v>
                </c:pt>
                <c:pt idx="20">
                  <c:v>580</c:v>
                </c:pt>
                <c:pt idx="28">
                  <c:v>500</c:v>
                </c:pt>
                <c:pt idx="29">
                  <c:v>400</c:v>
                </c:pt>
                <c:pt idx="30">
                  <c:v>300</c:v>
                </c:pt>
                <c:pt idx="31">
                  <c:v>300</c:v>
                </c:pt>
                <c:pt idx="32">
                  <c:v>300</c:v>
                </c:pt>
                <c:pt idx="33">
                  <c:v>240</c:v>
                </c:pt>
                <c:pt idx="34">
                  <c:v>240</c:v>
                </c:pt>
                <c:pt idx="35">
                  <c:v>280</c:v>
                </c:pt>
                <c:pt idx="36">
                  <c:v>310</c:v>
                </c:pt>
                <c:pt idx="37">
                  <c:v>320</c:v>
                </c:pt>
                <c:pt idx="38">
                  <c:v>300</c:v>
                </c:pt>
                <c:pt idx="39">
                  <c:v>343.6</c:v>
                </c:pt>
                <c:pt idx="40">
                  <c:v>338.6</c:v>
                </c:pt>
                <c:pt idx="41">
                  <c:v>300</c:v>
                </c:pt>
                <c:pt idx="42">
                  <c:v>300</c:v>
                </c:pt>
                <c:pt idx="43">
                  <c:v>300</c:v>
                </c:pt>
                <c:pt idx="44">
                  <c:v>300</c:v>
                </c:pt>
                <c:pt idx="45">
                  <c:v>300</c:v>
                </c:pt>
                <c:pt idx="46">
                  <c:v>300</c:v>
                </c:pt>
                <c:pt idx="47">
                  <c:v>300</c:v>
                </c:pt>
                <c:pt idx="48">
                  <c:v>300</c:v>
                </c:pt>
                <c:pt idx="49">
                  <c:v>400</c:v>
                </c:pt>
                <c:pt idx="50">
                  <c:v>400</c:v>
                </c:pt>
                <c:pt idx="51">
                  <c:v>400</c:v>
                </c:pt>
                <c:pt idx="52">
                  <c:v>300</c:v>
                </c:pt>
                <c:pt idx="53">
                  <c:v>250</c:v>
                </c:pt>
                <c:pt idx="54">
                  <c:v>585.52</c:v>
                </c:pt>
                <c:pt idx="55">
                  <c:v>172.47</c:v>
                </c:pt>
                <c:pt idx="56">
                  <c:v>227.1</c:v>
                </c:pt>
                <c:pt idx="57">
                  <c:v>491.6701665180106</c:v>
                </c:pt>
                <c:pt idx="58">
                  <c:v>490.49157299631821</c:v>
                </c:pt>
                <c:pt idx="59">
                  <c:v>489.31580470744245</c:v>
                </c:pt>
                <c:pt idx="60">
                  <c:v>488.14285487895467</c:v>
                </c:pt>
                <c:pt idx="61">
                  <c:v>486.97271675466061</c:v>
                </c:pt>
                <c:pt idx="62">
                  <c:v>485.80538359456136</c:v>
                </c:pt>
                <c:pt idx="63">
                  <c:v>484.64084867481483</c:v>
                </c:pt>
                <c:pt idx="64">
                  <c:v>483.47910528769654</c:v>
                </c:pt>
                <c:pt idx="65">
                  <c:v>482.32014674156153</c:v>
                </c:pt>
                <c:pt idx="66">
                  <c:v>481.1639663608052</c:v>
                </c:pt>
                <c:pt idx="67">
                  <c:v>480.01055748582542</c:v>
                </c:pt>
                <c:pt idx="68">
                  <c:v>478.85991347298398</c:v>
                </c:pt>
                <c:pt idx="69">
                  <c:v>477.71202769456801</c:v>
                </c:pt>
                <c:pt idx="70">
                  <c:v>476.56689353875237</c:v>
                </c:pt>
                <c:pt idx="71">
                  <c:v>475.42450440956111</c:v>
                </c:pt>
                <c:pt idx="72">
                  <c:v>474.28485372682974</c:v>
                </c:pt>
                <c:pt idx="73">
                  <c:v>473.14793492616707</c:v>
                </c:pt>
                <c:pt idx="74">
                  <c:v>472.01374145891782</c:v>
                </c:pt>
                <c:pt idx="75">
                  <c:v>470.88226679212437</c:v>
                </c:pt>
                <c:pt idx="76">
                  <c:v>469.7535044084895</c:v>
                </c:pt>
                <c:pt idx="77">
                  <c:v>468.62744780633881</c:v>
                </c:pt>
                <c:pt idx="78">
                  <c:v>467.50409049958319</c:v>
                </c:pt>
                <c:pt idx="79">
                  <c:v>466.38342601768136</c:v>
                </c:pt>
                <c:pt idx="80">
                  <c:v>465.26544790560285</c:v>
                </c:pt>
                <c:pt idx="81">
                  <c:v>464.15014972379066</c:v>
                </c:pt>
                <c:pt idx="82">
                  <c:v>463.03752504812411</c:v>
                </c:pt>
                <c:pt idx="83">
                  <c:v>461.92756746988209</c:v>
                </c:pt>
                <c:pt idx="84">
                  <c:v>460.82027059570584</c:v>
                </c:pt>
                <c:pt idx="85">
                  <c:v>459.71562804756235</c:v>
                </c:pt>
                <c:pt idx="86">
                  <c:v>458.61363346270736</c:v>
                </c:pt>
                <c:pt idx="87">
                  <c:v>457.51428049364904</c:v>
                </c:pt>
                <c:pt idx="88">
                  <c:v>456.41756280811143</c:v>
                </c:pt>
                <c:pt idx="89">
                  <c:v>455.32347408899744</c:v>
                </c:pt>
                <c:pt idx="90">
                  <c:v>454.23200803435304</c:v>
                </c:pt>
                <c:pt idx="91">
                  <c:v>453.14315835733083</c:v>
                </c:pt>
                <c:pt idx="92">
                  <c:v>452.05691878615363</c:v>
                </c:pt>
                <c:pt idx="93">
                  <c:v>450.97328306407843</c:v>
                </c:pt>
                <c:pt idx="94">
                  <c:v>449.89224494936053</c:v>
                </c:pt>
                <c:pt idx="95">
                  <c:v>448.81379821521745</c:v>
                </c:pt>
                <c:pt idx="96">
                  <c:v>447.73793664979297</c:v>
                </c:pt>
                <c:pt idx="97">
                  <c:v>446.66465405612144</c:v>
                </c:pt>
                <c:pt idx="98">
                  <c:v>445.59394425209223</c:v>
                </c:pt>
                <c:pt idx="99">
                  <c:v>444.52580107041388</c:v>
                </c:pt>
                <c:pt idx="100">
                  <c:v>443.4602183585788</c:v>
                </c:pt>
                <c:pt idx="101">
                  <c:v>442.3971899788275</c:v>
                </c:pt>
                <c:pt idx="102">
                  <c:v>441.3367098081136</c:v>
                </c:pt>
                <c:pt idx="103">
                  <c:v>440.27877173806837</c:v>
                </c:pt>
                <c:pt idx="104">
                  <c:v>439.22336967496568</c:v>
                </c:pt>
                <c:pt idx="105">
                  <c:v>438.17049753968666</c:v>
                </c:pt>
                <c:pt idx="106">
                  <c:v>437.12014926768495</c:v>
                </c:pt>
                <c:pt idx="107">
                  <c:v>436.07231880895159</c:v>
                </c:pt>
                <c:pt idx="108">
                  <c:v>435.02700012798016</c:v>
                </c:pt>
                <c:pt idx="109">
                  <c:v>433.98418720373229</c:v>
                </c:pt>
                <c:pt idx="110">
                  <c:v>432.94387402960257</c:v>
                </c:pt>
                <c:pt idx="111">
                  <c:v>431.9060546133843</c:v>
                </c:pt>
                <c:pt idx="112">
                  <c:v>430.87072297723466</c:v>
                </c:pt>
                <c:pt idx="113">
                  <c:v>429.83787315764067</c:v>
                </c:pt>
                <c:pt idx="114">
                  <c:v>428.80749920538449</c:v>
                </c:pt>
                <c:pt idx="115">
                  <c:v>427.77959518550927</c:v>
                </c:pt>
                <c:pt idx="116">
                  <c:v>426.7541551772851</c:v>
                </c:pt>
                <c:pt idx="117">
                  <c:v>425.73117327417464</c:v>
                </c:pt>
                <c:pt idx="118">
                  <c:v>424.71064358379931</c:v>
                </c:pt>
                <c:pt idx="119">
                  <c:v>423.69256022790518</c:v>
                </c:pt>
                <c:pt idx="120">
                  <c:v>422.67691734232949</c:v>
                </c:pt>
                <c:pt idx="121">
                  <c:v>421.6637090769662</c:v>
                </c:pt>
                <c:pt idx="122">
                  <c:v>420.6529295957331</c:v>
                </c:pt>
                <c:pt idx="123">
                  <c:v>419.64457307653748</c:v>
                </c:pt>
                <c:pt idx="124">
                  <c:v>418.63863371124302</c:v>
                </c:pt>
                <c:pt idx="125">
                  <c:v>417.63510570563614</c:v>
                </c:pt>
                <c:pt idx="126">
                  <c:v>416.63398327939285</c:v>
                </c:pt>
              </c:numCache>
            </c:numRef>
          </c:val>
          <c:smooth val="0"/>
          <c:extLst>
            <c:ext xmlns:c16="http://schemas.microsoft.com/office/drawing/2014/chart" uri="{C3380CC4-5D6E-409C-BE32-E72D297353CC}">
              <c16:uniqueId val="{00000002-FE67-4FBE-B4B9-8BAB667945C9}"/>
            </c:ext>
          </c:extLst>
        </c:ser>
        <c:ser>
          <c:idx val="2"/>
          <c:order val="2"/>
          <c:tx>
            <c:v>Interest</c:v>
          </c:tx>
          <c:spPr>
            <a:ln w="19050" cap="rnd">
              <a:solidFill>
                <a:srgbClr val="0070C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Loans'!$S$19:$S$169</c:f>
              <c:numCache>
                <c:formatCode>_("$"* #,##0.00_);_("$"* \(#,##0.00\);_("$"* "-"??_);_(@_)</c:formatCode>
                <c:ptCount val="151"/>
                <c:pt idx="27">
                  <c:v>1.19</c:v>
                </c:pt>
                <c:pt idx="28">
                  <c:v>114.14078228</c:v>
                </c:pt>
                <c:pt idx="29">
                  <c:v>105.862641270496</c:v>
                </c:pt>
                <c:pt idx="30">
                  <c:v>106.99</c:v>
                </c:pt>
                <c:pt idx="31">
                  <c:v>103.4</c:v>
                </c:pt>
                <c:pt idx="32">
                  <c:v>102.21000000000001</c:v>
                </c:pt>
                <c:pt idx="33">
                  <c:v>98.51</c:v>
                </c:pt>
                <c:pt idx="34">
                  <c:v>97.61</c:v>
                </c:pt>
                <c:pt idx="35">
                  <c:v>87.3</c:v>
                </c:pt>
                <c:pt idx="36">
                  <c:v>81.25</c:v>
                </c:pt>
                <c:pt idx="37">
                  <c:v>86.35</c:v>
                </c:pt>
                <c:pt idx="38">
                  <c:v>103.19000000000001</c:v>
                </c:pt>
                <c:pt idx="39">
                  <c:v>85.199999999999989</c:v>
                </c:pt>
                <c:pt idx="40">
                  <c:v>67.72</c:v>
                </c:pt>
                <c:pt idx="41">
                  <c:v>75.12</c:v>
                </c:pt>
                <c:pt idx="42">
                  <c:v>79.75</c:v>
                </c:pt>
                <c:pt idx="43">
                  <c:v>79.040000000000006</c:v>
                </c:pt>
                <c:pt idx="44">
                  <c:v>65.28</c:v>
                </c:pt>
                <c:pt idx="45">
                  <c:v>75.010000000000005</c:v>
                </c:pt>
                <c:pt idx="46">
                  <c:v>84.58</c:v>
                </c:pt>
                <c:pt idx="47">
                  <c:v>71.06</c:v>
                </c:pt>
                <c:pt idx="48">
                  <c:v>72.900000000000006</c:v>
                </c:pt>
                <c:pt idx="49">
                  <c:v>76.78</c:v>
                </c:pt>
                <c:pt idx="50">
                  <c:v>78.070000000000007</c:v>
                </c:pt>
                <c:pt idx="51">
                  <c:v>76.5</c:v>
                </c:pt>
                <c:pt idx="52">
                  <c:v>71.400000000000006</c:v>
                </c:pt>
                <c:pt idx="53">
                  <c:v>86.09</c:v>
                </c:pt>
                <c:pt idx="54">
                  <c:v>56.24</c:v>
                </c:pt>
                <c:pt idx="55">
                  <c:v>64.099999999999994</c:v>
                </c:pt>
                <c:pt idx="56">
                  <c:v>0</c:v>
                </c:pt>
                <c:pt idx="57">
                  <c:v>74.212704240000008</c:v>
                </c:pt>
                <c:pt idx="58">
                  <c:v>72.483991934522678</c:v>
                </c:pt>
                <c:pt idx="59">
                  <c:v>71.02035543197546</c:v>
                </c:pt>
                <c:pt idx="60">
                  <c:v>69.55477477826588</c:v>
                </c:pt>
                <c:pt idx="61">
                  <c:v>68.088172070210305</c:v>
                </c:pt>
                <c:pt idx="62">
                  <c:v>66.620530586221307</c:v>
                </c:pt>
                <c:pt idx="63">
                  <c:v>65.151836870501697</c:v>
                </c:pt>
                <c:pt idx="64">
                  <c:v>63.68207743210219</c:v>
                </c:pt>
                <c:pt idx="65">
                  <c:v>62.211238756347342</c:v>
                </c:pt>
                <c:pt idx="66">
                  <c:v>60.739307304655284</c:v>
                </c:pt>
                <c:pt idx="67">
                  <c:v>59.266269514398012</c:v>
                </c:pt>
                <c:pt idx="68">
                  <c:v>57.79211179876102</c:v>
                </c:pt>
                <c:pt idx="69">
                  <c:v>56.316820546602635</c:v>
                </c:pt>
                <c:pt idx="70">
                  <c:v>54.840382122312981</c:v>
                </c:pt>
                <c:pt idx="71">
                  <c:v>53.362782865672578</c:v>
                </c:pt>
                <c:pt idx="72">
                  <c:v>51.884009091710617</c:v>
                </c:pt>
                <c:pt idx="73">
                  <c:v>50.404047090562784</c:v>
                </c:pt>
                <c:pt idx="74">
                  <c:v>48.922883127328831</c:v>
                </c:pt>
                <c:pt idx="75">
                  <c:v>47.4405034419297</c:v>
                </c:pt>
                <c:pt idx="76">
                  <c:v>45.956894248964275</c:v>
                </c:pt>
                <c:pt idx="77">
                  <c:v>44.472041737565846</c:v>
                </c:pt>
                <c:pt idx="78">
                  <c:v>42.985932071258119</c:v>
                </c:pt>
                <c:pt idx="79">
                  <c:v>41.498551387810863</c:v>
                </c:pt>
                <c:pt idx="80">
                  <c:v>40.009885799095244</c:v>
                </c:pt>
                <c:pt idx="81">
                  <c:v>38.519921390938684</c:v>
                </c:pt>
                <c:pt idx="82">
                  <c:v>37.028644222979459</c:v>
                </c:pt>
                <c:pt idx="83">
                  <c:v>35.536040328520798</c:v>
                </c:pt>
                <c:pt idx="84">
                  <c:v>34.042095714384686</c:v>
                </c:pt>
                <c:pt idx="85">
                  <c:v>32.546796360765264</c:v>
                </c:pt>
                <c:pt idx="86">
                  <c:v>31.050128221081806</c:v>
                </c:pt>
                <c:pt idx="87">
                  <c:v>29.552077221831379</c:v>
                </c:pt>
                <c:pt idx="88">
                  <c:v>28.052629262441034</c:v>
                </c:pt>
                <c:pt idx="89">
                  <c:v>26.551770215119674</c:v>
                </c:pt>
                <c:pt idx="90">
                  <c:v>25.049485924709501</c:v>
                </c:pt>
                <c:pt idx="91">
                  <c:v>23.545762208537077</c:v>
                </c:pt>
                <c:pt idx="92">
                  <c:v>22.040584856263983</c:v>
                </c:pt>
                <c:pt idx="93">
                  <c:v>20.53393962973708</c:v>
                </c:pt>
                <c:pt idx="94">
                  <c:v>19.025812262838404</c:v>
                </c:pt>
                <c:pt idx="95">
                  <c:v>17.516188461334607</c:v>
                </c:pt>
                <c:pt idx="96">
                  <c:v>16.005053902726043</c:v>
                </c:pt>
                <c:pt idx="97">
                  <c:v>14.492394236095425</c:v>
                </c:pt>
                <c:pt idx="98">
                  <c:v>12.978195081956086</c:v>
                </c:pt>
                <c:pt idx="99">
                  <c:v>11.46244203209984</c:v>
                </c:pt>
                <c:pt idx="100">
                  <c:v>9.9451206494444246</c:v>
                </c:pt>
                <c:pt idx="101">
                  <c:v>8.426216467880522</c:v>
                </c:pt>
                <c:pt idx="102">
                  <c:v>6.905714992118412</c:v>
                </c:pt>
                <c:pt idx="103">
                  <c:v>5.3836016975341527</c:v>
                </c:pt>
                <c:pt idx="104">
                  <c:v>3.8598620300153925</c:v>
                </c:pt>
                <c:pt idx="105">
                  <c:v>2.3344814058067431</c:v>
                </c:pt>
                <c:pt idx="106">
                  <c:v>0.80744521135473901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numCache>
            </c:numRef>
          </c:val>
          <c:smooth val="0"/>
          <c:extLst>
            <c:ext xmlns:c16="http://schemas.microsoft.com/office/drawing/2014/chart" uri="{C3380CC4-5D6E-409C-BE32-E72D297353CC}">
              <c16:uniqueId val="{00000003-FE67-4FBE-B4B9-8BAB667945C9}"/>
            </c:ext>
          </c:extLst>
        </c:ser>
        <c:ser>
          <c:idx val="4"/>
          <c:order val="4"/>
          <c:tx>
            <c:v>Original Payment</c:v>
          </c:tx>
          <c:spPr>
            <a:ln w="19050" cap="rnd">
              <a:solidFill>
                <a:srgbClr val="C00000"/>
              </a:solidFill>
              <a:round/>
            </a:ln>
            <a:effectLst/>
          </c:spPr>
          <c:marker>
            <c:symbol val="none"/>
          </c:marker>
          <c:cat>
            <c:numRef>
              <c:f>'Student Loans'!$B$19:$B$145</c:f>
              <c:numCache>
                <c:formatCode>mmm\-yy</c:formatCode>
                <c:ptCount val="127"/>
                <c:pt idx="0">
                  <c:v>44348</c:v>
                </c:pt>
                <c:pt idx="1">
                  <c:v>44378</c:v>
                </c:pt>
                <c:pt idx="2">
                  <c:v>44409</c:v>
                </c:pt>
                <c:pt idx="3">
                  <c:v>44440</c:v>
                </c:pt>
                <c:pt idx="4">
                  <c:v>44470</c:v>
                </c:pt>
                <c:pt idx="5">
                  <c:v>44501</c:v>
                </c:pt>
                <c:pt idx="6">
                  <c:v>44531</c:v>
                </c:pt>
                <c:pt idx="7">
                  <c:v>44562</c:v>
                </c:pt>
                <c:pt idx="8">
                  <c:v>44593</c:v>
                </c:pt>
                <c:pt idx="9">
                  <c:v>44621</c:v>
                </c:pt>
                <c:pt idx="10">
                  <c:v>44652</c:v>
                </c:pt>
                <c:pt idx="11">
                  <c:v>44682</c:v>
                </c:pt>
                <c:pt idx="12">
                  <c:v>44713</c:v>
                </c:pt>
                <c:pt idx="13">
                  <c:v>44743</c:v>
                </c:pt>
                <c:pt idx="14">
                  <c:v>44774</c:v>
                </c:pt>
                <c:pt idx="15">
                  <c:v>44805</c:v>
                </c:pt>
                <c:pt idx="16">
                  <c:v>44835</c:v>
                </c:pt>
                <c:pt idx="17">
                  <c:v>44866</c:v>
                </c:pt>
                <c:pt idx="18">
                  <c:v>44896</c:v>
                </c:pt>
                <c:pt idx="19">
                  <c:v>44927</c:v>
                </c:pt>
                <c:pt idx="20">
                  <c:v>44958</c:v>
                </c:pt>
                <c:pt idx="21">
                  <c:v>44986</c:v>
                </c:pt>
                <c:pt idx="22">
                  <c:v>45017</c:v>
                </c:pt>
                <c:pt idx="23">
                  <c:v>45047</c:v>
                </c:pt>
                <c:pt idx="24">
                  <c:v>45078</c:v>
                </c:pt>
                <c:pt idx="25">
                  <c:v>45108</c:v>
                </c:pt>
                <c:pt idx="26">
                  <c:v>45139</c:v>
                </c:pt>
                <c:pt idx="27">
                  <c:v>45170</c:v>
                </c:pt>
                <c:pt idx="28">
                  <c:v>45200</c:v>
                </c:pt>
                <c:pt idx="29">
                  <c:v>45231</c:v>
                </c:pt>
                <c:pt idx="30">
                  <c:v>45261</c:v>
                </c:pt>
                <c:pt idx="31">
                  <c:v>45292</c:v>
                </c:pt>
                <c:pt idx="32">
                  <c:v>45323</c:v>
                </c:pt>
                <c:pt idx="33">
                  <c:v>45352</c:v>
                </c:pt>
                <c:pt idx="34">
                  <c:v>45383</c:v>
                </c:pt>
                <c:pt idx="35">
                  <c:v>45413</c:v>
                </c:pt>
                <c:pt idx="36">
                  <c:v>45444</c:v>
                </c:pt>
                <c:pt idx="37">
                  <c:v>45474</c:v>
                </c:pt>
                <c:pt idx="38">
                  <c:v>45505</c:v>
                </c:pt>
                <c:pt idx="39">
                  <c:v>45536</c:v>
                </c:pt>
                <c:pt idx="40">
                  <c:v>45566</c:v>
                </c:pt>
                <c:pt idx="41">
                  <c:v>45597</c:v>
                </c:pt>
                <c:pt idx="42">
                  <c:v>45627</c:v>
                </c:pt>
                <c:pt idx="43">
                  <c:v>45658</c:v>
                </c:pt>
                <c:pt idx="44">
                  <c:v>45689</c:v>
                </c:pt>
                <c:pt idx="45">
                  <c:v>45717</c:v>
                </c:pt>
                <c:pt idx="46">
                  <c:v>45748</c:v>
                </c:pt>
                <c:pt idx="47">
                  <c:v>45778</c:v>
                </c:pt>
                <c:pt idx="48">
                  <c:v>45809</c:v>
                </c:pt>
                <c:pt idx="49">
                  <c:v>45839</c:v>
                </c:pt>
                <c:pt idx="50">
                  <c:v>45870</c:v>
                </c:pt>
                <c:pt idx="51">
                  <c:v>45901</c:v>
                </c:pt>
                <c:pt idx="52">
                  <c:v>45931</c:v>
                </c:pt>
                <c:pt idx="53">
                  <c:v>45962</c:v>
                </c:pt>
                <c:pt idx="54">
                  <c:v>45992</c:v>
                </c:pt>
                <c:pt idx="55">
                  <c:v>46023</c:v>
                </c:pt>
                <c:pt idx="56">
                  <c:v>46054</c:v>
                </c:pt>
                <c:pt idx="57">
                  <c:v>46082</c:v>
                </c:pt>
                <c:pt idx="58">
                  <c:v>46113</c:v>
                </c:pt>
                <c:pt idx="59">
                  <c:v>46143</c:v>
                </c:pt>
                <c:pt idx="60">
                  <c:v>46174</c:v>
                </c:pt>
                <c:pt idx="61">
                  <c:v>46204</c:v>
                </c:pt>
                <c:pt idx="62">
                  <c:v>46235</c:v>
                </c:pt>
                <c:pt idx="63">
                  <c:v>46266</c:v>
                </c:pt>
                <c:pt idx="64">
                  <c:v>46296</c:v>
                </c:pt>
                <c:pt idx="65">
                  <c:v>46327</c:v>
                </c:pt>
                <c:pt idx="66">
                  <c:v>46357</c:v>
                </c:pt>
                <c:pt idx="67">
                  <c:v>46388</c:v>
                </c:pt>
                <c:pt idx="68">
                  <c:v>46419</c:v>
                </c:pt>
                <c:pt idx="69">
                  <c:v>46447</c:v>
                </c:pt>
                <c:pt idx="70">
                  <c:v>46478</c:v>
                </c:pt>
                <c:pt idx="71">
                  <c:v>46508</c:v>
                </c:pt>
                <c:pt idx="72">
                  <c:v>46539</c:v>
                </c:pt>
                <c:pt idx="73">
                  <c:v>46569</c:v>
                </c:pt>
                <c:pt idx="74">
                  <c:v>46600</c:v>
                </c:pt>
                <c:pt idx="75">
                  <c:v>46631</c:v>
                </c:pt>
                <c:pt idx="76">
                  <c:v>46661</c:v>
                </c:pt>
                <c:pt idx="77">
                  <c:v>46692</c:v>
                </c:pt>
                <c:pt idx="78">
                  <c:v>46722</c:v>
                </c:pt>
                <c:pt idx="79">
                  <c:v>46753</c:v>
                </c:pt>
                <c:pt idx="80">
                  <c:v>46784</c:v>
                </c:pt>
                <c:pt idx="81">
                  <c:v>46813</c:v>
                </c:pt>
                <c:pt idx="82">
                  <c:v>46844</c:v>
                </c:pt>
                <c:pt idx="83">
                  <c:v>46874</c:v>
                </c:pt>
                <c:pt idx="84">
                  <c:v>46905</c:v>
                </c:pt>
                <c:pt idx="85">
                  <c:v>46935</c:v>
                </c:pt>
                <c:pt idx="86">
                  <c:v>46966</c:v>
                </c:pt>
                <c:pt idx="87">
                  <c:v>46997</c:v>
                </c:pt>
                <c:pt idx="88">
                  <c:v>47027</c:v>
                </c:pt>
                <c:pt idx="89">
                  <c:v>47058</c:v>
                </c:pt>
                <c:pt idx="90">
                  <c:v>47088</c:v>
                </c:pt>
                <c:pt idx="91">
                  <c:v>47119</c:v>
                </c:pt>
                <c:pt idx="92">
                  <c:v>47150</c:v>
                </c:pt>
                <c:pt idx="93">
                  <c:v>47178</c:v>
                </c:pt>
                <c:pt idx="94">
                  <c:v>47209</c:v>
                </c:pt>
                <c:pt idx="95">
                  <c:v>47239</c:v>
                </c:pt>
                <c:pt idx="96">
                  <c:v>47270</c:v>
                </c:pt>
                <c:pt idx="97">
                  <c:v>47300</c:v>
                </c:pt>
                <c:pt idx="98">
                  <c:v>47331</c:v>
                </c:pt>
                <c:pt idx="99">
                  <c:v>47362</c:v>
                </c:pt>
                <c:pt idx="100">
                  <c:v>47392</c:v>
                </c:pt>
                <c:pt idx="101">
                  <c:v>47423</c:v>
                </c:pt>
                <c:pt idx="102">
                  <c:v>47453</c:v>
                </c:pt>
                <c:pt idx="103">
                  <c:v>47484</c:v>
                </c:pt>
                <c:pt idx="104">
                  <c:v>47515</c:v>
                </c:pt>
                <c:pt idx="105">
                  <c:v>47543</c:v>
                </c:pt>
                <c:pt idx="106">
                  <c:v>47574</c:v>
                </c:pt>
                <c:pt idx="107">
                  <c:v>47604</c:v>
                </c:pt>
                <c:pt idx="108">
                  <c:v>47635</c:v>
                </c:pt>
                <c:pt idx="109">
                  <c:v>47665</c:v>
                </c:pt>
                <c:pt idx="110">
                  <c:v>47696</c:v>
                </c:pt>
                <c:pt idx="111">
                  <c:v>47727</c:v>
                </c:pt>
                <c:pt idx="112">
                  <c:v>47757</c:v>
                </c:pt>
                <c:pt idx="113">
                  <c:v>47788</c:v>
                </c:pt>
                <c:pt idx="114">
                  <c:v>47818</c:v>
                </c:pt>
                <c:pt idx="115">
                  <c:v>47849</c:v>
                </c:pt>
                <c:pt idx="116">
                  <c:v>47880</c:v>
                </c:pt>
                <c:pt idx="117">
                  <c:v>47908</c:v>
                </c:pt>
                <c:pt idx="118">
                  <c:v>47939</c:v>
                </c:pt>
                <c:pt idx="119">
                  <c:v>47969</c:v>
                </c:pt>
                <c:pt idx="120">
                  <c:v>48000</c:v>
                </c:pt>
                <c:pt idx="121">
                  <c:v>48030</c:v>
                </c:pt>
                <c:pt idx="122">
                  <c:v>48061</c:v>
                </c:pt>
                <c:pt idx="123">
                  <c:v>48092</c:v>
                </c:pt>
                <c:pt idx="124">
                  <c:v>48122</c:v>
                </c:pt>
                <c:pt idx="125">
                  <c:v>48153</c:v>
                </c:pt>
                <c:pt idx="126">
                  <c:v>48183</c:v>
                </c:pt>
              </c:numCache>
            </c:numRef>
          </c:cat>
          <c:val>
            <c:numRef>
              <c:f>'Student Loans'!$AA$19:$AA$169</c:f>
              <c:numCache>
                <c:formatCode>_("$"* #,##0.00_);_("$"* \(#,##0.00\);_("$"* "-"??_);_(@_)</c:formatCode>
                <c:ptCount val="151"/>
                <c:pt idx="0">
                  <c:v>442</c:v>
                </c:pt>
                <c:pt idx="1">
                  <c:v>442</c:v>
                </c:pt>
                <c:pt idx="2">
                  <c:v>442</c:v>
                </c:pt>
                <c:pt idx="3">
                  <c:v>442</c:v>
                </c:pt>
                <c:pt idx="4">
                  <c:v>442</c:v>
                </c:pt>
                <c:pt idx="5">
                  <c:v>442</c:v>
                </c:pt>
                <c:pt idx="6">
                  <c:v>442</c:v>
                </c:pt>
                <c:pt idx="7">
                  <c:v>442</c:v>
                </c:pt>
                <c:pt idx="8">
                  <c:v>442</c:v>
                </c:pt>
                <c:pt idx="9">
                  <c:v>442</c:v>
                </c:pt>
                <c:pt idx="10">
                  <c:v>442</c:v>
                </c:pt>
                <c:pt idx="11">
                  <c:v>442</c:v>
                </c:pt>
                <c:pt idx="12">
                  <c:v>442</c:v>
                </c:pt>
                <c:pt idx="13">
                  <c:v>442</c:v>
                </c:pt>
                <c:pt idx="14">
                  <c:v>442</c:v>
                </c:pt>
                <c:pt idx="15">
                  <c:v>442</c:v>
                </c:pt>
                <c:pt idx="16">
                  <c:v>442</c:v>
                </c:pt>
                <c:pt idx="17">
                  <c:v>442</c:v>
                </c:pt>
                <c:pt idx="18">
                  <c:v>442</c:v>
                </c:pt>
                <c:pt idx="19">
                  <c:v>442</c:v>
                </c:pt>
                <c:pt idx="20">
                  <c:v>442</c:v>
                </c:pt>
                <c:pt idx="21">
                  <c:v>442</c:v>
                </c:pt>
                <c:pt idx="22">
                  <c:v>442</c:v>
                </c:pt>
                <c:pt idx="23">
                  <c:v>442</c:v>
                </c:pt>
                <c:pt idx="24">
                  <c:v>442</c:v>
                </c:pt>
                <c:pt idx="25">
                  <c:v>442</c:v>
                </c:pt>
                <c:pt idx="26">
                  <c:v>442</c:v>
                </c:pt>
                <c:pt idx="27">
                  <c:v>442</c:v>
                </c:pt>
                <c:pt idx="28">
                  <c:v>442</c:v>
                </c:pt>
                <c:pt idx="29">
                  <c:v>442</c:v>
                </c:pt>
                <c:pt idx="30">
                  <c:v>442</c:v>
                </c:pt>
                <c:pt idx="31">
                  <c:v>442</c:v>
                </c:pt>
                <c:pt idx="32">
                  <c:v>442</c:v>
                </c:pt>
                <c:pt idx="33">
                  <c:v>442</c:v>
                </c:pt>
                <c:pt idx="34">
                  <c:v>442</c:v>
                </c:pt>
                <c:pt idx="35">
                  <c:v>442</c:v>
                </c:pt>
                <c:pt idx="36">
                  <c:v>442</c:v>
                </c:pt>
                <c:pt idx="37">
                  <c:v>442</c:v>
                </c:pt>
                <c:pt idx="38">
                  <c:v>442</c:v>
                </c:pt>
                <c:pt idx="39">
                  <c:v>442</c:v>
                </c:pt>
                <c:pt idx="40">
                  <c:v>442</c:v>
                </c:pt>
                <c:pt idx="41">
                  <c:v>442</c:v>
                </c:pt>
                <c:pt idx="42">
                  <c:v>442</c:v>
                </c:pt>
                <c:pt idx="43">
                  <c:v>442</c:v>
                </c:pt>
                <c:pt idx="44">
                  <c:v>442</c:v>
                </c:pt>
                <c:pt idx="45">
                  <c:v>442</c:v>
                </c:pt>
                <c:pt idx="46">
                  <c:v>442</c:v>
                </c:pt>
                <c:pt idx="47">
                  <c:v>442</c:v>
                </c:pt>
                <c:pt idx="48">
                  <c:v>442</c:v>
                </c:pt>
                <c:pt idx="49">
                  <c:v>442</c:v>
                </c:pt>
                <c:pt idx="50">
                  <c:v>442</c:v>
                </c:pt>
                <c:pt idx="51">
                  <c:v>442</c:v>
                </c:pt>
                <c:pt idx="52">
                  <c:v>442</c:v>
                </c:pt>
                <c:pt idx="53">
                  <c:v>442</c:v>
                </c:pt>
                <c:pt idx="54">
                  <c:v>442</c:v>
                </c:pt>
                <c:pt idx="55">
                  <c:v>442</c:v>
                </c:pt>
                <c:pt idx="56">
                  <c:v>442</c:v>
                </c:pt>
                <c:pt idx="57">
                  <c:v>442</c:v>
                </c:pt>
                <c:pt idx="58">
                  <c:v>442</c:v>
                </c:pt>
                <c:pt idx="59">
                  <c:v>442</c:v>
                </c:pt>
                <c:pt idx="60">
                  <c:v>442</c:v>
                </c:pt>
                <c:pt idx="61">
                  <c:v>442</c:v>
                </c:pt>
                <c:pt idx="62">
                  <c:v>442</c:v>
                </c:pt>
                <c:pt idx="63">
                  <c:v>442</c:v>
                </c:pt>
                <c:pt idx="64">
                  <c:v>442</c:v>
                </c:pt>
                <c:pt idx="65">
                  <c:v>442</c:v>
                </c:pt>
                <c:pt idx="66">
                  <c:v>442</c:v>
                </c:pt>
                <c:pt idx="67">
                  <c:v>442</c:v>
                </c:pt>
                <c:pt idx="68">
                  <c:v>442</c:v>
                </c:pt>
                <c:pt idx="69">
                  <c:v>442</c:v>
                </c:pt>
                <c:pt idx="70">
                  <c:v>442</c:v>
                </c:pt>
                <c:pt idx="71">
                  <c:v>442</c:v>
                </c:pt>
                <c:pt idx="72">
                  <c:v>442</c:v>
                </c:pt>
                <c:pt idx="73">
                  <c:v>442</c:v>
                </c:pt>
                <c:pt idx="74">
                  <c:v>442</c:v>
                </c:pt>
                <c:pt idx="75">
                  <c:v>442</c:v>
                </c:pt>
                <c:pt idx="76">
                  <c:v>442</c:v>
                </c:pt>
                <c:pt idx="77">
                  <c:v>442</c:v>
                </c:pt>
                <c:pt idx="78">
                  <c:v>442</c:v>
                </c:pt>
                <c:pt idx="79">
                  <c:v>442</c:v>
                </c:pt>
                <c:pt idx="80">
                  <c:v>442</c:v>
                </c:pt>
                <c:pt idx="81">
                  <c:v>442</c:v>
                </c:pt>
                <c:pt idx="82">
                  <c:v>442</c:v>
                </c:pt>
                <c:pt idx="83">
                  <c:v>442</c:v>
                </c:pt>
                <c:pt idx="84">
                  <c:v>442</c:v>
                </c:pt>
                <c:pt idx="85">
                  <c:v>442</c:v>
                </c:pt>
                <c:pt idx="86">
                  <c:v>442</c:v>
                </c:pt>
                <c:pt idx="87">
                  <c:v>442</c:v>
                </c:pt>
                <c:pt idx="88">
                  <c:v>442</c:v>
                </c:pt>
                <c:pt idx="89">
                  <c:v>442</c:v>
                </c:pt>
                <c:pt idx="90">
                  <c:v>442</c:v>
                </c:pt>
                <c:pt idx="91">
                  <c:v>442</c:v>
                </c:pt>
                <c:pt idx="92">
                  <c:v>442</c:v>
                </c:pt>
                <c:pt idx="93">
                  <c:v>442</c:v>
                </c:pt>
                <c:pt idx="94">
                  <c:v>442</c:v>
                </c:pt>
                <c:pt idx="95">
                  <c:v>442</c:v>
                </c:pt>
                <c:pt idx="96">
                  <c:v>442</c:v>
                </c:pt>
                <c:pt idx="97">
                  <c:v>442</c:v>
                </c:pt>
                <c:pt idx="98">
                  <c:v>442</c:v>
                </c:pt>
                <c:pt idx="99">
                  <c:v>442</c:v>
                </c:pt>
                <c:pt idx="100">
                  <c:v>442</c:v>
                </c:pt>
                <c:pt idx="101">
                  <c:v>442</c:v>
                </c:pt>
                <c:pt idx="102">
                  <c:v>442</c:v>
                </c:pt>
                <c:pt idx="103">
                  <c:v>442</c:v>
                </c:pt>
                <c:pt idx="104">
                  <c:v>442</c:v>
                </c:pt>
                <c:pt idx="105">
                  <c:v>442</c:v>
                </c:pt>
                <c:pt idx="106">
                  <c:v>442</c:v>
                </c:pt>
                <c:pt idx="107">
                  <c:v>442</c:v>
                </c:pt>
                <c:pt idx="108">
                  <c:v>442</c:v>
                </c:pt>
                <c:pt idx="109">
                  <c:v>442</c:v>
                </c:pt>
                <c:pt idx="110">
                  <c:v>442</c:v>
                </c:pt>
                <c:pt idx="111">
                  <c:v>442</c:v>
                </c:pt>
                <c:pt idx="112">
                  <c:v>442</c:v>
                </c:pt>
                <c:pt idx="113">
                  <c:v>442</c:v>
                </c:pt>
                <c:pt idx="114">
                  <c:v>442</c:v>
                </c:pt>
                <c:pt idx="115">
                  <c:v>442</c:v>
                </c:pt>
                <c:pt idx="116">
                  <c:v>442</c:v>
                </c:pt>
                <c:pt idx="117">
                  <c:v>442</c:v>
                </c:pt>
                <c:pt idx="118">
                  <c:v>442</c:v>
                </c:pt>
                <c:pt idx="119">
                  <c:v>442</c:v>
                </c:pt>
                <c:pt idx="120">
                  <c:v>442</c:v>
                </c:pt>
              </c:numCache>
            </c:numRef>
          </c:val>
          <c:smooth val="0"/>
          <c:extLst>
            <c:ext xmlns:c16="http://schemas.microsoft.com/office/drawing/2014/chart" uri="{C3380CC4-5D6E-409C-BE32-E72D297353CC}">
              <c16:uniqueId val="{00000000-95B1-4974-8DD3-B2A8E0749782}"/>
            </c:ext>
          </c:extLst>
        </c:ser>
        <c:dLbls>
          <c:showLegendKey val="0"/>
          <c:showVal val="0"/>
          <c:showCatName val="0"/>
          <c:showSerName val="0"/>
          <c:showPercent val="0"/>
          <c:showBubbleSize val="0"/>
        </c:dLbls>
        <c:marker val="1"/>
        <c:smooth val="0"/>
        <c:axId val="748691168"/>
        <c:axId val="748693248"/>
      </c:lineChart>
      <c:dateAx>
        <c:axId val="255206512"/>
        <c:scaling>
          <c:orientation val="minMax"/>
        </c:scaling>
        <c:delete val="0"/>
        <c:axPos val="b"/>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9840"/>
        <c:crosses val="autoZero"/>
        <c:auto val="1"/>
        <c:lblOffset val="100"/>
        <c:baseTimeUnit val="months"/>
        <c:majorUnit val="9"/>
        <c:majorTimeUnit val="months"/>
      </c:dateAx>
      <c:valAx>
        <c:axId val="255209840"/>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6512"/>
        <c:crosses val="autoZero"/>
        <c:crossBetween val="between"/>
      </c:valAx>
      <c:valAx>
        <c:axId val="748693248"/>
        <c:scaling>
          <c:orientation val="minMax"/>
          <c:max val="1000"/>
        </c:scaling>
        <c:delete val="0"/>
        <c:axPos val="r"/>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91168"/>
        <c:crosses val="max"/>
        <c:crossBetween val="between"/>
      </c:valAx>
      <c:dateAx>
        <c:axId val="748691168"/>
        <c:scaling>
          <c:orientation val="minMax"/>
        </c:scaling>
        <c:delete val="1"/>
        <c:axPos val="b"/>
        <c:numFmt formatCode="mmm\-yy" sourceLinked="1"/>
        <c:majorTickMark val="out"/>
        <c:minorTickMark val="none"/>
        <c:tickLblPos val="nextTo"/>
        <c:crossAx val="74869324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Miles</a:t>
            </a:r>
            <a:r>
              <a:rPr lang="en-US" baseline="0"/>
              <a:t> Per Gallon &amp; Cost Per Gallon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Miles Per Gallon</c:v>
          </c:tx>
          <c:spPr>
            <a:ln w="25400" cap="rnd">
              <a:solidFill>
                <a:srgbClr val="00B0F0"/>
              </a:solidFill>
              <a:round/>
            </a:ln>
            <a:effectLst>
              <a:glow rad="76200">
                <a:srgbClr val="00B0F0">
                  <a:alpha val="20000"/>
                </a:srgbClr>
              </a:glow>
            </a:effectLst>
          </c:spPr>
          <c:marker>
            <c:symbol val="none"/>
          </c:marker>
          <c:cat>
            <c:numRef>
              <c:f>Gas!$B$3:$B$244</c:f>
              <c:numCache>
                <c:formatCode>m/d/yyyy</c:formatCode>
                <c:ptCount val="242"/>
                <c:pt idx="0">
                  <c:v>44523</c:v>
                </c:pt>
                <c:pt idx="1">
                  <c:v>44531</c:v>
                </c:pt>
                <c:pt idx="2">
                  <c:v>44537</c:v>
                </c:pt>
                <c:pt idx="3">
                  <c:v>44544</c:v>
                </c:pt>
                <c:pt idx="4">
                  <c:v>44550</c:v>
                </c:pt>
                <c:pt idx="5">
                  <c:v>44558</c:v>
                </c:pt>
                <c:pt idx="6">
                  <c:v>44564</c:v>
                </c:pt>
                <c:pt idx="7">
                  <c:v>44571</c:v>
                </c:pt>
                <c:pt idx="8">
                  <c:v>44579</c:v>
                </c:pt>
                <c:pt idx="9">
                  <c:v>44586</c:v>
                </c:pt>
                <c:pt idx="10">
                  <c:v>44589</c:v>
                </c:pt>
                <c:pt idx="11">
                  <c:v>44592</c:v>
                </c:pt>
                <c:pt idx="12">
                  <c:v>44593</c:v>
                </c:pt>
                <c:pt idx="13">
                  <c:v>44597</c:v>
                </c:pt>
                <c:pt idx="14">
                  <c:v>44603</c:v>
                </c:pt>
                <c:pt idx="15">
                  <c:v>44609</c:v>
                </c:pt>
                <c:pt idx="16">
                  <c:v>44617</c:v>
                </c:pt>
                <c:pt idx="17">
                  <c:v>44621</c:v>
                </c:pt>
                <c:pt idx="18">
                  <c:v>44628</c:v>
                </c:pt>
                <c:pt idx="19">
                  <c:v>44631</c:v>
                </c:pt>
                <c:pt idx="20">
                  <c:v>44637</c:v>
                </c:pt>
                <c:pt idx="21">
                  <c:v>44641</c:v>
                </c:pt>
                <c:pt idx="22">
                  <c:v>44647</c:v>
                </c:pt>
                <c:pt idx="23">
                  <c:v>44652</c:v>
                </c:pt>
                <c:pt idx="24">
                  <c:v>44658</c:v>
                </c:pt>
                <c:pt idx="25">
                  <c:v>44662</c:v>
                </c:pt>
                <c:pt idx="26">
                  <c:v>44667</c:v>
                </c:pt>
                <c:pt idx="27">
                  <c:v>44675</c:v>
                </c:pt>
                <c:pt idx="28">
                  <c:v>44680</c:v>
                </c:pt>
                <c:pt idx="29">
                  <c:v>44685</c:v>
                </c:pt>
                <c:pt idx="30">
                  <c:v>44691</c:v>
                </c:pt>
                <c:pt idx="31">
                  <c:v>44697</c:v>
                </c:pt>
                <c:pt idx="32">
                  <c:v>44701</c:v>
                </c:pt>
                <c:pt idx="33">
                  <c:v>44706</c:v>
                </c:pt>
                <c:pt idx="34">
                  <c:v>44714</c:v>
                </c:pt>
                <c:pt idx="35">
                  <c:v>44721</c:v>
                </c:pt>
                <c:pt idx="36">
                  <c:v>44726</c:v>
                </c:pt>
                <c:pt idx="37">
                  <c:v>44733</c:v>
                </c:pt>
                <c:pt idx="38">
                  <c:v>44738</c:v>
                </c:pt>
                <c:pt idx="39">
                  <c:v>44747</c:v>
                </c:pt>
                <c:pt idx="40">
                  <c:v>44755</c:v>
                </c:pt>
                <c:pt idx="41">
                  <c:v>44763</c:v>
                </c:pt>
                <c:pt idx="42">
                  <c:v>44768</c:v>
                </c:pt>
                <c:pt idx="43">
                  <c:v>44774</c:v>
                </c:pt>
                <c:pt idx="44">
                  <c:v>44781</c:v>
                </c:pt>
                <c:pt idx="45">
                  <c:v>44788</c:v>
                </c:pt>
                <c:pt idx="46">
                  <c:v>44794</c:v>
                </c:pt>
                <c:pt idx="47">
                  <c:v>44801</c:v>
                </c:pt>
                <c:pt idx="48">
                  <c:v>44805</c:v>
                </c:pt>
                <c:pt idx="49">
                  <c:v>44811</c:v>
                </c:pt>
                <c:pt idx="50">
                  <c:v>44818</c:v>
                </c:pt>
                <c:pt idx="51">
                  <c:v>44825</c:v>
                </c:pt>
                <c:pt idx="52">
                  <c:v>44830</c:v>
                </c:pt>
                <c:pt idx="53">
                  <c:v>44836</c:v>
                </c:pt>
                <c:pt idx="54">
                  <c:v>44842</c:v>
                </c:pt>
                <c:pt idx="55">
                  <c:v>44852</c:v>
                </c:pt>
                <c:pt idx="56">
                  <c:v>44859</c:v>
                </c:pt>
                <c:pt idx="58">
                  <c:v>44870</c:v>
                </c:pt>
                <c:pt idx="59">
                  <c:v>44877</c:v>
                </c:pt>
                <c:pt idx="60">
                  <c:v>44883</c:v>
                </c:pt>
                <c:pt idx="61">
                  <c:v>44890</c:v>
                </c:pt>
                <c:pt idx="62">
                  <c:v>44898</c:v>
                </c:pt>
                <c:pt idx="63">
                  <c:v>44907</c:v>
                </c:pt>
                <c:pt idx="64">
                  <c:v>44915</c:v>
                </c:pt>
                <c:pt idx="65">
                  <c:v>44922</c:v>
                </c:pt>
                <c:pt idx="66">
                  <c:v>44931</c:v>
                </c:pt>
                <c:pt idx="67">
                  <c:v>44940</c:v>
                </c:pt>
                <c:pt idx="68">
                  <c:v>44946</c:v>
                </c:pt>
                <c:pt idx="69">
                  <c:v>44953</c:v>
                </c:pt>
                <c:pt idx="70">
                  <c:v>44960</c:v>
                </c:pt>
                <c:pt idx="71">
                  <c:v>44967</c:v>
                </c:pt>
                <c:pt idx="72">
                  <c:v>44973</c:v>
                </c:pt>
                <c:pt idx="73">
                  <c:v>44975</c:v>
                </c:pt>
                <c:pt idx="74">
                  <c:v>44982</c:v>
                </c:pt>
                <c:pt idx="75">
                  <c:v>44984</c:v>
                </c:pt>
                <c:pt idx="76">
                  <c:v>44986</c:v>
                </c:pt>
                <c:pt idx="77">
                  <c:v>44991</c:v>
                </c:pt>
                <c:pt idx="78">
                  <c:v>44997</c:v>
                </c:pt>
                <c:pt idx="79">
                  <c:v>45002</c:v>
                </c:pt>
                <c:pt idx="80">
                  <c:v>45008</c:v>
                </c:pt>
                <c:pt idx="81">
                  <c:v>45013</c:v>
                </c:pt>
                <c:pt idx="82">
                  <c:v>45018</c:v>
                </c:pt>
                <c:pt idx="83">
                  <c:v>45025</c:v>
                </c:pt>
                <c:pt idx="84">
                  <c:v>45031</c:v>
                </c:pt>
                <c:pt idx="85">
                  <c:v>45038</c:v>
                </c:pt>
                <c:pt idx="86">
                  <c:v>45040</c:v>
                </c:pt>
                <c:pt idx="87">
                  <c:v>45047</c:v>
                </c:pt>
                <c:pt idx="88">
                  <c:v>45051</c:v>
                </c:pt>
                <c:pt idx="89">
                  <c:v>45054</c:v>
                </c:pt>
                <c:pt idx="90">
                  <c:v>45064</c:v>
                </c:pt>
                <c:pt idx="91">
                  <c:v>45072</c:v>
                </c:pt>
                <c:pt idx="92">
                  <c:v>45077</c:v>
                </c:pt>
                <c:pt idx="93">
                  <c:v>45085</c:v>
                </c:pt>
                <c:pt idx="94">
                  <c:v>45090</c:v>
                </c:pt>
                <c:pt idx="95">
                  <c:v>45096</c:v>
                </c:pt>
                <c:pt idx="96">
                  <c:v>45100</c:v>
                </c:pt>
                <c:pt idx="97">
                  <c:v>45104</c:v>
                </c:pt>
                <c:pt idx="98">
                  <c:v>45108</c:v>
                </c:pt>
                <c:pt idx="99">
                  <c:v>45110</c:v>
                </c:pt>
                <c:pt idx="100">
                  <c:v>45110</c:v>
                </c:pt>
                <c:pt idx="101">
                  <c:v>45114</c:v>
                </c:pt>
                <c:pt idx="102">
                  <c:v>45120</c:v>
                </c:pt>
                <c:pt idx="103">
                  <c:v>45124</c:v>
                </c:pt>
                <c:pt idx="104">
                  <c:v>45128</c:v>
                </c:pt>
                <c:pt idx="105">
                  <c:v>45132</c:v>
                </c:pt>
                <c:pt idx="106">
                  <c:v>45137</c:v>
                </c:pt>
                <c:pt idx="107">
                  <c:v>45141</c:v>
                </c:pt>
                <c:pt idx="108">
                  <c:v>45145</c:v>
                </c:pt>
                <c:pt idx="109">
                  <c:v>45149</c:v>
                </c:pt>
                <c:pt idx="110">
                  <c:v>45151</c:v>
                </c:pt>
                <c:pt idx="111">
                  <c:v>45153</c:v>
                </c:pt>
                <c:pt idx="112">
                  <c:v>45158</c:v>
                </c:pt>
                <c:pt idx="113">
                  <c:v>45163</c:v>
                </c:pt>
                <c:pt idx="114">
                  <c:v>45170</c:v>
                </c:pt>
                <c:pt idx="115">
                  <c:v>45175</c:v>
                </c:pt>
                <c:pt idx="116">
                  <c:v>45180</c:v>
                </c:pt>
                <c:pt idx="117">
                  <c:v>45186</c:v>
                </c:pt>
                <c:pt idx="118">
                  <c:v>45193</c:v>
                </c:pt>
                <c:pt idx="119">
                  <c:v>45200</c:v>
                </c:pt>
                <c:pt idx="120">
                  <c:v>45208</c:v>
                </c:pt>
                <c:pt idx="121">
                  <c:v>45214</c:v>
                </c:pt>
                <c:pt idx="122">
                  <c:v>45241</c:v>
                </c:pt>
                <c:pt idx="123">
                  <c:v>45247</c:v>
                </c:pt>
                <c:pt idx="124">
                  <c:v>45254</c:v>
                </c:pt>
                <c:pt idx="125">
                  <c:v>45260</c:v>
                </c:pt>
                <c:pt idx="126">
                  <c:v>45266</c:v>
                </c:pt>
                <c:pt idx="127">
                  <c:v>45275</c:v>
                </c:pt>
                <c:pt idx="128">
                  <c:v>45283</c:v>
                </c:pt>
                <c:pt idx="129">
                  <c:v>45290</c:v>
                </c:pt>
                <c:pt idx="130">
                  <c:v>45299</c:v>
                </c:pt>
                <c:pt idx="131">
                  <c:v>45306</c:v>
                </c:pt>
                <c:pt idx="132">
                  <c:v>45314</c:v>
                </c:pt>
                <c:pt idx="133">
                  <c:v>45323</c:v>
                </c:pt>
                <c:pt idx="134">
                  <c:v>45334</c:v>
                </c:pt>
                <c:pt idx="135">
                  <c:v>45342</c:v>
                </c:pt>
                <c:pt idx="136">
                  <c:v>45352</c:v>
                </c:pt>
                <c:pt idx="137">
                  <c:v>45361</c:v>
                </c:pt>
                <c:pt idx="138">
                  <c:v>45372</c:v>
                </c:pt>
                <c:pt idx="139">
                  <c:v>45380</c:v>
                </c:pt>
                <c:pt idx="140">
                  <c:v>45384</c:v>
                </c:pt>
                <c:pt idx="141">
                  <c:v>45394</c:v>
                </c:pt>
                <c:pt idx="142">
                  <c:v>45403</c:v>
                </c:pt>
                <c:pt idx="143">
                  <c:v>45414</c:v>
                </c:pt>
                <c:pt idx="144">
                  <c:v>45421</c:v>
                </c:pt>
                <c:pt idx="145">
                  <c:v>45432</c:v>
                </c:pt>
                <c:pt idx="146">
                  <c:v>45437</c:v>
                </c:pt>
                <c:pt idx="147">
                  <c:v>45443</c:v>
                </c:pt>
                <c:pt idx="148">
                  <c:v>45444</c:v>
                </c:pt>
                <c:pt idx="149">
                  <c:v>45456</c:v>
                </c:pt>
                <c:pt idx="150">
                  <c:v>45467</c:v>
                </c:pt>
                <c:pt idx="151">
                  <c:v>45474</c:v>
                </c:pt>
                <c:pt idx="152">
                  <c:v>45486</c:v>
                </c:pt>
                <c:pt idx="153">
                  <c:v>45497</c:v>
                </c:pt>
                <c:pt idx="154">
                  <c:v>45500</c:v>
                </c:pt>
                <c:pt idx="155">
                  <c:v>45503</c:v>
                </c:pt>
                <c:pt idx="156">
                  <c:v>45517</c:v>
                </c:pt>
                <c:pt idx="157">
                  <c:v>45528</c:v>
                </c:pt>
                <c:pt idx="158">
                  <c:v>45539</c:v>
                </c:pt>
                <c:pt idx="159">
                  <c:v>45552</c:v>
                </c:pt>
                <c:pt idx="160">
                  <c:v>45561.811111111114</c:v>
                </c:pt>
                <c:pt idx="161" formatCode="m/d/yyyy\ h:mm;@">
                  <c:v>45573.413194444445</c:v>
                </c:pt>
                <c:pt idx="162" formatCode="m/d/yyyy\ h:mm;@">
                  <c:v>45581.800694444442</c:v>
                </c:pt>
                <c:pt idx="163" formatCode="m/d/yyyy\ h:mm;@">
                  <c:v>45591.720138888886</c:v>
                </c:pt>
                <c:pt idx="164" formatCode="m/d/yyyy\ h:mm;@">
                  <c:v>45597.870833333334</c:v>
                </c:pt>
                <c:pt idx="165" formatCode="m/d/yyyy\ h:mm;@">
                  <c:v>45610.369444444441</c:v>
                </c:pt>
                <c:pt idx="166" formatCode="m/d/yyyy\ h:mm;@">
                  <c:v>45622.475694444445</c:v>
                </c:pt>
                <c:pt idx="167" formatCode="m/d/yyyy\ h:mm;@">
                  <c:v>45637.683333333334</c:v>
                </c:pt>
                <c:pt idx="168" formatCode="m/d/yyyy\ h:mm;@">
                  <c:v>45648.793749999997</c:v>
                </c:pt>
                <c:pt idx="169" formatCode="m/d/yyyy\ h:mm;@">
                  <c:v>45658.743055555555</c:v>
                </c:pt>
                <c:pt idx="170" formatCode="m/d/yyyy\ h:mm;@">
                  <c:v>45672.484027777777</c:v>
                </c:pt>
                <c:pt idx="171" formatCode="m/d/yyyy\ h:mm;@">
                  <c:v>45681.845138888886</c:v>
                </c:pt>
                <c:pt idx="172" formatCode="m/d/yyyy\ h:mm;@">
                  <c:v>45686.462500000001</c:v>
                </c:pt>
                <c:pt idx="173" formatCode="m/d/yyyy\ h:mm;@">
                  <c:v>45695.855555555558</c:v>
                </c:pt>
                <c:pt idx="174" formatCode="m/d/yyyy\ h:mm;@">
                  <c:v>45707.629861111112</c:v>
                </c:pt>
                <c:pt idx="175" formatCode="m/d/yyyy\ h:mm;@">
                  <c:v>45722.322916666664</c:v>
                </c:pt>
                <c:pt idx="176" formatCode="m/d/yyyy\ h:mm;@">
                  <c:v>45739.918749999997</c:v>
                </c:pt>
                <c:pt idx="177">
                  <c:v>45750.731249999997</c:v>
                </c:pt>
                <c:pt idx="178">
                  <c:v>45762.741666666669</c:v>
                </c:pt>
                <c:pt idx="179">
                  <c:v>45773.627083333333</c:v>
                </c:pt>
              </c:numCache>
            </c:numRef>
          </c:cat>
          <c:val>
            <c:numRef>
              <c:f>Gas!$I$3:$I$244</c:f>
              <c:numCache>
                <c:formatCode>0.00</c:formatCode>
                <c:ptCount val="242"/>
                <c:pt idx="1">
                  <c:v>28.780677078281116</c:v>
                </c:pt>
                <c:pt idx="2">
                  <c:v>26.836049856184083</c:v>
                </c:pt>
                <c:pt idx="3">
                  <c:v>27.714256804613985</c:v>
                </c:pt>
                <c:pt idx="4">
                  <c:v>27.405481096219244</c:v>
                </c:pt>
                <c:pt idx="5">
                  <c:v>29.062661833247027</c:v>
                </c:pt>
                <c:pt idx="6">
                  <c:v>25.960902823684954</c:v>
                </c:pt>
                <c:pt idx="7">
                  <c:v>28.232012312427855</c:v>
                </c:pt>
                <c:pt idx="8">
                  <c:v>27.180315409462288</c:v>
                </c:pt>
                <c:pt idx="9">
                  <c:v>29.5906432748538</c:v>
                </c:pt>
                <c:pt idx="10">
                  <c:v>20.924817032601464</c:v>
                </c:pt>
                <c:pt idx="13">
                  <c:v>29.529867806381077</c:v>
                </c:pt>
                <c:pt idx="14">
                  <c:v>28.74027097146152</c:v>
                </c:pt>
                <c:pt idx="15">
                  <c:v>28.0528385600484</c:v>
                </c:pt>
                <c:pt idx="16">
                  <c:v>31.161588683351468</c:v>
                </c:pt>
                <c:pt idx="17">
                  <c:v>29.936426605939843</c:v>
                </c:pt>
                <c:pt idx="18">
                  <c:v>29.090909090909093</c:v>
                </c:pt>
                <c:pt idx="19">
                  <c:v>27.890703098967009</c:v>
                </c:pt>
                <c:pt idx="20">
                  <c:v>26.403225806451609</c:v>
                </c:pt>
                <c:pt idx="21">
                  <c:v>30.001043514557029</c:v>
                </c:pt>
                <c:pt idx="22">
                  <c:v>31.411569602965567</c:v>
                </c:pt>
                <c:pt idx="23">
                  <c:v>27.652335292298176</c:v>
                </c:pt>
                <c:pt idx="24">
                  <c:v>30.05063552753953</c:v>
                </c:pt>
                <c:pt idx="25">
                  <c:v>28.69430051813471</c:v>
                </c:pt>
                <c:pt idx="26">
                  <c:v>31.003876759844928</c:v>
                </c:pt>
                <c:pt idx="27">
                  <c:v>29.419587726797758</c:v>
                </c:pt>
                <c:pt idx="28">
                  <c:v>27.167630057803468</c:v>
                </c:pt>
                <c:pt idx="29">
                  <c:v>26.755351070214044</c:v>
                </c:pt>
                <c:pt idx="30">
                  <c:v>25.198372329603252</c:v>
                </c:pt>
                <c:pt idx="31">
                  <c:v>29.037503811362942</c:v>
                </c:pt>
                <c:pt idx="32">
                  <c:v>24.770875763747455</c:v>
                </c:pt>
                <c:pt idx="33">
                  <c:v>23.380910768035733</c:v>
                </c:pt>
                <c:pt idx="34">
                  <c:v>22.722337380317835</c:v>
                </c:pt>
                <c:pt idx="35">
                  <c:v>24.590971811551348</c:v>
                </c:pt>
                <c:pt idx="36">
                  <c:v>23.032239326169037</c:v>
                </c:pt>
                <c:pt idx="37">
                  <c:v>16.784824679057287</c:v>
                </c:pt>
                <c:pt idx="38">
                  <c:v>22.001325381047049</c:v>
                </c:pt>
                <c:pt idx="39">
                  <c:v>20.891314233742612</c:v>
                </c:pt>
                <c:pt idx="40">
                  <c:v>20.859295080442667</c:v>
                </c:pt>
                <c:pt idx="41">
                  <c:v>23.185824114007126</c:v>
                </c:pt>
                <c:pt idx="42">
                  <c:v>20.696269300853555</c:v>
                </c:pt>
                <c:pt idx="43">
                  <c:v>21.44665109034268</c:v>
                </c:pt>
                <c:pt idx="44">
                  <c:v>25.871673199917474</c:v>
                </c:pt>
                <c:pt idx="45">
                  <c:v>21.286472148541115</c:v>
                </c:pt>
                <c:pt idx="46">
                  <c:v>19.111722511545643</c:v>
                </c:pt>
                <c:pt idx="47">
                  <c:v>24.423758865248228</c:v>
                </c:pt>
                <c:pt idx="48">
                  <c:v>21.342417825246294</c:v>
                </c:pt>
                <c:pt idx="49">
                  <c:v>23.565694145290774</c:v>
                </c:pt>
                <c:pt idx="50">
                  <c:v>23.890919869578106</c:v>
                </c:pt>
                <c:pt idx="51">
                  <c:v>25.143201688272534</c:v>
                </c:pt>
                <c:pt idx="52">
                  <c:v>21.887047031611413</c:v>
                </c:pt>
                <c:pt idx="53">
                  <c:v>26.634563937934722</c:v>
                </c:pt>
                <c:pt idx="54">
                  <c:v>26.703365184877441</c:v>
                </c:pt>
                <c:pt idx="56">
                  <c:v>21.481481481481485</c:v>
                </c:pt>
                <c:pt idx="57">
                  <c:v>26.417866588304438</c:v>
                </c:pt>
                <c:pt idx="58">
                  <c:v>26.946997122435722</c:v>
                </c:pt>
                <c:pt idx="59">
                  <c:v>24.52385442202527</c:v>
                </c:pt>
                <c:pt idx="60">
                  <c:v>24.524802967083911</c:v>
                </c:pt>
                <c:pt idx="61">
                  <c:v>26.411473588526412</c:v>
                </c:pt>
                <c:pt idx="62">
                  <c:v>24.233016800584366</c:v>
                </c:pt>
                <c:pt idx="63">
                  <c:v>23.814521515122603</c:v>
                </c:pt>
                <c:pt idx="64">
                  <c:v>22.887700534759357</c:v>
                </c:pt>
                <c:pt idx="66">
                  <c:v>24.763101914523304</c:v>
                </c:pt>
                <c:pt idx="67">
                  <c:v>22.530714907613429</c:v>
                </c:pt>
                <c:pt idx="68">
                  <c:v>25.291985501409584</c:v>
                </c:pt>
                <c:pt idx="69">
                  <c:v>25.021983390327311</c:v>
                </c:pt>
                <c:pt idx="70">
                  <c:v>21.312726578897159</c:v>
                </c:pt>
                <c:pt idx="71">
                  <c:v>25.038618171605112</c:v>
                </c:pt>
                <c:pt idx="72">
                  <c:v>25.931117340808971</c:v>
                </c:pt>
                <c:pt idx="73">
                  <c:v>24.946635730858468</c:v>
                </c:pt>
                <c:pt idx="74">
                  <c:v>23.221971715515476</c:v>
                </c:pt>
                <c:pt idx="75">
                  <c:v>26.08349900596421</c:v>
                </c:pt>
                <c:pt idx="76">
                  <c:v>22.329910757125035</c:v>
                </c:pt>
                <c:pt idx="77">
                  <c:v>27.938110391748054</c:v>
                </c:pt>
                <c:pt idx="78">
                  <c:v>21.850302185030216</c:v>
                </c:pt>
                <c:pt idx="80">
                  <c:v>23.134176182707993</c:v>
                </c:pt>
                <c:pt idx="81">
                  <c:v>26.390064916737231</c:v>
                </c:pt>
                <c:pt idx="82">
                  <c:v>25.82239969575965</c:v>
                </c:pt>
                <c:pt idx="83">
                  <c:v>23.117828155611534</c:v>
                </c:pt>
                <c:pt idx="84">
                  <c:v>24.23896103896104</c:v>
                </c:pt>
                <c:pt idx="85">
                  <c:v>29.964773227653016</c:v>
                </c:pt>
                <c:pt idx="86">
                  <c:v>25.199653613008753</c:v>
                </c:pt>
                <c:pt idx="87">
                  <c:v>18.543774747030355</c:v>
                </c:pt>
                <c:pt idx="88">
                  <c:v>33.791568473422366</c:v>
                </c:pt>
                <c:pt idx="90">
                  <c:v>27.986590816741163</c:v>
                </c:pt>
                <c:pt idx="91">
                  <c:v>22.860988271486256</c:v>
                </c:pt>
                <c:pt idx="92">
                  <c:v>22.790931989924431</c:v>
                </c:pt>
                <c:pt idx="93">
                  <c:v>22.479114047017681</c:v>
                </c:pt>
                <c:pt idx="94">
                  <c:v>22.802274634100865</c:v>
                </c:pt>
                <c:pt idx="95">
                  <c:v>20.897328492972168</c:v>
                </c:pt>
                <c:pt idx="97">
                  <c:v>21.488207054894595</c:v>
                </c:pt>
                <c:pt idx="98">
                  <c:v>27.866868381240547</c:v>
                </c:pt>
                <c:pt idx="99">
                  <c:v>17.634489693313224</c:v>
                </c:pt>
                <c:pt idx="100">
                  <c:v>37.397513885215552</c:v>
                </c:pt>
                <c:pt idx="101">
                  <c:v>22.425070780044909</c:v>
                </c:pt>
                <c:pt idx="102">
                  <c:v>19.530284301606923</c:v>
                </c:pt>
                <c:pt idx="103">
                  <c:v>15.744245524296675</c:v>
                </c:pt>
                <c:pt idx="104">
                  <c:v>22.6819357222017</c:v>
                </c:pt>
                <c:pt idx="105">
                  <c:v>22.041118725689941</c:v>
                </c:pt>
                <c:pt idx="106">
                  <c:v>23.964442815249264</c:v>
                </c:pt>
                <c:pt idx="107">
                  <c:v>21.289456010745468</c:v>
                </c:pt>
                <c:pt idx="108">
                  <c:v>21.820485332813568</c:v>
                </c:pt>
                <c:pt idx="109">
                  <c:v>19.592060733558949</c:v>
                </c:pt>
                <c:pt idx="110">
                  <c:v>8.5944743185610974</c:v>
                </c:pt>
                <c:pt idx="111">
                  <c:v>73.581395348837205</c:v>
                </c:pt>
                <c:pt idx="112">
                  <c:v>20.490899062327635</c:v>
                </c:pt>
                <c:pt idx="113">
                  <c:v>20.668138619564175</c:v>
                </c:pt>
                <c:pt idx="114">
                  <c:v>20.798653324604881</c:v>
                </c:pt>
                <c:pt idx="115">
                  <c:v>20.611496913580247</c:v>
                </c:pt>
                <c:pt idx="116">
                  <c:v>24.840635434584641</c:v>
                </c:pt>
                <c:pt idx="117">
                  <c:v>24.424695977549113</c:v>
                </c:pt>
                <c:pt idx="118">
                  <c:v>23.087673530233857</c:v>
                </c:pt>
                <c:pt idx="119">
                  <c:v>27.191265835822435</c:v>
                </c:pt>
                <c:pt idx="120">
                  <c:v>26.204073862554733</c:v>
                </c:pt>
                <c:pt idx="121">
                  <c:v>24.947906800530401</c:v>
                </c:pt>
                <c:pt idx="122">
                  <c:v>25.650933848560125</c:v>
                </c:pt>
                <c:pt idx="123">
                  <c:v>27.951880307319048</c:v>
                </c:pt>
                <c:pt idx="124">
                  <c:v>24.62857142857143</c:v>
                </c:pt>
                <c:pt idx="125">
                  <c:v>26.314211473116131</c:v>
                </c:pt>
                <c:pt idx="126">
                  <c:v>23.488807809880683</c:v>
                </c:pt>
                <c:pt idx="127">
                  <c:v>26.764065899906747</c:v>
                </c:pt>
                <c:pt idx="128">
                  <c:v>26.398953301127214</c:v>
                </c:pt>
                <c:pt idx="129">
                  <c:v>28.457691129937736</c:v>
                </c:pt>
                <c:pt idx="130">
                  <c:v>25.771576418406948</c:v>
                </c:pt>
                <c:pt idx="131">
                  <c:v>22.174411933448077</c:v>
                </c:pt>
                <c:pt idx="132">
                  <c:v>26.163522012578611</c:v>
                </c:pt>
                <c:pt idx="133">
                  <c:v>25.15349381151935</c:v>
                </c:pt>
                <c:pt idx="134">
                  <c:v>23.648396718866518</c:v>
                </c:pt>
                <c:pt idx="135">
                  <c:v>28.947368421052634</c:v>
                </c:pt>
                <c:pt idx="136">
                  <c:v>23.743741887632119</c:v>
                </c:pt>
                <c:pt idx="137">
                  <c:v>30.079559363525089</c:v>
                </c:pt>
                <c:pt idx="138">
                  <c:v>25.454042592421871</c:v>
                </c:pt>
                <c:pt idx="139">
                  <c:v>31.96308724832215</c:v>
                </c:pt>
                <c:pt idx="140">
                  <c:v>28.163572976538205</c:v>
                </c:pt>
                <c:pt idx="141">
                  <c:v>27.942131132337941</c:v>
                </c:pt>
                <c:pt idx="142">
                  <c:v>26.479837217906034</c:v>
                </c:pt>
                <c:pt idx="143">
                  <c:v>24.64847751187261</c:v>
                </c:pt>
                <c:pt idx="144">
                  <c:v>29.736954662104363</c:v>
                </c:pt>
                <c:pt idx="145">
                  <c:v>14.464930621554837</c:v>
                </c:pt>
                <c:pt idx="146">
                  <c:v>49.092067537432307</c:v>
                </c:pt>
                <c:pt idx="147">
                  <c:v>29.654036243822077</c:v>
                </c:pt>
                <c:pt idx="148">
                  <c:v>28.289651445555258</c:v>
                </c:pt>
                <c:pt idx="149">
                  <c:v>26.868726245005362</c:v>
                </c:pt>
                <c:pt idx="150">
                  <c:v>28.297809645417939</c:v>
                </c:pt>
                <c:pt idx="151">
                  <c:v>28.43016069221261</c:v>
                </c:pt>
                <c:pt idx="152">
                  <c:v>27.475979305247595</c:v>
                </c:pt>
                <c:pt idx="154">
                  <c:v>27.212389380530976</c:v>
                </c:pt>
                <c:pt idx="155">
                  <c:v>27.857838364167481</c:v>
                </c:pt>
                <c:pt idx="158">
                  <c:v>26.457358762144658</c:v>
                </c:pt>
                <c:pt idx="159">
                  <c:v>27.572706935123044</c:v>
                </c:pt>
                <c:pt idx="160">
                  <c:v>25.970851814972388</c:v>
                </c:pt>
                <c:pt idx="161">
                  <c:v>27.103972299701837</c:v>
                </c:pt>
                <c:pt idx="162">
                  <c:v>26.201818969250752</c:v>
                </c:pt>
                <c:pt idx="163">
                  <c:v>26.448387412998727</c:v>
                </c:pt>
                <c:pt idx="164">
                  <c:v>27.254588986432562</c:v>
                </c:pt>
                <c:pt idx="165">
                  <c:v>25.507357891699527</c:v>
                </c:pt>
                <c:pt idx="166">
                  <c:v>26.642059435926555</c:v>
                </c:pt>
                <c:pt idx="167">
                  <c:v>26.242295839753467</c:v>
                </c:pt>
                <c:pt idx="168">
                  <c:v>27.697154859652475</c:v>
                </c:pt>
                <c:pt idx="169">
                  <c:v>25.504282951091461</c:v>
                </c:pt>
                <c:pt idx="170">
                  <c:v>24.6262341325811</c:v>
                </c:pt>
                <c:pt idx="171">
                  <c:v>7.2294955718136302</c:v>
                </c:pt>
                <c:pt idx="172">
                  <c:v>24.280633688975104</c:v>
                </c:pt>
                <c:pt idx="173">
                  <c:v>23.587876402283012</c:v>
                </c:pt>
                <c:pt idx="174">
                  <c:v>22.473832528180356</c:v>
                </c:pt>
                <c:pt idx="175">
                  <c:v>25.063168124392615</c:v>
                </c:pt>
                <c:pt idx="176">
                  <c:v>27.51872191712431</c:v>
                </c:pt>
                <c:pt idx="177">
                  <c:v>25.123630369436633</c:v>
                </c:pt>
                <c:pt idx="178">
                  <c:v>23.147726237127493</c:v>
                </c:pt>
                <c:pt idx="179">
                  <c:v>24.384293680297397</c:v>
                </c:pt>
              </c:numCache>
            </c:numRef>
          </c:val>
          <c:smooth val="0"/>
          <c:extLst>
            <c:ext xmlns:c16="http://schemas.microsoft.com/office/drawing/2014/chart" uri="{C3380CC4-5D6E-409C-BE32-E72D297353CC}">
              <c16:uniqueId val="{00000003-8D2B-4AFB-BFA2-E3E3F4EFD983}"/>
            </c:ext>
          </c:extLst>
        </c:ser>
        <c:dLbls>
          <c:showLegendKey val="0"/>
          <c:showVal val="0"/>
          <c:showCatName val="0"/>
          <c:showSerName val="0"/>
          <c:showPercent val="0"/>
          <c:showBubbleSize val="0"/>
        </c:dLbls>
        <c:marker val="1"/>
        <c:smooth val="0"/>
        <c:axId val="397504960"/>
        <c:axId val="397503296"/>
      </c:lineChart>
      <c:lineChart>
        <c:grouping val="standard"/>
        <c:varyColors val="0"/>
        <c:ser>
          <c:idx val="0"/>
          <c:order val="1"/>
          <c:tx>
            <c:v>Cost Per Gallon</c:v>
          </c:tx>
          <c:spPr>
            <a:ln w="25400" cap="rnd">
              <a:solidFill>
                <a:srgbClr val="FFC000"/>
              </a:solidFill>
              <a:round/>
            </a:ln>
            <a:effectLst>
              <a:glow rad="76200">
                <a:srgbClr val="FFC000">
                  <a:alpha val="20000"/>
                </a:srgbClr>
              </a:glow>
            </a:effectLst>
          </c:spPr>
          <c:marker>
            <c:symbol val="none"/>
          </c:marker>
          <c:cat>
            <c:numRef>
              <c:f>Gas!$B$4:$B$244</c:f>
              <c:numCache>
                <c:formatCode>m/d/yyyy</c:formatCode>
                <c:ptCount val="241"/>
                <c:pt idx="0">
                  <c:v>44531</c:v>
                </c:pt>
                <c:pt idx="1">
                  <c:v>44537</c:v>
                </c:pt>
                <c:pt idx="2">
                  <c:v>44544</c:v>
                </c:pt>
                <c:pt idx="3">
                  <c:v>44550</c:v>
                </c:pt>
                <c:pt idx="4">
                  <c:v>44558</c:v>
                </c:pt>
                <c:pt idx="5">
                  <c:v>44564</c:v>
                </c:pt>
                <c:pt idx="6">
                  <c:v>44571</c:v>
                </c:pt>
                <c:pt idx="7">
                  <c:v>44579</c:v>
                </c:pt>
                <c:pt idx="8">
                  <c:v>44586</c:v>
                </c:pt>
                <c:pt idx="9">
                  <c:v>44589</c:v>
                </c:pt>
                <c:pt idx="10">
                  <c:v>44592</c:v>
                </c:pt>
                <c:pt idx="11">
                  <c:v>44593</c:v>
                </c:pt>
                <c:pt idx="12">
                  <c:v>44597</c:v>
                </c:pt>
                <c:pt idx="13">
                  <c:v>44603</c:v>
                </c:pt>
                <c:pt idx="14">
                  <c:v>44609</c:v>
                </c:pt>
                <c:pt idx="15">
                  <c:v>44617</c:v>
                </c:pt>
                <c:pt idx="16">
                  <c:v>44621</c:v>
                </c:pt>
                <c:pt idx="17">
                  <c:v>44628</c:v>
                </c:pt>
                <c:pt idx="18">
                  <c:v>44631</c:v>
                </c:pt>
                <c:pt idx="19">
                  <c:v>44637</c:v>
                </c:pt>
                <c:pt idx="20">
                  <c:v>44641</c:v>
                </c:pt>
                <c:pt idx="21">
                  <c:v>44647</c:v>
                </c:pt>
                <c:pt idx="22">
                  <c:v>44652</c:v>
                </c:pt>
                <c:pt idx="23">
                  <c:v>44658</c:v>
                </c:pt>
                <c:pt idx="24">
                  <c:v>44662</c:v>
                </c:pt>
                <c:pt idx="25">
                  <c:v>44667</c:v>
                </c:pt>
                <c:pt idx="26">
                  <c:v>44675</c:v>
                </c:pt>
                <c:pt idx="27">
                  <c:v>44680</c:v>
                </c:pt>
                <c:pt idx="28">
                  <c:v>44685</c:v>
                </c:pt>
                <c:pt idx="29">
                  <c:v>44691</c:v>
                </c:pt>
                <c:pt idx="30">
                  <c:v>44697</c:v>
                </c:pt>
                <c:pt idx="31">
                  <c:v>44701</c:v>
                </c:pt>
                <c:pt idx="32">
                  <c:v>44706</c:v>
                </c:pt>
                <c:pt idx="33">
                  <c:v>44714</c:v>
                </c:pt>
                <c:pt idx="34">
                  <c:v>44721</c:v>
                </c:pt>
                <c:pt idx="35">
                  <c:v>44726</c:v>
                </c:pt>
                <c:pt idx="36">
                  <c:v>44733</c:v>
                </c:pt>
                <c:pt idx="37">
                  <c:v>44738</c:v>
                </c:pt>
                <c:pt idx="38">
                  <c:v>44747</c:v>
                </c:pt>
                <c:pt idx="39">
                  <c:v>44755</c:v>
                </c:pt>
                <c:pt idx="40">
                  <c:v>44763</c:v>
                </c:pt>
                <c:pt idx="41">
                  <c:v>44768</c:v>
                </c:pt>
                <c:pt idx="42">
                  <c:v>44774</c:v>
                </c:pt>
                <c:pt idx="43">
                  <c:v>44781</c:v>
                </c:pt>
                <c:pt idx="44">
                  <c:v>44788</c:v>
                </c:pt>
                <c:pt idx="45">
                  <c:v>44794</c:v>
                </c:pt>
                <c:pt idx="46">
                  <c:v>44801</c:v>
                </c:pt>
                <c:pt idx="47">
                  <c:v>44805</c:v>
                </c:pt>
                <c:pt idx="48">
                  <c:v>44811</c:v>
                </c:pt>
                <c:pt idx="49">
                  <c:v>44818</c:v>
                </c:pt>
                <c:pt idx="50">
                  <c:v>44825</c:v>
                </c:pt>
                <c:pt idx="51">
                  <c:v>44830</c:v>
                </c:pt>
                <c:pt idx="52">
                  <c:v>44836</c:v>
                </c:pt>
                <c:pt idx="53">
                  <c:v>44842</c:v>
                </c:pt>
                <c:pt idx="54">
                  <c:v>44852</c:v>
                </c:pt>
                <c:pt idx="55">
                  <c:v>44859</c:v>
                </c:pt>
                <c:pt idx="57">
                  <c:v>44870</c:v>
                </c:pt>
                <c:pt idx="58">
                  <c:v>44877</c:v>
                </c:pt>
                <c:pt idx="59">
                  <c:v>44883</c:v>
                </c:pt>
                <c:pt idx="60">
                  <c:v>44890</c:v>
                </c:pt>
                <c:pt idx="61">
                  <c:v>44898</c:v>
                </c:pt>
                <c:pt idx="62">
                  <c:v>44907</c:v>
                </c:pt>
                <c:pt idx="63">
                  <c:v>44915</c:v>
                </c:pt>
                <c:pt idx="64">
                  <c:v>44922</c:v>
                </c:pt>
                <c:pt idx="65">
                  <c:v>44931</c:v>
                </c:pt>
                <c:pt idx="66">
                  <c:v>44940</c:v>
                </c:pt>
                <c:pt idx="67">
                  <c:v>44946</c:v>
                </c:pt>
                <c:pt idx="68">
                  <c:v>44953</c:v>
                </c:pt>
                <c:pt idx="69">
                  <c:v>44960</c:v>
                </c:pt>
                <c:pt idx="70">
                  <c:v>44967</c:v>
                </c:pt>
                <c:pt idx="71">
                  <c:v>44973</c:v>
                </c:pt>
                <c:pt idx="72">
                  <c:v>44975</c:v>
                </c:pt>
                <c:pt idx="73">
                  <c:v>44982</c:v>
                </c:pt>
                <c:pt idx="74">
                  <c:v>44984</c:v>
                </c:pt>
                <c:pt idx="75">
                  <c:v>44986</c:v>
                </c:pt>
                <c:pt idx="76">
                  <c:v>44991</c:v>
                </c:pt>
                <c:pt idx="77">
                  <c:v>44997</c:v>
                </c:pt>
                <c:pt idx="78">
                  <c:v>45002</c:v>
                </c:pt>
                <c:pt idx="79">
                  <c:v>45008</c:v>
                </c:pt>
                <c:pt idx="80">
                  <c:v>45013</c:v>
                </c:pt>
                <c:pt idx="81">
                  <c:v>45018</c:v>
                </c:pt>
                <c:pt idx="82">
                  <c:v>45025</c:v>
                </c:pt>
                <c:pt idx="83">
                  <c:v>45031</c:v>
                </c:pt>
                <c:pt idx="84">
                  <c:v>45038</c:v>
                </c:pt>
                <c:pt idx="85">
                  <c:v>45040</c:v>
                </c:pt>
                <c:pt idx="86">
                  <c:v>45047</c:v>
                </c:pt>
                <c:pt idx="87">
                  <c:v>45051</c:v>
                </c:pt>
                <c:pt idx="88">
                  <c:v>45054</c:v>
                </c:pt>
                <c:pt idx="89">
                  <c:v>45064</c:v>
                </c:pt>
                <c:pt idx="90">
                  <c:v>45072</c:v>
                </c:pt>
                <c:pt idx="91">
                  <c:v>45077</c:v>
                </c:pt>
                <c:pt idx="92">
                  <c:v>45085</c:v>
                </c:pt>
                <c:pt idx="93">
                  <c:v>45090</c:v>
                </c:pt>
                <c:pt idx="94">
                  <c:v>45096</c:v>
                </c:pt>
                <c:pt idx="95">
                  <c:v>45100</c:v>
                </c:pt>
                <c:pt idx="96">
                  <c:v>45104</c:v>
                </c:pt>
                <c:pt idx="97">
                  <c:v>45108</c:v>
                </c:pt>
                <c:pt idx="98">
                  <c:v>45110</c:v>
                </c:pt>
                <c:pt idx="99">
                  <c:v>45110</c:v>
                </c:pt>
                <c:pt idx="100">
                  <c:v>45114</c:v>
                </c:pt>
                <c:pt idx="101">
                  <c:v>45120</c:v>
                </c:pt>
                <c:pt idx="102">
                  <c:v>45124</c:v>
                </c:pt>
                <c:pt idx="103">
                  <c:v>45128</c:v>
                </c:pt>
                <c:pt idx="104">
                  <c:v>45132</c:v>
                </c:pt>
                <c:pt idx="105">
                  <c:v>45137</c:v>
                </c:pt>
                <c:pt idx="106">
                  <c:v>45141</c:v>
                </c:pt>
                <c:pt idx="107">
                  <c:v>45145</c:v>
                </c:pt>
                <c:pt idx="108">
                  <c:v>45149</c:v>
                </c:pt>
                <c:pt idx="109">
                  <c:v>45151</c:v>
                </c:pt>
                <c:pt idx="110">
                  <c:v>45153</c:v>
                </c:pt>
                <c:pt idx="111">
                  <c:v>45158</c:v>
                </c:pt>
                <c:pt idx="112">
                  <c:v>45163</c:v>
                </c:pt>
                <c:pt idx="113">
                  <c:v>45170</c:v>
                </c:pt>
                <c:pt idx="114">
                  <c:v>45175</c:v>
                </c:pt>
                <c:pt idx="115">
                  <c:v>45180</c:v>
                </c:pt>
                <c:pt idx="116">
                  <c:v>45186</c:v>
                </c:pt>
                <c:pt idx="117">
                  <c:v>45193</c:v>
                </c:pt>
                <c:pt idx="118">
                  <c:v>45200</c:v>
                </c:pt>
                <c:pt idx="119">
                  <c:v>45208</c:v>
                </c:pt>
                <c:pt idx="120">
                  <c:v>45214</c:v>
                </c:pt>
                <c:pt idx="121">
                  <c:v>45241</c:v>
                </c:pt>
                <c:pt idx="122">
                  <c:v>45247</c:v>
                </c:pt>
                <c:pt idx="123">
                  <c:v>45254</c:v>
                </c:pt>
                <c:pt idx="124">
                  <c:v>45260</c:v>
                </c:pt>
                <c:pt idx="125">
                  <c:v>45266</c:v>
                </c:pt>
                <c:pt idx="126">
                  <c:v>45275</c:v>
                </c:pt>
                <c:pt idx="127">
                  <c:v>45283</c:v>
                </c:pt>
                <c:pt idx="128">
                  <c:v>45290</c:v>
                </c:pt>
                <c:pt idx="129">
                  <c:v>45299</c:v>
                </c:pt>
                <c:pt idx="130">
                  <c:v>45306</c:v>
                </c:pt>
                <c:pt idx="131">
                  <c:v>45314</c:v>
                </c:pt>
                <c:pt idx="132">
                  <c:v>45323</c:v>
                </c:pt>
                <c:pt idx="133">
                  <c:v>45334</c:v>
                </c:pt>
                <c:pt idx="134">
                  <c:v>45342</c:v>
                </c:pt>
                <c:pt idx="135">
                  <c:v>45352</c:v>
                </c:pt>
                <c:pt idx="136">
                  <c:v>45361</c:v>
                </c:pt>
                <c:pt idx="137">
                  <c:v>45372</c:v>
                </c:pt>
                <c:pt idx="138">
                  <c:v>45380</c:v>
                </c:pt>
                <c:pt idx="139">
                  <c:v>45384</c:v>
                </c:pt>
                <c:pt idx="140">
                  <c:v>45394</c:v>
                </c:pt>
                <c:pt idx="141">
                  <c:v>45403</c:v>
                </c:pt>
                <c:pt idx="142">
                  <c:v>45414</c:v>
                </c:pt>
                <c:pt idx="143">
                  <c:v>45421</c:v>
                </c:pt>
                <c:pt idx="144">
                  <c:v>45432</c:v>
                </c:pt>
                <c:pt idx="145">
                  <c:v>45437</c:v>
                </c:pt>
                <c:pt idx="146">
                  <c:v>45443</c:v>
                </c:pt>
                <c:pt idx="147">
                  <c:v>45444</c:v>
                </c:pt>
                <c:pt idx="148">
                  <c:v>45456</c:v>
                </c:pt>
                <c:pt idx="149">
                  <c:v>45467</c:v>
                </c:pt>
                <c:pt idx="150">
                  <c:v>45474</c:v>
                </c:pt>
                <c:pt idx="151">
                  <c:v>45486</c:v>
                </c:pt>
                <c:pt idx="152">
                  <c:v>45497</c:v>
                </c:pt>
                <c:pt idx="153">
                  <c:v>45500</c:v>
                </c:pt>
                <c:pt idx="154">
                  <c:v>45503</c:v>
                </c:pt>
                <c:pt idx="155">
                  <c:v>45517</c:v>
                </c:pt>
                <c:pt idx="156">
                  <c:v>45528</c:v>
                </c:pt>
                <c:pt idx="157">
                  <c:v>45539</c:v>
                </c:pt>
                <c:pt idx="158">
                  <c:v>45552</c:v>
                </c:pt>
                <c:pt idx="159">
                  <c:v>45561.811111111114</c:v>
                </c:pt>
                <c:pt idx="160" formatCode="m/d/yyyy\ h:mm;@">
                  <c:v>45573.413194444445</c:v>
                </c:pt>
                <c:pt idx="161" formatCode="m/d/yyyy\ h:mm;@">
                  <c:v>45581.800694444442</c:v>
                </c:pt>
                <c:pt idx="162" formatCode="m/d/yyyy\ h:mm;@">
                  <c:v>45591.720138888886</c:v>
                </c:pt>
                <c:pt idx="163" formatCode="m/d/yyyy\ h:mm;@">
                  <c:v>45597.870833333334</c:v>
                </c:pt>
                <c:pt idx="164" formatCode="m/d/yyyy\ h:mm;@">
                  <c:v>45610.369444444441</c:v>
                </c:pt>
                <c:pt idx="165" formatCode="m/d/yyyy\ h:mm;@">
                  <c:v>45622.475694444445</c:v>
                </c:pt>
                <c:pt idx="166" formatCode="m/d/yyyy\ h:mm;@">
                  <c:v>45637.683333333334</c:v>
                </c:pt>
                <c:pt idx="167" formatCode="m/d/yyyy\ h:mm;@">
                  <c:v>45648.793749999997</c:v>
                </c:pt>
                <c:pt idx="168" formatCode="m/d/yyyy\ h:mm;@">
                  <c:v>45658.743055555555</c:v>
                </c:pt>
                <c:pt idx="169" formatCode="m/d/yyyy\ h:mm;@">
                  <c:v>45672.484027777777</c:v>
                </c:pt>
                <c:pt idx="170" formatCode="m/d/yyyy\ h:mm;@">
                  <c:v>45681.845138888886</c:v>
                </c:pt>
                <c:pt idx="171" formatCode="m/d/yyyy\ h:mm;@">
                  <c:v>45686.462500000001</c:v>
                </c:pt>
                <c:pt idx="172" formatCode="m/d/yyyy\ h:mm;@">
                  <c:v>45695.855555555558</c:v>
                </c:pt>
                <c:pt idx="173" formatCode="m/d/yyyy\ h:mm;@">
                  <c:v>45707.629861111112</c:v>
                </c:pt>
                <c:pt idx="174" formatCode="m/d/yyyy\ h:mm;@">
                  <c:v>45722.322916666664</c:v>
                </c:pt>
                <c:pt idx="175" formatCode="m/d/yyyy\ h:mm;@">
                  <c:v>45739.918749999997</c:v>
                </c:pt>
                <c:pt idx="176">
                  <c:v>45750.731249999997</c:v>
                </c:pt>
                <c:pt idx="177">
                  <c:v>45762.741666666669</c:v>
                </c:pt>
                <c:pt idx="178">
                  <c:v>45773.627083333333</c:v>
                </c:pt>
              </c:numCache>
            </c:numRef>
          </c:cat>
          <c:val>
            <c:numRef>
              <c:f>Gas!$H$3:$H$244</c:f>
              <c:numCache>
                <c:formatCode>_("$"* #,##0.00_);_("$"* \(#,##0.00\);_("$"* "-"??_);_(@_)</c:formatCode>
                <c:ptCount val="242"/>
                <c:pt idx="0">
                  <c:v>3.7987201861547413</c:v>
                </c:pt>
                <c:pt idx="1">
                  <c:v>3.4193423222427008</c:v>
                </c:pt>
                <c:pt idx="2">
                  <c:v>3.5992329817833175</c:v>
                </c:pt>
                <c:pt idx="3">
                  <c:v>3.5991095821106955</c:v>
                </c:pt>
                <c:pt idx="4">
                  <c:v>3.5987197439487897</c:v>
                </c:pt>
                <c:pt idx="5">
                  <c:v>3.7990678404971518</c:v>
                </c:pt>
                <c:pt idx="6">
                  <c:v>3.699121730097271</c:v>
                </c:pt>
                <c:pt idx="7">
                  <c:v>3.6985378991919968</c:v>
                </c:pt>
                <c:pt idx="8">
                  <c:v>3.8989169675090252</c:v>
                </c:pt>
                <c:pt idx="9">
                  <c:v>3.8986354775828458</c:v>
                </c:pt>
                <c:pt idx="10">
                  <c:v>3.3599467731204258</c:v>
                </c:pt>
                <c:pt idx="13">
                  <c:v>3.9986084882218464</c:v>
                </c:pt>
                <c:pt idx="14">
                  <c:v>4.0991640242144705</c:v>
                </c:pt>
                <c:pt idx="15">
                  <c:v>4.0990218816174249</c:v>
                </c:pt>
                <c:pt idx="16">
                  <c:v>4.0995647442872682</c:v>
                </c:pt>
                <c:pt idx="17">
                  <c:v>4.2992693803966224</c:v>
                </c:pt>
                <c:pt idx="18">
                  <c:v>4.6984848484848492</c:v>
                </c:pt>
                <c:pt idx="19">
                  <c:v>4.8983672109296901</c:v>
                </c:pt>
                <c:pt idx="20">
                  <c:v>4.838709677419355</c:v>
                </c:pt>
                <c:pt idx="21">
                  <c:v>4.899300845246791</c:v>
                </c:pt>
                <c:pt idx="22">
                  <c:v>4.899034240561897</c:v>
                </c:pt>
                <c:pt idx="23">
                  <c:v>4.6994535519125682</c:v>
                </c:pt>
                <c:pt idx="24">
                  <c:v>4.6595019117495093</c:v>
                </c:pt>
                <c:pt idx="25">
                  <c:v>4.6590673575129529</c:v>
                </c:pt>
                <c:pt idx="26">
                  <c:v>4.799020608039176</c:v>
                </c:pt>
                <c:pt idx="27">
                  <c:v>4.6793958392704473</c:v>
                </c:pt>
                <c:pt idx="28">
                  <c:v>4.7986512524084777</c:v>
                </c:pt>
                <c:pt idx="29">
                  <c:v>4.7989597919583913</c:v>
                </c:pt>
                <c:pt idx="30">
                  <c:v>4.9989827060020344</c:v>
                </c:pt>
                <c:pt idx="31">
                  <c:v>5.0990954365281027</c:v>
                </c:pt>
                <c:pt idx="32">
                  <c:v>5.0992871690427704</c:v>
                </c:pt>
                <c:pt idx="33">
                  <c:v>5.0587435673366352</c:v>
                </c:pt>
                <c:pt idx="34">
                  <c:v>5.5986575856282697</c:v>
                </c:pt>
                <c:pt idx="35">
                  <c:v>5.6987975556869701</c:v>
                </c:pt>
                <c:pt idx="36">
                  <c:v>5.7992061186949364</c:v>
                </c:pt>
                <c:pt idx="37">
                  <c:v>5.5987737114389722</c:v>
                </c:pt>
                <c:pt idx="38">
                  <c:v>5.6991385023194168</c:v>
                </c:pt>
                <c:pt idx="39">
                  <c:v>5.6789449749886316</c:v>
                </c:pt>
                <c:pt idx="40">
                  <c:v>5.3789640100437088</c:v>
                </c:pt>
                <c:pt idx="41">
                  <c:v>5.3590849428089253</c:v>
                </c:pt>
                <c:pt idx="42">
                  <c:v>4.9391004123909088</c:v>
                </c:pt>
                <c:pt idx="43">
                  <c:v>4.5989096573208723</c:v>
                </c:pt>
                <c:pt idx="44">
                  <c:v>4.5987208582628423</c:v>
                </c:pt>
                <c:pt idx="45">
                  <c:v>4.5992800303145129</c:v>
                </c:pt>
                <c:pt idx="46">
                  <c:v>4.5986046968654808</c:v>
                </c:pt>
                <c:pt idx="47">
                  <c:v>4.3986406619385345</c:v>
                </c:pt>
                <c:pt idx="48">
                  <c:v>4.3992265905533561</c:v>
                </c:pt>
                <c:pt idx="49">
                  <c:v>4.3988643038966124</c:v>
                </c:pt>
                <c:pt idx="50">
                  <c:v>4.3987748246220733</c:v>
                </c:pt>
                <c:pt idx="51">
                  <c:v>4.5985328107727863</c:v>
                </c:pt>
                <c:pt idx="52">
                  <c:v>4.4786044718581346</c:v>
                </c:pt>
                <c:pt idx="53">
                  <c:v>4.3991439272338146</c:v>
                </c:pt>
                <c:pt idx="54">
                  <c:v>4.5990859991690902</c:v>
                </c:pt>
                <c:pt idx="56">
                  <c:v>4.3988603988603989</c:v>
                </c:pt>
                <c:pt idx="57">
                  <c:v>4.3990596532471349</c:v>
                </c:pt>
                <c:pt idx="58">
                  <c:v>4.4992109904390603</c:v>
                </c:pt>
                <c:pt idx="59">
                  <c:v>4.2994531397322273</c:v>
                </c:pt>
                <c:pt idx="60">
                  <c:v>4.1993509503940656</c:v>
                </c:pt>
                <c:pt idx="61">
                  <c:v>3.9985860014139991</c:v>
                </c:pt>
                <c:pt idx="62">
                  <c:v>3.8988312636961289</c:v>
                </c:pt>
                <c:pt idx="63">
                  <c:v>3.6990745157904783</c:v>
                </c:pt>
                <c:pt idx="64">
                  <c:v>3.6985901798736021</c:v>
                </c:pt>
                <c:pt idx="66">
                  <c:v>3.9586153548636624</c:v>
                </c:pt>
                <c:pt idx="67">
                  <c:v>4.0988681435619618</c:v>
                </c:pt>
                <c:pt idx="68">
                  <c:v>4.1985501409585178</c:v>
                </c:pt>
                <c:pt idx="69">
                  <c:v>4.2989741084513922</c:v>
                </c:pt>
                <c:pt idx="70">
                  <c:v>4.198626216370922</c:v>
                </c:pt>
                <c:pt idx="71">
                  <c:v>4.1988484763375924</c:v>
                </c:pt>
                <c:pt idx="72">
                  <c:v>4.2591109331197439</c:v>
                </c:pt>
                <c:pt idx="73">
                  <c:v>4.1986078886310905</c:v>
                </c:pt>
                <c:pt idx="74">
                  <c:v>4.0992006558721057</c:v>
                </c:pt>
                <c:pt idx="75">
                  <c:v>3.9602385685884691</c:v>
                </c:pt>
                <c:pt idx="76">
                  <c:v>4.0994146435083003</c:v>
                </c:pt>
                <c:pt idx="77">
                  <c:v>4.0985405464720737</c:v>
                </c:pt>
                <c:pt idx="78">
                  <c:v>4.1989772198977215</c:v>
                </c:pt>
                <c:pt idx="80">
                  <c:v>4.1986133768352367</c:v>
                </c:pt>
                <c:pt idx="81">
                  <c:v>4.1988898297111676</c:v>
                </c:pt>
                <c:pt idx="82">
                  <c:v>4.1994675793877159</c:v>
                </c:pt>
                <c:pt idx="83">
                  <c:v>4.3987312249276984</c:v>
                </c:pt>
                <c:pt idx="84">
                  <c:v>4.498701298701298</c:v>
                </c:pt>
                <c:pt idx="85">
                  <c:v>4.3989431968295909</c:v>
                </c:pt>
                <c:pt idx="86">
                  <c:v>4.3991147888001532</c:v>
                </c:pt>
                <c:pt idx="87">
                  <c:v>4.3994720633523974</c:v>
                </c:pt>
                <c:pt idx="88">
                  <c:v>4.3990573448546746</c:v>
                </c:pt>
                <c:pt idx="90">
                  <c:v>4.3986184477854531</c:v>
                </c:pt>
                <c:pt idx="91">
                  <c:v>4.2991732359161698</c:v>
                </c:pt>
                <c:pt idx="92">
                  <c:v>4.3989924433249366</c:v>
                </c:pt>
                <c:pt idx="93">
                  <c:v>4.3986788420439087</c:v>
                </c:pt>
                <c:pt idx="94">
                  <c:v>4.2994313414747829</c:v>
                </c:pt>
                <c:pt idx="95">
                  <c:v>4.1990133109932044</c:v>
                </c:pt>
                <c:pt idx="97">
                  <c:v>4.2986850344395737</c:v>
                </c:pt>
                <c:pt idx="98">
                  <c:v>4.298537569339385</c:v>
                </c:pt>
                <c:pt idx="99">
                  <c:v>4.3991955756661634</c:v>
                </c:pt>
                <c:pt idx="100">
                  <c:v>3.599576831526051</c:v>
                </c:pt>
                <c:pt idx="101">
                  <c:v>4.2985453480425653</c:v>
                </c:pt>
                <c:pt idx="102">
                  <c:v>4.198916040696016</c:v>
                </c:pt>
                <c:pt idx="103">
                  <c:v>4.1994884910485926</c:v>
                </c:pt>
                <c:pt idx="104">
                  <c:v>4.3987809383080902</c:v>
                </c:pt>
                <c:pt idx="105">
                  <c:v>4.4989812928320054</c:v>
                </c:pt>
                <c:pt idx="106">
                  <c:v>4.5986070381231672</c:v>
                </c:pt>
                <c:pt idx="107">
                  <c:v>4.3989254533243791</c:v>
                </c:pt>
                <c:pt idx="108">
                  <c:v>4.5989669622843783</c:v>
                </c:pt>
                <c:pt idx="109">
                  <c:v>4.6986188603311074</c:v>
                </c:pt>
                <c:pt idx="110">
                  <c:v>4.4993510105692565</c:v>
                </c:pt>
                <c:pt idx="111">
                  <c:v>4.6976744186046515</c:v>
                </c:pt>
                <c:pt idx="112">
                  <c:v>4.7021511307225587</c:v>
                </c:pt>
                <c:pt idx="113">
                  <c:v>4.5992128251895936</c:v>
                </c:pt>
                <c:pt idx="114">
                  <c:v>4.6993360142149072</c:v>
                </c:pt>
                <c:pt idx="115">
                  <c:v>4.6990740740740735</c:v>
                </c:pt>
                <c:pt idx="116">
                  <c:v>4.8993220681979164</c:v>
                </c:pt>
                <c:pt idx="117">
                  <c:v>4.8989710009354539</c:v>
                </c:pt>
                <c:pt idx="118">
                  <c:v>4.7992173669989748</c:v>
                </c:pt>
                <c:pt idx="119">
                  <c:v>4.5988258317025439</c:v>
                </c:pt>
                <c:pt idx="120">
                  <c:v>4.3594136683799727</c:v>
                </c:pt>
                <c:pt idx="121">
                  <c:v>4.2991096798636104</c:v>
                </c:pt>
                <c:pt idx="122">
                  <c:v>4.0988131382831909</c:v>
                </c:pt>
                <c:pt idx="123">
                  <c:v>3.8991103922361505</c:v>
                </c:pt>
                <c:pt idx="124">
                  <c:v>3.079047619047619</c:v>
                </c:pt>
                <c:pt idx="125">
                  <c:v>3.7987207675394759</c:v>
                </c:pt>
                <c:pt idx="126">
                  <c:v>3.6988462676264664</c:v>
                </c:pt>
                <c:pt idx="127">
                  <c:v>3.6990985390115019</c:v>
                </c:pt>
                <c:pt idx="128">
                  <c:v>3.7791867954911429</c:v>
                </c:pt>
                <c:pt idx="129">
                  <c:v>3.6592834541186074</c:v>
                </c:pt>
                <c:pt idx="130">
                  <c:v>3.5187580853816303</c:v>
                </c:pt>
                <c:pt idx="131">
                  <c:v>3.6393191814878563</c:v>
                </c:pt>
                <c:pt idx="132">
                  <c:v>3.7987421383647795</c:v>
                </c:pt>
                <c:pt idx="133">
                  <c:v>3.7793587369652086</c:v>
                </c:pt>
                <c:pt idx="134">
                  <c:v>3.8991424310216254</c:v>
                </c:pt>
                <c:pt idx="135">
                  <c:v>3.9987664473684208</c:v>
                </c:pt>
                <c:pt idx="136">
                  <c:v>3.3793806786575193</c:v>
                </c:pt>
                <c:pt idx="137">
                  <c:v>4.1993064055487554</c:v>
                </c:pt>
                <c:pt idx="138">
                  <c:v>4.3993730985525952</c:v>
                </c:pt>
                <c:pt idx="139">
                  <c:v>4.1988255033557049</c:v>
                </c:pt>
                <c:pt idx="140">
                  <c:v>4.258927730142279</c:v>
                </c:pt>
                <c:pt idx="141">
                  <c:v>4.4189928591301122</c:v>
                </c:pt>
                <c:pt idx="142">
                  <c:v>4.2591564927857934</c:v>
                </c:pt>
                <c:pt idx="143">
                  <c:v>4.3393239594003168</c:v>
                </c:pt>
                <c:pt idx="144">
                  <c:v>4.1991017964071862</c:v>
                </c:pt>
                <c:pt idx="145">
                  <c:v>4.1189887854020153</c:v>
                </c:pt>
                <c:pt idx="146">
                  <c:v>4.2593182542210899</c:v>
                </c:pt>
                <c:pt idx="147">
                  <c:v>4.1598023064250409</c:v>
                </c:pt>
                <c:pt idx="148">
                  <c:v>4.239394758173467</c:v>
                </c:pt>
                <c:pt idx="149">
                  <c:v>4.1993957703927496</c:v>
                </c:pt>
                <c:pt idx="150">
                  <c:v>4.0988115116393278</c:v>
                </c:pt>
                <c:pt idx="151">
                  <c:v>4.099077683750119</c:v>
                </c:pt>
                <c:pt idx="152">
                  <c:v>4.2987804878048781</c:v>
                </c:pt>
                <c:pt idx="154">
                  <c:v>4.3805309734513278</c:v>
                </c:pt>
                <c:pt idx="155">
                  <c:v>4.3592989289191824</c:v>
                </c:pt>
                <c:pt idx="157">
                  <c:v>4.0389294403892944</c:v>
                </c:pt>
                <c:pt idx="158">
                  <c:v>3.9987405541561718</c:v>
                </c:pt>
                <c:pt idx="159">
                  <c:v>3.7788963460104399</c:v>
                </c:pt>
                <c:pt idx="160">
                  <c:v>3.9232370779397123</c:v>
                </c:pt>
                <c:pt idx="161">
                  <c:v>4.0992594017505048</c:v>
                </c:pt>
                <c:pt idx="162">
                  <c:v>3.8986574274577737</c:v>
                </c:pt>
                <c:pt idx="163">
                  <c:v>3.8986373884913244</c:v>
                </c:pt>
                <c:pt idx="164">
                  <c:v>3.7390263367916998</c:v>
                </c:pt>
                <c:pt idx="165">
                  <c:v>3.6991439838414926</c:v>
                </c:pt>
                <c:pt idx="166">
                  <c:v>3.5992807117168275</c:v>
                </c:pt>
                <c:pt idx="167">
                  <c:v>3.6989599383667175</c:v>
                </c:pt>
                <c:pt idx="168">
                  <c:v>3.5993889631468399</c:v>
                </c:pt>
                <c:pt idx="169">
                  <c:v>3.5792576218108136</c:v>
                </c:pt>
                <c:pt idx="170">
                  <c:v>3.8993888105312648</c:v>
                </c:pt>
                <c:pt idx="171">
                  <c:v>3.7591451675009626</c:v>
                </c:pt>
                <c:pt idx="172">
                  <c:v>3.8991270611057227</c:v>
                </c:pt>
                <c:pt idx="173">
                  <c:v>3.898838811257626</c:v>
                </c:pt>
                <c:pt idx="174">
                  <c:v>3.9794685990338166</c:v>
                </c:pt>
                <c:pt idx="175">
                  <c:v>3.9990281827016525</c:v>
                </c:pt>
                <c:pt idx="176">
                  <c:v>3.7993010484273584</c:v>
                </c:pt>
                <c:pt idx="177">
                  <c:v>3.8989624745466887</c:v>
                </c:pt>
                <c:pt idx="178">
                  <c:v>3.7993256174245871</c:v>
                </c:pt>
                <c:pt idx="179">
                  <c:v>3.6988847583643119</c:v>
                </c:pt>
              </c:numCache>
            </c:numRef>
          </c:val>
          <c:smooth val="0"/>
          <c:extLst>
            <c:ext xmlns:c16="http://schemas.microsoft.com/office/drawing/2014/chart" uri="{C3380CC4-5D6E-409C-BE32-E72D297353CC}">
              <c16:uniqueId val="{00000000-8D2B-4AFB-BFA2-E3E3F4EFD983}"/>
            </c:ext>
          </c:extLst>
        </c:ser>
        <c:dLbls>
          <c:showLegendKey val="0"/>
          <c:showVal val="0"/>
          <c:showCatName val="0"/>
          <c:showSerName val="0"/>
          <c:showPercent val="0"/>
          <c:showBubbleSize val="0"/>
        </c:dLbls>
        <c:marker val="1"/>
        <c:smooth val="0"/>
        <c:axId val="400768560"/>
        <c:axId val="400771056"/>
      </c:lineChart>
      <c:dateAx>
        <c:axId val="397504960"/>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03296"/>
        <c:crosses val="autoZero"/>
        <c:auto val="1"/>
        <c:lblOffset val="100"/>
        <c:baseTimeUnit val="days"/>
      </c:dateAx>
      <c:valAx>
        <c:axId val="397503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Miles Per Gallon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04960"/>
        <c:crosses val="autoZero"/>
        <c:crossBetween val="between"/>
      </c:valAx>
      <c:valAx>
        <c:axId val="400771056"/>
        <c:scaling>
          <c:orientation val="minMax"/>
          <c:max val="7"/>
          <c:min val="2"/>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Per Gallon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68560"/>
        <c:crosses val="max"/>
        <c:crossBetween val="between"/>
      </c:valAx>
      <c:dateAx>
        <c:axId val="400768560"/>
        <c:scaling>
          <c:orientation val="minMax"/>
        </c:scaling>
        <c:delete val="1"/>
        <c:axPos val="b"/>
        <c:numFmt formatCode="m/d/yyyy" sourceLinked="1"/>
        <c:majorTickMark val="out"/>
        <c:minorTickMark val="none"/>
        <c:tickLblPos val="nextTo"/>
        <c:crossAx val="400771056"/>
        <c:crosses val="autoZero"/>
        <c:auto val="1"/>
        <c:lblOffset val="100"/>
        <c:baseTimeUnit val="days"/>
      </c:date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Mileage Difference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57685478446392E-2"/>
          <c:y val="0.20498802169802494"/>
          <c:w val="0.8366263964016899"/>
          <c:h val="0.51268612061856345"/>
        </c:manualLayout>
      </c:layout>
      <c:lineChart>
        <c:grouping val="standard"/>
        <c:varyColors val="0"/>
        <c:ser>
          <c:idx val="1"/>
          <c:order val="0"/>
          <c:tx>
            <c:v>Mileage Difference</c:v>
          </c:tx>
          <c:spPr>
            <a:ln w="25400" cap="rnd">
              <a:solidFill>
                <a:srgbClr val="FF0000"/>
              </a:solidFill>
              <a:round/>
            </a:ln>
            <a:effectLst>
              <a:glow rad="76200">
                <a:srgbClr val="FF0000">
                  <a:alpha val="20000"/>
                </a:srgbClr>
              </a:glow>
            </a:effectLst>
          </c:spPr>
          <c:marker>
            <c:symbol val="none"/>
          </c:marker>
          <c:cat>
            <c:numRef>
              <c:f>Gas!$B$59:$B$244</c:f>
              <c:numCache>
                <c:formatCode>General</c:formatCode>
                <c:ptCount val="186"/>
                <c:pt idx="0" formatCode="m/d/yyyy">
                  <c:v>44859</c:v>
                </c:pt>
                <c:pt idx="2" formatCode="m/d/yyyy">
                  <c:v>44870</c:v>
                </c:pt>
                <c:pt idx="3" formatCode="m/d/yyyy">
                  <c:v>44877</c:v>
                </c:pt>
                <c:pt idx="4" formatCode="m/d/yyyy">
                  <c:v>44883</c:v>
                </c:pt>
                <c:pt idx="5" formatCode="m/d/yyyy">
                  <c:v>44890</c:v>
                </c:pt>
                <c:pt idx="6" formatCode="m/d/yyyy">
                  <c:v>44898</c:v>
                </c:pt>
                <c:pt idx="7" formatCode="m/d/yyyy">
                  <c:v>44907</c:v>
                </c:pt>
                <c:pt idx="8" formatCode="m/d/yyyy">
                  <c:v>44915</c:v>
                </c:pt>
                <c:pt idx="9" formatCode="m/d/yyyy">
                  <c:v>44922</c:v>
                </c:pt>
                <c:pt idx="10" formatCode="m/d/yyyy">
                  <c:v>44931</c:v>
                </c:pt>
                <c:pt idx="11" formatCode="m/d/yyyy">
                  <c:v>44940</c:v>
                </c:pt>
                <c:pt idx="12" formatCode="m/d/yyyy">
                  <c:v>44946</c:v>
                </c:pt>
                <c:pt idx="13" formatCode="m/d/yyyy">
                  <c:v>44953</c:v>
                </c:pt>
                <c:pt idx="14" formatCode="m/d/yyyy">
                  <c:v>44960</c:v>
                </c:pt>
                <c:pt idx="15" formatCode="m/d/yyyy">
                  <c:v>44967</c:v>
                </c:pt>
                <c:pt idx="16" formatCode="m/d/yyyy">
                  <c:v>44973</c:v>
                </c:pt>
                <c:pt idx="17" formatCode="m/d/yyyy">
                  <c:v>44975</c:v>
                </c:pt>
                <c:pt idx="18" formatCode="m/d/yyyy">
                  <c:v>44982</c:v>
                </c:pt>
                <c:pt idx="19" formatCode="m/d/yyyy">
                  <c:v>44984</c:v>
                </c:pt>
                <c:pt idx="20" formatCode="m/d/yyyy">
                  <c:v>44986</c:v>
                </c:pt>
                <c:pt idx="21" formatCode="m/d/yyyy">
                  <c:v>44991</c:v>
                </c:pt>
                <c:pt idx="22" formatCode="m/d/yyyy">
                  <c:v>44997</c:v>
                </c:pt>
                <c:pt idx="23" formatCode="m/d/yyyy">
                  <c:v>45002</c:v>
                </c:pt>
                <c:pt idx="24" formatCode="m/d/yyyy">
                  <c:v>45008</c:v>
                </c:pt>
                <c:pt idx="25" formatCode="m/d/yyyy">
                  <c:v>45013</c:v>
                </c:pt>
                <c:pt idx="26" formatCode="m/d/yyyy">
                  <c:v>45018</c:v>
                </c:pt>
                <c:pt idx="27" formatCode="m/d/yyyy">
                  <c:v>45025</c:v>
                </c:pt>
                <c:pt idx="28" formatCode="m/d/yyyy">
                  <c:v>45031</c:v>
                </c:pt>
                <c:pt idx="29" formatCode="m/d/yyyy">
                  <c:v>45038</c:v>
                </c:pt>
                <c:pt idx="30" formatCode="m/d/yyyy">
                  <c:v>45040</c:v>
                </c:pt>
                <c:pt idx="31" formatCode="m/d/yyyy">
                  <c:v>45047</c:v>
                </c:pt>
                <c:pt idx="32" formatCode="m/d/yyyy">
                  <c:v>45051</c:v>
                </c:pt>
                <c:pt idx="33" formatCode="m/d/yyyy">
                  <c:v>45054</c:v>
                </c:pt>
                <c:pt idx="34" formatCode="m/d/yyyy">
                  <c:v>45064</c:v>
                </c:pt>
                <c:pt idx="35" formatCode="m/d/yyyy">
                  <c:v>45072</c:v>
                </c:pt>
                <c:pt idx="36" formatCode="m/d/yyyy">
                  <c:v>45077</c:v>
                </c:pt>
                <c:pt idx="37" formatCode="m/d/yyyy">
                  <c:v>45085</c:v>
                </c:pt>
                <c:pt idx="38" formatCode="m/d/yyyy">
                  <c:v>45090</c:v>
                </c:pt>
                <c:pt idx="39" formatCode="m/d/yyyy">
                  <c:v>45096</c:v>
                </c:pt>
                <c:pt idx="40" formatCode="m/d/yyyy">
                  <c:v>45100</c:v>
                </c:pt>
                <c:pt idx="41" formatCode="m/d/yyyy">
                  <c:v>45104</c:v>
                </c:pt>
                <c:pt idx="42" formatCode="m/d/yyyy">
                  <c:v>45108</c:v>
                </c:pt>
                <c:pt idx="43" formatCode="m/d/yyyy">
                  <c:v>45110</c:v>
                </c:pt>
                <c:pt idx="44" formatCode="m/d/yyyy">
                  <c:v>45110</c:v>
                </c:pt>
                <c:pt idx="45" formatCode="m/d/yyyy">
                  <c:v>45114</c:v>
                </c:pt>
                <c:pt idx="46" formatCode="m/d/yyyy">
                  <c:v>45120</c:v>
                </c:pt>
                <c:pt idx="47" formatCode="m/d/yyyy">
                  <c:v>45124</c:v>
                </c:pt>
                <c:pt idx="48" formatCode="m/d/yyyy">
                  <c:v>45128</c:v>
                </c:pt>
                <c:pt idx="49" formatCode="m/d/yyyy">
                  <c:v>45132</c:v>
                </c:pt>
                <c:pt idx="50" formatCode="m/d/yyyy">
                  <c:v>45137</c:v>
                </c:pt>
                <c:pt idx="51" formatCode="m/d/yyyy">
                  <c:v>45141</c:v>
                </c:pt>
                <c:pt idx="52" formatCode="m/d/yyyy">
                  <c:v>45145</c:v>
                </c:pt>
                <c:pt idx="53" formatCode="m/d/yyyy">
                  <c:v>45149</c:v>
                </c:pt>
                <c:pt idx="54" formatCode="m/d/yyyy">
                  <c:v>45151</c:v>
                </c:pt>
                <c:pt idx="55" formatCode="m/d/yyyy">
                  <c:v>45153</c:v>
                </c:pt>
                <c:pt idx="56" formatCode="m/d/yyyy">
                  <c:v>45158</c:v>
                </c:pt>
                <c:pt idx="57" formatCode="m/d/yyyy">
                  <c:v>45163</c:v>
                </c:pt>
                <c:pt idx="58" formatCode="m/d/yyyy">
                  <c:v>45170</c:v>
                </c:pt>
                <c:pt idx="59" formatCode="m/d/yyyy">
                  <c:v>45175</c:v>
                </c:pt>
                <c:pt idx="60" formatCode="m/d/yyyy">
                  <c:v>45180</c:v>
                </c:pt>
                <c:pt idx="61" formatCode="m/d/yyyy">
                  <c:v>45186</c:v>
                </c:pt>
                <c:pt idx="62" formatCode="m/d/yyyy">
                  <c:v>45193</c:v>
                </c:pt>
                <c:pt idx="63" formatCode="m/d/yyyy">
                  <c:v>45200</c:v>
                </c:pt>
                <c:pt idx="64" formatCode="m/d/yyyy">
                  <c:v>45208</c:v>
                </c:pt>
                <c:pt idx="65" formatCode="m/d/yyyy">
                  <c:v>45214</c:v>
                </c:pt>
                <c:pt idx="66" formatCode="m/d/yyyy">
                  <c:v>45241</c:v>
                </c:pt>
                <c:pt idx="67" formatCode="m/d/yyyy">
                  <c:v>45247</c:v>
                </c:pt>
                <c:pt idx="68" formatCode="m/d/yyyy">
                  <c:v>45254</c:v>
                </c:pt>
                <c:pt idx="69" formatCode="m/d/yyyy">
                  <c:v>45260</c:v>
                </c:pt>
                <c:pt idx="70" formatCode="m/d/yyyy">
                  <c:v>45266</c:v>
                </c:pt>
                <c:pt idx="71" formatCode="m/d/yyyy">
                  <c:v>45275</c:v>
                </c:pt>
                <c:pt idx="72" formatCode="m/d/yyyy">
                  <c:v>45283</c:v>
                </c:pt>
                <c:pt idx="73" formatCode="m/d/yyyy">
                  <c:v>45290</c:v>
                </c:pt>
                <c:pt idx="74" formatCode="m/d/yyyy">
                  <c:v>45299</c:v>
                </c:pt>
                <c:pt idx="75" formatCode="m/d/yyyy">
                  <c:v>45306</c:v>
                </c:pt>
                <c:pt idx="76" formatCode="m/d/yyyy">
                  <c:v>45314</c:v>
                </c:pt>
                <c:pt idx="77" formatCode="m/d/yyyy">
                  <c:v>45323</c:v>
                </c:pt>
                <c:pt idx="78" formatCode="m/d/yyyy">
                  <c:v>45334</c:v>
                </c:pt>
                <c:pt idx="79" formatCode="m/d/yyyy">
                  <c:v>45342</c:v>
                </c:pt>
                <c:pt idx="80" formatCode="m/d/yyyy">
                  <c:v>45352</c:v>
                </c:pt>
                <c:pt idx="81" formatCode="m/d/yyyy">
                  <c:v>45361</c:v>
                </c:pt>
                <c:pt idx="82" formatCode="m/d/yyyy">
                  <c:v>45372</c:v>
                </c:pt>
                <c:pt idx="83" formatCode="m/d/yyyy">
                  <c:v>45380</c:v>
                </c:pt>
                <c:pt idx="84" formatCode="m/d/yyyy">
                  <c:v>45384</c:v>
                </c:pt>
                <c:pt idx="85" formatCode="m/d/yyyy">
                  <c:v>45394</c:v>
                </c:pt>
                <c:pt idx="86" formatCode="m/d/yyyy">
                  <c:v>45403</c:v>
                </c:pt>
                <c:pt idx="87" formatCode="m/d/yyyy">
                  <c:v>45414</c:v>
                </c:pt>
                <c:pt idx="88" formatCode="m/d/yyyy">
                  <c:v>45421</c:v>
                </c:pt>
                <c:pt idx="89" formatCode="m/d/yyyy">
                  <c:v>45432</c:v>
                </c:pt>
                <c:pt idx="90" formatCode="m/d/yyyy">
                  <c:v>45437</c:v>
                </c:pt>
                <c:pt idx="91" formatCode="m/d/yyyy">
                  <c:v>45443</c:v>
                </c:pt>
                <c:pt idx="92" formatCode="m/d/yyyy">
                  <c:v>45444</c:v>
                </c:pt>
                <c:pt idx="93" formatCode="m/d/yyyy">
                  <c:v>45456</c:v>
                </c:pt>
                <c:pt idx="94" formatCode="m/d/yyyy">
                  <c:v>45467</c:v>
                </c:pt>
                <c:pt idx="95" formatCode="m/d/yyyy">
                  <c:v>45474</c:v>
                </c:pt>
                <c:pt idx="96" formatCode="m/d/yyyy">
                  <c:v>45486</c:v>
                </c:pt>
                <c:pt idx="97" formatCode="m/d/yyyy">
                  <c:v>45497</c:v>
                </c:pt>
                <c:pt idx="98" formatCode="m/d/yyyy">
                  <c:v>45500</c:v>
                </c:pt>
                <c:pt idx="99" formatCode="m/d/yyyy">
                  <c:v>45503</c:v>
                </c:pt>
                <c:pt idx="100" formatCode="m/d/yyyy">
                  <c:v>45517</c:v>
                </c:pt>
                <c:pt idx="101" formatCode="m/d/yyyy">
                  <c:v>45528</c:v>
                </c:pt>
                <c:pt idx="102" formatCode="m/d/yyyy">
                  <c:v>45539</c:v>
                </c:pt>
                <c:pt idx="103" formatCode="m/d/yyyy">
                  <c:v>45552</c:v>
                </c:pt>
                <c:pt idx="104" formatCode="m/d/yyyy">
                  <c:v>45561.811111111114</c:v>
                </c:pt>
                <c:pt idx="105" formatCode="m/d/yyyy\ h:mm;@">
                  <c:v>45573.413194444445</c:v>
                </c:pt>
                <c:pt idx="106" formatCode="m/d/yyyy\ h:mm;@">
                  <c:v>45581.800694444442</c:v>
                </c:pt>
                <c:pt idx="107" formatCode="m/d/yyyy\ h:mm;@">
                  <c:v>45591.720138888886</c:v>
                </c:pt>
                <c:pt idx="108" formatCode="m/d/yyyy\ h:mm;@">
                  <c:v>45597.870833333334</c:v>
                </c:pt>
                <c:pt idx="109" formatCode="m/d/yyyy\ h:mm;@">
                  <c:v>45610.369444444441</c:v>
                </c:pt>
                <c:pt idx="110" formatCode="m/d/yyyy\ h:mm;@">
                  <c:v>45622.475694444445</c:v>
                </c:pt>
                <c:pt idx="111" formatCode="m/d/yyyy\ h:mm;@">
                  <c:v>45637.683333333334</c:v>
                </c:pt>
                <c:pt idx="112" formatCode="m/d/yyyy\ h:mm;@">
                  <c:v>45648.793749999997</c:v>
                </c:pt>
                <c:pt idx="113" formatCode="m/d/yyyy\ h:mm;@">
                  <c:v>45658.743055555555</c:v>
                </c:pt>
                <c:pt idx="114" formatCode="m/d/yyyy\ h:mm;@">
                  <c:v>45672.484027777777</c:v>
                </c:pt>
                <c:pt idx="115" formatCode="m/d/yyyy\ h:mm;@">
                  <c:v>45681.845138888886</c:v>
                </c:pt>
                <c:pt idx="116" formatCode="m/d/yyyy\ h:mm;@">
                  <c:v>45686.462500000001</c:v>
                </c:pt>
                <c:pt idx="117" formatCode="m/d/yyyy\ h:mm;@">
                  <c:v>45695.855555555558</c:v>
                </c:pt>
                <c:pt idx="118" formatCode="m/d/yyyy\ h:mm;@">
                  <c:v>45707.629861111112</c:v>
                </c:pt>
                <c:pt idx="119" formatCode="m/d/yyyy\ h:mm;@">
                  <c:v>45722.322916666664</c:v>
                </c:pt>
                <c:pt idx="120" formatCode="m/d/yyyy\ h:mm;@">
                  <c:v>45739.918749999997</c:v>
                </c:pt>
                <c:pt idx="121" formatCode="m/d/yyyy">
                  <c:v>45750.731249999997</c:v>
                </c:pt>
                <c:pt idx="122" formatCode="m/d/yyyy">
                  <c:v>45762.741666666669</c:v>
                </c:pt>
                <c:pt idx="123" formatCode="m/d/yyyy">
                  <c:v>45773.627083333333</c:v>
                </c:pt>
              </c:numCache>
            </c:numRef>
          </c:cat>
          <c:val>
            <c:numRef>
              <c:f>Gas!$N$59:$N$244</c:f>
              <c:numCache>
                <c:formatCode>0.00%</c:formatCode>
                <c:ptCount val="186"/>
                <c:pt idx="0">
                  <c:v>3.8918077446982972E-4</c:v>
                </c:pt>
                <c:pt idx="1">
                  <c:v>1.3253810470509517E-3</c:v>
                </c:pt>
                <c:pt idx="2">
                  <c:v>2.5988490811211752E-3</c:v>
                </c:pt>
                <c:pt idx="3">
                  <c:v>2.4083949767761525E-3</c:v>
                </c:pt>
                <c:pt idx="4">
                  <c:v>3.8454143433963752E-4</c:v>
                </c:pt>
                <c:pt idx="5">
                  <c:v>1.8921475875118259E-3</c:v>
                </c:pt>
                <c:pt idx="6">
                  <c:v>1.9102196752626551E-3</c:v>
                </c:pt>
                <c:pt idx="7">
                  <c:v>1.5082956259425992E-3</c:v>
                </c:pt>
                <c:pt idx="8">
                  <c:v>1.6012810248198785E-3</c:v>
                </c:pt>
                <c:pt idx="9">
                  <c:v>1.7006802721088678E-3</c:v>
                </c:pt>
                <c:pt idx="10">
                  <c:v>7.3827980804720803E-4</c:v>
                </c:pt>
                <c:pt idx="11">
                  <c:v>3.9054872095302764E-4</c:v>
                </c:pt>
                <c:pt idx="12">
                  <c:v>4.2927666881302561E-4</c:v>
                </c:pt>
                <c:pt idx="13">
                  <c:v>3.1796502384738132E-3</c:v>
                </c:pt>
                <c:pt idx="14">
                  <c:v>3.9054872095302764E-4</c:v>
                </c:pt>
                <c:pt idx="15">
                  <c:v>1.7921146953405274E-3</c:v>
                </c:pt>
                <c:pt idx="16">
                  <c:v>3.9182759585781619E-3</c:v>
                </c:pt>
                <c:pt idx="17">
                  <c:v>3.8684719535783366E-3</c:v>
                </c:pt>
                <c:pt idx="18">
                  <c:v>7.4377091855704221E-4</c:v>
                </c:pt>
                <c:pt idx="19">
                  <c:v>2.6513477684489365E-3</c:v>
                </c:pt>
                <c:pt idx="20">
                  <c:v>6.079027355623187E-3</c:v>
                </c:pt>
                <c:pt idx="21">
                  <c:v>1.2883830792356082E-3</c:v>
                </c:pt>
                <c:pt idx="22">
                  <c:v>2.3594180102241222E-3</c:v>
                </c:pt>
                <c:pt idx="23">
                  <c:v>0</c:v>
                </c:pt>
                <c:pt idx="24">
                  <c:v>2.7816411682892454E-3</c:v>
                </c:pt>
                <c:pt idx="25">
                  <c:v>4.4062568847761323E-4</c:v>
                </c:pt>
                <c:pt idx="26">
                  <c:v>1.7841213202497771E-3</c:v>
                </c:pt>
                <c:pt idx="27">
                  <c:v>1.4716703458424476E-3</c:v>
                </c:pt>
                <c:pt idx="28">
                  <c:v>8.0677692617986537E-4</c:v>
                </c:pt>
                <c:pt idx="29">
                  <c:v>1.2867252841518822E-3</c:v>
                </c:pt>
                <c:pt idx="30">
                  <c:v>7.3502388827632718E-4</c:v>
                </c:pt>
                <c:pt idx="31">
                  <c:v>3.8175224279451324E-4</c:v>
                </c:pt>
                <c:pt idx="32">
                  <c:v>2.3696682464455312E-3</c:v>
                </c:pt>
                <c:pt idx="33">
                  <c:v>3.8752179810123131E-4</c:v>
                </c:pt>
                <c:pt idx="34">
                  <c:v>1.9743336623889436E-3</c:v>
                </c:pt>
                <c:pt idx="35">
                  <c:v>1.8132366273798731E-3</c:v>
                </c:pt>
                <c:pt idx="36">
                  <c:v>8.406893652794814E-4</c:v>
                </c:pt>
                <c:pt idx="37">
                  <c:v>8.8456435205656186E-4</c:v>
                </c:pt>
                <c:pt idx="38">
                  <c:v>2.5895554596460698E-3</c:v>
                </c:pt>
                <c:pt idx="39">
                  <c:v>2.455996725337676E-3</c:v>
                </c:pt>
                <c:pt idx="40">
                  <c:v>4.6072333563692381E-4</c:v>
                </c:pt>
                <c:pt idx="41">
                  <c:v>2.2246941045606229E-3</c:v>
                </c:pt>
                <c:pt idx="42">
                  <c:v>4.8555474629761747E-4</c:v>
                </c:pt>
                <c:pt idx="43">
                  <c:v>1.0863661053775535E-3</c:v>
                </c:pt>
                <c:pt idx="46">
                  <c:v>1.3051990428540848E-3</c:v>
                </c:pt>
                <c:pt idx="47">
                  <c:v>2.9168692270296272E-3</c:v>
                </c:pt>
                <c:pt idx="48">
                  <c:v>6.4956154595644249E-4</c:v>
                </c:pt>
                <c:pt idx="49">
                  <c:v>2.4459845087647547E-3</c:v>
                </c:pt>
                <c:pt idx="50">
                  <c:v>0</c:v>
                </c:pt>
                <c:pt idx="51">
                  <c:v>1.9102196752626551E-3</c:v>
                </c:pt>
                <c:pt idx="52">
                  <c:v>4.5055192610945853E-4</c:v>
                </c:pt>
                <c:pt idx="53">
                  <c:v>4.4652824291133879E-4</c:v>
                </c:pt>
                <c:pt idx="54">
                  <c:v>9.3414292386729864E-4</c:v>
                </c:pt>
                <c:pt idx="55">
                  <c:v>3.2310177705977077E-3</c:v>
                </c:pt>
                <c:pt idx="56">
                  <c:v>1.265022137887461E-3</c:v>
                </c:pt>
                <c:pt idx="57">
                  <c:v>8.5604865960802242E-3</c:v>
                </c:pt>
                <c:pt idx="58">
                  <c:v>3.2460004637142994E-3</c:v>
                </c:pt>
                <c:pt idx="59">
                  <c:v>1.8001800180018259E-3</c:v>
                </c:pt>
                <c:pt idx="60">
                  <c:v>1.4028524666823072E-3</c:v>
                </c:pt>
                <c:pt idx="61">
                  <c:v>2.0387359836901123E-3</c:v>
                </c:pt>
                <c:pt idx="62">
                  <c:v>3.8306837770550752E-4</c:v>
                </c:pt>
                <c:pt idx="63">
                  <c:v>8.0677692617986537E-4</c:v>
                </c:pt>
                <c:pt idx="64">
                  <c:v>0</c:v>
                </c:pt>
                <c:pt idx="65">
                  <c:v>2.539452203881693E-3</c:v>
                </c:pt>
                <c:pt idx="66">
                  <c:v>1.5197568389056888E-3</c:v>
                </c:pt>
                <c:pt idx="67">
                  <c:v>7.1710290426672157E-4</c:v>
                </c:pt>
                <c:pt idx="68">
                  <c:v>1.8066847335140017E-3</c:v>
                </c:pt>
                <c:pt idx="69">
                  <c:v>2.3228803716609475E-3</c:v>
                </c:pt>
                <c:pt idx="70">
                  <c:v>2.6550350843921439E-3</c:v>
                </c:pt>
                <c:pt idx="71">
                  <c:v>8.3998320033594552E-4</c:v>
                </c:pt>
                <c:pt idx="72">
                  <c:v>1.1621150493899338E-3</c:v>
                </c:pt>
                <c:pt idx="73">
                  <c:v>2.6651437273938271E-3</c:v>
                </c:pt>
                <c:pt idx="74">
                  <c:v>2.8735632183908458E-3</c:v>
                </c:pt>
                <c:pt idx="75">
                  <c:v>3.5848718408325054E-4</c:v>
                </c:pt>
                <c:pt idx="76">
                  <c:v>4.3112739814612773E-4</c:v>
                </c:pt>
                <c:pt idx="77">
                  <c:v>2.2164758034725627E-3</c:v>
                </c:pt>
                <c:pt idx="78">
                  <c:v>3.8752179810123131E-4</c:v>
                </c:pt>
                <c:pt idx="79">
                  <c:v>1.1818002757534424E-3</c:v>
                </c:pt>
                <c:pt idx="80">
                  <c:v>2.1329541414860389E-3</c:v>
                </c:pt>
                <c:pt idx="81">
                  <c:v>3.9054872095302764E-4</c:v>
                </c:pt>
                <c:pt idx="82">
                  <c:v>3.3904051534166044E-4</c:v>
                </c:pt>
                <c:pt idx="83">
                  <c:v>3.2543843789548986E-3</c:v>
                </c:pt>
                <c:pt idx="84">
                  <c:v>2.6281208935611412E-3</c:v>
                </c:pt>
                <c:pt idx="85">
                  <c:v>3.3450409767527261E-4</c:v>
                </c:pt>
                <c:pt idx="86">
                  <c:v>9.9618130499754746E-4</c:v>
                </c:pt>
                <c:pt idx="87">
                  <c:v>2.4420024420024025E-3</c:v>
                </c:pt>
                <c:pt idx="88">
                  <c:v>2.6480045394363101E-3</c:v>
                </c:pt>
                <c:pt idx="89">
                  <c:v>3.2310177705976565E-3</c:v>
                </c:pt>
                <c:pt idx="90">
                  <c:v>1.314924391847394E-3</c:v>
                </c:pt>
                <c:pt idx="91">
                  <c:v>6.4913988964618178E-4</c:v>
                </c:pt>
                <c:pt idx="92">
                  <c:v>0</c:v>
                </c:pt>
                <c:pt idx="93">
                  <c:v>3.1842063365713336E-4</c:v>
                </c:pt>
                <c:pt idx="94">
                  <c:v>1.0875475802066751E-3</c:v>
                </c:pt>
                <c:pt idx="95">
                  <c:v>3.4716195105024384E-4</c:v>
                </c:pt>
                <c:pt idx="96">
                  <c:v>0</c:v>
                </c:pt>
                <c:pt idx="97">
                  <c:v>2.0154517971112621E-3</c:v>
                </c:pt>
                <c:pt idx="98">
                  <c:v>4.6765393608729092E-3</c:v>
                </c:pt>
                <c:pt idx="99">
                  <c:v>8.0971659919028341E-3</c:v>
                </c:pt>
                <c:pt idx="100">
                  <c:v>3.4958923265171379E-4</c:v>
                </c:pt>
                <c:pt idx="101">
                  <c:v>1.6849199663016006E-3</c:v>
                </c:pt>
                <c:pt idx="103">
                  <c:v>3.4007821799021502E-4</c:v>
                </c:pt>
                <c:pt idx="104">
                  <c:v>6.7590402162889037E-4</c:v>
                </c:pt>
                <c:pt idx="105">
                  <c:v>3.4849276877512716E-4</c:v>
                </c:pt>
                <c:pt idx="106">
                  <c:v>2.8429282160625851E-3</c:v>
                </c:pt>
                <c:pt idx="107">
                  <c:v>1.6515276630885444E-3</c:v>
                </c:pt>
                <c:pt idx="108">
                  <c:v>7.4101519081136956E-4</c:v>
                </c:pt>
                <c:pt idx="109">
                  <c:v>7.3233247894539954E-4</c:v>
                </c:pt>
                <c:pt idx="110">
                  <c:v>7.544322897019563E-4</c:v>
                </c:pt>
                <c:pt idx="111">
                  <c:v>1.7746228926353151E-3</c:v>
                </c:pt>
                <c:pt idx="112">
                  <c:v>1.8365472910927456E-3</c:v>
                </c:pt>
                <c:pt idx="113">
                  <c:v>3.0975735673721468E-3</c:v>
                </c:pt>
                <c:pt idx="114">
                  <c:v>3.6107600649945023E-4</c:v>
                </c:pt>
                <c:pt idx="115">
                  <c:v>3.8175224279451324E-4</c:v>
                </c:pt>
                <c:pt idx="116">
                  <c:v>1.3324450366421629E-3</c:v>
                </c:pt>
                <c:pt idx="117">
                  <c:v>2.924587424274028E-3</c:v>
                </c:pt>
                <c:pt idx="118">
                  <c:v>3.1298904538340647E-3</c:v>
                </c:pt>
                <c:pt idx="119">
                  <c:v>3.8767202946316242E-4</c:v>
                </c:pt>
                <c:pt idx="120">
                  <c:v>2.1794406102432474E-3</c:v>
                </c:pt>
                <c:pt idx="121">
                  <c:v>3.4675399730301568E-3</c:v>
                </c:pt>
                <c:pt idx="122">
                  <c:v>0</c:v>
                </c:pt>
              </c:numCache>
            </c:numRef>
          </c:val>
          <c:smooth val="0"/>
          <c:extLst>
            <c:ext xmlns:c16="http://schemas.microsoft.com/office/drawing/2014/chart" uri="{C3380CC4-5D6E-409C-BE32-E72D297353CC}">
              <c16:uniqueId val="{00000000-66C9-444F-B684-E77241F3C1CA}"/>
            </c:ext>
          </c:extLst>
        </c:ser>
        <c:dLbls>
          <c:showLegendKey val="0"/>
          <c:showVal val="0"/>
          <c:showCatName val="0"/>
          <c:showSerName val="0"/>
          <c:showPercent val="0"/>
          <c:showBubbleSize val="0"/>
        </c:dLbls>
        <c:smooth val="0"/>
        <c:axId val="397504960"/>
        <c:axId val="397503296"/>
      </c:lineChart>
      <c:dateAx>
        <c:axId val="397504960"/>
        <c:scaling>
          <c:orientation val="minMax"/>
          <c:min val="44531"/>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03296"/>
        <c:crosses val="autoZero"/>
        <c:auto val="1"/>
        <c:lblOffset val="100"/>
        <c:baseTimeUnit val="days"/>
      </c:dateAx>
      <c:valAx>
        <c:axId val="397503296"/>
        <c:scaling>
          <c:orientation val="minMax"/>
          <c:max val="1.0000000000000002E-2"/>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04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Cutting</a:t>
            </a:r>
            <a:r>
              <a:rPr lang="en-US" baseline="0"/>
              <a:t> Fingernails and Toenails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Toenails</c:v>
          </c:tx>
          <c:spPr>
            <a:ln w="50800" cap="rnd">
              <a:solidFill>
                <a:schemeClr val="accent4"/>
              </a:solidFill>
              <a:round/>
            </a:ln>
            <a:effectLst/>
          </c:spPr>
          <c:marker>
            <c:symbol val="none"/>
          </c:marker>
          <c:xVal>
            <c:numRef>
              <c:f>Health!$B$3:$B$911</c:f>
              <c:numCache>
                <c:formatCode>m/d/yyyy</c:formatCode>
                <c:ptCount val="909"/>
                <c:pt idx="0">
                  <c:v>44415</c:v>
                </c:pt>
                <c:pt idx="1">
                  <c:v>44416</c:v>
                </c:pt>
                <c:pt idx="2">
                  <c:v>44417</c:v>
                </c:pt>
                <c:pt idx="3">
                  <c:v>44418</c:v>
                </c:pt>
                <c:pt idx="4">
                  <c:v>44419</c:v>
                </c:pt>
                <c:pt idx="5">
                  <c:v>44420</c:v>
                </c:pt>
                <c:pt idx="6">
                  <c:v>44421</c:v>
                </c:pt>
                <c:pt idx="7">
                  <c:v>44422</c:v>
                </c:pt>
                <c:pt idx="8">
                  <c:v>44423</c:v>
                </c:pt>
                <c:pt idx="9">
                  <c:v>44424</c:v>
                </c:pt>
                <c:pt idx="10">
                  <c:v>44425</c:v>
                </c:pt>
                <c:pt idx="11">
                  <c:v>44426</c:v>
                </c:pt>
                <c:pt idx="12">
                  <c:v>44427</c:v>
                </c:pt>
                <c:pt idx="13">
                  <c:v>44428</c:v>
                </c:pt>
                <c:pt idx="14">
                  <c:v>44429</c:v>
                </c:pt>
                <c:pt idx="15">
                  <c:v>44430</c:v>
                </c:pt>
                <c:pt idx="16">
                  <c:v>44431</c:v>
                </c:pt>
                <c:pt idx="17">
                  <c:v>44432</c:v>
                </c:pt>
                <c:pt idx="18">
                  <c:v>44433</c:v>
                </c:pt>
                <c:pt idx="19">
                  <c:v>44434</c:v>
                </c:pt>
                <c:pt idx="20">
                  <c:v>44435</c:v>
                </c:pt>
                <c:pt idx="21">
                  <c:v>44436</c:v>
                </c:pt>
                <c:pt idx="22">
                  <c:v>44437</c:v>
                </c:pt>
                <c:pt idx="23">
                  <c:v>44438</c:v>
                </c:pt>
                <c:pt idx="24">
                  <c:v>44439</c:v>
                </c:pt>
                <c:pt idx="25">
                  <c:v>44440</c:v>
                </c:pt>
                <c:pt idx="26">
                  <c:v>44441</c:v>
                </c:pt>
                <c:pt idx="27">
                  <c:v>44442</c:v>
                </c:pt>
                <c:pt idx="28">
                  <c:v>44443</c:v>
                </c:pt>
                <c:pt idx="29">
                  <c:v>44444</c:v>
                </c:pt>
                <c:pt idx="30">
                  <c:v>44445</c:v>
                </c:pt>
                <c:pt idx="31">
                  <c:v>44446</c:v>
                </c:pt>
                <c:pt idx="32">
                  <c:v>44447</c:v>
                </c:pt>
                <c:pt idx="33">
                  <c:v>44448</c:v>
                </c:pt>
                <c:pt idx="34">
                  <c:v>44449</c:v>
                </c:pt>
                <c:pt idx="35">
                  <c:v>44450</c:v>
                </c:pt>
                <c:pt idx="36">
                  <c:v>44451</c:v>
                </c:pt>
                <c:pt idx="37">
                  <c:v>44452</c:v>
                </c:pt>
                <c:pt idx="38">
                  <c:v>44453</c:v>
                </c:pt>
                <c:pt idx="39">
                  <c:v>44454</c:v>
                </c:pt>
                <c:pt idx="40">
                  <c:v>44455</c:v>
                </c:pt>
                <c:pt idx="41">
                  <c:v>44456</c:v>
                </c:pt>
                <c:pt idx="42">
                  <c:v>44457</c:v>
                </c:pt>
                <c:pt idx="43">
                  <c:v>44458</c:v>
                </c:pt>
                <c:pt idx="44">
                  <c:v>44459</c:v>
                </c:pt>
                <c:pt idx="45">
                  <c:v>44460</c:v>
                </c:pt>
                <c:pt idx="46">
                  <c:v>44461</c:v>
                </c:pt>
                <c:pt idx="47">
                  <c:v>44462</c:v>
                </c:pt>
                <c:pt idx="48">
                  <c:v>44463</c:v>
                </c:pt>
                <c:pt idx="49">
                  <c:v>44464</c:v>
                </c:pt>
                <c:pt idx="50">
                  <c:v>44465</c:v>
                </c:pt>
                <c:pt idx="51">
                  <c:v>44466</c:v>
                </c:pt>
                <c:pt idx="52">
                  <c:v>44467</c:v>
                </c:pt>
                <c:pt idx="53">
                  <c:v>44468</c:v>
                </c:pt>
                <c:pt idx="54">
                  <c:v>44469</c:v>
                </c:pt>
                <c:pt idx="55">
                  <c:v>44470</c:v>
                </c:pt>
                <c:pt idx="56">
                  <c:v>44471</c:v>
                </c:pt>
                <c:pt idx="57">
                  <c:v>44472</c:v>
                </c:pt>
                <c:pt idx="58">
                  <c:v>44473</c:v>
                </c:pt>
                <c:pt idx="59">
                  <c:v>44474</c:v>
                </c:pt>
                <c:pt idx="60">
                  <c:v>44475</c:v>
                </c:pt>
                <c:pt idx="61">
                  <c:v>44476</c:v>
                </c:pt>
                <c:pt idx="62">
                  <c:v>44477</c:v>
                </c:pt>
                <c:pt idx="63">
                  <c:v>44478</c:v>
                </c:pt>
                <c:pt idx="64">
                  <c:v>44479</c:v>
                </c:pt>
                <c:pt idx="65">
                  <c:v>44480</c:v>
                </c:pt>
                <c:pt idx="66">
                  <c:v>44481</c:v>
                </c:pt>
                <c:pt idx="67">
                  <c:v>44482</c:v>
                </c:pt>
                <c:pt idx="68">
                  <c:v>44483</c:v>
                </c:pt>
                <c:pt idx="69">
                  <c:v>44484</c:v>
                </c:pt>
                <c:pt idx="70">
                  <c:v>44485</c:v>
                </c:pt>
                <c:pt idx="71">
                  <c:v>44486</c:v>
                </c:pt>
                <c:pt idx="72">
                  <c:v>44487</c:v>
                </c:pt>
                <c:pt idx="73">
                  <c:v>44488</c:v>
                </c:pt>
                <c:pt idx="74">
                  <c:v>44489</c:v>
                </c:pt>
                <c:pt idx="75">
                  <c:v>44490</c:v>
                </c:pt>
                <c:pt idx="76">
                  <c:v>44491</c:v>
                </c:pt>
                <c:pt idx="77">
                  <c:v>44492</c:v>
                </c:pt>
                <c:pt idx="78">
                  <c:v>44493</c:v>
                </c:pt>
                <c:pt idx="79">
                  <c:v>44494</c:v>
                </c:pt>
                <c:pt idx="80">
                  <c:v>44495</c:v>
                </c:pt>
                <c:pt idx="81">
                  <c:v>44496</c:v>
                </c:pt>
                <c:pt idx="82">
                  <c:v>44497</c:v>
                </c:pt>
                <c:pt idx="83">
                  <c:v>44498</c:v>
                </c:pt>
                <c:pt idx="84">
                  <c:v>44499</c:v>
                </c:pt>
                <c:pt idx="85">
                  <c:v>44500</c:v>
                </c:pt>
                <c:pt idx="86">
                  <c:v>44501</c:v>
                </c:pt>
                <c:pt idx="87">
                  <c:v>44502</c:v>
                </c:pt>
                <c:pt idx="88">
                  <c:v>44503</c:v>
                </c:pt>
                <c:pt idx="89">
                  <c:v>44504</c:v>
                </c:pt>
                <c:pt idx="90">
                  <c:v>44505</c:v>
                </c:pt>
                <c:pt idx="91">
                  <c:v>44506</c:v>
                </c:pt>
                <c:pt idx="92">
                  <c:v>44507</c:v>
                </c:pt>
                <c:pt idx="93">
                  <c:v>44508</c:v>
                </c:pt>
                <c:pt idx="94">
                  <c:v>44509</c:v>
                </c:pt>
                <c:pt idx="95">
                  <c:v>44510</c:v>
                </c:pt>
                <c:pt idx="96">
                  <c:v>44511</c:v>
                </c:pt>
                <c:pt idx="97">
                  <c:v>44512</c:v>
                </c:pt>
                <c:pt idx="98">
                  <c:v>44513</c:v>
                </c:pt>
                <c:pt idx="99">
                  <c:v>44514</c:v>
                </c:pt>
                <c:pt idx="100">
                  <c:v>44515</c:v>
                </c:pt>
                <c:pt idx="101">
                  <c:v>44516</c:v>
                </c:pt>
                <c:pt idx="102">
                  <c:v>44517</c:v>
                </c:pt>
                <c:pt idx="103">
                  <c:v>44518</c:v>
                </c:pt>
                <c:pt idx="104">
                  <c:v>44519</c:v>
                </c:pt>
                <c:pt idx="105">
                  <c:v>44520</c:v>
                </c:pt>
                <c:pt idx="106">
                  <c:v>44521</c:v>
                </c:pt>
                <c:pt idx="107">
                  <c:v>44522</c:v>
                </c:pt>
                <c:pt idx="108">
                  <c:v>44523</c:v>
                </c:pt>
                <c:pt idx="109">
                  <c:v>44524</c:v>
                </c:pt>
                <c:pt idx="110">
                  <c:v>44525</c:v>
                </c:pt>
                <c:pt idx="111">
                  <c:v>44526</c:v>
                </c:pt>
                <c:pt idx="112">
                  <c:v>44527</c:v>
                </c:pt>
                <c:pt idx="113">
                  <c:v>44528</c:v>
                </c:pt>
                <c:pt idx="114">
                  <c:v>44529</c:v>
                </c:pt>
                <c:pt idx="115">
                  <c:v>44530</c:v>
                </c:pt>
                <c:pt idx="116">
                  <c:v>44531</c:v>
                </c:pt>
                <c:pt idx="117">
                  <c:v>44532</c:v>
                </c:pt>
                <c:pt idx="118">
                  <c:v>44533</c:v>
                </c:pt>
                <c:pt idx="119">
                  <c:v>44534</c:v>
                </c:pt>
                <c:pt idx="120">
                  <c:v>44535</c:v>
                </c:pt>
                <c:pt idx="121">
                  <c:v>44536</c:v>
                </c:pt>
                <c:pt idx="122">
                  <c:v>44537</c:v>
                </c:pt>
                <c:pt idx="123">
                  <c:v>44538</c:v>
                </c:pt>
                <c:pt idx="124">
                  <c:v>44539</c:v>
                </c:pt>
                <c:pt idx="125">
                  <c:v>44540</c:v>
                </c:pt>
                <c:pt idx="126">
                  <c:v>44541</c:v>
                </c:pt>
                <c:pt idx="127">
                  <c:v>44542</c:v>
                </c:pt>
                <c:pt idx="128">
                  <c:v>44543</c:v>
                </c:pt>
                <c:pt idx="129">
                  <c:v>44544</c:v>
                </c:pt>
                <c:pt idx="130">
                  <c:v>44545</c:v>
                </c:pt>
                <c:pt idx="131">
                  <c:v>44546</c:v>
                </c:pt>
                <c:pt idx="132">
                  <c:v>44547</c:v>
                </c:pt>
                <c:pt idx="133">
                  <c:v>44548</c:v>
                </c:pt>
                <c:pt idx="134">
                  <c:v>44549</c:v>
                </c:pt>
                <c:pt idx="135">
                  <c:v>44550</c:v>
                </c:pt>
                <c:pt idx="136">
                  <c:v>44551</c:v>
                </c:pt>
                <c:pt idx="137">
                  <c:v>44552</c:v>
                </c:pt>
                <c:pt idx="138">
                  <c:v>44553</c:v>
                </c:pt>
                <c:pt idx="139">
                  <c:v>44554</c:v>
                </c:pt>
                <c:pt idx="140">
                  <c:v>44555</c:v>
                </c:pt>
                <c:pt idx="141">
                  <c:v>44556</c:v>
                </c:pt>
                <c:pt idx="142">
                  <c:v>44557</c:v>
                </c:pt>
                <c:pt idx="143">
                  <c:v>44558</c:v>
                </c:pt>
                <c:pt idx="144">
                  <c:v>44559</c:v>
                </c:pt>
                <c:pt idx="145">
                  <c:v>44560</c:v>
                </c:pt>
                <c:pt idx="146">
                  <c:v>44561</c:v>
                </c:pt>
                <c:pt idx="147">
                  <c:v>44562</c:v>
                </c:pt>
                <c:pt idx="148">
                  <c:v>44563</c:v>
                </c:pt>
                <c:pt idx="149">
                  <c:v>44564</c:v>
                </c:pt>
                <c:pt idx="150">
                  <c:v>44565</c:v>
                </c:pt>
                <c:pt idx="151">
                  <c:v>44566</c:v>
                </c:pt>
                <c:pt idx="152">
                  <c:v>44567</c:v>
                </c:pt>
                <c:pt idx="153">
                  <c:v>44568</c:v>
                </c:pt>
                <c:pt idx="154">
                  <c:v>44569</c:v>
                </c:pt>
                <c:pt idx="155">
                  <c:v>44570</c:v>
                </c:pt>
                <c:pt idx="156">
                  <c:v>44571</c:v>
                </c:pt>
                <c:pt idx="157">
                  <c:v>44572</c:v>
                </c:pt>
                <c:pt idx="158">
                  <c:v>44573</c:v>
                </c:pt>
                <c:pt idx="159">
                  <c:v>44574</c:v>
                </c:pt>
                <c:pt idx="160">
                  <c:v>44575</c:v>
                </c:pt>
                <c:pt idx="161">
                  <c:v>44576</c:v>
                </c:pt>
                <c:pt idx="162">
                  <c:v>44577</c:v>
                </c:pt>
                <c:pt idx="163">
                  <c:v>44578</c:v>
                </c:pt>
                <c:pt idx="164">
                  <c:v>44579</c:v>
                </c:pt>
                <c:pt idx="165">
                  <c:v>44580</c:v>
                </c:pt>
                <c:pt idx="166">
                  <c:v>44581</c:v>
                </c:pt>
                <c:pt idx="167">
                  <c:v>44582</c:v>
                </c:pt>
                <c:pt idx="168">
                  <c:v>44583</c:v>
                </c:pt>
                <c:pt idx="169">
                  <c:v>44584</c:v>
                </c:pt>
                <c:pt idx="170">
                  <c:v>44585</c:v>
                </c:pt>
                <c:pt idx="171">
                  <c:v>44586</c:v>
                </c:pt>
                <c:pt idx="172">
                  <c:v>44587</c:v>
                </c:pt>
                <c:pt idx="173">
                  <c:v>44588</c:v>
                </c:pt>
                <c:pt idx="174">
                  <c:v>44589</c:v>
                </c:pt>
                <c:pt idx="175">
                  <c:v>44590</c:v>
                </c:pt>
                <c:pt idx="176">
                  <c:v>44591</c:v>
                </c:pt>
                <c:pt idx="177">
                  <c:v>44592</c:v>
                </c:pt>
                <c:pt idx="178">
                  <c:v>44593</c:v>
                </c:pt>
                <c:pt idx="179">
                  <c:v>44594</c:v>
                </c:pt>
                <c:pt idx="180">
                  <c:v>44595</c:v>
                </c:pt>
                <c:pt idx="181">
                  <c:v>44596</c:v>
                </c:pt>
                <c:pt idx="182">
                  <c:v>44597</c:v>
                </c:pt>
                <c:pt idx="183">
                  <c:v>44598</c:v>
                </c:pt>
                <c:pt idx="184">
                  <c:v>44599</c:v>
                </c:pt>
                <c:pt idx="185">
                  <c:v>44600</c:v>
                </c:pt>
                <c:pt idx="186">
                  <c:v>44601</c:v>
                </c:pt>
                <c:pt idx="187">
                  <c:v>44602</c:v>
                </c:pt>
                <c:pt idx="188">
                  <c:v>44603</c:v>
                </c:pt>
                <c:pt idx="189">
                  <c:v>44604</c:v>
                </c:pt>
                <c:pt idx="190">
                  <c:v>44605</c:v>
                </c:pt>
                <c:pt idx="191">
                  <c:v>44606</c:v>
                </c:pt>
                <c:pt idx="192">
                  <c:v>44607</c:v>
                </c:pt>
                <c:pt idx="193">
                  <c:v>44608</c:v>
                </c:pt>
                <c:pt idx="194">
                  <c:v>44609</c:v>
                </c:pt>
                <c:pt idx="195">
                  <c:v>44610</c:v>
                </c:pt>
                <c:pt idx="196">
                  <c:v>44611</c:v>
                </c:pt>
                <c:pt idx="197">
                  <c:v>44612</c:v>
                </c:pt>
                <c:pt idx="198">
                  <c:v>44613</c:v>
                </c:pt>
                <c:pt idx="199">
                  <c:v>44614</c:v>
                </c:pt>
                <c:pt idx="200">
                  <c:v>44615</c:v>
                </c:pt>
                <c:pt idx="201">
                  <c:v>44616</c:v>
                </c:pt>
                <c:pt idx="202">
                  <c:v>44617</c:v>
                </c:pt>
                <c:pt idx="203">
                  <c:v>44618</c:v>
                </c:pt>
                <c:pt idx="204">
                  <c:v>44619</c:v>
                </c:pt>
                <c:pt idx="205">
                  <c:v>44620</c:v>
                </c:pt>
                <c:pt idx="206">
                  <c:v>44621</c:v>
                </c:pt>
                <c:pt idx="207">
                  <c:v>44622</c:v>
                </c:pt>
                <c:pt idx="208">
                  <c:v>44623</c:v>
                </c:pt>
                <c:pt idx="209">
                  <c:v>44624</c:v>
                </c:pt>
                <c:pt idx="210">
                  <c:v>44625</c:v>
                </c:pt>
                <c:pt idx="211">
                  <c:v>44626</c:v>
                </c:pt>
                <c:pt idx="212">
                  <c:v>44627</c:v>
                </c:pt>
                <c:pt idx="213">
                  <c:v>44628</c:v>
                </c:pt>
                <c:pt idx="214">
                  <c:v>44629</c:v>
                </c:pt>
                <c:pt idx="215">
                  <c:v>44630</c:v>
                </c:pt>
                <c:pt idx="216">
                  <c:v>44631</c:v>
                </c:pt>
                <c:pt idx="217">
                  <c:v>44632</c:v>
                </c:pt>
                <c:pt idx="218">
                  <c:v>44633</c:v>
                </c:pt>
                <c:pt idx="219">
                  <c:v>44634</c:v>
                </c:pt>
                <c:pt idx="220">
                  <c:v>44635</c:v>
                </c:pt>
                <c:pt idx="221">
                  <c:v>44636</c:v>
                </c:pt>
                <c:pt idx="222">
                  <c:v>44637</c:v>
                </c:pt>
                <c:pt idx="223">
                  <c:v>44638</c:v>
                </c:pt>
                <c:pt idx="224">
                  <c:v>44639</c:v>
                </c:pt>
                <c:pt idx="225">
                  <c:v>44640</c:v>
                </c:pt>
                <c:pt idx="226">
                  <c:v>44641</c:v>
                </c:pt>
                <c:pt idx="227">
                  <c:v>44642</c:v>
                </c:pt>
                <c:pt idx="228">
                  <c:v>44643</c:v>
                </c:pt>
                <c:pt idx="229">
                  <c:v>44644</c:v>
                </c:pt>
                <c:pt idx="230">
                  <c:v>44645</c:v>
                </c:pt>
                <c:pt idx="231">
                  <c:v>44646</c:v>
                </c:pt>
                <c:pt idx="232">
                  <c:v>44647</c:v>
                </c:pt>
                <c:pt idx="233">
                  <c:v>44648</c:v>
                </c:pt>
                <c:pt idx="234">
                  <c:v>44649</c:v>
                </c:pt>
                <c:pt idx="235">
                  <c:v>44650</c:v>
                </c:pt>
                <c:pt idx="236">
                  <c:v>44651</c:v>
                </c:pt>
                <c:pt idx="237">
                  <c:v>44652</c:v>
                </c:pt>
                <c:pt idx="238">
                  <c:v>44653</c:v>
                </c:pt>
                <c:pt idx="239">
                  <c:v>44654</c:v>
                </c:pt>
                <c:pt idx="240">
                  <c:v>44655</c:v>
                </c:pt>
                <c:pt idx="241">
                  <c:v>44656</c:v>
                </c:pt>
                <c:pt idx="242">
                  <c:v>44657</c:v>
                </c:pt>
                <c:pt idx="243">
                  <c:v>44658</c:v>
                </c:pt>
                <c:pt idx="244">
                  <c:v>44659</c:v>
                </c:pt>
                <c:pt idx="245">
                  <c:v>44660</c:v>
                </c:pt>
                <c:pt idx="246">
                  <c:v>44661</c:v>
                </c:pt>
                <c:pt idx="247">
                  <c:v>44662</c:v>
                </c:pt>
                <c:pt idx="248">
                  <c:v>44663</c:v>
                </c:pt>
                <c:pt idx="249">
                  <c:v>44664</c:v>
                </c:pt>
                <c:pt idx="250">
                  <c:v>44665</c:v>
                </c:pt>
                <c:pt idx="251">
                  <c:v>44666</c:v>
                </c:pt>
                <c:pt idx="252">
                  <c:v>44667</c:v>
                </c:pt>
                <c:pt idx="253">
                  <c:v>44668</c:v>
                </c:pt>
                <c:pt idx="254">
                  <c:v>44669</c:v>
                </c:pt>
                <c:pt idx="255">
                  <c:v>44670</c:v>
                </c:pt>
                <c:pt idx="256">
                  <c:v>44671</c:v>
                </c:pt>
                <c:pt idx="257">
                  <c:v>44672</c:v>
                </c:pt>
                <c:pt idx="258">
                  <c:v>44673</c:v>
                </c:pt>
                <c:pt idx="259">
                  <c:v>44674</c:v>
                </c:pt>
                <c:pt idx="260">
                  <c:v>44675</c:v>
                </c:pt>
                <c:pt idx="261">
                  <c:v>44676</c:v>
                </c:pt>
                <c:pt idx="262">
                  <c:v>44677</c:v>
                </c:pt>
                <c:pt idx="263">
                  <c:v>44678</c:v>
                </c:pt>
                <c:pt idx="264">
                  <c:v>44679</c:v>
                </c:pt>
                <c:pt idx="265">
                  <c:v>44680</c:v>
                </c:pt>
                <c:pt idx="266">
                  <c:v>44681</c:v>
                </c:pt>
                <c:pt idx="267">
                  <c:v>44682</c:v>
                </c:pt>
                <c:pt idx="268">
                  <c:v>44683</c:v>
                </c:pt>
                <c:pt idx="269">
                  <c:v>44684</c:v>
                </c:pt>
                <c:pt idx="270">
                  <c:v>44685</c:v>
                </c:pt>
                <c:pt idx="271">
                  <c:v>44686</c:v>
                </c:pt>
                <c:pt idx="272">
                  <c:v>44687</c:v>
                </c:pt>
                <c:pt idx="273">
                  <c:v>44688</c:v>
                </c:pt>
                <c:pt idx="274">
                  <c:v>44689</c:v>
                </c:pt>
                <c:pt idx="275">
                  <c:v>44690</c:v>
                </c:pt>
                <c:pt idx="276">
                  <c:v>44691</c:v>
                </c:pt>
                <c:pt idx="277">
                  <c:v>44692</c:v>
                </c:pt>
                <c:pt idx="278">
                  <c:v>44693</c:v>
                </c:pt>
                <c:pt idx="279">
                  <c:v>44694</c:v>
                </c:pt>
                <c:pt idx="280">
                  <c:v>44695</c:v>
                </c:pt>
                <c:pt idx="281">
                  <c:v>44696</c:v>
                </c:pt>
                <c:pt idx="282">
                  <c:v>44697</c:v>
                </c:pt>
                <c:pt idx="283">
                  <c:v>44698</c:v>
                </c:pt>
                <c:pt idx="284">
                  <c:v>44699</c:v>
                </c:pt>
                <c:pt idx="285">
                  <c:v>44700</c:v>
                </c:pt>
                <c:pt idx="286">
                  <c:v>44701</c:v>
                </c:pt>
                <c:pt idx="287">
                  <c:v>44702</c:v>
                </c:pt>
                <c:pt idx="288">
                  <c:v>44703</c:v>
                </c:pt>
                <c:pt idx="289">
                  <c:v>44704</c:v>
                </c:pt>
                <c:pt idx="290">
                  <c:v>44705</c:v>
                </c:pt>
                <c:pt idx="291">
                  <c:v>44706</c:v>
                </c:pt>
                <c:pt idx="292">
                  <c:v>44707</c:v>
                </c:pt>
                <c:pt idx="293">
                  <c:v>44708</c:v>
                </c:pt>
                <c:pt idx="294">
                  <c:v>44709</c:v>
                </c:pt>
                <c:pt idx="295">
                  <c:v>44710</c:v>
                </c:pt>
                <c:pt idx="296">
                  <c:v>44711</c:v>
                </c:pt>
                <c:pt idx="297">
                  <c:v>44712</c:v>
                </c:pt>
                <c:pt idx="298">
                  <c:v>44713</c:v>
                </c:pt>
                <c:pt idx="299">
                  <c:v>44714</c:v>
                </c:pt>
                <c:pt idx="300">
                  <c:v>44715</c:v>
                </c:pt>
                <c:pt idx="301">
                  <c:v>44716</c:v>
                </c:pt>
                <c:pt idx="302">
                  <c:v>44717</c:v>
                </c:pt>
                <c:pt idx="303">
                  <c:v>44718</c:v>
                </c:pt>
                <c:pt idx="304">
                  <c:v>44719</c:v>
                </c:pt>
                <c:pt idx="305">
                  <c:v>44720</c:v>
                </c:pt>
                <c:pt idx="306">
                  <c:v>44721</c:v>
                </c:pt>
                <c:pt idx="307">
                  <c:v>44722</c:v>
                </c:pt>
                <c:pt idx="308">
                  <c:v>44723</c:v>
                </c:pt>
                <c:pt idx="309">
                  <c:v>44724</c:v>
                </c:pt>
                <c:pt idx="310">
                  <c:v>44725</c:v>
                </c:pt>
                <c:pt idx="311">
                  <c:v>44726</c:v>
                </c:pt>
                <c:pt idx="312">
                  <c:v>44727</c:v>
                </c:pt>
                <c:pt idx="313">
                  <c:v>44728</c:v>
                </c:pt>
                <c:pt idx="314">
                  <c:v>44729</c:v>
                </c:pt>
                <c:pt idx="315">
                  <c:v>44730</c:v>
                </c:pt>
                <c:pt idx="316">
                  <c:v>44731</c:v>
                </c:pt>
                <c:pt idx="317">
                  <c:v>44732</c:v>
                </c:pt>
                <c:pt idx="318">
                  <c:v>44733</c:v>
                </c:pt>
                <c:pt idx="319">
                  <c:v>44734</c:v>
                </c:pt>
                <c:pt idx="320">
                  <c:v>44735</c:v>
                </c:pt>
                <c:pt idx="321">
                  <c:v>44736</c:v>
                </c:pt>
                <c:pt idx="322">
                  <c:v>44737</c:v>
                </c:pt>
                <c:pt idx="323">
                  <c:v>44738</c:v>
                </c:pt>
                <c:pt idx="324">
                  <c:v>44739</c:v>
                </c:pt>
                <c:pt idx="325">
                  <c:v>44740</c:v>
                </c:pt>
                <c:pt idx="326">
                  <c:v>44741</c:v>
                </c:pt>
                <c:pt idx="327">
                  <c:v>44742</c:v>
                </c:pt>
                <c:pt idx="328">
                  <c:v>44743</c:v>
                </c:pt>
                <c:pt idx="329">
                  <c:v>44744</c:v>
                </c:pt>
                <c:pt idx="330">
                  <c:v>44745</c:v>
                </c:pt>
                <c:pt idx="331">
                  <c:v>44746</c:v>
                </c:pt>
                <c:pt idx="332">
                  <c:v>44747</c:v>
                </c:pt>
                <c:pt idx="333">
                  <c:v>44748</c:v>
                </c:pt>
                <c:pt idx="334">
                  <c:v>44749</c:v>
                </c:pt>
                <c:pt idx="335">
                  <c:v>44750</c:v>
                </c:pt>
                <c:pt idx="336">
                  <c:v>44751</c:v>
                </c:pt>
                <c:pt idx="337">
                  <c:v>44752</c:v>
                </c:pt>
                <c:pt idx="338">
                  <c:v>44753</c:v>
                </c:pt>
                <c:pt idx="339">
                  <c:v>44754</c:v>
                </c:pt>
                <c:pt idx="340">
                  <c:v>44755</c:v>
                </c:pt>
                <c:pt idx="341">
                  <c:v>44756</c:v>
                </c:pt>
                <c:pt idx="342">
                  <c:v>44757</c:v>
                </c:pt>
                <c:pt idx="343">
                  <c:v>44758</c:v>
                </c:pt>
                <c:pt idx="344">
                  <c:v>44759</c:v>
                </c:pt>
                <c:pt idx="345">
                  <c:v>44760</c:v>
                </c:pt>
                <c:pt idx="346">
                  <c:v>44761</c:v>
                </c:pt>
                <c:pt idx="347">
                  <c:v>44762</c:v>
                </c:pt>
                <c:pt idx="348">
                  <c:v>44763</c:v>
                </c:pt>
                <c:pt idx="349">
                  <c:v>44764</c:v>
                </c:pt>
                <c:pt idx="350">
                  <c:v>44765</c:v>
                </c:pt>
                <c:pt idx="351">
                  <c:v>44766</c:v>
                </c:pt>
                <c:pt idx="352">
                  <c:v>44767</c:v>
                </c:pt>
                <c:pt idx="353">
                  <c:v>44768</c:v>
                </c:pt>
                <c:pt idx="354">
                  <c:v>44769</c:v>
                </c:pt>
                <c:pt idx="355">
                  <c:v>44770</c:v>
                </c:pt>
                <c:pt idx="356">
                  <c:v>44771</c:v>
                </c:pt>
                <c:pt idx="357">
                  <c:v>44772</c:v>
                </c:pt>
                <c:pt idx="358">
                  <c:v>44773</c:v>
                </c:pt>
                <c:pt idx="359">
                  <c:v>44774</c:v>
                </c:pt>
                <c:pt idx="360">
                  <c:v>44775</c:v>
                </c:pt>
                <c:pt idx="361">
                  <c:v>44776</c:v>
                </c:pt>
                <c:pt idx="362">
                  <c:v>44777</c:v>
                </c:pt>
                <c:pt idx="363">
                  <c:v>44778</c:v>
                </c:pt>
                <c:pt idx="364">
                  <c:v>44779</c:v>
                </c:pt>
                <c:pt idx="365">
                  <c:v>44780</c:v>
                </c:pt>
                <c:pt idx="366">
                  <c:v>44781</c:v>
                </c:pt>
                <c:pt idx="367">
                  <c:v>44782</c:v>
                </c:pt>
                <c:pt idx="368">
                  <c:v>44783</c:v>
                </c:pt>
                <c:pt idx="369">
                  <c:v>44784</c:v>
                </c:pt>
                <c:pt idx="370">
                  <c:v>44785</c:v>
                </c:pt>
                <c:pt idx="371">
                  <c:v>44786</c:v>
                </c:pt>
                <c:pt idx="372">
                  <c:v>44787</c:v>
                </c:pt>
                <c:pt idx="373">
                  <c:v>44788</c:v>
                </c:pt>
                <c:pt idx="374">
                  <c:v>44789</c:v>
                </c:pt>
                <c:pt idx="375">
                  <c:v>44790</c:v>
                </c:pt>
                <c:pt idx="376">
                  <c:v>44791</c:v>
                </c:pt>
                <c:pt idx="377">
                  <c:v>44792</c:v>
                </c:pt>
                <c:pt idx="378">
                  <c:v>44793</c:v>
                </c:pt>
                <c:pt idx="379">
                  <c:v>44794</c:v>
                </c:pt>
                <c:pt idx="380">
                  <c:v>44795</c:v>
                </c:pt>
                <c:pt idx="381">
                  <c:v>44796</c:v>
                </c:pt>
                <c:pt idx="382">
                  <c:v>44797</c:v>
                </c:pt>
                <c:pt idx="383">
                  <c:v>44798</c:v>
                </c:pt>
                <c:pt idx="384">
                  <c:v>44799</c:v>
                </c:pt>
                <c:pt idx="385">
                  <c:v>44800</c:v>
                </c:pt>
                <c:pt idx="386">
                  <c:v>44801</c:v>
                </c:pt>
                <c:pt idx="387">
                  <c:v>44802</c:v>
                </c:pt>
                <c:pt idx="388">
                  <c:v>44803</c:v>
                </c:pt>
                <c:pt idx="389">
                  <c:v>44804</c:v>
                </c:pt>
                <c:pt idx="390">
                  <c:v>44805</c:v>
                </c:pt>
                <c:pt idx="391">
                  <c:v>44806</c:v>
                </c:pt>
                <c:pt idx="392">
                  <c:v>44807</c:v>
                </c:pt>
                <c:pt idx="393">
                  <c:v>44808</c:v>
                </c:pt>
                <c:pt idx="394">
                  <c:v>44809</c:v>
                </c:pt>
                <c:pt idx="395">
                  <c:v>44810</c:v>
                </c:pt>
                <c:pt idx="396">
                  <c:v>44811</c:v>
                </c:pt>
                <c:pt idx="397">
                  <c:v>44812</c:v>
                </c:pt>
                <c:pt idx="398">
                  <c:v>44813</c:v>
                </c:pt>
                <c:pt idx="399">
                  <c:v>44814</c:v>
                </c:pt>
                <c:pt idx="400">
                  <c:v>44815</c:v>
                </c:pt>
                <c:pt idx="401">
                  <c:v>44816</c:v>
                </c:pt>
                <c:pt idx="402">
                  <c:v>44817</c:v>
                </c:pt>
                <c:pt idx="403">
                  <c:v>44818</c:v>
                </c:pt>
                <c:pt idx="404">
                  <c:v>44819</c:v>
                </c:pt>
                <c:pt idx="405">
                  <c:v>44820</c:v>
                </c:pt>
                <c:pt idx="406">
                  <c:v>44821</c:v>
                </c:pt>
                <c:pt idx="407">
                  <c:v>44822</c:v>
                </c:pt>
                <c:pt idx="408">
                  <c:v>44823</c:v>
                </c:pt>
                <c:pt idx="409">
                  <c:v>44824</c:v>
                </c:pt>
                <c:pt idx="410">
                  <c:v>44825</c:v>
                </c:pt>
                <c:pt idx="411">
                  <c:v>44826</c:v>
                </c:pt>
                <c:pt idx="412">
                  <c:v>44827</c:v>
                </c:pt>
                <c:pt idx="413">
                  <c:v>44828</c:v>
                </c:pt>
                <c:pt idx="414">
                  <c:v>44829</c:v>
                </c:pt>
                <c:pt idx="415">
                  <c:v>44830</c:v>
                </c:pt>
                <c:pt idx="416">
                  <c:v>44831</c:v>
                </c:pt>
                <c:pt idx="417">
                  <c:v>44832</c:v>
                </c:pt>
                <c:pt idx="418">
                  <c:v>44833</c:v>
                </c:pt>
                <c:pt idx="419">
                  <c:v>44834</c:v>
                </c:pt>
                <c:pt idx="420">
                  <c:v>44835</c:v>
                </c:pt>
                <c:pt idx="421">
                  <c:v>44836</c:v>
                </c:pt>
                <c:pt idx="422">
                  <c:v>44837</c:v>
                </c:pt>
                <c:pt idx="423">
                  <c:v>44838</c:v>
                </c:pt>
                <c:pt idx="424">
                  <c:v>44839</c:v>
                </c:pt>
                <c:pt idx="425">
                  <c:v>44840</c:v>
                </c:pt>
                <c:pt idx="426">
                  <c:v>44841</c:v>
                </c:pt>
                <c:pt idx="427">
                  <c:v>44842</c:v>
                </c:pt>
                <c:pt idx="428">
                  <c:v>44843</c:v>
                </c:pt>
                <c:pt idx="429">
                  <c:v>44844</c:v>
                </c:pt>
                <c:pt idx="430">
                  <c:v>44845</c:v>
                </c:pt>
                <c:pt idx="431">
                  <c:v>44846</c:v>
                </c:pt>
                <c:pt idx="432">
                  <c:v>44847</c:v>
                </c:pt>
                <c:pt idx="433">
                  <c:v>44848</c:v>
                </c:pt>
                <c:pt idx="434">
                  <c:v>44849</c:v>
                </c:pt>
                <c:pt idx="435">
                  <c:v>44850</c:v>
                </c:pt>
                <c:pt idx="436">
                  <c:v>44851</c:v>
                </c:pt>
                <c:pt idx="437">
                  <c:v>44852</c:v>
                </c:pt>
                <c:pt idx="438">
                  <c:v>44853</c:v>
                </c:pt>
                <c:pt idx="439">
                  <c:v>44854</c:v>
                </c:pt>
                <c:pt idx="440">
                  <c:v>44855</c:v>
                </c:pt>
                <c:pt idx="441">
                  <c:v>44856</c:v>
                </c:pt>
                <c:pt idx="442">
                  <c:v>44857</c:v>
                </c:pt>
                <c:pt idx="443">
                  <c:v>44858</c:v>
                </c:pt>
                <c:pt idx="444">
                  <c:v>44859</c:v>
                </c:pt>
                <c:pt idx="445">
                  <c:v>44860</c:v>
                </c:pt>
                <c:pt idx="446">
                  <c:v>44861</c:v>
                </c:pt>
                <c:pt idx="447">
                  <c:v>44862</c:v>
                </c:pt>
                <c:pt idx="448">
                  <c:v>44863</c:v>
                </c:pt>
                <c:pt idx="449">
                  <c:v>44864</c:v>
                </c:pt>
                <c:pt idx="450">
                  <c:v>44865</c:v>
                </c:pt>
                <c:pt idx="451">
                  <c:v>44866</c:v>
                </c:pt>
                <c:pt idx="452">
                  <c:v>44867</c:v>
                </c:pt>
                <c:pt idx="453">
                  <c:v>44868</c:v>
                </c:pt>
                <c:pt idx="454">
                  <c:v>44869</c:v>
                </c:pt>
                <c:pt idx="455">
                  <c:v>44870</c:v>
                </c:pt>
                <c:pt idx="456">
                  <c:v>44871</c:v>
                </c:pt>
                <c:pt idx="457">
                  <c:v>44872</c:v>
                </c:pt>
                <c:pt idx="458">
                  <c:v>44873</c:v>
                </c:pt>
                <c:pt idx="459">
                  <c:v>44874</c:v>
                </c:pt>
                <c:pt idx="460">
                  <c:v>44875</c:v>
                </c:pt>
                <c:pt idx="461">
                  <c:v>44876</c:v>
                </c:pt>
                <c:pt idx="462">
                  <c:v>44877</c:v>
                </c:pt>
                <c:pt idx="463">
                  <c:v>44878</c:v>
                </c:pt>
                <c:pt idx="464">
                  <c:v>44879</c:v>
                </c:pt>
                <c:pt idx="465">
                  <c:v>44880</c:v>
                </c:pt>
                <c:pt idx="466">
                  <c:v>44881</c:v>
                </c:pt>
                <c:pt idx="467">
                  <c:v>44882</c:v>
                </c:pt>
                <c:pt idx="468">
                  <c:v>44883</c:v>
                </c:pt>
                <c:pt idx="469">
                  <c:v>44884</c:v>
                </c:pt>
                <c:pt idx="470">
                  <c:v>44885</c:v>
                </c:pt>
                <c:pt idx="471">
                  <c:v>44886</c:v>
                </c:pt>
                <c:pt idx="472">
                  <c:v>44887</c:v>
                </c:pt>
                <c:pt idx="473">
                  <c:v>44888</c:v>
                </c:pt>
                <c:pt idx="474">
                  <c:v>44889</c:v>
                </c:pt>
                <c:pt idx="475">
                  <c:v>44890</c:v>
                </c:pt>
                <c:pt idx="476">
                  <c:v>44891</c:v>
                </c:pt>
                <c:pt idx="477">
                  <c:v>44892</c:v>
                </c:pt>
                <c:pt idx="478">
                  <c:v>44893</c:v>
                </c:pt>
                <c:pt idx="479">
                  <c:v>44894</c:v>
                </c:pt>
                <c:pt idx="480">
                  <c:v>44895</c:v>
                </c:pt>
                <c:pt idx="481">
                  <c:v>44896</c:v>
                </c:pt>
                <c:pt idx="482">
                  <c:v>44897</c:v>
                </c:pt>
                <c:pt idx="483">
                  <c:v>44898</c:v>
                </c:pt>
                <c:pt idx="484">
                  <c:v>44899</c:v>
                </c:pt>
                <c:pt idx="485">
                  <c:v>44900</c:v>
                </c:pt>
                <c:pt idx="486">
                  <c:v>44901</c:v>
                </c:pt>
                <c:pt idx="487">
                  <c:v>44902</c:v>
                </c:pt>
                <c:pt idx="488">
                  <c:v>44903</c:v>
                </c:pt>
                <c:pt idx="489">
                  <c:v>44904</c:v>
                </c:pt>
                <c:pt idx="490">
                  <c:v>44905</c:v>
                </c:pt>
                <c:pt idx="491">
                  <c:v>44906</c:v>
                </c:pt>
                <c:pt idx="492">
                  <c:v>44907</c:v>
                </c:pt>
                <c:pt idx="493">
                  <c:v>44908</c:v>
                </c:pt>
                <c:pt idx="494">
                  <c:v>44909</c:v>
                </c:pt>
                <c:pt idx="495">
                  <c:v>44910</c:v>
                </c:pt>
                <c:pt idx="496">
                  <c:v>44911</c:v>
                </c:pt>
                <c:pt idx="497">
                  <c:v>44912</c:v>
                </c:pt>
                <c:pt idx="498">
                  <c:v>44913</c:v>
                </c:pt>
                <c:pt idx="499">
                  <c:v>44914</c:v>
                </c:pt>
                <c:pt idx="500">
                  <c:v>44915</c:v>
                </c:pt>
                <c:pt idx="501">
                  <c:v>44916</c:v>
                </c:pt>
                <c:pt idx="502">
                  <c:v>44917</c:v>
                </c:pt>
                <c:pt idx="503">
                  <c:v>44918</c:v>
                </c:pt>
                <c:pt idx="504">
                  <c:v>44919</c:v>
                </c:pt>
                <c:pt idx="505">
                  <c:v>44920</c:v>
                </c:pt>
                <c:pt idx="506">
                  <c:v>44921</c:v>
                </c:pt>
                <c:pt idx="507">
                  <c:v>44922</c:v>
                </c:pt>
                <c:pt idx="508">
                  <c:v>44923</c:v>
                </c:pt>
                <c:pt idx="509">
                  <c:v>44924</c:v>
                </c:pt>
                <c:pt idx="510">
                  <c:v>44925</c:v>
                </c:pt>
                <c:pt idx="511">
                  <c:v>44926</c:v>
                </c:pt>
                <c:pt idx="512">
                  <c:v>44927</c:v>
                </c:pt>
                <c:pt idx="513">
                  <c:v>44928</c:v>
                </c:pt>
                <c:pt idx="514">
                  <c:v>44929</c:v>
                </c:pt>
                <c:pt idx="515">
                  <c:v>44930</c:v>
                </c:pt>
                <c:pt idx="516">
                  <c:v>44931</c:v>
                </c:pt>
                <c:pt idx="517">
                  <c:v>44932</c:v>
                </c:pt>
                <c:pt idx="518">
                  <c:v>44933</c:v>
                </c:pt>
                <c:pt idx="519">
                  <c:v>44934</c:v>
                </c:pt>
                <c:pt idx="520">
                  <c:v>44935</c:v>
                </c:pt>
                <c:pt idx="521">
                  <c:v>44936</c:v>
                </c:pt>
                <c:pt idx="522">
                  <c:v>44937</c:v>
                </c:pt>
                <c:pt idx="523">
                  <c:v>44938</c:v>
                </c:pt>
                <c:pt idx="524">
                  <c:v>44939</c:v>
                </c:pt>
                <c:pt idx="525">
                  <c:v>44940</c:v>
                </c:pt>
                <c:pt idx="526">
                  <c:v>44941</c:v>
                </c:pt>
                <c:pt idx="527">
                  <c:v>44942</c:v>
                </c:pt>
                <c:pt idx="528">
                  <c:v>44943</c:v>
                </c:pt>
                <c:pt idx="529">
                  <c:v>44944</c:v>
                </c:pt>
                <c:pt idx="530">
                  <c:v>44945</c:v>
                </c:pt>
                <c:pt idx="531">
                  <c:v>44946</c:v>
                </c:pt>
                <c:pt idx="532">
                  <c:v>44947</c:v>
                </c:pt>
                <c:pt idx="533">
                  <c:v>44948</c:v>
                </c:pt>
                <c:pt idx="534">
                  <c:v>44949</c:v>
                </c:pt>
                <c:pt idx="535">
                  <c:v>44950</c:v>
                </c:pt>
                <c:pt idx="536">
                  <c:v>44951</c:v>
                </c:pt>
                <c:pt idx="537">
                  <c:v>44952</c:v>
                </c:pt>
                <c:pt idx="538">
                  <c:v>44953</c:v>
                </c:pt>
                <c:pt idx="539">
                  <c:v>44954</c:v>
                </c:pt>
                <c:pt idx="540">
                  <c:v>44955</c:v>
                </c:pt>
                <c:pt idx="541">
                  <c:v>44956</c:v>
                </c:pt>
                <c:pt idx="542">
                  <c:v>44957</c:v>
                </c:pt>
                <c:pt idx="543">
                  <c:v>44958</c:v>
                </c:pt>
                <c:pt idx="544">
                  <c:v>44959</c:v>
                </c:pt>
                <c:pt idx="545">
                  <c:v>44960</c:v>
                </c:pt>
                <c:pt idx="546">
                  <c:v>44961</c:v>
                </c:pt>
                <c:pt idx="547">
                  <c:v>44962</c:v>
                </c:pt>
                <c:pt idx="548">
                  <c:v>44963</c:v>
                </c:pt>
                <c:pt idx="549">
                  <c:v>44964</c:v>
                </c:pt>
                <c:pt idx="550">
                  <c:v>44965</c:v>
                </c:pt>
                <c:pt idx="551">
                  <c:v>44966</c:v>
                </c:pt>
                <c:pt idx="552">
                  <c:v>44967</c:v>
                </c:pt>
                <c:pt idx="553">
                  <c:v>44968</c:v>
                </c:pt>
                <c:pt idx="554">
                  <c:v>44969</c:v>
                </c:pt>
                <c:pt idx="555">
                  <c:v>44970</c:v>
                </c:pt>
                <c:pt idx="556">
                  <c:v>44971</c:v>
                </c:pt>
                <c:pt idx="557">
                  <c:v>44972</c:v>
                </c:pt>
                <c:pt idx="558">
                  <c:v>44973</c:v>
                </c:pt>
                <c:pt idx="559">
                  <c:v>44974</c:v>
                </c:pt>
                <c:pt idx="560">
                  <c:v>44975</c:v>
                </c:pt>
                <c:pt idx="561">
                  <c:v>44976</c:v>
                </c:pt>
                <c:pt idx="562">
                  <c:v>44977</c:v>
                </c:pt>
                <c:pt idx="563">
                  <c:v>44978</c:v>
                </c:pt>
                <c:pt idx="564">
                  <c:v>44979</c:v>
                </c:pt>
                <c:pt idx="565">
                  <c:v>44980</c:v>
                </c:pt>
                <c:pt idx="566">
                  <c:v>44981</c:v>
                </c:pt>
                <c:pt idx="567">
                  <c:v>44982</c:v>
                </c:pt>
                <c:pt idx="568">
                  <c:v>44983</c:v>
                </c:pt>
                <c:pt idx="569">
                  <c:v>44984</c:v>
                </c:pt>
                <c:pt idx="570">
                  <c:v>44985</c:v>
                </c:pt>
                <c:pt idx="571">
                  <c:v>44986</c:v>
                </c:pt>
                <c:pt idx="572">
                  <c:v>44987</c:v>
                </c:pt>
                <c:pt idx="573">
                  <c:v>44988</c:v>
                </c:pt>
                <c:pt idx="574">
                  <c:v>44989</c:v>
                </c:pt>
                <c:pt idx="575">
                  <c:v>44990</c:v>
                </c:pt>
                <c:pt idx="576">
                  <c:v>44991</c:v>
                </c:pt>
                <c:pt idx="577">
                  <c:v>44992</c:v>
                </c:pt>
                <c:pt idx="578">
                  <c:v>44993</c:v>
                </c:pt>
                <c:pt idx="579">
                  <c:v>44994</c:v>
                </c:pt>
                <c:pt idx="580">
                  <c:v>44995</c:v>
                </c:pt>
                <c:pt idx="581">
                  <c:v>44996</c:v>
                </c:pt>
                <c:pt idx="582">
                  <c:v>44997</c:v>
                </c:pt>
                <c:pt idx="583">
                  <c:v>44998</c:v>
                </c:pt>
                <c:pt idx="584">
                  <c:v>44999</c:v>
                </c:pt>
                <c:pt idx="585">
                  <c:v>45000</c:v>
                </c:pt>
                <c:pt idx="586">
                  <c:v>45001</c:v>
                </c:pt>
                <c:pt idx="587">
                  <c:v>45002</c:v>
                </c:pt>
                <c:pt idx="588">
                  <c:v>45003</c:v>
                </c:pt>
                <c:pt idx="589">
                  <c:v>45004</c:v>
                </c:pt>
                <c:pt idx="590">
                  <c:v>45005</c:v>
                </c:pt>
                <c:pt idx="591">
                  <c:v>45006</c:v>
                </c:pt>
                <c:pt idx="592">
                  <c:v>45007</c:v>
                </c:pt>
                <c:pt idx="593">
                  <c:v>45008</c:v>
                </c:pt>
                <c:pt idx="594">
                  <c:v>45009</c:v>
                </c:pt>
                <c:pt idx="595">
                  <c:v>45010</c:v>
                </c:pt>
                <c:pt idx="596">
                  <c:v>45011</c:v>
                </c:pt>
                <c:pt idx="597">
                  <c:v>45012</c:v>
                </c:pt>
                <c:pt idx="598">
                  <c:v>45013</c:v>
                </c:pt>
                <c:pt idx="599">
                  <c:v>45014</c:v>
                </c:pt>
                <c:pt idx="600">
                  <c:v>45015</c:v>
                </c:pt>
                <c:pt idx="601">
                  <c:v>45016</c:v>
                </c:pt>
                <c:pt idx="602">
                  <c:v>45017</c:v>
                </c:pt>
                <c:pt idx="603">
                  <c:v>45018</c:v>
                </c:pt>
                <c:pt idx="604">
                  <c:v>45019</c:v>
                </c:pt>
                <c:pt idx="605">
                  <c:v>45020</c:v>
                </c:pt>
                <c:pt idx="606">
                  <c:v>45021</c:v>
                </c:pt>
                <c:pt idx="607">
                  <c:v>45022</c:v>
                </c:pt>
                <c:pt idx="608">
                  <c:v>45023</c:v>
                </c:pt>
                <c:pt idx="609">
                  <c:v>45024</c:v>
                </c:pt>
                <c:pt idx="610">
                  <c:v>45025</c:v>
                </c:pt>
                <c:pt idx="611">
                  <c:v>45026</c:v>
                </c:pt>
                <c:pt idx="612">
                  <c:v>45027</c:v>
                </c:pt>
                <c:pt idx="613">
                  <c:v>45028</c:v>
                </c:pt>
                <c:pt idx="614">
                  <c:v>45029</c:v>
                </c:pt>
                <c:pt idx="615">
                  <c:v>45030</c:v>
                </c:pt>
                <c:pt idx="616">
                  <c:v>45031</c:v>
                </c:pt>
                <c:pt idx="617">
                  <c:v>45032</c:v>
                </c:pt>
                <c:pt idx="618">
                  <c:v>45033</c:v>
                </c:pt>
                <c:pt idx="619">
                  <c:v>45034</c:v>
                </c:pt>
                <c:pt idx="620">
                  <c:v>45035</c:v>
                </c:pt>
                <c:pt idx="621">
                  <c:v>45036</c:v>
                </c:pt>
                <c:pt idx="622">
                  <c:v>45037</c:v>
                </c:pt>
                <c:pt idx="623">
                  <c:v>45038</c:v>
                </c:pt>
                <c:pt idx="624">
                  <c:v>45039</c:v>
                </c:pt>
                <c:pt idx="625">
                  <c:v>45040</c:v>
                </c:pt>
                <c:pt idx="626">
                  <c:v>45041</c:v>
                </c:pt>
                <c:pt idx="627">
                  <c:v>45042</c:v>
                </c:pt>
                <c:pt idx="628">
                  <c:v>45043</c:v>
                </c:pt>
                <c:pt idx="629">
                  <c:v>45044</c:v>
                </c:pt>
                <c:pt idx="630">
                  <c:v>45045</c:v>
                </c:pt>
                <c:pt idx="631">
                  <c:v>45046</c:v>
                </c:pt>
                <c:pt idx="632">
                  <c:v>45047</c:v>
                </c:pt>
                <c:pt idx="633">
                  <c:v>45048</c:v>
                </c:pt>
                <c:pt idx="634">
                  <c:v>45049</c:v>
                </c:pt>
                <c:pt idx="635">
                  <c:v>45050</c:v>
                </c:pt>
                <c:pt idx="636">
                  <c:v>45051</c:v>
                </c:pt>
                <c:pt idx="637">
                  <c:v>45052</c:v>
                </c:pt>
                <c:pt idx="638">
                  <c:v>45053</c:v>
                </c:pt>
                <c:pt idx="639">
                  <c:v>45054</c:v>
                </c:pt>
                <c:pt idx="640">
                  <c:v>45055</c:v>
                </c:pt>
                <c:pt idx="641">
                  <c:v>45056</c:v>
                </c:pt>
                <c:pt idx="642">
                  <c:v>45057</c:v>
                </c:pt>
                <c:pt idx="643">
                  <c:v>45058</c:v>
                </c:pt>
                <c:pt idx="644">
                  <c:v>45059</c:v>
                </c:pt>
                <c:pt idx="645">
                  <c:v>45060</c:v>
                </c:pt>
                <c:pt idx="646">
                  <c:v>45061</c:v>
                </c:pt>
                <c:pt idx="647">
                  <c:v>45062</c:v>
                </c:pt>
                <c:pt idx="648">
                  <c:v>45063</c:v>
                </c:pt>
                <c:pt idx="649">
                  <c:v>45064</c:v>
                </c:pt>
                <c:pt idx="650">
                  <c:v>45065</c:v>
                </c:pt>
                <c:pt idx="651">
                  <c:v>45066</c:v>
                </c:pt>
                <c:pt idx="652">
                  <c:v>45067</c:v>
                </c:pt>
                <c:pt idx="653">
                  <c:v>45068</c:v>
                </c:pt>
                <c:pt idx="654">
                  <c:v>45069</c:v>
                </c:pt>
                <c:pt idx="655">
                  <c:v>45070</c:v>
                </c:pt>
                <c:pt idx="656">
                  <c:v>45071</c:v>
                </c:pt>
                <c:pt idx="657">
                  <c:v>45072</c:v>
                </c:pt>
                <c:pt idx="658">
                  <c:v>45073</c:v>
                </c:pt>
                <c:pt idx="659">
                  <c:v>45074</c:v>
                </c:pt>
                <c:pt idx="660">
                  <c:v>45075</c:v>
                </c:pt>
                <c:pt idx="661">
                  <c:v>45076</c:v>
                </c:pt>
                <c:pt idx="662">
                  <c:v>45077</c:v>
                </c:pt>
                <c:pt idx="663">
                  <c:v>45078</c:v>
                </c:pt>
                <c:pt idx="664">
                  <c:v>45079</c:v>
                </c:pt>
                <c:pt idx="665">
                  <c:v>45080</c:v>
                </c:pt>
                <c:pt idx="666">
                  <c:v>45081</c:v>
                </c:pt>
                <c:pt idx="667">
                  <c:v>45082</c:v>
                </c:pt>
                <c:pt idx="668">
                  <c:v>45083</c:v>
                </c:pt>
                <c:pt idx="669">
                  <c:v>45084</c:v>
                </c:pt>
                <c:pt idx="670">
                  <c:v>45085</c:v>
                </c:pt>
                <c:pt idx="671">
                  <c:v>45086</c:v>
                </c:pt>
                <c:pt idx="672">
                  <c:v>45087</c:v>
                </c:pt>
                <c:pt idx="673">
                  <c:v>45088</c:v>
                </c:pt>
                <c:pt idx="674">
                  <c:v>45089</c:v>
                </c:pt>
                <c:pt idx="675">
                  <c:v>45090</c:v>
                </c:pt>
                <c:pt idx="676">
                  <c:v>45091</c:v>
                </c:pt>
                <c:pt idx="677">
                  <c:v>45092</c:v>
                </c:pt>
                <c:pt idx="678">
                  <c:v>45093</c:v>
                </c:pt>
                <c:pt idx="679">
                  <c:v>45094</c:v>
                </c:pt>
                <c:pt idx="680">
                  <c:v>45095</c:v>
                </c:pt>
                <c:pt idx="681">
                  <c:v>45096</c:v>
                </c:pt>
                <c:pt idx="682">
                  <c:v>45097</c:v>
                </c:pt>
                <c:pt idx="683">
                  <c:v>45098</c:v>
                </c:pt>
                <c:pt idx="684">
                  <c:v>45099</c:v>
                </c:pt>
                <c:pt idx="685">
                  <c:v>45100</c:v>
                </c:pt>
                <c:pt idx="686">
                  <c:v>45101</c:v>
                </c:pt>
                <c:pt idx="687">
                  <c:v>45102</c:v>
                </c:pt>
                <c:pt idx="688">
                  <c:v>45103</c:v>
                </c:pt>
                <c:pt idx="689">
                  <c:v>45104</c:v>
                </c:pt>
                <c:pt idx="690">
                  <c:v>45105</c:v>
                </c:pt>
                <c:pt idx="691">
                  <c:v>45106</c:v>
                </c:pt>
                <c:pt idx="692">
                  <c:v>45107</c:v>
                </c:pt>
                <c:pt idx="693">
                  <c:v>45108</c:v>
                </c:pt>
                <c:pt idx="694">
                  <c:v>45109</c:v>
                </c:pt>
                <c:pt idx="695">
                  <c:v>45110</c:v>
                </c:pt>
                <c:pt idx="696">
                  <c:v>45111</c:v>
                </c:pt>
                <c:pt idx="697">
                  <c:v>45112</c:v>
                </c:pt>
                <c:pt idx="698">
                  <c:v>45113</c:v>
                </c:pt>
                <c:pt idx="699">
                  <c:v>45114</c:v>
                </c:pt>
                <c:pt idx="700">
                  <c:v>45115</c:v>
                </c:pt>
                <c:pt idx="701">
                  <c:v>45116</c:v>
                </c:pt>
                <c:pt idx="702">
                  <c:v>45117</c:v>
                </c:pt>
                <c:pt idx="703">
                  <c:v>45118</c:v>
                </c:pt>
                <c:pt idx="704">
                  <c:v>45119</c:v>
                </c:pt>
                <c:pt idx="705">
                  <c:v>45120</c:v>
                </c:pt>
                <c:pt idx="706">
                  <c:v>45121</c:v>
                </c:pt>
                <c:pt idx="707">
                  <c:v>45122</c:v>
                </c:pt>
                <c:pt idx="708">
                  <c:v>45123</c:v>
                </c:pt>
                <c:pt idx="709">
                  <c:v>45124</c:v>
                </c:pt>
                <c:pt idx="710">
                  <c:v>45125</c:v>
                </c:pt>
                <c:pt idx="711">
                  <c:v>45126</c:v>
                </c:pt>
                <c:pt idx="712">
                  <c:v>45127</c:v>
                </c:pt>
                <c:pt idx="713">
                  <c:v>45128</c:v>
                </c:pt>
                <c:pt idx="714">
                  <c:v>45129</c:v>
                </c:pt>
                <c:pt idx="715">
                  <c:v>45130</c:v>
                </c:pt>
                <c:pt idx="716">
                  <c:v>45131</c:v>
                </c:pt>
                <c:pt idx="717">
                  <c:v>45132</c:v>
                </c:pt>
                <c:pt idx="718">
                  <c:v>45133</c:v>
                </c:pt>
                <c:pt idx="719">
                  <c:v>45134</c:v>
                </c:pt>
                <c:pt idx="720">
                  <c:v>45135</c:v>
                </c:pt>
                <c:pt idx="721">
                  <c:v>45136</c:v>
                </c:pt>
                <c:pt idx="722">
                  <c:v>45137</c:v>
                </c:pt>
                <c:pt idx="723">
                  <c:v>45138</c:v>
                </c:pt>
                <c:pt idx="724">
                  <c:v>45139</c:v>
                </c:pt>
                <c:pt idx="725">
                  <c:v>45140</c:v>
                </c:pt>
                <c:pt idx="726">
                  <c:v>45141</c:v>
                </c:pt>
                <c:pt idx="727">
                  <c:v>45142</c:v>
                </c:pt>
                <c:pt idx="728">
                  <c:v>45143</c:v>
                </c:pt>
                <c:pt idx="729">
                  <c:v>45144</c:v>
                </c:pt>
                <c:pt idx="730">
                  <c:v>45145</c:v>
                </c:pt>
                <c:pt idx="731">
                  <c:v>45146</c:v>
                </c:pt>
                <c:pt idx="732">
                  <c:v>45147</c:v>
                </c:pt>
                <c:pt idx="733">
                  <c:v>45148</c:v>
                </c:pt>
                <c:pt idx="734">
                  <c:v>45149</c:v>
                </c:pt>
                <c:pt idx="735">
                  <c:v>45150</c:v>
                </c:pt>
                <c:pt idx="736">
                  <c:v>45151</c:v>
                </c:pt>
                <c:pt idx="737">
                  <c:v>45152</c:v>
                </c:pt>
                <c:pt idx="738">
                  <c:v>45153</c:v>
                </c:pt>
                <c:pt idx="739">
                  <c:v>45154</c:v>
                </c:pt>
                <c:pt idx="740">
                  <c:v>45155</c:v>
                </c:pt>
                <c:pt idx="741">
                  <c:v>45156</c:v>
                </c:pt>
                <c:pt idx="742">
                  <c:v>45157</c:v>
                </c:pt>
                <c:pt idx="743">
                  <c:v>45158</c:v>
                </c:pt>
                <c:pt idx="744">
                  <c:v>45159</c:v>
                </c:pt>
                <c:pt idx="745">
                  <c:v>45160</c:v>
                </c:pt>
                <c:pt idx="746">
                  <c:v>45161</c:v>
                </c:pt>
                <c:pt idx="747">
                  <c:v>45162</c:v>
                </c:pt>
                <c:pt idx="748">
                  <c:v>45163</c:v>
                </c:pt>
                <c:pt idx="749">
                  <c:v>45164</c:v>
                </c:pt>
                <c:pt idx="750">
                  <c:v>45165</c:v>
                </c:pt>
                <c:pt idx="751">
                  <c:v>45166</c:v>
                </c:pt>
                <c:pt idx="752">
                  <c:v>45167</c:v>
                </c:pt>
                <c:pt idx="753">
                  <c:v>45168</c:v>
                </c:pt>
                <c:pt idx="754">
                  <c:v>45169</c:v>
                </c:pt>
                <c:pt idx="755">
                  <c:v>45170</c:v>
                </c:pt>
                <c:pt idx="756">
                  <c:v>45171</c:v>
                </c:pt>
                <c:pt idx="757">
                  <c:v>45172</c:v>
                </c:pt>
                <c:pt idx="758">
                  <c:v>45173</c:v>
                </c:pt>
                <c:pt idx="759">
                  <c:v>45174</c:v>
                </c:pt>
                <c:pt idx="760">
                  <c:v>45175</c:v>
                </c:pt>
                <c:pt idx="761">
                  <c:v>45176</c:v>
                </c:pt>
                <c:pt idx="762">
                  <c:v>45177</c:v>
                </c:pt>
                <c:pt idx="763">
                  <c:v>45178</c:v>
                </c:pt>
                <c:pt idx="764">
                  <c:v>45179</c:v>
                </c:pt>
                <c:pt idx="765">
                  <c:v>45180</c:v>
                </c:pt>
                <c:pt idx="766">
                  <c:v>45181</c:v>
                </c:pt>
                <c:pt idx="767">
                  <c:v>45182</c:v>
                </c:pt>
                <c:pt idx="768">
                  <c:v>45183</c:v>
                </c:pt>
                <c:pt idx="769">
                  <c:v>45184</c:v>
                </c:pt>
                <c:pt idx="770">
                  <c:v>45185</c:v>
                </c:pt>
                <c:pt idx="771">
                  <c:v>45186</c:v>
                </c:pt>
                <c:pt idx="772">
                  <c:v>45187</c:v>
                </c:pt>
                <c:pt idx="773">
                  <c:v>45188</c:v>
                </c:pt>
                <c:pt idx="774">
                  <c:v>45189</c:v>
                </c:pt>
                <c:pt idx="775">
                  <c:v>45190</c:v>
                </c:pt>
                <c:pt idx="776">
                  <c:v>45191</c:v>
                </c:pt>
                <c:pt idx="777">
                  <c:v>45192</c:v>
                </c:pt>
                <c:pt idx="778">
                  <c:v>45193</c:v>
                </c:pt>
                <c:pt idx="779">
                  <c:v>45194</c:v>
                </c:pt>
                <c:pt idx="780">
                  <c:v>45195</c:v>
                </c:pt>
                <c:pt idx="781">
                  <c:v>45196</c:v>
                </c:pt>
                <c:pt idx="782">
                  <c:v>45197</c:v>
                </c:pt>
                <c:pt idx="783">
                  <c:v>45198</c:v>
                </c:pt>
                <c:pt idx="784">
                  <c:v>45199</c:v>
                </c:pt>
                <c:pt idx="785">
                  <c:v>45200</c:v>
                </c:pt>
                <c:pt idx="786">
                  <c:v>45201</c:v>
                </c:pt>
                <c:pt idx="787">
                  <c:v>45202</c:v>
                </c:pt>
                <c:pt idx="788">
                  <c:v>45203</c:v>
                </c:pt>
                <c:pt idx="789">
                  <c:v>45204</c:v>
                </c:pt>
                <c:pt idx="790">
                  <c:v>45205</c:v>
                </c:pt>
                <c:pt idx="791">
                  <c:v>45206</c:v>
                </c:pt>
                <c:pt idx="792">
                  <c:v>45207</c:v>
                </c:pt>
                <c:pt idx="793">
                  <c:v>45208</c:v>
                </c:pt>
                <c:pt idx="794">
                  <c:v>45209</c:v>
                </c:pt>
                <c:pt idx="795">
                  <c:v>45210</c:v>
                </c:pt>
                <c:pt idx="796">
                  <c:v>45211</c:v>
                </c:pt>
                <c:pt idx="797">
                  <c:v>45212</c:v>
                </c:pt>
                <c:pt idx="798">
                  <c:v>45213</c:v>
                </c:pt>
                <c:pt idx="799">
                  <c:v>45214</c:v>
                </c:pt>
                <c:pt idx="800">
                  <c:v>45215</c:v>
                </c:pt>
                <c:pt idx="801">
                  <c:v>45216</c:v>
                </c:pt>
                <c:pt idx="802">
                  <c:v>45217</c:v>
                </c:pt>
                <c:pt idx="803">
                  <c:v>45218</c:v>
                </c:pt>
                <c:pt idx="804">
                  <c:v>45219</c:v>
                </c:pt>
                <c:pt idx="805">
                  <c:v>45220</c:v>
                </c:pt>
                <c:pt idx="806">
                  <c:v>45221</c:v>
                </c:pt>
                <c:pt idx="807">
                  <c:v>45222</c:v>
                </c:pt>
                <c:pt idx="808">
                  <c:v>45223</c:v>
                </c:pt>
                <c:pt idx="809">
                  <c:v>45224</c:v>
                </c:pt>
                <c:pt idx="810">
                  <c:v>45225</c:v>
                </c:pt>
                <c:pt idx="811">
                  <c:v>45226</c:v>
                </c:pt>
                <c:pt idx="812">
                  <c:v>45227</c:v>
                </c:pt>
                <c:pt idx="813">
                  <c:v>45228</c:v>
                </c:pt>
                <c:pt idx="814">
                  <c:v>45229</c:v>
                </c:pt>
                <c:pt idx="815">
                  <c:v>45230</c:v>
                </c:pt>
                <c:pt idx="816">
                  <c:v>45231</c:v>
                </c:pt>
                <c:pt idx="817">
                  <c:v>45232</c:v>
                </c:pt>
                <c:pt idx="818">
                  <c:v>45233</c:v>
                </c:pt>
                <c:pt idx="819">
                  <c:v>45234</c:v>
                </c:pt>
                <c:pt idx="820">
                  <c:v>45235</c:v>
                </c:pt>
                <c:pt idx="821">
                  <c:v>45236</c:v>
                </c:pt>
                <c:pt idx="822">
                  <c:v>45237</c:v>
                </c:pt>
                <c:pt idx="823">
                  <c:v>45238</c:v>
                </c:pt>
                <c:pt idx="824">
                  <c:v>45239</c:v>
                </c:pt>
                <c:pt idx="825">
                  <c:v>45240</c:v>
                </c:pt>
                <c:pt idx="826">
                  <c:v>45241</c:v>
                </c:pt>
                <c:pt idx="827">
                  <c:v>45242</c:v>
                </c:pt>
                <c:pt idx="828">
                  <c:v>45243</c:v>
                </c:pt>
                <c:pt idx="829">
                  <c:v>45244</c:v>
                </c:pt>
                <c:pt idx="830">
                  <c:v>45245</c:v>
                </c:pt>
                <c:pt idx="831">
                  <c:v>45246</c:v>
                </c:pt>
                <c:pt idx="832">
                  <c:v>45247</c:v>
                </c:pt>
                <c:pt idx="833">
                  <c:v>45248</c:v>
                </c:pt>
                <c:pt idx="834">
                  <c:v>45249</c:v>
                </c:pt>
                <c:pt idx="835">
                  <c:v>45250</c:v>
                </c:pt>
                <c:pt idx="836">
                  <c:v>45251</c:v>
                </c:pt>
                <c:pt idx="837">
                  <c:v>45252</c:v>
                </c:pt>
                <c:pt idx="838">
                  <c:v>45253</c:v>
                </c:pt>
                <c:pt idx="839">
                  <c:v>45254</c:v>
                </c:pt>
                <c:pt idx="840">
                  <c:v>45255</c:v>
                </c:pt>
                <c:pt idx="841">
                  <c:v>45256</c:v>
                </c:pt>
                <c:pt idx="842">
                  <c:v>45257</c:v>
                </c:pt>
                <c:pt idx="843">
                  <c:v>45258</c:v>
                </c:pt>
                <c:pt idx="844">
                  <c:v>45259</c:v>
                </c:pt>
                <c:pt idx="845">
                  <c:v>45260</c:v>
                </c:pt>
                <c:pt idx="846">
                  <c:v>45261</c:v>
                </c:pt>
                <c:pt idx="847">
                  <c:v>45262</c:v>
                </c:pt>
                <c:pt idx="848">
                  <c:v>45263</c:v>
                </c:pt>
                <c:pt idx="849">
                  <c:v>45264</c:v>
                </c:pt>
                <c:pt idx="850">
                  <c:v>45265</c:v>
                </c:pt>
                <c:pt idx="851">
                  <c:v>45266</c:v>
                </c:pt>
                <c:pt idx="852">
                  <c:v>45267</c:v>
                </c:pt>
                <c:pt idx="853">
                  <c:v>45268</c:v>
                </c:pt>
                <c:pt idx="854">
                  <c:v>45269</c:v>
                </c:pt>
                <c:pt idx="855">
                  <c:v>45270</c:v>
                </c:pt>
                <c:pt idx="856">
                  <c:v>45271</c:v>
                </c:pt>
                <c:pt idx="857">
                  <c:v>45272</c:v>
                </c:pt>
                <c:pt idx="858">
                  <c:v>45273</c:v>
                </c:pt>
                <c:pt idx="859">
                  <c:v>45274</c:v>
                </c:pt>
                <c:pt idx="860">
                  <c:v>45275</c:v>
                </c:pt>
                <c:pt idx="861">
                  <c:v>45276</c:v>
                </c:pt>
                <c:pt idx="862">
                  <c:v>45277</c:v>
                </c:pt>
                <c:pt idx="863">
                  <c:v>45278</c:v>
                </c:pt>
                <c:pt idx="864">
                  <c:v>45279</c:v>
                </c:pt>
                <c:pt idx="865">
                  <c:v>45280</c:v>
                </c:pt>
                <c:pt idx="866">
                  <c:v>45281</c:v>
                </c:pt>
                <c:pt idx="867">
                  <c:v>45282</c:v>
                </c:pt>
                <c:pt idx="868">
                  <c:v>45283</c:v>
                </c:pt>
                <c:pt idx="869">
                  <c:v>45284</c:v>
                </c:pt>
                <c:pt idx="870">
                  <c:v>45285</c:v>
                </c:pt>
                <c:pt idx="871">
                  <c:v>45286</c:v>
                </c:pt>
                <c:pt idx="872">
                  <c:v>45287</c:v>
                </c:pt>
                <c:pt idx="873">
                  <c:v>45288</c:v>
                </c:pt>
                <c:pt idx="874">
                  <c:v>45289</c:v>
                </c:pt>
                <c:pt idx="875">
                  <c:v>45290</c:v>
                </c:pt>
                <c:pt idx="876">
                  <c:v>45291</c:v>
                </c:pt>
                <c:pt idx="877">
                  <c:v>45292</c:v>
                </c:pt>
                <c:pt idx="878">
                  <c:v>45293</c:v>
                </c:pt>
                <c:pt idx="879">
                  <c:v>45294</c:v>
                </c:pt>
                <c:pt idx="880">
                  <c:v>45295</c:v>
                </c:pt>
                <c:pt idx="881">
                  <c:v>45296</c:v>
                </c:pt>
                <c:pt idx="882">
                  <c:v>45297</c:v>
                </c:pt>
                <c:pt idx="883">
                  <c:v>45298</c:v>
                </c:pt>
                <c:pt idx="884">
                  <c:v>45299</c:v>
                </c:pt>
                <c:pt idx="885">
                  <c:v>45300</c:v>
                </c:pt>
                <c:pt idx="886">
                  <c:v>45301</c:v>
                </c:pt>
                <c:pt idx="887">
                  <c:v>45302</c:v>
                </c:pt>
                <c:pt idx="888">
                  <c:v>45303</c:v>
                </c:pt>
                <c:pt idx="889">
                  <c:v>45304</c:v>
                </c:pt>
                <c:pt idx="890">
                  <c:v>45305</c:v>
                </c:pt>
                <c:pt idx="891">
                  <c:v>45306</c:v>
                </c:pt>
                <c:pt idx="892">
                  <c:v>45307</c:v>
                </c:pt>
                <c:pt idx="893">
                  <c:v>45308</c:v>
                </c:pt>
                <c:pt idx="894">
                  <c:v>45309</c:v>
                </c:pt>
                <c:pt idx="895">
                  <c:v>45310</c:v>
                </c:pt>
                <c:pt idx="896">
                  <c:v>45311</c:v>
                </c:pt>
                <c:pt idx="897">
                  <c:v>45312</c:v>
                </c:pt>
                <c:pt idx="898">
                  <c:v>45313</c:v>
                </c:pt>
                <c:pt idx="899">
                  <c:v>45314</c:v>
                </c:pt>
                <c:pt idx="900">
                  <c:v>45315</c:v>
                </c:pt>
                <c:pt idx="901">
                  <c:v>45316</c:v>
                </c:pt>
                <c:pt idx="902">
                  <c:v>45317</c:v>
                </c:pt>
                <c:pt idx="903">
                  <c:v>45318</c:v>
                </c:pt>
                <c:pt idx="904">
                  <c:v>45319</c:v>
                </c:pt>
                <c:pt idx="905">
                  <c:v>45320</c:v>
                </c:pt>
                <c:pt idx="906">
                  <c:v>45321</c:v>
                </c:pt>
                <c:pt idx="907">
                  <c:v>45322</c:v>
                </c:pt>
                <c:pt idx="908">
                  <c:v>45323</c:v>
                </c:pt>
              </c:numCache>
            </c:numRef>
          </c:xVal>
          <c:yVal>
            <c:numRef>
              <c:f>Health!$T$3:$T$911</c:f>
              <c:numCache>
                <c:formatCode>General</c:formatCode>
                <c:ptCount val="90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1</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1</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1</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1</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1</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1</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1</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1</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1</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1</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1</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1</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1</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1</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1</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1</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1</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1</c:v>
                </c:pt>
                <c:pt idx="907">
                  <c:v>0</c:v>
                </c:pt>
                <c:pt idx="908">
                  <c:v>0</c:v>
                </c:pt>
              </c:numCache>
            </c:numRef>
          </c:yVal>
          <c:smooth val="0"/>
          <c:extLst>
            <c:ext xmlns:c16="http://schemas.microsoft.com/office/drawing/2014/chart" uri="{C3380CC4-5D6E-409C-BE32-E72D297353CC}">
              <c16:uniqueId val="{00000000-E84C-43E7-AFE1-B37875BA751E}"/>
            </c:ext>
          </c:extLst>
        </c:ser>
        <c:ser>
          <c:idx val="1"/>
          <c:order val="1"/>
          <c:tx>
            <c:v>Fingernails</c:v>
          </c:tx>
          <c:spPr>
            <a:ln w="19050" cap="rnd">
              <a:solidFill>
                <a:srgbClr val="00B0F0"/>
              </a:solidFill>
              <a:round/>
            </a:ln>
            <a:effectLst/>
          </c:spPr>
          <c:marker>
            <c:symbol val="none"/>
          </c:marker>
          <c:xVal>
            <c:numRef>
              <c:f>Health!$B$3:$B$911</c:f>
              <c:numCache>
                <c:formatCode>m/d/yyyy</c:formatCode>
                <c:ptCount val="909"/>
                <c:pt idx="0">
                  <c:v>44415</c:v>
                </c:pt>
                <c:pt idx="1">
                  <c:v>44416</c:v>
                </c:pt>
                <c:pt idx="2">
                  <c:v>44417</c:v>
                </c:pt>
                <c:pt idx="3">
                  <c:v>44418</c:v>
                </c:pt>
                <c:pt idx="4">
                  <c:v>44419</c:v>
                </c:pt>
                <c:pt idx="5">
                  <c:v>44420</c:v>
                </c:pt>
                <c:pt idx="6">
                  <c:v>44421</c:v>
                </c:pt>
                <c:pt idx="7">
                  <c:v>44422</c:v>
                </c:pt>
                <c:pt idx="8">
                  <c:v>44423</c:v>
                </c:pt>
                <c:pt idx="9">
                  <c:v>44424</c:v>
                </c:pt>
                <c:pt idx="10">
                  <c:v>44425</c:v>
                </c:pt>
                <c:pt idx="11">
                  <c:v>44426</c:v>
                </c:pt>
                <c:pt idx="12">
                  <c:v>44427</c:v>
                </c:pt>
                <c:pt idx="13">
                  <c:v>44428</c:v>
                </c:pt>
                <c:pt idx="14">
                  <c:v>44429</c:v>
                </c:pt>
                <c:pt idx="15">
                  <c:v>44430</c:v>
                </c:pt>
                <c:pt idx="16">
                  <c:v>44431</c:v>
                </c:pt>
                <c:pt idx="17">
                  <c:v>44432</c:v>
                </c:pt>
                <c:pt idx="18">
                  <c:v>44433</c:v>
                </c:pt>
                <c:pt idx="19">
                  <c:v>44434</c:v>
                </c:pt>
                <c:pt idx="20">
                  <c:v>44435</c:v>
                </c:pt>
                <c:pt idx="21">
                  <c:v>44436</c:v>
                </c:pt>
                <c:pt idx="22">
                  <c:v>44437</c:v>
                </c:pt>
                <c:pt idx="23">
                  <c:v>44438</c:v>
                </c:pt>
                <c:pt idx="24">
                  <c:v>44439</c:v>
                </c:pt>
                <c:pt idx="25">
                  <c:v>44440</c:v>
                </c:pt>
                <c:pt idx="26">
                  <c:v>44441</c:v>
                </c:pt>
                <c:pt idx="27">
                  <c:v>44442</c:v>
                </c:pt>
                <c:pt idx="28">
                  <c:v>44443</c:v>
                </c:pt>
                <c:pt idx="29">
                  <c:v>44444</c:v>
                </c:pt>
                <c:pt idx="30">
                  <c:v>44445</c:v>
                </c:pt>
                <c:pt idx="31">
                  <c:v>44446</c:v>
                </c:pt>
                <c:pt idx="32">
                  <c:v>44447</c:v>
                </c:pt>
                <c:pt idx="33">
                  <c:v>44448</c:v>
                </c:pt>
                <c:pt idx="34">
                  <c:v>44449</c:v>
                </c:pt>
                <c:pt idx="35">
                  <c:v>44450</c:v>
                </c:pt>
                <c:pt idx="36">
                  <c:v>44451</c:v>
                </c:pt>
                <c:pt idx="37">
                  <c:v>44452</c:v>
                </c:pt>
                <c:pt idx="38">
                  <c:v>44453</c:v>
                </c:pt>
                <c:pt idx="39">
                  <c:v>44454</c:v>
                </c:pt>
                <c:pt idx="40">
                  <c:v>44455</c:v>
                </c:pt>
                <c:pt idx="41">
                  <c:v>44456</c:v>
                </c:pt>
                <c:pt idx="42">
                  <c:v>44457</c:v>
                </c:pt>
                <c:pt idx="43">
                  <c:v>44458</c:v>
                </c:pt>
                <c:pt idx="44">
                  <c:v>44459</c:v>
                </c:pt>
                <c:pt idx="45">
                  <c:v>44460</c:v>
                </c:pt>
                <c:pt idx="46">
                  <c:v>44461</c:v>
                </c:pt>
                <c:pt idx="47">
                  <c:v>44462</c:v>
                </c:pt>
                <c:pt idx="48">
                  <c:v>44463</c:v>
                </c:pt>
                <c:pt idx="49">
                  <c:v>44464</c:v>
                </c:pt>
                <c:pt idx="50">
                  <c:v>44465</c:v>
                </c:pt>
                <c:pt idx="51">
                  <c:v>44466</c:v>
                </c:pt>
                <c:pt idx="52">
                  <c:v>44467</c:v>
                </c:pt>
                <c:pt idx="53">
                  <c:v>44468</c:v>
                </c:pt>
                <c:pt idx="54">
                  <c:v>44469</c:v>
                </c:pt>
                <c:pt idx="55">
                  <c:v>44470</c:v>
                </c:pt>
                <c:pt idx="56">
                  <c:v>44471</c:v>
                </c:pt>
                <c:pt idx="57">
                  <c:v>44472</c:v>
                </c:pt>
                <c:pt idx="58">
                  <c:v>44473</c:v>
                </c:pt>
                <c:pt idx="59">
                  <c:v>44474</c:v>
                </c:pt>
                <c:pt idx="60">
                  <c:v>44475</c:v>
                </c:pt>
                <c:pt idx="61">
                  <c:v>44476</c:v>
                </c:pt>
                <c:pt idx="62">
                  <c:v>44477</c:v>
                </c:pt>
                <c:pt idx="63">
                  <c:v>44478</c:v>
                </c:pt>
                <c:pt idx="64">
                  <c:v>44479</c:v>
                </c:pt>
                <c:pt idx="65">
                  <c:v>44480</c:v>
                </c:pt>
                <c:pt idx="66">
                  <c:v>44481</c:v>
                </c:pt>
                <c:pt idx="67">
                  <c:v>44482</c:v>
                </c:pt>
                <c:pt idx="68">
                  <c:v>44483</c:v>
                </c:pt>
                <c:pt idx="69">
                  <c:v>44484</c:v>
                </c:pt>
                <c:pt idx="70">
                  <c:v>44485</c:v>
                </c:pt>
                <c:pt idx="71">
                  <c:v>44486</c:v>
                </c:pt>
                <c:pt idx="72">
                  <c:v>44487</c:v>
                </c:pt>
                <c:pt idx="73">
                  <c:v>44488</c:v>
                </c:pt>
                <c:pt idx="74">
                  <c:v>44489</c:v>
                </c:pt>
                <c:pt idx="75">
                  <c:v>44490</c:v>
                </c:pt>
                <c:pt idx="76">
                  <c:v>44491</c:v>
                </c:pt>
                <c:pt idx="77">
                  <c:v>44492</c:v>
                </c:pt>
                <c:pt idx="78">
                  <c:v>44493</c:v>
                </c:pt>
                <c:pt idx="79">
                  <c:v>44494</c:v>
                </c:pt>
                <c:pt idx="80">
                  <c:v>44495</c:v>
                </c:pt>
                <c:pt idx="81">
                  <c:v>44496</c:v>
                </c:pt>
                <c:pt idx="82">
                  <c:v>44497</c:v>
                </c:pt>
                <c:pt idx="83">
                  <c:v>44498</c:v>
                </c:pt>
                <c:pt idx="84">
                  <c:v>44499</c:v>
                </c:pt>
                <c:pt idx="85">
                  <c:v>44500</c:v>
                </c:pt>
                <c:pt idx="86">
                  <c:v>44501</c:v>
                </c:pt>
                <c:pt idx="87">
                  <c:v>44502</c:v>
                </c:pt>
                <c:pt idx="88">
                  <c:v>44503</c:v>
                </c:pt>
                <c:pt idx="89">
                  <c:v>44504</c:v>
                </c:pt>
                <c:pt idx="90">
                  <c:v>44505</c:v>
                </c:pt>
                <c:pt idx="91">
                  <c:v>44506</c:v>
                </c:pt>
                <c:pt idx="92">
                  <c:v>44507</c:v>
                </c:pt>
                <c:pt idx="93">
                  <c:v>44508</c:v>
                </c:pt>
                <c:pt idx="94">
                  <c:v>44509</c:v>
                </c:pt>
                <c:pt idx="95">
                  <c:v>44510</c:v>
                </c:pt>
                <c:pt idx="96">
                  <c:v>44511</c:v>
                </c:pt>
                <c:pt idx="97">
                  <c:v>44512</c:v>
                </c:pt>
                <c:pt idx="98">
                  <c:v>44513</c:v>
                </c:pt>
                <c:pt idx="99">
                  <c:v>44514</c:v>
                </c:pt>
                <c:pt idx="100">
                  <c:v>44515</c:v>
                </c:pt>
                <c:pt idx="101">
                  <c:v>44516</c:v>
                </c:pt>
                <c:pt idx="102">
                  <c:v>44517</c:v>
                </c:pt>
                <c:pt idx="103">
                  <c:v>44518</c:v>
                </c:pt>
                <c:pt idx="104">
                  <c:v>44519</c:v>
                </c:pt>
                <c:pt idx="105">
                  <c:v>44520</c:v>
                </c:pt>
                <c:pt idx="106">
                  <c:v>44521</c:v>
                </c:pt>
                <c:pt idx="107">
                  <c:v>44522</c:v>
                </c:pt>
                <c:pt idx="108">
                  <c:v>44523</c:v>
                </c:pt>
                <c:pt idx="109">
                  <c:v>44524</c:v>
                </c:pt>
                <c:pt idx="110">
                  <c:v>44525</c:v>
                </c:pt>
                <c:pt idx="111">
                  <c:v>44526</c:v>
                </c:pt>
                <c:pt idx="112">
                  <c:v>44527</c:v>
                </c:pt>
                <c:pt idx="113">
                  <c:v>44528</c:v>
                </c:pt>
                <c:pt idx="114">
                  <c:v>44529</c:v>
                </c:pt>
                <c:pt idx="115">
                  <c:v>44530</c:v>
                </c:pt>
                <c:pt idx="116">
                  <c:v>44531</c:v>
                </c:pt>
                <c:pt idx="117">
                  <c:v>44532</c:v>
                </c:pt>
                <c:pt idx="118">
                  <c:v>44533</c:v>
                </c:pt>
                <c:pt idx="119">
                  <c:v>44534</c:v>
                </c:pt>
                <c:pt idx="120">
                  <c:v>44535</c:v>
                </c:pt>
                <c:pt idx="121">
                  <c:v>44536</c:v>
                </c:pt>
                <c:pt idx="122">
                  <c:v>44537</c:v>
                </c:pt>
                <c:pt idx="123">
                  <c:v>44538</c:v>
                </c:pt>
                <c:pt idx="124">
                  <c:v>44539</c:v>
                </c:pt>
                <c:pt idx="125">
                  <c:v>44540</c:v>
                </c:pt>
                <c:pt idx="126">
                  <c:v>44541</c:v>
                </c:pt>
                <c:pt idx="127">
                  <c:v>44542</c:v>
                </c:pt>
                <c:pt idx="128">
                  <c:v>44543</c:v>
                </c:pt>
                <c:pt idx="129">
                  <c:v>44544</c:v>
                </c:pt>
                <c:pt idx="130">
                  <c:v>44545</c:v>
                </c:pt>
                <c:pt idx="131">
                  <c:v>44546</c:v>
                </c:pt>
                <c:pt idx="132">
                  <c:v>44547</c:v>
                </c:pt>
                <c:pt idx="133">
                  <c:v>44548</c:v>
                </c:pt>
                <c:pt idx="134">
                  <c:v>44549</c:v>
                </c:pt>
                <c:pt idx="135">
                  <c:v>44550</c:v>
                </c:pt>
                <c:pt idx="136">
                  <c:v>44551</c:v>
                </c:pt>
                <c:pt idx="137">
                  <c:v>44552</c:v>
                </c:pt>
                <c:pt idx="138">
                  <c:v>44553</c:v>
                </c:pt>
                <c:pt idx="139">
                  <c:v>44554</c:v>
                </c:pt>
                <c:pt idx="140">
                  <c:v>44555</c:v>
                </c:pt>
                <c:pt idx="141">
                  <c:v>44556</c:v>
                </c:pt>
                <c:pt idx="142">
                  <c:v>44557</c:v>
                </c:pt>
                <c:pt idx="143">
                  <c:v>44558</c:v>
                </c:pt>
                <c:pt idx="144">
                  <c:v>44559</c:v>
                </c:pt>
                <c:pt idx="145">
                  <c:v>44560</c:v>
                </c:pt>
                <c:pt idx="146">
                  <c:v>44561</c:v>
                </c:pt>
                <c:pt idx="147">
                  <c:v>44562</c:v>
                </c:pt>
                <c:pt idx="148">
                  <c:v>44563</c:v>
                </c:pt>
                <c:pt idx="149">
                  <c:v>44564</c:v>
                </c:pt>
                <c:pt idx="150">
                  <c:v>44565</c:v>
                </c:pt>
                <c:pt idx="151">
                  <c:v>44566</c:v>
                </c:pt>
                <c:pt idx="152">
                  <c:v>44567</c:v>
                </c:pt>
                <c:pt idx="153">
                  <c:v>44568</c:v>
                </c:pt>
                <c:pt idx="154">
                  <c:v>44569</c:v>
                </c:pt>
                <c:pt idx="155">
                  <c:v>44570</c:v>
                </c:pt>
                <c:pt idx="156">
                  <c:v>44571</c:v>
                </c:pt>
                <c:pt idx="157">
                  <c:v>44572</c:v>
                </c:pt>
                <c:pt idx="158">
                  <c:v>44573</c:v>
                </c:pt>
                <c:pt idx="159">
                  <c:v>44574</c:v>
                </c:pt>
                <c:pt idx="160">
                  <c:v>44575</c:v>
                </c:pt>
                <c:pt idx="161">
                  <c:v>44576</c:v>
                </c:pt>
                <c:pt idx="162">
                  <c:v>44577</c:v>
                </c:pt>
                <c:pt idx="163">
                  <c:v>44578</c:v>
                </c:pt>
                <c:pt idx="164">
                  <c:v>44579</c:v>
                </c:pt>
                <c:pt idx="165">
                  <c:v>44580</c:v>
                </c:pt>
                <c:pt idx="166">
                  <c:v>44581</c:v>
                </c:pt>
                <c:pt idx="167">
                  <c:v>44582</c:v>
                </c:pt>
                <c:pt idx="168">
                  <c:v>44583</c:v>
                </c:pt>
                <c:pt idx="169">
                  <c:v>44584</c:v>
                </c:pt>
                <c:pt idx="170">
                  <c:v>44585</c:v>
                </c:pt>
                <c:pt idx="171">
                  <c:v>44586</c:v>
                </c:pt>
                <c:pt idx="172">
                  <c:v>44587</c:v>
                </c:pt>
                <c:pt idx="173">
                  <c:v>44588</c:v>
                </c:pt>
                <c:pt idx="174">
                  <c:v>44589</c:v>
                </c:pt>
                <c:pt idx="175">
                  <c:v>44590</c:v>
                </c:pt>
                <c:pt idx="176">
                  <c:v>44591</c:v>
                </c:pt>
                <c:pt idx="177">
                  <c:v>44592</c:v>
                </c:pt>
                <c:pt idx="178">
                  <c:v>44593</c:v>
                </c:pt>
                <c:pt idx="179">
                  <c:v>44594</c:v>
                </c:pt>
                <c:pt idx="180">
                  <c:v>44595</c:v>
                </c:pt>
                <c:pt idx="181">
                  <c:v>44596</c:v>
                </c:pt>
                <c:pt idx="182">
                  <c:v>44597</c:v>
                </c:pt>
                <c:pt idx="183">
                  <c:v>44598</c:v>
                </c:pt>
                <c:pt idx="184">
                  <c:v>44599</c:v>
                </c:pt>
                <c:pt idx="185">
                  <c:v>44600</c:v>
                </c:pt>
                <c:pt idx="186">
                  <c:v>44601</c:v>
                </c:pt>
                <c:pt idx="187">
                  <c:v>44602</c:v>
                </c:pt>
                <c:pt idx="188">
                  <c:v>44603</c:v>
                </c:pt>
                <c:pt idx="189">
                  <c:v>44604</c:v>
                </c:pt>
                <c:pt idx="190">
                  <c:v>44605</c:v>
                </c:pt>
                <c:pt idx="191">
                  <c:v>44606</c:v>
                </c:pt>
                <c:pt idx="192">
                  <c:v>44607</c:v>
                </c:pt>
                <c:pt idx="193">
                  <c:v>44608</c:v>
                </c:pt>
                <c:pt idx="194">
                  <c:v>44609</c:v>
                </c:pt>
                <c:pt idx="195">
                  <c:v>44610</c:v>
                </c:pt>
                <c:pt idx="196">
                  <c:v>44611</c:v>
                </c:pt>
                <c:pt idx="197">
                  <c:v>44612</c:v>
                </c:pt>
                <c:pt idx="198">
                  <c:v>44613</c:v>
                </c:pt>
                <c:pt idx="199">
                  <c:v>44614</c:v>
                </c:pt>
                <c:pt idx="200">
                  <c:v>44615</c:v>
                </c:pt>
                <c:pt idx="201">
                  <c:v>44616</c:v>
                </c:pt>
                <c:pt idx="202">
                  <c:v>44617</c:v>
                </c:pt>
                <c:pt idx="203">
                  <c:v>44618</c:v>
                </c:pt>
                <c:pt idx="204">
                  <c:v>44619</c:v>
                </c:pt>
                <c:pt idx="205">
                  <c:v>44620</c:v>
                </c:pt>
                <c:pt idx="206">
                  <c:v>44621</c:v>
                </c:pt>
                <c:pt idx="207">
                  <c:v>44622</c:v>
                </c:pt>
                <c:pt idx="208">
                  <c:v>44623</c:v>
                </c:pt>
                <c:pt idx="209">
                  <c:v>44624</c:v>
                </c:pt>
                <c:pt idx="210">
                  <c:v>44625</c:v>
                </c:pt>
                <c:pt idx="211">
                  <c:v>44626</c:v>
                </c:pt>
                <c:pt idx="212">
                  <c:v>44627</c:v>
                </c:pt>
                <c:pt idx="213">
                  <c:v>44628</c:v>
                </c:pt>
                <c:pt idx="214">
                  <c:v>44629</c:v>
                </c:pt>
                <c:pt idx="215">
                  <c:v>44630</c:v>
                </c:pt>
                <c:pt idx="216">
                  <c:v>44631</c:v>
                </c:pt>
                <c:pt idx="217">
                  <c:v>44632</c:v>
                </c:pt>
                <c:pt idx="218">
                  <c:v>44633</c:v>
                </c:pt>
                <c:pt idx="219">
                  <c:v>44634</c:v>
                </c:pt>
                <c:pt idx="220">
                  <c:v>44635</c:v>
                </c:pt>
                <c:pt idx="221">
                  <c:v>44636</c:v>
                </c:pt>
                <c:pt idx="222">
                  <c:v>44637</c:v>
                </c:pt>
                <c:pt idx="223">
                  <c:v>44638</c:v>
                </c:pt>
                <c:pt idx="224">
                  <c:v>44639</c:v>
                </c:pt>
                <c:pt idx="225">
                  <c:v>44640</c:v>
                </c:pt>
                <c:pt idx="226">
                  <c:v>44641</c:v>
                </c:pt>
                <c:pt idx="227">
                  <c:v>44642</c:v>
                </c:pt>
                <c:pt idx="228">
                  <c:v>44643</c:v>
                </c:pt>
                <c:pt idx="229">
                  <c:v>44644</c:v>
                </c:pt>
                <c:pt idx="230">
                  <c:v>44645</c:v>
                </c:pt>
                <c:pt idx="231">
                  <c:v>44646</c:v>
                </c:pt>
                <c:pt idx="232">
                  <c:v>44647</c:v>
                </c:pt>
                <c:pt idx="233">
                  <c:v>44648</c:v>
                </c:pt>
                <c:pt idx="234">
                  <c:v>44649</c:v>
                </c:pt>
                <c:pt idx="235">
                  <c:v>44650</c:v>
                </c:pt>
                <c:pt idx="236">
                  <c:v>44651</c:v>
                </c:pt>
                <c:pt idx="237">
                  <c:v>44652</c:v>
                </c:pt>
                <c:pt idx="238">
                  <c:v>44653</c:v>
                </c:pt>
                <c:pt idx="239">
                  <c:v>44654</c:v>
                </c:pt>
                <c:pt idx="240">
                  <c:v>44655</c:v>
                </c:pt>
                <c:pt idx="241">
                  <c:v>44656</c:v>
                </c:pt>
                <c:pt idx="242">
                  <c:v>44657</c:v>
                </c:pt>
                <c:pt idx="243">
                  <c:v>44658</c:v>
                </c:pt>
                <c:pt idx="244">
                  <c:v>44659</c:v>
                </c:pt>
                <c:pt idx="245">
                  <c:v>44660</c:v>
                </c:pt>
                <c:pt idx="246">
                  <c:v>44661</c:v>
                </c:pt>
                <c:pt idx="247">
                  <c:v>44662</c:v>
                </c:pt>
                <c:pt idx="248">
                  <c:v>44663</c:v>
                </c:pt>
                <c:pt idx="249">
                  <c:v>44664</c:v>
                </c:pt>
                <c:pt idx="250">
                  <c:v>44665</c:v>
                </c:pt>
                <c:pt idx="251">
                  <c:v>44666</c:v>
                </c:pt>
                <c:pt idx="252">
                  <c:v>44667</c:v>
                </c:pt>
                <c:pt idx="253">
                  <c:v>44668</c:v>
                </c:pt>
                <c:pt idx="254">
                  <c:v>44669</c:v>
                </c:pt>
                <c:pt idx="255">
                  <c:v>44670</c:v>
                </c:pt>
                <c:pt idx="256">
                  <c:v>44671</c:v>
                </c:pt>
                <c:pt idx="257">
                  <c:v>44672</c:v>
                </c:pt>
                <c:pt idx="258">
                  <c:v>44673</c:v>
                </c:pt>
                <c:pt idx="259">
                  <c:v>44674</c:v>
                </c:pt>
                <c:pt idx="260">
                  <c:v>44675</c:v>
                </c:pt>
                <c:pt idx="261">
                  <c:v>44676</c:v>
                </c:pt>
                <c:pt idx="262">
                  <c:v>44677</c:v>
                </c:pt>
                <c:pt idx="263">
                  <c:v>44678</c:v>
                </c:pt>
                <c:pt idx="264">
                  <c:v>44679</c:v>
                </c:pt>
                <c:pt idx="265">
                  <c:v>44680</c:v>
                </c:pt>
                <c:pt idx="266">
                  <c:v>44681</c:v>
                </c:pt>
                <c:pt idx="267">
                  <c:v>44682</c:v>
                </c:pt>
                <c:pt idx="268">
                  <c:v>44683</c:v>
                </c:pt>
                <c:pt idx="269">
                  <c:v>44684</c:v>
                </c:pt>
                <c:pt idx="270">
                  <c:v>44685</c:v>
                </c:pt>
                <c:pt idx="271">
                  <c:v>44686</c:v>
                </c:pt>
                <c:pt idx="272">
                  <c:v>44687</c:v>
                </c:pt>
                <c:pt idx="273">
                  <c:v>44688</c:v>
                </c:pt>
                <c:pt idx="274">
                  <c:v>44689</c:v>
                </c:pt>
                <c:pt idx="275">
                  <c:v>44690</c:v>
                </c:pt>
                <c:pt idx="276">
                  <c:v>44691</c:v>
                </c:pt>
                <c:pt idx="277">
                  <c:v>44692</c:v>
                </c:pt>
                <c:pt idx="278">
                  <c:v>44693</c:v>
                </c:pt>
                <c:pt idx="279">
                  <c:v>44694</c:v>
                </c:pt>
                <c:pt idx="280">
                  <c:v>44695</c:v>
                </c:pt>
                <c:pt idx="281">
                  <c:v>44696</c:v>
                </c:pt>
                <c:pt idx="282">
                  <c:v>44697</c:v>
                </c:pt>
                <c:pt idx="283">
                  <c:v>44698</c:v>
                </c:pt>
                <c:pt idx="284">
                  <c:v>44699</c:v>
                </c:pt>
                <c:pt idx="285">
                  <c:v>44700</c:v>
                </c:pt>
                <c:pt idx="286">
                  <c:v>44701</c:v>
                </c:pt>
                <c:pt idx="287">
                  <c:v>44702</c:v>
                </c:pt>
                <c:pt idx="288">
                  <c:v>44703</c:v>
                </c:pt>
                <c:pt idx="289">
                  <c:v>44704</c:v>
                </c:pt>
                <c:pt idx="290">
                  <c:v>44705</c:v>
                </c:pt>
                <c:pt idx="291">
                  <c:v>44706</c:v>
                </c:pt>
                <c:pt idx="292">
                  <c:v>44707</c:v>
                </c:pt>
                <c:pt idx="293">
                  <c:v>44708</c:v>
                </c:pt>
                <c:pt idx="294">
                  <c:v>44709</c:v>
                </c:pt>
                <c:pt idx="295">
                  <c:v>44710</c:v>
                </c:pt>
                <c:pt idx="296">
                  <c:v>44711</c:v>
                </c:pt>
                <c:pt idx="297">
                  <c:v>44712</c:v>
                </c:pt>
                <c:pt idx="298">
                  <c:v>44713</c:v>
                </c:pt>
                <c:pt idx="299">
                  <c:v>44714</c:v>
                </c:pt>
                <c:pt idx="300">
                  <c:v>44715</c:v>
                </c:pt>
                <c:pt idx="301">
                  <c:v>44716</c:v>
                </c:pt>
                <c:pt idx="302">
                  <c:v>44717</c:v>
                </c:pt>
                <c:pt idx="303">
                  <c:v>44718</c:v>
                </c:pt>
                <c:pt idx="304">
                  <c:v>44719</c:v>
                </c:pt>
                <c:pt idx="305">
                  <c:v>44720</c:v>
                </c:pt>
                <c:pt idx="306">
                  <c:v>44721</c:v>
                </c:pt>
                <c:pt idx="307">
                  <c:v>44722</c:v>
                </c:pt>
                <c:pt idx="308">
                  <c:v>44723</c:v>
                </c:pt>
                <c:pt idx="309">
                  <c:v>44724</c:v>
                </c:pt>
                <c:pt idx="310">
                  <c:v>44725</c:v>
                </c:pt>
                <c:pt idx="311">
                  <c:v>44726</c:v>
                </c:pt>
                <c:pt idx="312">
                  <c:v>44727</c:v>
                </c:pt>
                <c:pt idx="313">
                  <c:v>44728</c:v>
                </c:pt>
                <c:pt idx="314">
                  <c:v>44729</c:v>
                </c:pt>
                <c:pt idx="315">
                  <c:v>44730</c:v>
                </c:pt>
                <c:pt idx="316">
                  <c:v>44731</c:v>
                </c:pt>
                <c:pt idx="317">
                  <c:v>44732</c:v>
                </c:pt>
                <c:pt idx="318">
                  <c:v>44733</c:v>
                </c:pt>
                <c:pt idx="319">
                  <c:v>44734</c:v>
                </c:pt>
                <c:pt idx="320">
                  <c:v>44735</c:v>
                </c:pt>
                <c:pt idx="321">
                  <c:v>44736</c:v>
                </c:pt>
                <c:pt idx="322">
                  <c:v>44737</c:v>
                </c:pt>
                <c:pt idx="323">
                  <c:v>44738</c:v>
                </c:pt>
                <c:pt idx="324">
                  <c:v>44739</c:v>
                </c:pt>
                <c:pt idx="325">
                  <c:v>44740</c:v>
                </c:pt>
                <c:pt idx="326">
                  <c:v>44741</c:v>
                </c:pt>
                <c:pt idx="327">
                  <c:v>44742</c:v>
                </c:pt>
                <c:pt idx="328">
                  <c:v>44743</c:v>
                </c:pt>
                <c:pt idx="329">
                  <c:v>44744</c:v>
                </c:pt>
                <c:pt idx="330">
                  <c:v>44745</c:v>
                </c:pt>
                <c:pt idx="331">
                  <c:v>44746</c:v>
                </c:pt>
                <c:pt idx="332">
                  <c:v>44747</c:v>
                </c:pt>
                <c:pt idx="333">
                  <c:v>44748</c:v>
                </c:pt>
                <c:pt idx="334">
                  <c:v>44749</c:v>
                </c:pt>
                <c:pt idx="335">
                  <c:v>44750</c:v>
                </c:pt>
                <c:pt idx="336">
                  <c:v>44751</c:v>
                </c:pt>
                <c:pt idx="337">
                  <c:v>44752</c:v>
                </c:pt>
                <c:pt idx="338">
                  <c:v>44753</c:v>
                </c:pt>
                <c:pt idx="339">
                  <c:v>44754</c:v>
                </c:pt>
                <c:pt idx="340">
                  <c:v>44755</c:v>
                </c:pt>
                <c:pt idx="341">
                  <c:v>44756</c:v>
                </c:pt>
                <c:pt idx="342">
                  <c:v>44757</c:v>
                </c:pt>
                <c:pt idx="343">
                  <c:v>44758</c:v>
                </c:pt>
                <c:pt idx="344">
                  <c:v>44759</c:v>
                </c:pt>
                <c:pt idx="345">
                  <c:v>44760</c:v>
                </c:pt>
                <c:pt idx="346">
                  <c:v>44761</c:v>
                </c:pt>
                <c:pt idx="347">
                  <c:v>44762</c:v>
                </c:pt>
                <c:pt idx="348">
                  <c:v>44763</c:v>
                </c:pt>
                <c:pt idx="349">
                  <c:v>44764</c:v>
                </c:pt>
                <c:pt idx="350">
                  <c:v>44765</c:v>
                </c:pt>
                <c:pt idx="351">
                  <c:v>44766</c:v>
                </c:pt>
                <c:pt idx="352">
                  <c:v>44767</c:v>
                </c:pt>
                <c:pt idx="353">
                  <c:v>44768</c:v>
                </c:pt>
                <c:pt idx="354">
                  <c:v>44769</c:v>
                </c:pt>
                <c:pt idx="355">
                  <c:v>44770</c:v>
                </c:pt>
                <c:pt idx="356">
                  <c:v>44771</c:v>
                </c:pt>
                <c:pt idx="357">
                  <c:v>44772</c:v>
                </c:pt>
                <c:pt idx="358">
                  <c:v>44773</c:v>
                </c:pt>
                <c:pt idx="359">
                  <c:v>44774</c:v>
                </c:pt>
                <c:pt idx="360">
                  <c:v>44775</c:v>
                </c:pt>
                <c:pt idx="361">
                  <c:v>44776</c:v>
                </c:pt>
                <c:pt idx="362">
                  <c:v>44777</c:v>
                </c:pt>
                <c:pt idx="363">
                  <c:v>44778</c:v>
                </c:pt>
                <c:pt idx="364">
                  <c:v>44779</c:v>
                </c:pt>
                <c:pt idx="365">
                  <c:v>44780</c:v>
                </c:pt>
                <c:pt idx="366">
                  <c:v>44781</c:v>
                </c:pt>
                <c:pt idx="367">
                  <c:v>44782</c:v>
                </c:pt>
                <c:pt idx="368">
                  <c:v>44783</c:v>
                </c:pt>
                <c:pt idx="369">
                  <c:v>44784</c:v>
                </c:pt>
                <c:pt idx="370">
                  <c:v>44785</c:v>
                </c:pt>
                <c:pt idx="371">
                  <c:v>44786</c:v>
                </c:pt>
                <c:pt idx="372">
                  <c:v>44787</c:v>
                </c:pt>
                <c:pt idx="373">
                  <c:v>44788</c:v>
                </c:pt>
                <c:pt idx="374">
                  <c:v>44789</c:v>
                </c:pt>
                <c:pt idx="375">
                  <c:v>44790</c:v>
                </c:pt>
                <c:pt idx="376">
                  <c:v>44791</c:v>
                </c:pt>
                <c:pt idx="377">
                  <c:v>44792</c:v>
                </c:pt>
                <c:pt idx="378">
                  <c:v>44793</c:v>
                </c:pt>
                <c:pt idx="379">
                  <c:v>44794</c:v>
                </c:pt>
                <c:pt idx="380">
                  <c:v>44795</c:v>
                </c:pt>
                <c:pt idx="381">
                  <c:v>44796</c:v>
                </c:pt>
                <c:pt idx="382">
                  <c:v>44797</c:v>
                </c:pt>
                <c:pt idx="383">
                  <c:v>44798</c:v>
                </c:pt>
                <c:pt idx="384">
                  <c:v>44799</c:v>
                </c:pt>
                <c:pt idx="385">
                  <c:v>44800</c:v>
                </c:pt>
                <c:pt idx="386">
                  <c:v>44801</c:v>
                </c:pt>
                <c:pt idx="387">
                  <c:v>44802</c:v>
                </c:pt>
                <c:pt idx="388">
                  <c:v>44803</c:v>
                </c:pt>
                <c:pt idx="389">
                  <c:v>44804</c:v>
                </c:pt>
                <c:pt idx="390">
                  <c:v>44805</c:v>
                </c:pt>
                <c:pt idx="391">
                  <c:v>44806</c:v>
                </c:pt>
                <c:pt idx="392">
                  <c:v>44807</c:v>
                </c:pt>
                <c:pt idx="393">
                  <c:v>44808</c:v>
                </c:pt>
                <c:pt idx="394">
                  <c:v>44809</c:v>
                </c:pt>
                <c:pt idx="395">
                  <c:v>44810</c:v>
                </c:pt>
                <c:pt idx="396">
                  <c:v>44811</c:v>
                </c:pt>
                <c:pt idx="397">
                  <c:v>44812</c:v>
                </c:pt>
                <c:pt idx="398">
                  <c:v>44813</c:v>
                </c:pt>
                <c:pt idx="399">
                  <c:v>44814</c:v>
                </c:pt>
                <c:pt idx="400">
                  <c:v>44815</c:v>
                </c:pt>
                <c:pt idx="401">
                  <c:v>44816</c:v>
                </c:pt>
                <c:pt idx="402">
                  <c:v>44817</c:v>
                </c:pt>
                <c:pt idx="403">
                  <c:v>44818</c:v>
                </c:pt>
                <c:pt idx="404">
                  <c:v>44819</c:v>
                </c:pt>
                <c:pt idx="405">
                  <c:v>44820</c:v>
                </c:pt>
                <c:pt idx="406">
                  <c:v>44821</c:v>
                </c:pt>
                <c:pt idx="407">
                  <c:v>44822</c:v>
                </c:pt>
                <c:pt idx="408">
                  <c:v>44823</c:v>
                </c:pt>
                <c:pt idx="409">
                  <c:v>44824</c:v>
                </c:pt>
                <c:pt idx="410">
                  <c:v>44825</c:v>
                </c:pt>
                <c:pt idx="411">
                  <c:v>44826</c:v>
                </c:pt>
                <c:pt idx="412">
                  <c:v>44827</c:v>
                </c:pt>
                <c:pt idx="413">
                  <c:v>44828</c:v>
                </c:pt>
                <c:pt idx="414">
                  <c:v>44829</c:v>
                </c:pt>
                <c:pt idx="415">
                  <c:v>44830</c:v>
                </c:pt>
                <c:pt idx="416">
                  <c:v>44831</c:v>
                </c:pt>
                <c:pt idx="417">
                  <c:v>44832</c:v>
                </c:pt>
                <c:pt idx="418">
                  <c:v>44833</c:v>
                </c:pt>
                <c:pt idx="419">
                  <c:v>44834</c:v>
                </c:pt>
                <c:pt idx="420">
                  <c:v>44835</c:v>
                </c:pt>
                <c:pt idx="421">
                  <c:v>44836</c:v>
                </c:pt>
                <c:pt idx="422">
                  <c:v>44837</c:v>
                </c:pt>
                <c:pt idx="423">
                  <c:v>44838</c:v>
                </c:pt>
                <c:pt idx="424">
                  <c:v>44839</c:v>
                </c:pt>
                <c:pt idx="425">
                  <c:v>44840</c:v>
                </c:pt>
                <c:pt idx="426">
                  <c:v>44841</c:v>
                </c:pt>
                <c:pt idx="427">
                  <c:v>44842</c:v>
                </c:pt>
                <c:pt idx="428">
                  <c:v>44843</c:v>
                </c:pt>
                <c:pt idx="429">
                  <c:v>44844</c:v>
                </c:pt>
                <c:pt idx="430">
                  <c:v>44845</c:v>
                </c:pt>
                <c:pt idx="431">
                  <c:v>44846</c:v>
                </c:pt>
                <c:pt idx="432">
                  <c:v>44847</c:v>
                </c:pt>
                <c:pt idx="433">
                  <c:v>44848</c:v>
                </c:pt>
                <c:pt idx="434">
                  <c:v>44849</c:v>
                </c:pt>
                <c:pt idx="435">
                  <c:v>44850</c:v>
                </c:pt>
                <c:pt idx="436">
                  <c:v>44851</c:v>
                </c:pt>
                <c:pt idx="437">
                  <c:v>44852</c:v>
                </c:pt>
                <c:pt idx="438">
                  <c:v>44853</c:v>
                </c:pt>
                <c:pt idx="439">
                  <c:v>44854</c:v>
                </c:pt>
                <c:pt idx="440">
                  <c:v>44855</c:v>
                </c:pt>
                <c:pt idx="441">
                  <c:v>44856</c:v>
                </c:pt>
                <c:pt idx="442">
                  <c:v>44857</c:v>
                </c:pt>
                <c:pt idx="443">
                  <c:v>44858</c:v>
                </c:pt>
                <c:pt idx="444">
                  <c:v>44859</c:v>
                </c:pt>
                <c:pt idx="445">
                  <c:v>44860</c:v>
                </c:pt>
                <c:pt idx="446">
                  <c:v>44861</c:v>
                </c:pt>
                <c:pt idx="447">
                  <c:v>44862</c:v>
                </c:pt>
                <c:pt idx="448">
                  <c:v>44863</c:v>
                </c:pt>
                <c:pt idx="449">
                  <c:v>44864</c:v>
                </c:pt>
                <c:pt idx="450">
                  <c:v>44865</c:v>
                </c:pt>
                <c:pt idx="451">
                  <c:v>44866</c:v>
                </c:pt>
                <c:pt idx="452">
                  <c:v>44867</c:v>
                </c:pt>
                <c:pt idx="453">
                  <c:v>44868</c:v>
                </c:pt>
                <c:pt idx="454">
                  <c:v>44869</c:v>
                </c:pt>
                <c:pt idx="455">
                  <c:v>44870</c:v>
                </c:pt>
                <c:pt idx="456">
                  <c:v>44871</c:v>
                </c:pt>
                <c:pt idx="457">
                  <c:v>44872</c:v>
                </c:pt>
                <c:pt idx="458">
                  <c:v>44873</c:v>
                </c:pt>
                <c:pt idx="459">
                  <c:v>44874</c:v>
                </c:pt>
                <c:pt idx="460">
                  <c:v>44875</c:v>
                </c:pt>
                <c:pt idx="461">
                  <c:v>44876</c:v>
                </c:pt>
                <c:pt idx="462">
                  <c:v>44877</c:v>
                </c:pt>
                <c:pt idx="463">
                  <c:v>44878</c:v>
                </c:pt>
                <c:pt idx="464">
                  <c:v>44879</c:v>
                </c:pt>
                <c:pt idx="465">
                  <c:v>44880</c:v>
                </c:pt>
                <c:pt idx="466">
                  <c:v>44881</c:v>
                </c:pt>
                <c:pt idx="467">
                  <c:v>44882</c:v>
                </c:pt>
                <c:pt idx="468">
                  <c:v>44883</c:v>
                </c:pt>
                <c:pt idx="469">
                  <c:v>44884</c:v>
                </c:pt>
                <c:pt idx="470">
                  <c:v>44885</c:v>
                </c:pt>
                <c:pt idx="471">
                  <c:v>44886</c:v>
                </c:pt>
                <c:pt idx="472">
                  <c:v>44887</c:v>
                </c:pt>
                <c:pt idx="473">
                  <c:v>44888</c:v>
                </c:pt>
                <c:pt idx="474">
                  <c:v>44889</c:v>
                </c:pt>
                <c:pt idx="475">
                  <c:v>44890</c:v>
                </c:pt>
                <c:pt idx="476">
                  <c:v>44891</c:v>
                </c:pt>
                <c:pt idx="477">
                  <c:v>44892</c:v>
                </c:pt>
                <c:pt idx="478">
                  <c:v>44893</c:v>
                </c:pt>
                <c:pt idx="479">
                  <c:v>44894</c:v>
                </c:pt>
                <c:pt idx="480">
                  <c:v>44895</c:v>
                </c:pt>
                <c:pt idx="481">
                  <c:v>44896</c:v>
                </c:pt>
                <c:pt idx="482">
                  <c:v>44897</c:v>
                </c:pt>
                <c:pt idx="483">
                  <c:v>44898</c:v>
                </c:pt>
                <c:pt idx="484">
                  <c:v>44899</c:v>
                </c:pt>
                <c:pt idx="485">
                  <c:v>44900</c:v>
                </c:pt>
                <c:pt idx="486">
                  <c:v>44901</c:v>
                </c:pt>
                <c:pt idx="487">
                  <c:v>44902</c:v>
                </c:pt>
                <c:pt idx="488">
                  <c:v>44903</c:v>
                </c:pt>
                <c:pt idx="489">
                  <c:v>44904</c:v>
                </c:pt>
                <c:pt idx="490">
                  <c:v>44905</c:v>
                </c:pt>
                <c:pt idx="491">
                  <c:v>44906</c:v>
                </c:pt>
                <c:pt idx="492">
                  <c:v>44907</c:v>
                </c:pt>
                <c:pt idx="493">
                  <c:v>44908</c:v>
                </c:pt>
                <c:pt idx="494">
                  <c:v>44909</c:v>
                </c:pt>
                <c:pt idx="495">
                  <c:v>44910</c:v>
                </c:pt>
                <c:pt idx="496">
                  <c:v>44911</c:v>
                </c:pt>
                <c:pt idx="497">
                  <c:v>44912</c:v>
                </c:pt>
                <c:pt idx="498">
                  <c:v>44913</c:v>
                </c:pt>
                <c:pt idx="499">
                  <c:v>44914</c:v>
                </c:pt>
                <c:pt idx="500">
                  <c:v>44915</c:v>
                </c:pt>
                <c:pt idx="501">
                  <c:v>44916</c:v>
                </c:pt>
                <c:pt idx="502">
                  <c:v>44917</c:v>
                </c:pt>
                <c:pt idx="503">
                  <c:v>44918</c:v>
                </c:pt>
                <c:pt idx="504">
                  <c:v>44919</c:v>
                </c:pt>
                <c:pt idx="505">
                  <c:v>44920</c:v>
                </c:pt>
                <c:pt idx="506">
                  <c:v>44921</c:v>
                </c:pt>
                <c:pt idx="507">
                  <c:v>44922</c:v>
                </c:pt>
                <c:pt idx="508">
                  <c:v>44923</c:v>
                </c:pt>
                <c:pt idx="509">
                  <c:v>44924</c:v>
                </c:pt>
                <c:pt idx="510">
                  <c:v>44925</c:v>
                </c:pt>
                <c:pt idx="511">
                  <c:v>44926</c:v>
                </c:pt>
                <c:pt idx="512">
                  <c:v>44927</c:v>
                </c:pt>
                <c:pt idx="513">
                  <c:v>44928</c:v>
                </c:pt>
                <c:pt idx="514">
                  <c:v>44929</c:v>
                </c:pt>
                <c:pt idx="515">
                  <c:v>44930</c:v>
                </c:pt>
                <c:pt idx="516">
                  <c:v>44931</c:v>
                </c:pt>
                <c:pt idx="517">
                  <c:v>44932</c:v>
                </c:pt>
                <c:pt idx="518">
                  <c:v>44933</c:v>
                </c:pt>
                <c:pt idx="519">
                  <c:v>44934</c:v>
                </c:pt>
                <c:pt idx="520">
                  <c:v>44935</c:v>
                </c:pt>
                <c:pt idx="521">
                  <c:v>44936</c:v>
                </c:pt>
                <c:pt idx="522">
                  <c:v>44937</c:v>
                </c:pt>
                <c:pt idx="523">
                  <c:v>44938</c:v>
                </c:pt>
                <c:pt idx="524">
                  <c:v>44939</c:v>
                </c:pt>
                <c:pt idx="525">
                  <c:v>44940</c:v>
                </c:pt>
                <c:pt idx="526">
                  <c:v>44941</c:v>
                </c:pt>
                <c:pt idx="527">
                  <c:v>44942</c:v>
                </c:pt>
                <c:pt idx="528">
                  <c:v>44943</c:v>
                </c:pt>
                <c:pt idx="529">
                  <c:v>44944</c:v>
                </c:pt>
                <c:pt idx="530">
                  <c:v>44945</c:v>
                </c:pt>
                <c:pt idx="531">
                  <c:v>44946</c:v>
                </c:pt>
                <c:pt idx="532">
                  <c:v>44947</c:v>
                </c:pt>
                <c:pt idx="533">
                  <c:v>44948</c:v>
                </c:pt>
                <c:pt idx="534">
                  <c:v>44949</c:v>
                </c:pt>
                <c:pt idx="535">
                  <c:v>44950</c:v>
                </c:pt>
                <c:pt idx="536">
                  <c:v>44951</c:v>
                </c:pt>
                <c:pt idx="537">
                  <c:v>44952</c:v>
                </c:pt>
                <c:pt idx="538">
                  <c:v>44953</c:v>
                </c:pt>
                <c:pt idx="539">
                  <c:v>44954</c:v>
                </c:pt>
                <c:pt idx="540">
                  <c:v>44955</c:v>
                </c:pt>
                <c:pt idx="541">
                  <c:v>44956</c:v>
                </c:pt>
                <c:pt idx="542">
                  <c:v>44957</c:v>
                </c:pt>
                <c:pt idx="543">
                  <c:v>44958</c:v>
                </c:pt>
                <c:pt idx="544">
                  <c:v>44959</c:v>
                </c:pt>
                <c:pt idx="545">
                  <c:v>44960</c:v>
                </c:pt>
                <c:pt idx="546">
                  <c:v>44961</c:v>
                </c:pt>
                <c:pt idx="547">
                  <c:v>44962</c:v>
                </c:pt>
                <c:pt idx="548">
                  <c:v>44963</c:v>
                </c:pt>
                <c:pt idx="549">
                  <c:v>44964</c:v>
                </c:pt>
                <c:pt idx="550">
                  <c:v>44965</c:v>
                </c:pt>
                <c:pt idx="551">
                  <c:v>44966</c:v>
                </c:pt>
                <c:pt idx="552">
                  <c:v>44967</c:v>
                </c:pt>
                <c:pt idx="553">
                  <c:v>44968</c:v>
                </c:pt>
                <c:pt idx="554">
                  <c:v>44969</c:v>
                </c:pt>
                <c:pt idx="555">
                  <c:v>44970</c:v>
                </c:pt>
                <c:pt idx="556">
                  <c:v>44971</c:v>
                </c:pt>
                <c:pt idx="557">
                  <c:v>44972</c:v>
                </c:pt>
                <c:pt idx="558">
                  <c:v>44973</c:v>
                </c:pt>
                <c:pt idx="559">
                  <c:v>44974</c:v>
                </c:pt>
                <c:pt idx="560">
                  <c:v>44975</c:v>
                </c:pt>
                <c:pt idx="561">
                  <c:v>44976</c:v>
                </c:pt>
                <c:pt idx="562">
                  <c:v>44977</c:v>
                </c:pt>
                <c:pt idx="563">
                  <c:v>44978</c:v>
                </c:pt>
                <c:pt idx="564">
                  <c:v>44979</c:v>
                </c:pt>
                <c:pt idx="565">
                  <c:v>44980</c:v>
                </c:pt>
                <c:pt idx="566">
                  <c:v>44981</c:v>
                </c:pt>
                <c:pt idx="567">
                  <c:v>44982</c:v>
                </c:pt>
                <c:pt idx="568">
                  <c:v>44983</c:v>
                </c:pt>
                <c:pt idx="569">
                  <c:v>44984</c:v>
                </c:pt>
                <c:pt idx="570">
                  <c:v>44985</c:v>
                </c:pt>
                <c:pt idx="571">
                  <c:v>44986</c:v>
                </c:pt>
                <c:pt idx="572">
                  <c:v>44987</c:v>
                </c:pt>
                <c:pt idx="573">
                  <c:v>44988</c:v>
                </c:pt>
                <c:pt idx="574">
                  <c:v>44989</c:v>
                </c:pt>
                <c:pt idx="575">
                  <c:v>44990</c:v>
                </c:pt>
                <c:pt idx="576">
                  <c:v>44991</c:v>
                </c:pt>
                <c:pt idx="577">
                  <c:v>44992</c:v>
                </c:pt>
                <c:pt idx="578">
                  <c:v>44993</c:v>
                </c:pt>
                <c:pt idx="579">
                  <c:v>44994</c:v>
                </c:pt>
                <c:pt idx="580">
                  <c:v>44995</c:v>
                </c:pt>
                <c:pt idx="581">
                  <c:v>44996</c:v>
                </c:pt>
                <c:pt idx="582">
                  <c:v>44997</c:v>
                </c:pt>
                <c:pt idx="583">
                  <c:v>44998</c:v>
                </c:pt>
                <c:pt idx="584">
                  <c:v>44999</c:v>
                </c:pt>
                <c:pt idx="585">
                  <c:v>45000</c:v>
                </c:pt>
                <c:pt idx="586">
                  <c:v>45001</c:v>
                </c:pt>
                <c:pt idx="587">
                  <c:v>45002</c:v>
                </c:pt>
                <c:pt idx="588">
                  <c:v>45003</c:v>
                </c:pt>
                <c:pt idx="589">
                  <c:v>45004</c:v>
                </c:pt>
                <c:pt idx="590">
                  <c:v>45005</c:v>
                </c:pt>
                <c:pt idx="591">
                  <c:v>45006</c:v>
                </c:pt>
                <c:pt idx="592">
                  <c:v>45007</c:v>
                </c:pt>
                <c:pt idx="593">
                  <c:v>45008</c:v>
                </c:pt>
                <c:pt idx="594">
                  <c:v>45009</c:v>
                </c:pt>
                <c:pt idx="595">
                  <c:v>45010</c:v>
                </c:pt>
                <c:pt idx="596">
                  <c:v>45011</c:v>
                </c:pt>
                <c:pt idx="597">
                  <c:v>45012</c:v>
                </c:pt>
                <c:pt idx="598">
                  <c:v>45013</c:v>
                </c:pt>
                <c:pt idx="599">
                  <c:v>45014</c:v>
                </c:pt>
                <c:pt idx="600">
                  <c:v>45015</c:v>
                </c:pt>
                <c:pt idx="601">
                  <c:v>45016</c:v>
                </c:pt>
                <c:pt idx="602">
                  <c:v>45017</c:v>
                </c:pt>
                <c:pt idx="603">
                  <c:v>45018</c:v>
                </c:pt>
                <c:pt idx="604">
                  <c:v>45019</c:v>
                </c:pt>
                <c:pt idx="605">
                  <c:v>45020</c:v>
                </c:pt>
                <c:pt idx="606">
                  <c:v>45021</c:v>
                </c:pt>
                <c:pt idx="607">
                  <c:v>45022</c:v>
                </c:pt>
                <c:pt idx="608">
                  <c:v>45023</c:v>
                </c:pt>
                <c:pt idx="609">
                  <c:v>45024</c:v>
                </c:pt>
                <c:pt idx="610">
                  <c:v>45025</c:v>
                </c:pt>
                <c:pt idx="611">
                  <c:v>45026</c:v>
                </c:pt>
                <c:pt idx="612">
                  <c:v>45027</c:v>
                </c:pt>
                <c:pt idx="613">
                  <c:v>45028</c:v>
                </c:pt>
                <c:pt idx="614">
                  <c:v>45029</c:v>
                </c:pt>
                <c:pt idx="615">
                  <c:v>45030</c:v>
                </c:pt>
                <c:pt idx="616">
                  <c:v>45031</c:v>
                </c:pt>
                <c:pt idx="617">
                  <c:v>45032</c:v>
                </c:pt>
                <c:pt idx="618">
                  <c:v>45033</c:v>
                </c:pt>
                <c:pt idx="619">
                  <c:v>45034</c:v>
                </c:pt>
                <c:pt idx="620">
                  <c:v>45035</c:v>
                </c:pt>
                <c:pt idx="621">
                  <c:v>45036</c:v>
                </c:pt>
                <c:pt idx="622">
                  <c:v>45037</c:v>
                </c:pt>
                <c:pt idx="623">
                  <c:v>45038</c:v>
                </c:pt>
                <c:pt idx="624">
                  <c:v>45039</c:v>
                </c:pt>
                <c:pt idx="625">
                  <c:v>45040</c:v>
                </c:pt>
                <c:pt idx="626">
                  <c:v>45041</c:v>
                </c:pt>
                <c:pt idx="627">
                  <c:v>45042</c:v>
                </c:pt>
                <c:pt idx="628">
                  <c:v>45043</c:v>
                </c:pt>
                <c:pt idx="629">
                  <c:v>45044</c:v>
                </c:pt>
                <c:pt idx="630">
                  <c:v>45045</c:v>
                </c:pt>
                <c:pt idx="631">
                  <c:v>45046</c:v>
                </c:pt>
                <c:pt idx="632">
                  <c:v>45047</c:v>
                </c:pt>
                <c:pt idx="633">
                  <c:v>45048</c:v>
                </c:pt>
                <c:pt idx="634">
                  <c:v>45049</c:v>
                </c:pt>
                <c:pt idx="635">
                  <c:v>45050</c:v>
                </c:pt>
                <c:pt idx="636">
                  <c:v>45051</c:v>
                </c:pt>
                <c:pt idx="637">
                  <c:v>45052</c:v>
                </c:pt>
                <c:pt idx="638">
                  <c:v>45053</c:v>
                </c:pt>
                <c:pt idx="639">
                  <c:v>45054</c:v>
                </c:pt>
                <c:pt idx="640">
                  <c:v>45055</c:v>
                </c:pt>
                <c:pt idx="641">
                  <c:v>45056</c:v>
                </c:pt>
                <c:pt idx="642">
                  <c:v>45057</c:v>
                </c:pt>
                <c:pt idx="643">
                  <c:v>45058</c:v>
                </c:pt>
                <c:pt idx="644">
                  <c:v>45059</c:v>
                </c:pt>
                <c:pt idx="645">
                  <c:v>45060</c:v>
                </c:pt>
                <c:pt idx="646">
                  <c:v>45061</c:v>
                </c:pt>
                <c:pt idx="647">
                  <c:v>45062</c:v>
                </c:pt>
                <c:pt idx="648">
                  <c:v>45063</c:v>
                </c:pt>
                <c:pt idx="649">
                  <c:v>45064</c:v>
                </c:pt>
                <c:pt idx="650">
                  <c:v>45065</c:v>
                </c:pt>
                <c:pt idx="651">
                  <c:v>45066</c:v>
                </c:pt>
                <c:pt idx="652">
                  <c:v>45067</c:v>
                </c:pt>
                <c:pt idx="653">
                  <c:v>45068</c:v>
                </c:pt>
                <c:pt idx="654">
                  <c:v>45069</c:v>
                </c:pt>
                <c:pt idx="655">
                  <c:v>45070</c:v>
                </c:pt>
                <c:pt idx="656">
                  <c:v>45071</c:v>
                </c:pt>
                <c:pt idx="657">
                  <c:v>45072</c:v>
                </c:pt>
                <c:pt idx="658">
                  <c:v>45073</c:v>
                </c:pt>
                <c:pt idx="659">
                  <c:v>45074</c:v>
                </c:pt>
                <c:pt idx="660">
                  <c:v>45075</c:v>
                </c:pt>
                <c:pt idx="661">
                  <c:v>45076</c:v>
                </c:pt>
                <c:pt idx="662">
                  <c:v>45077</c:v>
                </c:pt>
                <c:pt idx="663">
                  <c:v>45078</c:v>
                </c:pt>
                <c:pt idx="664">
                  <c:v>45079</c:v>
                </c:pt>
                <c:pt idx="665">
                  <c:v>45080</c:v>
                </c:pt>
                <c:pt idx="666">
                  <c:v>45081</c:v>
                </c:pt>
                <c:pt idx="667">
                  <c:v>45082</c:v>
                </c:pt>
                <c:pt idx="668">
                  <c:v>45083</c:v>
                </c:pt>
                <c:pt idx="669">
                  <c:v>45084</c:v>
                </c:pt>
                <c:pt idx="670">
                  <c:v>45085</c:v>
                </c:pt>
                <c:pt idx="671">
                  <c:v>45086</c:v>
                </c:pt>
                <c:pt idx="672">
                  <c:v>45087</c:v>
                </c:pt>
                <c:pt idx="673">
                  <c:v>45088</c:v>
                </c:pt>
                <c:pt idx="674">
                  <c:v>45089</c:v>
                </c:pt>
                <c:pt idx="675">
                  <c:v>45090</c:v>
                </c:pt>
                <c:pt idx="676">
                  <c:v>45091</c:v>
                </c:pt>
                <c:pt idx="677">
                  <c:v>45092</c:v>
                </c:pt>
                <c:pt idx="678">
                  <c:v>45093</c:v>
                </c:pt>
                <c:pt idx="679">
                  <c:v>45094</c:v>
                </c:pt>
                <c:pt idx="680">
                  <c:v>45095</c:v>
                </c:pt>
                <c:pt idx="681">
                  <c:v>45096</c:v>
                </c:pt>
                <c:pt idx="682">
                  <c:v>45097</c:v>
                </c:pt>
                <c:pt idx="683">
                  <c:v>45098</c:v>
                </c:pt>
                <c:pt idx="684">
                  <c:v>45099</c:v>
                </c:pt>
                <c:pt idx="685">
                  <c:v>45100</c:v>
                </c:pt>
                <c:pt idx="686">
                  <c:v>45101</c:v>
                </c:pt>
                <c:pt idx="687">
                  <c:v>45102</c:v>
                </c:pt>
                <c:pt idx="688">
                  <c:v>45103</c:v>
                </c:pt>
                <c:pt idx="689">
                  <c:v>45104</c:v>
                </c:pt>
                <c:pt idx="690">
                  <c:v>45105</c:v>
                </c:pt>
                <c:pt idx="691">
                  <c:v>45106</c:v>
                </c:pt>
                <c:pt idx="692">
                  <c:v>45107</c:v>
                </c:pt>
                <c:pt idx="693">
                  <c:v>45108</c:v>
                </c:pt>
                <c:pt idx="694">
                  <c:v>45109</c:v>
                </c:pt>
                <c:pt idx="695">
                  <c:v>45110</c:v>
                </c:pt>
                <c:pt idx="696">
                  <c:v>45111</c:v>
                </c:pt>
                <c:pt idx="697">
                  <c:v>45112</c:v>
                </c:pt>
                <c:pt idx="698">
                  <c:v>45113</c:v>
                </c:pt>
                <c:pt idx="699">
                  <c:v>45114</c:v>
                </c:pt>
                <c:pt idx="700">
                  <c:v>45115</c:v>
                </c:pt>
                <c:pt idx="701">
                  <c:v>45116</c:v>
                </c:pt>
                <c:pt idx="702">
                  <c:v>45117</c:v>
                </c:pt>
                <c:pt idx="703">
                  <c:v>45118</c:v>
                </c:pt>
                <c:pt idx="704">
                  <c:v>45119</c:v>
                </c:pt>
                <c:pt idx="705">
                  <c:v>45120</c:v>
                </c:pt>
                <c:pt idx="706">
                  <c:v>45121</c:v>
                </c:pt>
                <c:pt idx="707">
                  <c:v>45122</c:v>
                </c:pt>
                <c:pt idx="708">
                  <c:v>45123</c:v>
                </c:pt>
                <c:pt idx="709">
                  <c:v>45124</c:v>
                </c:pt>
                <c:pt idx="710">
                  <c:v>45125</c:v>
                </c:pt>
                <c:pt idx="711">
                  <c:v>45126</c:v>
                </c:pt>
                <c:pt idx="712">
                  <c:v>45127</c:v>
                </c:pt>
                <c:pt idx="713">
                  <c:v>45128</c:v>
                </c:pt>
                <c:pt idx="714">
                  <c:v>45129</c:v>
                </c:pt>
                <c:pt idx="715">
                  <c:v>45130</c:v>
                </c:pt>
                <c:pt idx="716">
                  <c:v>45131</c:v>
                </c:pt>
                <c:pt idx="717">
                  <c:v>45132</c:v>
                </c:pt>
                <c:pt idx="718">
                  <c:v>45133</c:v>
                </c:pt>
                <c:pt idx="719">
                  <c:v>45134</c:v>
                </c:pt>
                <c:pt idx="720">
                  <c:v>45135</c:v>
                </c:pt>
                <c:pt idx="721">
                  <c:v>45136</c:v>
                </c:pt>
                <c:pt idx="722">
                  <c:v>45137</c:v>
                </c:pt>
                <c:pt idx="723">
                  <c:v>45138</c:v>
                </c:pt>
                <c:pt idx="724">
                  <c:v>45139</c:v>
                </c:pt>
                <c:pt idx="725">
                  <c:v>45140</c:v>
                </c:pt>
                <c:pt idx="726">
                  <c:v>45141</c:v>
                </c:pt>
                <c:pt idx="727">
                  <c:v>45142</c:v>
                </c:pt>
                <c:pt idx="728">
                  <c:v>45143</c:v>
                </c:pt>
                <c:pt idx="729">
                  <c:v>45144</c:v>
                </c:pt>
                <c:pt idx="730">
                  <c:v>45145</c:v>
                </c:pt>
                <c:pt idx="731">
                  <c:v>45146</c:v>
                </c:pt>
                <c:pt idx="732">
                  <c:v>45147</c:v>
                </c:pt>
                <c:pt idx="733">
                  <c:v>45148</c:v>
                </c:pt>
                <c:pt idx="734">
                  <c:v>45149</c:v>
                </c:pt>
                <c:pt idx="735">
                  <c:v>45150</c:v>
                </c:pt>
                <c:pt idx="736">
                  <c:v>45151</c:v>
                </c:pt>
                <c:pt idx="737">
                  <c:v>45152</c:v>
                </c:pt>
                <c:pt idx="738">
                  <c:v>45153</c:v>
                </c:pt>
                <c:pt idx="739">
                  <c:v>45154</c:v>
                </c:pt>
                <c:pt idx="740">
                  <c:v>45155</c:v>
                </c:pt>
                <c:pt idx="741">
                  <c:v>45156</c:v>
                </c:pt>
                <c:pt idx="742">
                  <c:v>45157</c:v>
                </c:pt>
                <c:pt idx="743">
                  <c:v>45158</c:v>
                </c:pt>
                <c:pt idx="744">
                  <c:v>45159</c:v>
                </c:pt>
                <c:pt idx="745">
                  <c:v>45160</c:v>
                </c:pt>
                <c:pt idx="746">
                  <c:v>45161</c:v>
                </c:pt>
                <c:pt idx="747">
                  <c:v>45162</c:v>
                </c:pt>
                <c:pt idx="748">
                  <c:v>45163</c:v>
                </c:pt>
                <c:pt idx="749">
                  <c:v>45164</c:v>
                </c:pt>
                <c:pt idx="750">
                  <c:v>45165</c:v>
                </c:pt>
                <c:pt idx="751">
                  <c:v>45166</c:v>
                </c:pt>
                <c:pt idx="752">
                  <c:v>45167</c:v>
                </c:pt>
                <c:pt idx="753">
                  <c:v>45168</c:v>
                </c:pt>
                <c:pt idx="754">
                  <c:v>45169</c:v>
                </c:pt>
                <c:pt idx="755">
                  <c:v>45170</c:v>
                </c:pt>
                <c:pt idx="756">
                  <c:v>45171</c:v>
                </c:pt>
                <c:pt idx="757">
                  <c:v>45172</c:v>
                </c:pt>
                <c:pt idx="758">
                  <c:v>45173</c:v>
                </c:pt>
                <c:pt idx="759">
                  <c:v>45174</c:v>
                </c:pt>
                <c:pt idx="760">
                  <c:v>45175</c:v>
                </c:pt>
                <c:pt idx="761">
                  <c:v>45176</c:v>
                </c:pt>
                <c:pt idx="762">
                  <c:v>45177</c:v>
                </c:pt>
                <c:pt idx="763">
                  <c:v>45178</c:v>
                </c:pt>
                <c:pt idx="764">
                  <c:v>45179</c:v>
                </c:pt>
                <c:pt idx="765">
                  <c:v>45180</c:v>
                </c:pt>
                <c:pt idx="766">
                  <c:v>45181</c:v>
                </c:pt>
                <c:pt idx="767">
                  <c:v>45182</c:v>
                </c:pt>
                <c:pt idx="768">
                  <c:v>45183</c:v>
                </c:pt>
                <c:pt idx="769">
                  <c:v>45184</c:v>
                </c:pt>
                <c:pt idx="770">
                  <c:v>45185</c:v>
                </c:pt>
                <c:pt idx="771">
                  <c:v>45186</c:v>
                </c:pt>
                <c:pt idx="772">
                  <c:v>45187</c:v>
                </c:pt>
                <c:pt idx="773">
                  <c:v>45188</c:v>
                </c:pt>
                <c:pt idx="774">
                  <c:v>45189</c:v>
                </c:pt>
                <c:pt idx="775">
                  <c:v>45190</c:v>
                </c:pt>
                <c:pt idx="776">
                  <c:v>45191</c:v>
                </c:pt>
                <c:pt idx="777">
                  <c:v>45192</c:v>
                </c:pt>
                <c:pt idx="778">
                  <c:v>45193</c:v>
                </c:pt>
                <c:pt idx="779">
                  <c:v>45194</c:v>
                </c:pt>
                <c:pt idx="780">
                  <c:v>45195</c:v>
                </c:pt>
                <c:pt idx="781">
                  <c:v>45196</c:v>
                </c:pt>
                <c:pt idx="782">
                  <c:v>45197</c:v>
                </c:pt>
                <c:pt idx="783">
                  <c:v>45198</c:v>
                </c:pt>
                <c:pt idx="784">
                  <c:v>45199</c:v>
                </c:pt>
                <c:pt idx="785">
                  <c:v>45200</c:v>
                </c:pt>
                <c:pt idx="786">
                  <c:v>45201</c:v>
                </c:pt>
                <c:pt idx="787">
                  <c:v>45202</c:v>
                </c:pt>
                <c:pt idx="788">
                  <c:v>45203</c:v>
                </c:pt>
                <c:pt idx="789">
                  <c:v>45204</c:v>
                </c:pt>
                <c:pt idx="790">
                  <c:v>45205</c:v>
                </c:pt>
                <c:pt idx="791">
                  <c:v>45206</c:v>
                </c:pt>
                <c:pt idx="792">
                  <c:v>45207</c:v>
                </c:pt>
                <c:pt idx="793">
                  <c:v>45208</c:v>
                </c:pt>
                <c:pt idx="794">
                  <c:v>45209</c:v>
                </c:pt>
                <c:pt idx="795">
                  <c:v>45210</c:v>
                </c:pt>
                <c:pt idx="796">
                  <c:v>45211</c:v>
                </c:pt>
                <c:pt idx="797">
                  <c:v>45212</c:v>
                </c:pt>
                <c:pt idx="798">
                  <c:v>45213</c:v>
                </c:pt>
                <c:pt idx="799">
                  <c:v>45214</c:v>
                </c:pt>
                <c:pt idx="800">
                  <c:v>45215</c:v>
                </c:pt>
                <c:pt idx="801">
                  <c:v>45216</c:v>
                </c:pt>
                <c:pt idx="802">
                  <c:v>45217</c:v>
                </c:pt>
                <c:pt idx="803">
                  <c:v>45218</c:v>
                </c:pt>
                <c:pt idx="804">
                  <c:v>45219</c:v>
                </c:pt>
                <c:pt idx="805">
                  <c:v>45220</c:v>
                </c:pt>
                <c:pt idx="806">
                  <c:v>45221</c:v>
                </c:pt>
                <c:pt idx="807">
                  <c:v>45222</c:v>
                </c:pt>
                <c:pt idx="808">
                  <c:v>45223</c:v>
                </c:pt>
                <c:pt idx="809">
                  <c:v>45224</c:v>
                </c:pt>
                <c:pt idx="810">
                  <c:v>45225</c:v>
                </c:pt>
                <c:pt idx="811">
                  <c:v>45226</c:v>
                </c:pt>
                <c:pt idx="812">
                  <c:v>45227</c:v>
                </c:pt>
                <c:pt idx="813">
                  <c:v>45228</c:v>
                </c:pt>
                <c:pt idx="814">
                  <c:v>45229</c:v>
                </c:pt>
                <c:pt idx="815">
                  <c:v>45230</c:v>
                </c:pt>
                <c:pt idx="816">
                  <c:v>45231</c:v>
                </c:pt>
                <c:pt idx="817">
                  <c:v>45232</c:v>
                </c:pt>
                <c:pt idx="818">
                  <c:v>45233</c:v>
                </c:pt>
                <c:pt idx="819">
                  <c:v>45234</c:v>
                </c:pt>
                <c:pt idx="820">
                  <c:v>45235</c:v>
                </c:pt>
                <c:pt idx="821">
                  <c:v>45236</c:v>
                </c:pt>
                <c:pt idx="822">
                  <c:v>45237</c:v>
                </c:pt>
                <c:pt idx="823">
                  <c:v>45238</c:v>
                </c:pt>
                <c:pt idx="824">
                  <c:v>45239</c:v>
                </c:pt>
                <c:pt idx="825">
                  <c:v>45240</c:v>
                </c:pt>
                <c:pt idx="826">
                  <c:v>45241</c:v>
                </c:pt>
                <c:pt idx="827">
                  <c:v>45242</c:v>
                </c:pt>
                <c:pt idx="828">
                  <c:v>45243</c:v>
                </c:pt>
                <c:pt idx="829">
                  <c:v>45244</c:v>
                </c:pt>
                <c:pt idx="830">
                  <c:v>45245</c:v>
                </c:pt>
                <c:pt idx="831">
                  <c:v>45246</c:v>
                </c:pt>
                <c:pt idx="832">
                  <c:v>45247</c:v>
                </c:pt>
                <c:pt idx="833">
                  <c:v>45248</c:v>
                </c:pt>
                <c:pt idx="834">
                  <c:v>45249</c:v>
                </c:pt>
                <c:pt idx="835">
                  <c:v>45250</c:v>
                </c:pt>
                <c:pt idx="836">
                  <c:v>45251</c:v>
                </c:pt>
                <c:pt idx="837">
                  <c:v>45252</c:v>
                </c:pt>
                <c:pt idx="838">
                  <c:v>45253</c:v>
                </c:pt>
                <c:pt idx="839">
                  <c:v>45254</c:v>
                </c:pt>
                <c:pt idx="840">
                  <c:v>45255</c:v>
                </c:pt>
                <c:pt idx="841">
                  <c:v>45256</c:v>
                </c:pt>
                <c:pt idx="842">
                  <c:v>45257</c:v>
                </c:pt>
                <c:pt idx="843">
                  <c:v>45258</c:v>
                </c:pt>
                <c:pt idx="844">
                  <c:v>45259</c:v>
                </c:pt>
                <c:pt idx="845">
                  <c:v>45260</c:v>
                </c:pt>
                <c:pt idx="846">
                  <c:v>45261</c:v>
                </c:pt>
                <c:pt idx="847">
                  <c:v>45262</c:v>
                </c:pt>
                <c:pt idx="848">
                  <c:v>45263</c:v>
                </c:pt>
                <c:pt idx="849">
                  <c:v>45264</c:v>
                </c:pt>
                <c:pt idx="850">
                  <c:v>45265</c:v>
                </c:pt>
                <c:pt idx="851">
                  <c:v>45266</c:v>
                </c:pt>
                <c:pt idx="852">
                  <c:v>45267</c:v>
                </c:pt>
                <c:pt idx="853">
                  <c:v>45268</c:v>
                </c:pt>
                <c:pt idx="854">
                  <c:v>45269</c:v>
                </c:pt>
                <c:pt idx="855">
                  <c:v>45270</c:v>
                </c:pt>
                <c:pt idx="856">
                  <c:v>45271</c:v>
                </c:pt>
                <c:pt idx="857">
                  <c:v>45272</c:v>
                </c:pt>
                <c:pt idx="858">
                  <c:v>45273</c:v>
                </c:pt>
                <c:pt idx="859">
                  <c:v>45274</c:v>
                </c:pt>
                <c:pt idx="860">
                  <c:v>45275</c:v>
                </c:pt>
                <c:pt idx="861">
                  <c:v>45276</c:v>
                </c:pt>
                <c:pt idx="862">
                  <c:v>45277</c:v>
                </c:pt>
                <c:pt idx="863">
                  <c:v>45278</c:v>
                </c:pt>
                <c:pt idx="864">
                  <c:v>45279</c:v>
                </c:pt>
                <c:pt idx="865">
                  <c:v>45280</c:v>
                </c:pt>
                <c:pt idx="866">
                  <c:v>45281</c:v>
                </c:pt>
                <c:pt idx="867">
                  <c:v>45282</c:v>
                </c:pt>
                <c:pt idx="868">
                  <c:v>45283</c:v>
                </c:pt>
                <c:pt idx="869">
                  <c:v>45284</c:v>
                </c:pt>
                <c:pt idx="870">
                  <c:v>45285</c:v>
                </c:pt>
                <c:pt idx="871">
                  <c:v>45286</c:v>
                </c:pt>
                <c:pt idx="872">
                  <c:v>45287</c:v>
                </c:pt>
                <c:pt idx="873">
                  <c:v>45288</c:v>
                </c:pt>
                <c:pt idx="874">
                  <c:v>45289</c:v>
                </c:pt>
                <c:pt idx="875">
                  <c:v>45290</c:v>
                </c:pt>
                <c:pt idx="876">
                  <c:v>45291</c:v>
                </c:pt>
                <c:pt idx="877">
                  <c:v>45292</c:v>
                </c:pt>
                <c:pt idx="878">
                  <c:v>45293</c:v>
                </c:pt>
                <c:pt idx="879">
                  <c:v>45294</c:v>
                </c:pt>
                <c:pt idx="880">
                  <c:v>45295</c:v>
                </c:pt>
                <c:pt idx="881">
                  <c:v>45296</c:v>
                </c:pt>
                <c:pt idx="882">
                  <c:v>45297</c:v>
                </c:pt>
                <c:pt idx="883">
                  <c:v>45298</c:v>
                </c:pt>
                <c:pt idx="884">
                  <c:v>45299</c:v>
                </c:pt>
                <c:pt idx="885">
                  <c:v>45300</c:v>
                </c:pt>
                <c:pt idx="886">
                  <c:v>45301</c:v>
                </c:pt>
                <c:pt idx="887">
                  <c:v>45302</c:v>
                </c:pt>
                <c:pt idx="888">
                  <c:v>45303</c:v>
                </c:pt>
                <c:pt idx="889">
                  <c:v>45304</c:v>
                </c:pt>
                <c:pt idx="890">
                  <c:v>45305</c:v>
                </c:pt>
                <c:pt idx="891">
                  <c:v>45306</c:v>
                </c:pt>
                <c:pt idx="892">
                  <c:v>45307</c:v>
                </c:pt>
                <c:pt idx="893">
                  <c:v>45308</c:v>
                </c:pt>
                <c:pt idx="894">
                  <c:v>45309</c:v>
                </c:pt>
                <c:pt idx="895">
                  <c:v>45310</c:v>
                </c:pt>
                <c:pt idx="896">
                  <c:v>45311</c:v>
                </c:pt>
                <c:pt idx="897">
                  <c:v>45312</c:v>
                </c:pt>
                <c:pt idx="898">
                  <c:v>45313</c:v>
                </c:pt>
                <c:pt idx="899">
                  <c:v>45314</c:v>
                </c:pt>
                <c:pt idx="900">
                  <c:v>45315</c:v>
                </c:pt>
                <c:pt idx="901">
                  <c:v>45316</c:v>
                </c:pt>
                <c:pt idx="902">
                  <c:v>45317</c:v>
                </c:pt>
                <c:pt idx="903">
                  <c:v>45318</c:v>
                </c:pt>
                <c:pt idx="904">
                  <c:v>45319</c:v>
                </c:pt>
                <c:pt idx="905">
                  <c:v>45320</c:v>
                </c:pt>
                <c:pt idx="906">
                  <c:v>45321</c:v>
                </c:pt>
                <c:pt idx="907">
                  <c:v>45322</c:v>
                </c:pt>
                <c:pt idx="908">
                  <c:v>45323</c:v>
                </c:pt>
              </c:numCache>
            </c:numRef>
          </c:xVal>
          <c:yVal>
            <c:numRef>
              <c:f>Health!$S$3:$S$911</c:f>
              <c:numCache>
                <c:formatCode>General</c:formatCode>
                <c:ptCount val="909"/>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1</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0</c:v>
                </c:pt>
                <c:pt idx="49">
                  <c:v>0</c:v>
                </c:pt>
                <c:pt idx="50">
                  <c:v>1</c:v>
                </c:pt>
                <c:pt idx="51">
                  <c:v>0</c:v>
                </c:pt>
                <c:pt idx="52">
                  <c:v>0</c:v>
                </c:pt>
                <c:pt idx="53">
                  <c:v>0</c:v>
                </c:pt>
                <c:pt idx="54">
                  <c:v>0</c:v>
                </c:pt>
                <c:pt idx="55">
                  <c:v>0</c:v>
                </c:pt>
                <c:pt idx="56">
                  <c:v>0</c:v>
                </c:pt>
                <c:pt idx="57">
                  <c:v>0</c:v>
                </c:pt>
                <c:pt idx="58">
                  <c:v>0</c:v>
                </c:pt>
                <c:pt idx="59">
                  <c:v>0</c:v>
                </c:pt>
                <c:pt idx="60">
                  <c:v>0</c:v>
                </c:pt>
                <c:pt idx="61">
                  <c:v>1</c:v>
                </c:pt>
                <c:pt idx="62">
                  <c:v>0</c:v>
                </c:pt>
                <c:pt idx="63">
                  <c:v>0</c:v>
                </c:pt>
                <c:pt idx="64">
                  <c:v>0</c:v>
                </c:pt>
                <c:pt idx="65">
                  <c:v>0</c:v>
                </c:pt>
                <c:pt idx="66">
                  <c:v>0</c:v>
                </c:pt>
                <c:pt idx="67">
                  <c:v>0</c:v>
                </c:pt>
                <c:pt idx="68">
                  <c:v>0</c:v>
                </c:pt>
                <c:pt idx="69">
                  <c:v>0</c:v>
                </c:pt>
                <c:pt idx="70">
                  <c:v>0</c:v>
                </c:pt>
                <c:pt idx="71">
                  <c:v>0</c:v>
                </c:pt>
                <c:pt idx="72">
                  <c:v>0</c:v>
                </c:pt>
                <c:pt idx="73">
                  <c:v>1</c:v>
                </c:pt>
                <c:pt idx="74">
                  <c:v>0</c:v>
                </c:pt>
                <c:pt idx="75">
                  <c:v>0</c:v>
                </c:pt>
                <c:pt idx="76">
                  <c:v>0</c:v>
                </c:pt>
                <c:pt idx="77">
                  <c:v>0</c:v>
                </c:pt>
                <c:pt idx="78">
                  <c:v>0</c:v>
                </c:pt>
                <c:pt idx="79">
                  <c:v>0</c:v>
                </c:pt>
                <c:pt idx="80">
                  <c:v>0</c:v>
                </c:pt>
                <c:pt idx="81">
                  <c:v>0</c:v>
                </c:pt>
                <c:pt idx="82">
                  <c:v>0</c:v>
                </c:pt>
                <c:pt idx="83">
                  <c:v>1</c:v>
                </c:pt>
                <c:pt idx="84">
                  <c:v>0</c:v>
                </c:pt>
                <c:pt idx="85">
                  <c:v>0</c:v>
                </c:pt>
                <c:pt idx="86">
                  <c:v>0</c:v>
                </c:pt>
                <c:pt idx="87">
                  <c:v>0</c:v>
                </c:pt>
                <c:pt idx="88">
                  <c:v>0</c:v>
                </c:pt>
                <c:pt idx="89">
                  <c:v>0</c:v>
                </c:pt>
                <c:pt idx="90">
                  <c:v>0</c:v>
                </c:pt>
                <c:pt idx="91">
                  <c:v>1</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1</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1</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1</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1</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1</c:v>
                </c:pt>
                <c:pt idx="166">
                  <c:v>0</c:v>
                </c:pt>
                <c:pt idx="167">
                  <c:v>0</c:v>
                </c:pt>
                <c:pt idx="168">
                  <c:v>0</c:v>
                </c:pt>
                <c:pt idx="169">
                  <c:v>0</c:v>
                </c:pt>
                <c:pt idx="170">
                  <c:v>0</c:v>
                </c:pt>
                <c:pt idx="171">
                  <c:v>0</c:v>
                </c:pt>
                <c:pt idx="172">
                  <c:v>0</c:v>
                </c:pt>
                <c:pt idx="173">
                  <c:v>0</c:v>
                </c:pt>
                <c:pt idx="174">
                  <c:v>0</c:v>
                </c:pt>
                <c:pt idx="175">
                  <c:v>0</c:v>
                </c:pt>
                <c:pt idx="176">
                  <c:v>0</c:v>
                </c:pt>
                <c:pt idx="177">
                  <c:v>1</c:v>
                </c:pt>
                <c:pt idx="178">
                  <c:v>0</c:v>
                </c:pt>
                <c:pt idx="179">
                  <c:v>0</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1</c:v>
                </c:pt>
                <c:pt idx="205">
                  <c:v>0</c:v>
                </c:pt>
                <c:pt idx="206">
                  <c:v>0</c:v>
                </c:pt>
                <c:pt idx="207">
                  <c:v>0</c:v>
                </c:pt>
                <c:pt idx="208">
                  <c:v>0</c:v>
                </c:pt>
                <c:pt idx="209">
                  <c:v>0</c:v>
                </c:pt>
                <c:pt idx="210">
                  <c:v>0</c:v>
                </c:pt>
                <c:pt idx="211">
                  <c:v>0</c:v>
                </c:pt>
                <c:pt idx="212">
                  <c:v>0</c:v>
                </c:pt>
                <c:pt idx="213">
                  <c:v>0</c:v>
                </c:pt>
                <c:pt idx="214">
                  <c:v>0</c:v>
                </c:pt>
                <c:pt idx="215">
                  <c:v>0</c:v>
                </c:pt>
                <c:pt idx="216">
                  <c:v>1</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1</c:v>
                </c:pt>
                <c:pt idx="246">
                  <c:v>0</c:v>
                </c:pt>
                <c:pt idx="247">
                  <c:v>0</c:v>
                </c:pt>
                <c:pt idx="248">
                  <c:v>0</c:v>
                </c:pt>
                <c:pt idx="249">
                  <c:v>0</c:v>
                </c:pt>
                <c:pt idx="250">
                  <c:v>0</c:v>
                </c:pt>
                <c:pt idx="251">
                  <c:v>0</c:v>
                </c:pt>
                <c:pt idx="252">
                  <c:v>0</c:v>
                </c:pt>
                <c:pt idx="253">
                  <c:v>0</c:v>
                </c:pt>
                <c:pt idx="254">
                  <c:v>0</c:v>
                </c:pt>
                <c:pt idx="255">
                  <c:v>0</c:v>
                </c:pt>
                <c:pt idx="256">
                  <c:v>0</c:v>
                </c:pt>
                <c:pt idx="257">
                  <c:v>0</c:v>
                </c:pt>
                <c:pt idx="258">
                  <c:v>1</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1</c:v>
                </c:pt>
                <c:pt idx="338">
                  <c:v>0</c:v>
                </c:pt>
                <c:pt idx="339">
                  <c:v>0</c:v>
                </c:pt>
                <c:pt idx="340">
                  <c:v>0</c:v>
                </c:pt>
                <c:pt idx="341">
                  <c:v>0</c:v>
                </c:pt>
                <c:pt idx="342">
                  <c:v>0</c:v>
                </c:pt>
                <c:pt idx="343">
                  <c:v>0</c:v>
                </c:pt>
                <c:pt idx="344">
                  <c:v>0</c:v>
                </c:pt>
                <c:pt idx="345">
                  <c:v>0</c:v>
                </c:pt>
                <c:pt idx="346">
                  <c:v>0</c:v>
                </c:pt>
                <c:pt idx="347">
                  <c:v>0</c:v>
                </c:pt>
                <c:pt idx="348">
                  <c:v>0</c:v>
                </c:pt>
                <c:pt idx="349">
                  <c:v>0</c:v>
                </c:pt>
                <c:pt idx="350">
                  <c:v>1</c:v>
                </c:pt>
                <c:pt idx="351">
                  <c:v>0</c:v>
                </c:pt>
                <c:pt idx="352">
                  <c:v>0</c:v>
                </c:pt>
                <c:pt idx="353">
                  <c:v>0</c:v>
                </c:pt>
                <c:pt idx="354">
                  <c:v>0</c:v>
                </c:pt>
                <c:pt idx="355">
                  <c:v>0</c:v>
                </c:pt>
                <c:pt idx="356">
                  <c:v>0</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1</c:v>
                </c:pt>
                <c:pt idx="372">
                  <c:v>0</c:v>
                </c:pt>
                <c:pt idx="373">
                  <c:v>0</c:v>
                </c:pt>
                <c:pt idx="374">
                  <c:v>0</c:v>
                </c:pt>
                <c:pt idx="375">
                  <c:v>0</c:v>
                </c:pt>
                <c:pt idx="376">
                  <c:v>0</c:v>
                </c:pt>
                <c:pt idx="377">
                  <c:v>0</c:v>
                </c:pt>
                <c:pt idx="378">
                  <c:v>0</c:v>
                </c:pt>
                <c:pt idx="379">
                  <c:v>1</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1</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1</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1</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1</c:v>
                </c:pt>
                <c:pt idx="458">
                  <c:v>0</c:v>
                </c:pt>
                <c:pt idx="459">
                  <c:v>0</c:v>
                </c:pt>
                <c:pt idx="460">
                  <c:v>0</c:v>
                </c:pt>
                <c:pt idx="461">
                  <c:v>0</c:v>
                </c:pt>
                <c:pt idx="462">
                  <c:v>0</c:v>
                </c:pt>
                <c:pt idx="463">
                  <c:v>0</c:v>
                </c:pt>
                <c:pt idx="464">
                  <c:v>0</c:v>
                </c:pt>
                <c:pt idx="465">
                  <c:v>0</c:v>
                </c:pt>
                <c:pt idx="466">
                  <c:v>0</c:v>
                </c:pt>
                <c:pt idx="467">
                  <c:v>1</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1</c:v>
                </c:pt>
                <c:pt idx="482">
                  <c:v>0</c:v>
                </c:pt>
                <c:pt idx="483">
                  <c:v>0</c:v>
                </c:pt>
                <c:pt idx="484">
                  <c:v>0</c:v>
                </c:pt>
                <c:pt idx="485">
                  <c:v>0</c:v>
                </c:pt>
                <c:pt idx="486">
                  <c:v>0</c:v>
                </c:pt>
                <c:pt idx="487">
                  <c:v>0</c:v>
                </c:pt>
                <c:pt idx="488">
                  <c:v>0</c:v>
                </c:pt>
                <c:pt idx="489">
                  <c:v>0</c:v>
                </c:pt>
                <c:pt idx="490">
                  <c:v>0</c:v>
                </c:pt>
                <c:pt idx="491">
                  <c:v>0</c:v>
                </c:pt>
                <c:pt idx="492">
                  <c:v>0</c:v>
                </c:pt>
                <c:pt idx="493">
                  <c:v>1</c:v>
                </c:pt>
                <c:pt idx="494">
                  <c:v>0</c:v>
                </c:pt>
                <c:pt idx="495">
                  <c:v>0</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0</c:v>
                </c:pt>
                <c:pt idx="514">
                  <c:v>0</c:v>
                </c:pt>
                <c:pt idx="515">
                  <c:v>0</c:v>
                </c:pt>
                <c:pt idx="516">
                  <c:v>1</c:v>
                </c:pt>
                <c:pt idx="517">
                  <c:v>0</c:v>
                </c:pt>
                <c:pt idx="518">
                  <c:v>0</c:v>
                </c:pt>
                <c:pt idx="519">
                  <c:v>0</c:v>
                </c:pt>
                <c:pt idx="520">
                  <c:v>0</c:v>
                </c:pt>
                <c:pt idx="521">
                  <c:v>0</c:v>
                </c:pt>
                <c:pt idx="522">
                  <c:v>0</c:v>
                </c:pt>
                <c:pt idx="523">
                  <c:v>0</c:v>
                </c:pt>
                <c:pt idx="524">
                  <c:v>0</c:v>
                </c:pt>
                <c:pt idx="525">
                  <c:v>0</c:v>
                </c:pt>
                <c:pt idx="526">
                  <c:v>0</c:v>
                </c:pt>
                <c:pt idx="527">
                  <c:v>1</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1</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1</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1</c:v>
                </c:pt>
                <c:pt idx="597">
                  <c:v>0</c:v>
                </c:pt>
                <c:pt idx="598">
                  <c:v>0</c:v>
                </c:pt>
                <c:pt idx="599">
                  <c:v>0</c:v>
                </c:pt>
                <c:pt idx="600">
                  <c:v>0</c:v>
                </c:pt>
                <c:pt idx="601">
                  <c:v>0</c:v>
                </c:pt>
                <c:pt idx="602">
                  <c:v>0</c:v>
                </c:pt>
                <c:pt idx="603">
                  <c:v>0</c:v>
                </c:pt>
                <c:pt idx="604">
                  <c:v>0</c:v>
                </c:pt>
                <c:pt idx="605">
                  <c:v>0</c:v>
                </c:pt>
                <c:pt idx="606">
                  <c:v>0</c:v>
                </c:pt>
                <c:pt idx="607">
                  <c:v>0</c:v>
                </c:pt>
                <c:pt idx="608">
                  <c:v>0</c:v>
                </c:pt>
                <c:pt idx="609">
                  <c:v>1</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1</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1</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1</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1</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1</c:v>
                </c:pt>
                <c:pt idx="708">
                  <c:v>0</c:v>
                </c:pt>
                <c:pt idx="709">
                  <c:v>0</c:v>
                </c:pt>
                <c:pt idx="710">
                  <c:v>0</c:v>
                </c:pt>
                <c:pt idx="711">
                  <c:v>0</c:v>
                </c:pt>
                <c:pt idx="712">
                  <c:v>0</c:v>
                </c:pt>
                <c:pt idx="713">
                  <c:v>0</c:v>
                </c:pt>
                <c:pt idx="714">
                  <c:v>0</c:v>
                </c:pt>
                <c:pt idx="715">
                  <c:v>0</c:v>
                </c:pt>
                <c:pt idx="716">
                  <c:v>0</c:v>
                </c:pt>
                <c:pt idx="717">
                  <c:v>0</c:v>
                </c:pt>
                <c:pt idx="718">
                  <c:v>0</c:v>
                </c:pt>
                <c:pt idx="719">
                  <c:v>1</c:v>
                </c:pt>
                <c:pt idx="720">
                  <c:v>0</c:v>
                </c:pt>
                <c:pt idx="721">
                  <c:v>0</c:v>
                </c:pt>
                <c:pt idx="722">
                  <c:v>0</c:v>
                </c:pt>
                <c:pt idx="723">
                  <c:v>0</c:v>
                </c:pt>
                <c:pt idx="724">
                  <c:v>0</c:v>
                </c:pt>
                <c:pt idx="725">
                  <c:v>0</c:v>
                </c:pt>
                <c:pt idx="726">
                  <c:v>0</c:v>
                </c:pt>
                <c:pt idx="727">
                  <c:v>0</c:v>
                </c:pt>
                <c:pt idx="728">
                  <c:v>0</c:v>
                </c:pt>
                <c:pt idx="729">
                  <c:v>1</c:v>
                </c:pt>
                <c:pt idx="730">
                  <c:v>0</c:v>
                </c:pt>
                <c:pt idx="731">
                  <c:v>0</c:v>
                </c:pt>
                <c:pt idx="732">
                  <c:v>0</c:v>
                </c:pt>
                <c:pt idx="733">
                  <c:v>0</c:v>
                </c:pt>
                <c:pt idx="734">
                  <c:v>0</c:v>
                </c:pt>
                <c:pt idx="735">
                  <c:v>0</c:v>
                </c:pt>
                <c:pt idx="736">
                  <c:v>0</c:v>
                </c:pt>
                <c:pt idx="737">
                  <c:v>0</c:v>
                </c:pt>
                <c:pt idx="738">
                  <c:v>0</c:v>
                </c:pt>
                <c:pt idx="739">
                  <c:v>0</c:v>
                </c:pt>
                <c:pt idx="740">
                  <c:v>0</c:v>
                </c:pt>
                <c:pt idx="741">
                  <c:v>1</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1</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1</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1</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1</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1</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1</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1</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1</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1</c:v>
                </c:pt>
                <c:pt idx="895">
                  <c:v>0</c:v>
                </c:pt>
                <c:pt idx="896">
                  <c:v>0</c:v>
                </c:pt>
                <c:pt idx="897">
                  <c:v>0</c:v>
                </c:pt>
                <c:pt idx="898">
                  <c:v>0</c:v>
                </c:pt>
                <c:pt idx="899">
                  <c:v>0</c:v>
                </c:pt>
                <c:pt idx="900">
                  <c:v>0</c:v>
                </c:pt>
                <c:pt idx="901">
                  <c:v>0</c:v>
                </c:pt>
                <c:pt idx="902">
                  <c:v>0</c:v>
                </c:pt>
                <c:pt idx="903">
                  <c:v>0</c:v>
                </c:pt>
                <c:pt idx="904">
                  <c:v>0</c:v>
                </c:pt>
                <c:pt idx="905">
                  <c:v>0</c:v>
                </c:pt>
                <c:pt idx="906">
                  <c:v>1</c:v>
                </c:pt>
                <c:pt idx="907">
                  <c:v>0</c:v>
                </c:pt>
                <c:pt idx="908">
                  <c:v>0</c:v>
                </c:pt>
              </c:numCache>
            </c:numRef>
          </c:yVal>
          <c:smooth val="0"/>
          <c:extLst>
            <c:ext xmlns:c16="http://schemas.microsoft.com/office/drawing/2014/chart" uri="{C3380CC4-5D6E-409C-BE32-E72D297353CC}">
              <c16:uniqueId val="{00000001-E84C-43E7-AFE1-B37875BA751E}"/>
            </c:ext>
          </c:extLst>
        </c:ser>
        <c:dLbls>
          <c:showLegendKey val="0"/>
          <c:showVal val="0"/>
          <c:showCatName val="0"/>
          <c:showSerName val="0"/>
          <c:showPercent val="0"/>
          <c:showBubbleSize val="0"/>
        </c:dLbls>
        <c:axId val="666144223"/>
        <c:axId val="814957648"/>
      </c:scatterChart>
      <c:valAx>
        <c:axId val="666144223"/>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957648"/>
        <c:crosses val="autoZero"/>
        <c:crossBetween val="midCat"/>
      </c:valAx>
      <c:valAx>
        <c:axId val="81495764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442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Gym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Health!$P$3:$P$959</c:f>
              <c:numCache>
                <c:formatCode>General</c:formatCode>
                <c:ptCount val="957"/>
                <c:pt idx="0">
                  <c:v>0</c:v>
                </c:pt>
                <c:pt idx="1">
                  <c:v>1</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1</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1</c:v>
                </c:pt>
                <c:pt idx="45">
                  <c:v>1</c:v>
                </c:pt>
                <c:pt idx="46">
                  <c:v>1</c:v>
                </c:pt>
                <c:pt idx="47">
                  <c:v>1</c:v>
                </c:pt>
                <c:pt idx="48">
                  <c:v>0</c:v>
                </c:pt>
                <c:pt idx="49">
                  <c:v>0</c:v>
                </c:pt>
                <c:pt idx="50">
                  <c:v>0</c:v>
                </c:pt>
                <c:pt idx="51">
                  <c:v>1</c:v>
                </c:pt>
                <c:pt idx="52">
                  <c:v>1</c:v>
                </c:pt>
                <c:pt idx="53">
                  <c:v>1</c:v>
                </c:pt>
                <c:pt idx="54">
                  <c:v>1</c:v>
                </c:pt>
                <c:pt idx="55">
                  <c:v>1</c:v>
                </c:pt>
                <c:pt idx="56">
                  <c:v>0</c:v>
                </c:pt>
                <c:pt idx="57">
                  <c:v>0</c:v>
                </c:pt>
                <c:pt idx="58">
                  <c:v>1</c:v>
                </c:pt>
                <c:pt idx="59">
                  <c:v>1</c:v>
                </c:pt>
                <c:pt idx="60">
                  <c:v>1</c:v>
                </c:pt>
                <c:pt idx="61">
                  <c:v>1</c:v>
                </c:pt>
                <c:pt idx="62">
                  <c:v>1</c:v>
                </c:pt>
                <c:pt idx="63">
                  <c:v>0</c:v>
                </c:pt>
                <c:pt idx="64">
                  <c:v>0</c:v>
                </c:pt>
                <c:pt idx="65">
                  <c:v>1</c:v>
                </c:pt>
                <c:pt idx="66">
                  <c:v>1</c:v>
                </c:pt>
                <c:pt idx="67">
                  <c:v>1</c:v>
                </c:pt>
                <c:pt idx="68">
                  <c:v>0</c:v>
                </c:pt>
                <c:pt idx="69">
                  <c:v>0</c:v>
                </c:pt>
                <c:pt idx="70">
                  <c:v>0</c:v>
                </c:pt>
                <c:pt idx="71">
                  <c:v>0</c:v>
                </c:pt>
                <c:pt idx="72">
                  <c:v>1</c:v>
                </c:pt>
                <c:pt idx="73">
                  <c:v>1</c:v>
                </c:pt>
                <c:pt idx="74">
                  <c:v>1</c:v>
                </c:pt>
                <c:pt idx="75">
                  <c:v>1</c:v>
                </c:pt>
                <c:pt idx="76">
                  <c:v>1</c:v>
                </c:pt>
                <c:pt idx="77">
                  <c:v>0</c:v>
                </c:pt>
                <c:pt idx="78">
                  <c:v>0</c:v>
                </c:pt>
                <c:pt idx="79">
                  <c:v>1</c:v>
                </c:pt>
                <c:pt idx="80">
                  <c:v>1</c:v>
                </c:pt>
                <c:pt idx="81">
                  <c:v>1</c:v>
                </c:pt>
                <c:pt idx="82">
                  <c:v>1</c:v>
                </c:pt>
                <c:pt idx="83">
                  <c:v>1</c:v>
                </c:pt>
                <c:pt idx="84">
                  <c:v>0</c:v>
                </c:pt>
                <c:pt idx="85">
                  <c:v>0</c:v>
                </c:pt>
                <c:pt idx="86">
                  <c:v>1</c:v>
                </c:pt>
                <c:pt idx="87">
                  <c:v>1</c:v>
                </c:pt>
                <c:pt idx="88">
                  <c:v>1</c:v>
                </c:pt>
                <c:pt idx="89">
                  <c:v>1</c:v>
                </c:pt>
                <c:pt idx="90">
                  <c:v>1</c:v>
                </c:pt>
                <c:pt idx="91">
                  <c:v>0</c:v>
                </c:pt>
                <c:pt idx="92">
                  <c:v>0</c:v>
                </c:pt>
                <c:pt idx="93">
                  <c:v>1</c:v>
                </c:pt>
                <c:pt idx="94">
                  <c:v>1</c:v>
                </c:pt>
                <c:pt idx="95">
                  <c:v>1</c:v>
                </c:pt>
                <c:pt idx="96">
                  <c:v>1</c:v>
                </c:pt>
                <c:pt idx="97">
                  <c:v>1</c:v>
                </c:pt>
                <c:pt idx="98">
                  <c:v>0</c:v>
                </c:pt>
                <c:pt idx="99">
                  <c:v>0</c:v>
                </c:pt>
                <c:pt idx="100">
                  <c:v>1</c:v>
                </c:pt>
                <c:pt idx="101">
                  <c:v>1</c:v>
                </c:pt>
                <c:pt idx="102">
                  <c:v>1</c:v>
                </c:pt>
                <c:pt idx="103">
                  <c:v>1</c:v>
                </c:pt>
                <c:pt idx="104">
                  <c:v>1</c:v>
                </c:pt>
                <c:pt idx="105">
                  <c:v>0</c:v>
                </c:pt>
                <c:pt idx="106">
                  <c:v>0</c:v>
                </c:pt>
                <c:pt idx="107">
                  <c:v>1</c:v>
                </c:pt>
                <c:pt idx="108">
                  <c:v>1</c:v>
                </c:pt>
                <c:pt idx="109">
                  <c:v>0</c:v>
                </c:pt>
                <c:pt idx="110">
                  <c:v>0</c:v>
                </c:pt>
                <c:pt idx="111">
                  <c:v>0</c:v>
                </c:pt>
                <c:pt idx="112">
                  <c:v>0</c:v>
                </c:pt>
                <c:pt idx="113">
                  <c:v>0</c:v>
                </c:pt>
                <c:pt idx="114">
                  <c:v>1</c:v>
                </c:pt>
                <c:pt idx="115">
                  <c:v>1</c:v>
                </c:pt>
                <c:pt idx="116">
                  <c:v>1</c:v>
                </c:pt>
                <c:pt idx="117">
                  <c:v>1</c:v>
                </c:pt>
                <c:pt idx="118">
                  <c:v>1</c:v>
                </c:pt>
                <c:pt idx="119">
                  <c:v>0</c:v>
                </c:pt>
                <c:pt idx="120">
                  <c:v>0</c:v>
                </c:pt>
                <c:pt idx="121">
                  <c:v>1</c:v>
                </c:pt>
                <c:pt idx="122">
                  <c:v>1</c:v>
                </c:pt>
                <c:pt idx="123">
                  <c:v>1</c:v>
                </c:pt>
                <c:pt idx="124">
                  <c:v>1</c:v>
                </c:pt>
                <c:pt idx="125">
                  <c:v>1</c:v>
                </c:pt>
                <c:pt idx="126">
                  <c:v>0</c:v>
                </c:pt>
                <c:pt idx="127">
                  <c:v>0</c:v>
                </c:pt>
                <c:pt idx="128">
                  <c:v>1</c:v>
                </c:pt>
                <c:pt idx="129">
                  <c:v>1</c:v>
                </c:pt>
                <c:pt idx="130">
                  <c:v>1</c:v>
                </c:pt>
                <c:pt idx="131">
                  <c:v>1</c:v>
                </c:pt>
                <c:pt idx="132">
                  <c:v>1</c:v>
                </c:pt>
                <c:pt idx="133">
                  <c:v>0</c:v>
                </c:pt>
                <c:pt idx="134">
                  <c:v>0</c:v>
                </c:pt>
                <c:pt idx="135">
                  <c:v>1</c:v>
                </c:pt>
                <c:pt idx="136">
                  <c:v>1</c:v>
                </c:pt>
                <c:pt idx="137">
                  <c:v>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1</c:v>
                </c:pt>
                <c:pt idx="160">
                  <c:v>1</c:v>
                </c:pt>
                <c:pt idx="161">
                  <c:v>0</c:v>
                </c:pt>
                <c:pt idx="162">
                  <c:v>1</c:v>
                </c:pt>
                <c:pt idx="163">
                  <c:v>0</c:v>
                </c:pt>
                <c:pt idx="164">
                  <c:v>1</c:v>
                </c:pt>
                <c:pt idx="165">
                  <c:v>1</c:v>
                </c:pt>
                <c:pt idx="166">
                  <c:v>1</c:v>
                </c:pt>
                <c:pt idx="167">
                  <c:v>0</c:v>
                </c:pt>
                <c:pt idx="168">
                  <c:v>1</c:v>
                </c:pt>
                <c:pt idx="169">
                  <c:v>1</c:v>
                </c:pt>
                <c:pt idx="170">
                  <c:v>1</c:v>
                </c:pt>
                <c:pt idx="171">
                  <c:v>1</c:v>
                </c:pt>
                <c:pt idx="172">
                  <c:v>1</c:v>
                </c:pt>
                <c:pt idx="173">
                  <c:v>1</c:v>
                </c:pt>
                <c:pt idx="174">
                  <c:v>1</c:v>
                </c:pt>
                <c:pt idx="175">
                  <c:v>1</c:v>
                </c:pt>
                <c:pt idx="176">
                  <c:v>1</c:v>
                </c:pt>
                <c:pt idx="177">
                  <c:v>1</c:v>
                </c:pt>
                <c:pt idx="178">
                  <c:v>1</c:v>
                </c:pt>
                <c:pt idx="179">
                  <c:v>0</c:v>
                </c:pt>
                <c:pt idx="180">
                  <c:v>0</c:v>
                </c:pt>
                <c:pt idx="181">
                  <c:v>0</c:v>
                </c:pt>
                <c:pt idx="182">
                  <c:v>0</c:v>
                </c:pt>
                <c:pt idx="183">
                  <c:v>1</c:v>
                </c:pt>
                <c:pt idx="184">
                  <c:v>1</c:v>
                </c:pt>
                <c:pt idx="185">
                  <c:v>1</c:v>
                </c:pt>
                <c:pt idx="186">
                  <c:v>1</c:v>
                </c:pt>
                <c:pt idx="187">
                  <c:v>1</c:v>
                </c:pt>
                <c:pt idx="188">
                  <c:v>1</c:v>
                </c:pt>
                <c:pt idx="189">
                  <c:v>0</c:v>
                </c:pt>
                <c:pt idx="190">
                  <c:v>1</c:v>
                </c:pt>
                <c:pt idx="191">
                  <c:v>1</c:v>
                </c:pt>
                <c:pt idx="192">
                  <c:v>1</c:v>
                </c:pt>
                <c:pt idx="193">
                  <c:v>1</c:v>
                </c:pt>
                <c:pt idx="194">
                  <c:v>1</c:v>
                </c:pt>
                <c:pt idx="195">
                  <c:v>1</c:v>
                </c:pt>
                <c:pt idx="196">
                  <c:v>0</c:v>
                </c:pt>
                <c:pt idx="197">
                  <c:v>1</c:v>
                </c:pt>
                <c:pt idx="198">
                  <c:v>1</c:v>
                </c:pt>
                <c:pt idx="199">
                  <c:v>1</c:v>
                </c:pt>
                <c:pt idx="200">
                  <c:v>0</c:v>
                </c:pt>
                <c:pt idx="201">
                  <c:v>0</c:v>
                </c:pt>
                <c:pt idx="202">
                  <c:v>0</c:v>
                </c:pt>
                <c:pt idx="203">
                  <c:v>0</c:v>
                </c:pt>
                <c:pt idx="204">
                  <c:v>1</c:v>
                </c:pt>
                <c:pt idx="205">
                  <c:v>1</c:v>
                </c:pt>
                <c:pt idx="206">
                  <c:v>1</c:v>
                </c:pt>
                <c:pt idx="207">
                  <c:v>1</c:v>
                </c:pt>
                <c:pt idx="208">
                  <c:v>1</c:v>
                </c:pt>
                <c:pt idx="209">
                  <c:v>0</c:v>
                </c:pt>
                <c:pt idx="210">
                  <c:v>1</c:v>
                </c:pt>
                <c:pt idx="211">
                  <c:v>1</c:v>
                </c:pt>
                <c:pt idx="212">
                  <c:v>1</c:v>
                </c:pt>
                <c:pt idx="213">
                  <c:v>1</c:v>
                </c:pt>
                <c:pt idx="214">
                  <c:v>1</c:v>
                </c:pt>
                <c:pt idx="215">
                  <c:v>1</c:v>
                </c:pt>
                <c:pt idx="216">
                  <c:v>0</c:v>
                </c:pt>
                <c:pt idx="217">
                  <c:v>0</c:v>
                </c:pt>
                <c:pt idx="218">
                  <c:v>0</c:v>
                </c:pt>
                <c:pt idx="219">
                  <c:v>0</c:v>
                </c:pt>
                <c:pt idx="220">
                  <c:v>0</c:v>
                </c:pt>
                <c:pt idx="221">
                  <c:v>0</c:v>
                </c:pt>
                <c:pt idx="222">
                  <c:v>0</c:v>
                </c:pt>
                <c:pt idx="223">
                  <c:v>0</c:v>
                </c:pt>
                <c:pt idx="224">
                  <c:v>0</c:v>
                </c:pt>
                <c:pt idx="225">
                  <c:v>1</c:v>
                </c:pt>
                <c:pt idx="226">
                  <c:v>1</c:v>
                </c:pt>
                <c:pt idx="227">
                  <c:v>1</c:v>
                </c:pt>
                <c:pt idx="228">
                  <c:v>1</c:v>
                </c:pt>
                <c:pt idx="229">
                  <c:v>0</c:v>
                </c:pt>
                <c:pt idx="230">
                  <c:v>0</c:v>
                </c:pt>
                <c:pt idx="231">
                  <c:v>1</c:v>
                </c:pt>
                <c:pt idx="232">
                  <c:v>1</c:v>
                </c:pt>
                <c:pt idx="233">
                  <c:v>1</c:v>
                </c:pt>
                <c:pt idx="234">
                  <c:v>1</c:v>
                </c:pt>
                <c:pt idx="235">
                  <c:v>1</c:v>
                </c:pt>
                <c:pt idx="236">
                  <c:v>1</c:v>
                </c:pt>
                <c:pt idx="237">
                  <c:v>1</c:v>
                </c:pt>
                <c:pt idx="238">
                  <c:v>0</c:v>
                </c:pt>
                <c:pt idx="239">
                  <c:v>1</c:v>
                </c:pt>
                <c:pt idx="240">
                  <c:v>1</c:v>
                </c:pt>
                <c:pt idx="241">
                  <c:v>1</c:v>
                </c:pt>
                <c:pt idx="242">
                  <c:v>1</c:v>
                </c:pt>
                <c:pt idx="243">
                  <c:v>1</c:v>
                </c:pt>
                <c:pt idx="244">
                  <c:v>1</c:v>
                </c:pt>
                <c:pt idx="245">
                  <c:v>0</c:v>
                </c:pt>
                <c:pt idx="246">
                  <c:v>1</c:v>
                </c:pt>
                <c:pt idx="247">
                  <c:v>1</c:v>
                </c:pt>
                <c:pt idx="248">
                  <c:v>1</c:v>
                </c:pt>
                <c:pt idx="249">
                  <c:v>0</c:v>
                </c:pt>
                <c:pt idx="250">
                  <c:v>1</c:v>
                </c:pt>
                <c:pt idx="251">
                  <c:v>1</c:v>
                </c:pt>
                <c:pt idx="252">
                  <c:v>1</c:v>
                </c:pt>
                <c:pt idx="253">
                  <c:v>0</c:v>
                </c:pt>
                <c:pt idx="254">
                  <c:v>1</c:v>
                </c:pt>
                <c:pt idx="255">
                  <c:v>1</c:v>
                </c:pt>
                <c:pt idx="256">
                  <c:v>0</c:v>
                </c:pt>
                <c:pt idx="257">
                  <c:v>1</c:v>
                </c:pt>
                <c:pt idx="258">
                  <c:v>1</c:v>
                </c:pt>
                <c:pt idx="259">
                  <c:v>0</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0</c:v>
                </c:pt>
                <c:pt idx="274">
                  <c:v>1</c:v>
                </c:pt>
                <c:pt idx="275">
                  <c:v>1</c:v>
                </c:pt>
                <c:pt idx="276">
                  <c:v>1</c:v>
                </c:pt>
                <c:pt idx="277">
                  <c:v>1</c:v>
                </c:pt>
                <c:pt idx="278">
                  <c:v>1</c:v>
                </c:pt>
                <c:pt idx="279">
                  <c:v>1</c:v>
                </c:pt>
                <c:pt idx="280">
                  <c:v>0</c:v>
                </c:pt>
                <c:pt idx="281">
                  <c:v>0</c:v>
                </c:pt>
                <c:pt idx="282">
                  <c:v>1</c:v>
                </c:pt>
                <c:pt idx="283">
                  <c:v>1</c:v>
                </c:pt>
                <c:pt idx="284">
                  <c:v>1</c:v>
                </c:pt>
                <c:pt idx="285">
                  <c:v>1</c:v>
                </c:pt>
                <c:pt idx="286">
                  <c:v>1</c:v>
                </c:pt>
                <c:pt idx="287">
                  <c:v>0</c:v>
                </c:pt>
                <c:pt idx="288">
                  <c:v>0</c:v>
                </c:pt>
                <c:pt idx="289">
                  <c:v>1</c:v>
                </c:pt>
                <c:pt idx="290">
                  <c:v>1</c:v>
                </c:pt>
                <c:pt idx="291">
                  <c:v>1</c:v>
                </c:pt>
                <c:pt idx="292">
                  <c:v>1</c:v>
                </c:pt>
                <c:pt idx="293">
                  <c:v>1</c:v>
                </c:pt>
                <c:pt idx="294">
                  <c:v>1</c:v>
                </c:pt>
                <c:pt idx="295">
                  <c:v>0</c:v>
                </c:pt>
                <c:pt idx="296">
                  <c:v>0</c:v>
                </c:pt>
                <c:pt idx="297">
                  <c:v>1</c:v>
                </c:pt>
                <c:pt idx="298">
                  <c:v>1</c:v>
                </c:pt>
                <c:pt idx="299">
                  <c:v>0</c:v>
                </c:pt>
                <c:pt idx="300">
                  <c:v>1</c:v>
                </c:pt>
                <c:pt idx="301">
                  <c:v>1</c:v>
                </c:pt>
                <c:pt idx="302">
                  <c:v>0</c:v>
                </c:pt>
                <c:pt idx="303">
                  <c:v>1</c:v>
                </c:pt>
                <c:pt idx="304">
                  <c:v>1</c:v>
                </c:pt>
                <c:pt idx="305">
                  <c:v>1</c:v>
                </c:pt>
                <c:pt idx="306">
                  <c:v>1</c:v>
                </c:pt>
                <c:pt idx="307">
                  <c:v>1</c:v>
                </c:pt>
                <c:pt idx="308">
                  <c:v>1</c:v>
                </c:pt>
                <c:pt idx="309">
                  <c:v>0</c:v>
                </c:pt>
                <c:pt idx="310">
                  <c:v>1</c:v>
                </c:pt>
                <c:pt idx="311">
                  <c:v>1</c:v>
                </c:pt>
                <c:pt idx="312">
                  <c:v>1</c:v>
                </c:pt>
                <c:pt idx="313">
                  <c:v>1</c:v>
                </c:pt>
                <c:pt idx="314">
                  <c:v>1</c:v>
                </c:pt>
                <c:pt idx="315">
                  <c:v>1</c:v>
                </c:pt>
                <c:pt idx="316">
                  <c:v>0</c:v>
                </c:pt>
                <c:pt idx="317">
                  <c:v>0</c:v>
                </c:pt>
                <c:pt idx="318">
                  <c:v>1</c:v>
                </c:pt>
                <c:pt idx="319">
                  <c:v>1</c:v>
                </c:pt>
                <c:pt idx="320">
                  <c:v>1</c:v>
                </c:pt>
                <c:pt idx="321">
                  <c:v>1</c:v>
                </c:pt>
                <c:pt idx="322">
                  <c:v>1</c:v>
                </c:pt>
                <c:pt idx="323">
                  <c:v>0</c:v>
                </c:pt>
                <c:pt idx="324">
                  <c:v>1</c:v>
                </c:pt>
                <c:pt idx="325">
                  <c:v>1</c:v>
                </c:pt>
                <c:pt idx="326">
                  <c:v>1</c:v>
                </c:pt>
                <c:pt idx="327">
                  <c:v>1</c:v>
                </c:pt>
                <c:pt idx="328">
                  <c:v>1</c:v>
                </c:pt>
                <c:pt idx="329">
                  <c:v>1</c:v>
                </c:pt>
                <c:pt idx="330">
                  <c:v>0</c:v>
                </c:pt>
                <c:pt idx="331">
                  <c:v>0</c:v>
                </c:pt>
                <c:pt idx="332">
                  <c:v>1</c:v>
                </c:pt>
                <c:pt idx="333">
                  <c:v>1</c:v>
                </c:pt>
                <c:pt idx="334">
                  <c:v>1</c:v>
                </c:pt>
                <c:pt idx="335">
                  <c:v>1</c:v>
                </c:pt>
                <c:pt idx="336">
                  <c:v>1</c:v>
                </c:pt>
                <c:pt idx="337">
                  <c:v>0</c:v>
                </c:pt>
                <c:pt idx="338">
                  <c:v>1</c:v>
                </c:pt>
                <c:pt idx="339">
                  <c:v>1</c:v>
                </c:pt>
                <c:pt idx="340">
                  <c:v>1</c:v>
                </c:pt>
                <c:pt idx="341">
                  <c:v>1</c:v>
                </c:pt>
                <c:pt idx="342">
                  <c:v>1</c:v>
                </c:pt>
                <c:pt idx="343">
                  <c:v>1</c:v>
                </c:pt>
                <c:pt idx="344">
                  <c:v>0</c:v>
                </c:pt>
                <c:pt idx="345">
                  <c:v>1</c:v>
                </c:pt>
                <c:pt idx="346">
                  <c:v>1</c:v>
                </c:pt>
                <c:pt idx="347">
                  <c:v>1</c:v>
                </c:pt>
                <c:pt idx="348">
                  <c:v>1</c:v>
                </c:pt>
                <c:pt idx="349">
                  <c:v>1</c:v>
                </c:pt>
                <c:pt idx="350">
                  <c:v>1</c:v>
                </c:pt>
                <c:pt idx="351">
                  <c:v>0</c:v>
                </c:pt>
                <c:pt idx="352">
                  <c:v>1</c:v>
                </c:pt>
                <c:pt idx="353">
                  <c:v>1</c:v>
                </c:pt>
                <c:pt idx="354">
                  <c:v>1</c:v>
                </c:pt>
                <c:pt idx="355">
                  <c:v>1</c:v>
                </c:pt>
                <c:pt idx="356">
                  <c:v>1</c:v>
                </c:pt>
                <c:pt idx="357">
                  <c:v>1</c:v>
                </c:pt>
                <c:pt idx="358">
                  <c:v>0</c:v>
                </c:pt>
                <c:pt idx="359">
                  <c:v>1</c:v>
                </c:pt>
                <c:pt idx="360">
                  <c:v>1</c:v>
                </c:pt>
                <c:pt idx="361">
                  <c:v>1</c:v>
                </c:pt>
                <c:pt idx="362">
                  <c:v>1</c:v>
                </c:pt>
                <c:pt idx="363">
                  <c:v>1</c:v>
                </c:pt>
                <c:pt idx="364">
                  <c:v>1</c:v>
                </c:pt>
                <c:pt idx="365">
                  <c:v>0</c:v>
                </c:pt>
                <c:pt idx="366">
                  <c:v>1</c:v>
                </c:pt>
                <c:pt idx="367">
                  <c:v>1</c:v>
                </c:pt>
                <c:pt idx="368">
                  <c:v>1</c:v>
                </c:pt>
                <c:pt idx="369">
                  <c:v>1</c:v>
                </c:pt>
                <c:pt idx="370">
                  <c:v>1</c:v>
                </c:pt>
                <c:pt idx="371">
                  <c:v>1</c:v>
                </c:pt>
                <c:pt idx="372">
                  <c:v>0</c:v>
                </c:pt>
                <c:pt idx="373">
                  <c:v>1</c:v>
                </c:pt>
                <c:pt idx="374">
                  <c:v>1</c:v>
                </c:pt>
                <c:pt idx="375">
                  <c:v>1</c:v>
                </c:pt>
                <c:pt idx="376">
                  <c:v>1</c:v>
                </c:pt>
                <c:pt idx="377">
                  <c:v>1</c:v>
                </c:pt>
                <c:pt idx="378">
                  <c:v>1</c:v>
                </c:pt>
                <c:pt idx="379">
                  <c:v>0</c:v>
                </c:pt>
                <c:pt idx="380">
                  <c:v>1</c:v>
                </c:pt>
                <c:pt idx="381">
                  <c:v>1</c:v>
                </c:pt>
                <c:pt idx="382">
                  <c:v>1</c:v>
                </c:pt>
                <c:pt idx="383">
                  <c:v>1</c:v>
                </c:pt>
                <c:pt idx="384">
                  <c:v>1</c:v>
                </c:pt>
                <c:pt idx="385">
                  <c:v>1</c:v>
                </c:pt>
                <c:pt idx="386">
                  <c:v>0</c:v>
                </c:pt>
                <c:pt idx="387">
                  <c:v>1</c:v>
                </c:pt>
                <c:pt idx="388">
                  <c:v>1</c:v>
                </c:pt>
                <c:pt idx="389">
                  <c:v>1</c:v>
                </c:pt>
                <c:pt idx="390">
                  <c:v>1</c:v>
                </c:pt>
                <c:pt idx="391">
                  <c:v>1</c:v>
                </c:pt>
                <c:pt idx="392">
                  <c:v>1</c:v>
                </c:pt>
                <c:pt idx="393">
                  <c:v>1</c:v>
                </c:pt>
                <c:pt idx="394">
                  <c:v>0</c:v>
                </c:pt>
                <c:pt idx="395">
                  <c:v>1</c:v>
                </c:pt>
                <c:pt idx="396">
                  <c:v>1</c:v>
                </c:pt>
                <c:pt idx="397">
                  <c:v>1</c:v>
                </c:pt>
                <c:pt idx="398">
                  <c:v>1</c:v>
                </c:pt>
                <c:pt idx="399">
                  <c:v>1</c:v>
                </c:pt>
                <c:pt idx="400">
                  <c:v>0</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0</c:v>
                </c:pt>
                <c:pt idx="415">
                  <c:v>1</c:v>
                </c:pt>
                <c:pt idx="416">
                  <c:v>1</c:v>
                </c:pt>
                <c:pt idx="417">
                  <c:v>1</c:v>
                </c:pt>
                <c:pt idx="418">
                  <c:v>1</c:v>
                </c:pt>
                <c:pt idx="419">
                  <c:v>1</c:v>
                </c:pt>
                <c:pt idx="420">
                  <c:v>1</c:v>
                </c:pt>
                <c:pt idx="421">
                  <c:v>0</c:v>
                </c:pt>
                <c:pt idx="422">
                  <c:v>1</c:v>
                </c:pt>
                <c:pt idx="423">
                  <c:v>1</c:v>
                </c:pt>
                <c:pt idx="424">
                  <c:v>1</c:v>
                </c:pt>
                <c:pt idx="425">
                  <c:v>1</c:v>
                </c:pt>
                <c:pt idx="426">
                  <c:v>1</c:v>
                </c:pt>
                <c:pt idx="427">
                  <c:v>1</c:v>
                </c:pt>
                <c:pt idx="428">
                  <c:v>0</c:v>
                </c:pt>
                <c:pt idx="429">
                  <c:v>1</c:v>
                </c:pt>
                <c:pt idx="430">
                  <c:v>1</c:v>
                </c:pt>
                <c:pt idx="431">
                  <c:v>1</c:v>
                </c:pt>
                <c:pt idx="432">
                  <c:v>0</c:v>
                </c:pt>
                <c:pt idx="433">
                  <c:v>0</c:v>
                </c:pt>
                <c:pt idx="434">
                  <c:v>0</c:v>
                </c:pt>
                <c:pt idx="435">
                  <c:v>0</c:v>
                </c:pt>
                <c:pt idx="436">
                  <c:v>1</c:v>
                </c:pt>
                <c:pt idx="437">
                  <c:v>1</c:v>
                </c:pt>
                <c:pt idx="438">
                  <c:v>1</c:v>
                </c:pt>
                <c:pt idx="439">
                  <c:v>1</c:v>
                </c:pt>
                <c:pt idx="440">
                  <c:v>1</c:v>
                </c:pt>
                <c:pt idx="441">
                  <c:v>1</c:v>
                </c:pt>
                <c:pt idx="442">
                  <c:v>0</c:v>
                </c:pt>
                <c:pt idx="443">
                  <c:v>1</c:v>
                </c:pt>
                <c:pt idx="444">
                  <c:v>1</c:v>
                </c:pt>
                <c:pt idx="445">
                  <c:v>1</c:v>
                </c:pt>
                <c:pt idx="446">
                  <c:v>1</c:v>
                </c:pt>
                <c:pt idx="447">
                  <c:v>1</c:v>
                </c:pt>
                <c:pt idx="448">
                  <c:v>1</c:v>
                </c:pt>
                <c:pt idx="449">
                  <c:v>0</c:v>
                </c:pt>
                <c:pt idx="450">
                  <c:v>1</c:v>
                </c:pt>
                <c:pt idx="451">
                  <c:v>1</c:v>
                </c:pt>
                <c:pt idx="452">
                  <c:v>1</c:v>
                </c:pt>
                <c:pt idx="453">
                  <c:v>1</c:v>
                </c:pt>
                <c:pt idx="454">
                  <c:v>1</c:v>
                </c:pt>
                <c:pt idx="455">
                  <c:v>1</c:v>
                </c:pt>
                <c:pt idx="456">
                  <c:v>0</c:v>
                </c:pt>
                <c:pt idx="457">
                  <c:v>1</c:v>
                </c:pt>
                <c:pt idx="458">
                  <c:v>1</c:v>
                </c:pt>
                <c:pt idx="459">
                  <c:v>1</c:v>
                </c:pt>
                <c:pt idx="460">
                  <c:v>1</c:v>
                </c:pt>
                <c:pt idx="461">
                  <c:v>1</c:v>
                </c:pt>
                <c:pt idx="462">
                  <c:v>1</c:v>
                </c:pt>
                <c:pt idx="463">
                  <c:v>0</c:v>
                </c:pt>
                <c:pt idx="464">
                  <c:v>1</c:v>
                </c:pt>
                <c:pt idx="465">
                  <c:v>1</c:v>
                </c:pt>
                <c:pt idx="466">
                  <c:v>0</c:v>
                </c:pt>
                <c:pt idx="467">
                  <c:v>1</c:v>
                </c:pt>
                <c:pt idx="468">
                  <c:v>1</c:v>
                </c:pt>
                <c:pt idx="469">
                  <c:v>1</c:v>
                </c:pt>
                <c:pt idx="470">
                  <c:v>0</c:v>
                </c:pt>
                <c:pt idx="471">
                  <c:v>1</c:v>
                </c:pt>
                <c:pt idx="472">
                  <c:v>1</c:v>
                </c:pt>
                <c:pt idx="473">
                  <c:v>1</c:v>
                </c:pt>
                <c:pt idx="474">
                  <c:v>0</c:v>
                </c:pt>
                <c:pt idx="475">
                  <c:v>0</c:v>
                </c:pt>
                <c:pt idx="476">
                  <c:v>0</c:v>
                </c:pt>
                <c:pt idx="477">
                  <c:v>0</c:v>
                </c:pt>
                <c:pt idx="478">
                  <c:v>1</c:v>
                </c:pt>
                <c:pt idx="479">
                  <c:v>1</c:v>
                </c:pt>
                <c:pt idx="480">
                  <c:v>1</c:v>
                </c:pt>
                <c:pt idx="481">
                  <c:v>1</c:v>
                </c:pt>
                <c:pt idx="482">
                  <c:v>1</c:v>
                </c:pt>
                <c:pt idx="483">
                  <c:v>1</c:v>
                </c:pt>
                <c:pt idx="484">
                  <c:v>0</c:v>
                </c:pt>
                <c:pt idx="485">
                  <c:v>1</c:v>
                </c:pt>
                <c:pt idx="486">
                  <c:v>1</c:v>
                </c:pt>
                <c:pt idx="487">
                  <c:v>1</c:v>
                </c:pt>
                <c:pt idx="488">
                  <c:v>1</c:v>
                </c:pt>
                <c:pt idx="489">
                  <c:v>1</c:v>
                </c:pt>
                <c:pt idx="490">
                  <c:v>1</c:v>
                </c:pt>
                <c:pt idx="491">
                  <c:v>0</c:v>
                </c:pt>
                <c:pt idx="492">
                  <c:v>1</c:v>
                </c:pt>
                <c:pt idx="493">
                  <c:v>1</c:v>
                </c:pt>
                <c:pt idx="494">
                  <c:v>1</c:v>
                </c:pt>
                <c:pt idx="495">
                  <c:v>1</c:v>
                </c:pt>
                <c:pt idx="496">
                  <c:v>1</c:v>
                </c:pt>
                <c:pt idx="497">
                  <c:v>1</c:v>
                </c:pt>
                <c:pt idx="498">
                  <c:v>0</c:v>
                </c:pt>
                <c:pt idx="499">
                  <c:v>1</c:v>
                </c:pt>
                <c:pt idx="500">
                  <c:v>1</c:v>
                </c:pt>
                <c:pt idx="501">
                  <c:v>1</c:v>
                </c:pt>
                <c:pt idx="502">
                  <c:v>0</c:v>
                </c:pt>
                <c:pt idx="503">
                  <c:v>1</c:v>
                </c:pt>
                <c:pt idx="504">
                  <c:v>1</c:v>
                </c:pt>
                <c:pt idx="505">
                  <c:v>0</c:v>
                </c:pt>
                <c:pt idx="506">
                  <c:v>1</c:v>
                </c:pt>
                <c:pt idx="507">
                  <c:v>1</c:v>
                </c:pt>
                <c:pt idx="508">
                  <c:v>1</c:v>
                </c:pt>
                <c:pt idx="509">
                  <c:v>1</c:v>
                </c:pt>
                <c:pt idx="510">
                  <c:v>1</c:v>
                </c:pt>
                <c:pt idx="511">
                  <c:v>1</c:v>
                </c:pt>
                <c:pt idx="512">
                  <c:v>0</c:v>
                </c:pt>
                <c:pt idx="513">
                  <c:v>1</c:v>
                </c:pt>
                <c:pt idx="514">
                  <c:v>1</c:v>
                </c:pt>
                <c:pt idx="515">
                  <c:v>1</c:v>
                </c:pt>
                <c:pt idx="516">
                  <c:v>1</c:v>
                </c:pt>
                <c:pt idx="517">
                  <c:v>1</c:v>
                </c:pt>
                <c:pt idx="518">
                  <c:v>1</c:v>
                </c:pt>
                <c:pt idx="519">
                  <c:v>0</c:v>
                </c:pt>
                <c:pt idx="520">
                  <c:v>1</c:v>
                </c:pt>
                <c:pt idx="521">
                  <c:v>1</c:v>
                </c:pt>
                <c:pt idx="522">
                  <c:v>1</c:v>
                </c:pt>
                <c:pt idx="523">
                  <c:v>1</c:v>
                </c:pt>
                <c:pt idx="524">
                  <c:v>1</c:v>
                </c:pt>
                <c:pt idx="525">
                  <c:v>1</c:v>
                </c:pt>
                <c:pt idx="526">
                  <c:v>0</c:v>
                </c:pt>
                <c:pt idx="527">
                  <c:v>1</c:v>
                </c:pt>
                <c:pt idx="528">
                  <c:v>1</c:v>
                </c:pt>
                <c:pt idx="529">
                  <c:v>1</c:v>
                </c:pt>
                <c:pt idx="530">
                  <c:v>1</c:v>
                </c:pt>
                <c:pt idx="531">
                  <c:v>1</c:v>
                </c:pt>
                <c:pt idx="532">
                  <c:v>1</c:v>
                </c:pt>
                <c:pt idx="533">
                  <c:v>0</c:v>
                </c:pt>
                <c:pt idx="534">
                  <c:v>1</c:v>
                </c:pt>
                <c:pt idx="535">
                  <c:v>1</c:v>
                </c:pt>
                <c:pt idx="536">
                  <c:v>1</c:v>
                </c:pt>
                <c:pt idx="537">
                  <c:v>1</c:v>
                </c:pt>
                <c:pt idx="538">
                  <c:v>1</c:v>
                </c:pt>
                <c:pt idx="539">
                  <c:v>1</c:v>
                </c:pt>
                <c:pt idx="540">
                  <c:v>0</c:v>
                </c:pt>
                <c:pt idx="541">
                  <c:v>1</c:v>
                </c:pt>
                <c:pt idx="542">
                  <c:v>0</c:v>
                </c:pt>
                <c:pt idx="543">
                  <c:v>1</c:v>
                </c:pt>
                <c:pt idx="544">
                  <c:v>1</c:v>
                </c:pt>
                <c:pt idx="545">
                  <c:v>1</c:v>
                </c:pt>
                <c:pt idx="546">
                  <c:v>1</c:v>
                </c:pt>
                <c:pt idx="547">
                  <c:v>0</c:v>
                </c:pt>
                <c:pt idx="548">
                  <c:v>1</c:v>
                </c:pt>
                <c:pt idx="549">
                  <c:v>1</c:v>
                </c:pt>
                <c:pt idx="550">
                  <c:v>1</c:v>
                </c:pt>
                <c:pt idx="551">
                  <c:v>1</c:v>
                </c:pt>
                <c:pt idx="552">
                  <c:v>1</c:v>
                </c:pt>
                <c:pt idx="553">
                  <c:v>1</c:v>
                </c:pt>
                <c:pt idx="554">
                  <c:v>0</c:v>
                </c:pt>
                <c:pt idx="555">
                  <c:v>1</c:v>
                </c:pt>
                <c:pt idx="556">
                  <c:v>1</c:v>
                </c:pt>
                <c:pt idx="557">
                  <c:v>1</c:v>
                </c:pt>
                <c:pt idx="558">
                  <c:v>1</c:v>
                </c:pt>
                <c:pt idx="559">
                  <c:v>1</c:v>
                </c:pt>
                <c:pt idx="560">
                  <c:v>1</c:v>
                </c:pt>
                <c:pt idx="561">
                  <c:v>0</c:v>
                </c:pt>
                <c:pt idx="562">
                  <c:v>1</c:v>
                </c:pt>
                <c:pt idx="563">
                  <c:v>1</c:v>
                </c:pt>
                <c:pt idx="564">
                  <c:v>1</c:v>
                </c:pt>
                <c:pt idx="565">
                  <c:v>1</c:v>
                </c:pt>
                <c:pt idx="566">
                  <c:v>1</c:v>
                </c:pt>
                <c:pt idx="567">
                  <c:v>1</c:v>
                </c:pt>
                <c:pt idx="568">
                  <c:v>0</c:v>
                </c:pt>
                <c:pt idx="569">
                  <c:v>1</c:v>
                </c:pt>
                <c:pt idx="570">
                  <c:v>1</c:v>
                </c:pt>
                <c:pt idx="571">
                  <c:v>1</c:v>
                </c:pt>
                <c:pt idx="572">
                  <c:v>1</c:v>
                </c:pt>
                <c:pt idx="573">
                  <c:v>1</c:v>
                </c:pt>
                <c:pt idx="574">
                  <c:v>1</c:v>
                </c:pt>
                <c:pt idx="575">
                  <c:v>0</c:v>
                </c:pt>
                <c:pt idx="576">
                  <c:v>1</c:v>
                </c:pt>
                <c:pt idx="577">
                  <c:v>1</c:v>
                </c:pt>
                <c:pt idx="578">
                  <c:v>1</c:v>
                </c:pt>
                <c:pt idx="579">
                  <c:v>1</c:v>
                </c:pt>
                <c:pt idx="580">
                  <c:v>1</c:v>
                </c:pt>
                <c:pt idx="581">
                  <c:v>1</c:v>
                </c:pt>
                <c:pt idx="582">
                  <c:v>0</c:v>
                </c:pt>
                <c:pt idx="583">
                  <c:v>1</c:v>
                </c:pt>
                <c:pt idx="584">
                  <c:v>1</c:v>
                </c:pt>
                <c:pt idx="585">
                  <c:v>1</c:v>
                </c:pt>
                <c:pt idx="586">
                  <c:v>1</c:v>
                </c:pt>
                <c:pt idx="587">
                  <c:v>1</c:v>
                </c:pt>
                <c:pt idx="588">
                  <c:v>0</c:v>
                </c:pt>
                <c:pt idx="589">
                  <c:v>0</c:v>
                </c:pt>
                <c:pt idx="590">
                  <c:v>1</c:v>
                </c:pt>
                <c:pt idx="591">
                  <c:v>1</c:v>
                </c:pt>
                <c:pt idx="592">
                  <c:v>1</c:v>
                </c:pt>
                <c:pt idx="593">
                  <c:v>1</c:v>
                </c:pt>
                <c:pt idx="594">
                  <c:v>1</c:v>
                </c:pt>
                <c:pt idx="595">
                  <c:v>1</c:v>
                </c:pt>
                <c:pt idx="596">
                  <c:v>0</c:v>
                </c:pt>
                <c:pt idx="597">
                  <c:v>1</c:v>
                </c:pt>
                <c:pt idx="598">
                  <c:v>1</c:v>
                </c:pt>
                <c:pt idx="599">
                  <c:v>1</c:v>
                </c:pt>
                <c:pt idx="600">
                  <c:v>0</c:v>
                </c:pt>
                <c:pt idx="601">
                  <c:v>1</c:v>
                </c:pt>
                <c:pt idx="602">
                  <c:v>1</c:v>
                </c:pt>
                <c:pt idx="603">
                  <c:v>1</c:v>
                </c:pt>
                <c:pt idx="604">
                  <c:v>1</c:v>
                </c:pt>
                <c:pt idx="605">
                  <c:v>1</c:v>
                </c:pt>
                <c:pt idx="606">
                  <c:v>1</c:v>
                </c:pt>
                <c:pt idx="607">
                  <c:v>1</c:v>
                </c:pt>
                <c:pt idx="608">
                  <c:v>1</c:v>
                </c:pt>
                <c:pt idx="609">
                  <c:v>1</c:v>
                </c:pt>
                <c:pt idx="610">
                  <c:v>0</c:v>
                </c:pt>
                <c:pt idx="611">
                  <c:v>1</c:v>
                </c:pt>
                <c:pt idx="612">
                  <c:v>1</c:v>
                </c:pt>
                <c:pt idx="613">
                  <c:v>1</c:v>
                </c:pt>
                <c:pt idx="614">
                  <c:v>1</c:v>
                </c:pt>
                <c:pt idx="615">
                  <c:v>1</c:v>
                </c:pt>
                <c:pt idx="616">
                  <c:v>0</c:v>
                </c:pt>
                <c:pt idx="617">
                  <c:v>0</c:v>
                </c:pt>
                <c:pt idx="618">
                  <c:v>1</c:v>
                </c:pt>
                <c:pt idx="619">
                  <c:v>1</c:v>
                </c:pt>
                <c:pt idx="620">
                  <c:v>1</c:v>
                </c:pt>
                <c:pt idx="621">
                  <c:v>0</c:v>
                </c:pt>
                <c:pt idx="622">
                  <c:v>1</c:v>
                </c:pt>
                <c:pt idx="623">
                  <c:v>0</c:v>
                </c:pt>
                <c:pt idx="624">
                  <c:v>0</c:v>
                </c:pt>
                <c:pt idx="625">
                  <c:v>1</c:v>
                </c:pt>
                <c:pt idx="626">
                  <c:v>1</c:v>
                </c:pt>
                <c:pt idx="627">
                  <c:v>1</c:v>
                </c:pt>
                <c:pt idx="628">
                  <c:v>0</c:v>
                </c:pt>
                <c:pt idx="629">
                  <c:v>1</c:v>
                </c:pt>
                <c:pt idx="630">
                  <c:v>0</c:v>
                </c:pt>
                <c:pt idx="631">
                  <c:v>0</c:v>
                </c:pt>
                <c:pt idx="632">
                  <c:v>1</c:v>
                </c:pt>
                <c:pt idx="633">
                  <c:v>0</c:v>
                </c:pt>
                <c:pt idx="634">
                  <c:v>1</c:v>
                </c:pt>
                <c:pt idx="635">
                  <c:v>1</c:v>
                </c:pt>
                <c:pt idx="636">
                  <c:v>0</c:v>
                </c:pt>
                <c:pt idx="637">
                  <c:v>0</c:v>
                </c:pt>
                <c:pt idx="638">
                  <c:v>1</c:v>
                </c:pt>
                <c:pt idx="639">
                  <c:v>1</c:v>
                </c:pt>
                <c:pt idx="640">
                  <c:v>1</c:v>
                </c:pt>
                <c:pt idx="641">
                  <c:v>1</c:v>
                </c:pt>
                <c:pt idx="642">
                  <c:v>1</c:v>
                </c:pt>
                <c:pt idx="643">
                  <c:v>0</c:v>
                </c:pt>
                <c:pt idx="644">
                  <c:v>0</c:v>
                </c:pt>
                <c:pt idx="645">
                  <c:v>0</c:v>
                </c:pt>
                <c:pt idx="646">
                  <c:v>0</c:v>
                </c:pt>
                <c:pt idx="647">
                  <c:v>1</c:v>
                </c:pt>
                <c:pt idx="648">
                  <c:v>1</c:v>
                </c:pt>
                <c:pt idx="649">
                  <c:v>0</c:v>
                </c:pt>
                <c:pt idx="650">
                  <c:v>1</c:v>
                </c:pt>
                <c:pt idx="651">
                  <c:v>1</c:v>
                </c:pt>
                <c:pt idx="652">
                  <c:v>0</c:v>
                </c:pt>
                <c:pt idx="653">
                  <c:v>1</c:v>
                </c:pt>
                <c:pt idx="654">
                  <c:v>1</c:v>
                </c:pt>
                <c:pt idx="655">
                  <c:v>1</c:v>
                </c:pt>
                <c:pt idx="656">
                  <c:v>1</c:v>
                </c:pt>
                <c:pt idx="657">
                  <c:v>1</c:v>
                </c:pt>
                <c:pt idx="658">
                  <c:v>0</c:v>
                </c:pt>
                <c:pt idx="659">
                  <c:v>0</c:v>
                </c:pt>
                <c:pt idx="660">
                  <c:v>0</c:v>
                </c:pt>
                <c:pt idx="661">
                  <c:v>1</c:v>
                </c:pt>
                <c:pt idx="662">
                  <c:v>1</c:v>
                </c:pt>
                <c:pt idx="663">
                  <c:v>0</c:v>
                </c:pt>
                <c:pt idx="664">
                  <c:v>1</c:v>
                </c:pt>
                <c:pt idx="665">
                  <c:v>1</c:v>
                </c:pt>
                <c:pt idx="666">
                  <c:v>0</c:v>
                </c:pt>
                <c:pt idx="667">
                  <c:v>1</c:v>
                </c:pt>
                <c:pt idx="668">
                  <c:v>1</c:v>
                </c:pt>
                <c:pt idx="669">
                  <c:v>1</c:v>
                </c:pt>
                <c:pt idx="670">
                  <c:v>1</c:v>
                </c:pt>
                <c:pt idx="671">
                  <c:v>1</c:v>
                </c:pt>
                <c:pt idx="672">
                  <c:v>0</c:v>
                </c:pt>
                <c:pt idx="673">
                  <c:v>0</c:v>
                </c:pt>
                <c:pt idx="674">
                  <c:v>1</c:v>
                </c:pt>
                <c:pt idx="675">
                  <c:v>0</c:v>
                </c:pt>
                <c:pt idx="676">
                  <c:v>1</c:v>
                </c:pt>
                <c:pt idx="677">
                  <c:v>1</c:v>
                </c:pt>
                <c:pt idx="678">
                  <c:v>1</c:v>
                </c:pt>
                <c:pt idx="679">
                  <c:v>0</c:v>
                </c:pt>
                <c:pt idx="680">
                  <c:v>0</c:v>
                </c:pt>
                <c:pt idx="681">
                  <c:v>0</c:v>
                </c:pt>
                <c:pt idx="682">
                  <c:v>1</c:v>
                </c:pt>
                <c:pt idx="683">
                  <c:v>0</c:v>
                </c:pt>
                <c:pt idx="684">
                  <c:v>0</c:v>
                </c:pt>
                <c:pt idx="685">
                  <c:v>0</c:v>
                </c:pt>
                <c:pt idx="686">
                  <c:v>1</c:v>
                </c:pt>
                <c:pt idx="687">
                  <c:v>0</c:v>
                </c:pt>
                <c:pt idx="688">
                  <c:v>1</c:v>
                </c:pt>
                <c:pt idx="689">
                  <c:v>0</c:v>
                </c:pt>
                <c:pt idx="690">
                  <c:v>1</c:v>
                </c:pt>
                <c:pt idx="691">
                  <c:v>0</c:v>
                </c:pt>
                <c:pt idx="692">
                  <c:v>1</c:v>
                </c:pt>
                <c:pt idx="693">
                  <c:v>0</c:v>
                </c:pt>
                <c:pt idx="694">
                  <c:v>0</c:v>
                </c:pt>
                <c:pt idx="695">
                  <c:v>1</c:v>
                </c:pt>
                <c:pt idx="696">
                  <c:v>0</c:v>
                </c:pt>
                <c:pt idx="697">
                  <c:v>0</c:v>
                </c:pt>
                <c:pt idx="698">
                  <c:v>0</c:v>
                </c:pt>
                <c:pt idx="699">
                  <c:v>1</c:v>
                </c:pt>
                <c:pt idx="700">
                  <c:v>0</c:v>
                </c:pt>
                <c:pt idx="701">
                  <c:v>0</c:v>
                </c:pt>
                <c:pt idx="702">
                  <c:v>1</c:v>
                </c:pt>
                <c:pt idx="703">
                  <c:v>0</c:v>
                </c:pt>
                <c:pt idx="704">
                  <c:v>1</c:v>
                </c:pt>
                <c:pt idx="705">
                  <c:v>1</c:v>
                </c:pt>
                <c:pt idx="706">
                  <c:v>1</c:v>
                </c:pt>
                <c:pt idx="707">
                  <c:v>0</c:v>
                </c:pt>
                <c:pt idx="708">
                  <c:v>1</c:v>
                </c:pt>
                <c:pt idx="709">
                  <c:v>1</c:v>
                </c:pt>
                <c:pt idx="710">
                  <c:v>1</c:v>
                </c:pt>
                <c:pt idx="711">
                  <c:v>1</c:v>
                </c:pt>
                <c:pt idx="712">
                  <c:v>1</c:v>
                </c:pt>
                <c:pt idx="713">
                  <c:v>1</c:v>
                </c:pt>
                <c:pt idx="714">
                  <c:v>0</c:v>
                </c:pt>
                <c:pt idx="715">
                  <c:v>0</c:v>
                </c:pt>
                <c:pt idx="716">
                  <c:v>1</c:v>
                </c:pt>
                <c:pt idx="717">
                  <c:v>1</c:v>
                </c:pt>
                <c:pt idx="718">
                  <c:v>1</c:v>
                </c:pt>
                <c:pt idx="719">
                  <c:v>1</c:v>
                </c:pt>
                <c:pt idx="720">
                  <c:v>1</c:v>
                </c:pt>
                <c:pt idx="721">
                  <c:v>1</c:v>
                </c:pt>
                <c:pt idx="722">
                  <c:v>0</c:v>
                </c:pt>
                <c:pt idx="723">
                  <c:v>1</c:v>
                </c:pt>
                <c:pt idx="724">
                  <c:v>1</c:v>
                </c:pt>
                <c:pt idx="725">
                  <c:v>1</c:v>
                </c:pt>
                <c:pt idx="726">
                  <c:v>1</c:v>
                </c:pt>
                <c:pt idx="727">
                  <c:v>1</c:v>
                </c:pt>
                <c:pt idx="728">
                  <c:v>1</c:v>
                </c:pt>
                <c:pt idx="729">
                  <c:v>0</c:v>
                </c:pt>
                <c:pt idx="730">
                  <c:v>1</c:v>
                </c:pt>
                <c:pt idx="731">
                  <c:v>1</c:v>
                </c:pt>
                <c:pt idx="732">
                  <c:v>1</c:v>
                </c:pt>
                <c:pt idx="733">
                  <c:v>1</c:v>
                </c:pt>
                <c:pt idx="734">
                  <c:v>1</c:v>
                </c:pt>
                <c:pt idx="735">
                  <c:v>1</c:v>
                </c:pt>
                <c:pt idx="736">
                  <c:v>0</c:v>
                </c:pt>
                <c:pt idx="737">
                  <c:v>1</c:v>
                </c:pt>
                <c:pt idx="738">
                  <c:v>1</c:v>
                </c:pt>
                <c:pt idx="739">
                  <c:v>1</c:v>
                </c:pt>
                <c:pt idx="740">
                  <c:v>1</c:v>
                </c:pt>
                <c:pt idx="741">
                  <c:v>1</c:v>
                </c:pt>
                <c:pt idx="742">
                  <c:v>1</c:v>
                </c:pt>
                <c:pt idx="743">
                  <c:v>0</c:v>
                </c:pt>
                <c:pt idx="744">
                  <c:v>1</c:v>
                </c:pt>
                <c:pt idx="745">
                  <c:v>1</c:v>
                </c:pt>
                <c:pt idx="746">
                  <c:v>1</c:v>
                </c:pt>
                <c:pt idx="747">
                  <c:v>1</c:v>
                </c:pt>
                <c:pt idx="748">
                  <c:v>1</c:v>
                </c:pt>
                <c:pt idx="749">
                  <c:v>1</c:v>
                </c:pt>
                <c:pt idx="750">
                  <c:v>0</c:v>
                </c:pt>
                <c:pt idx="751">
                  <c:v>1</c:v>
                </c:pt>
                <c:pt idx="752">
                  <c:v>1</c:v>
                </c:pt>
                <c:pt idx="753">
                  <c:v>1</c:v>
                </c:pt>
                <c:pt idx="754">
                  <c:v>1</c:v>
                </c:pt>
                <c:pt idx="755">
                  <c:v>1</c:v>
                </c:pt>
                <c:pt idx="756">
                  <c:v>1</c:v>
                </c:pt>
                <c:pt idx="757">
                  <c:v>0</c:v>
                </c:pt>
                <c:pt idx="758">
                  <c:v>0</c:v>
                </c:pt>
                <c:pt idx="759">
                  <c:v>1</c:v>
                </c:pt>
                <c:pt idx="760">
                  <c:v>1</c:v>
                </c:pt>
                <c:pt idx="761">
                  <c:v>1</c:v>
                </c:pt>
                <c:pt idx="762">
                  <c:v>1</c:v>
                </c:pt>
                <c:pt idx="763">
                  <c:v>1</c:v>
                </c:pt>
                <c:pt idx="764">
                  <c:v>0</c:v>
                </c:pt>
                <c:pt idx="765">
                  <c:v>1</c:v>
                </c:pt>
                <c:pt idx="766">
                  <c:v>1</c:v>
                </c:pt>
                <c:pt idx="767">
                  <c:v>1</c:v>
                </c:pt>
                <c:pt idx="768">
                  <c:v>1</c:v>
                </c:pt>
                <c:pt idx="769">
                  <c:v>1</c:v>
                </c:pt>
                <c:pt idx="770">
                  <c:v>1</c:v>
                </c:pt>
                <c:pt idx="771">
                  <c:v>0</c:v>
                </c:pt>
                <c:pt idx="772">
                  <c:v>1</c:v>
                </c:pt>
                <c:pt idx="773">
                  <c:v>1</c:v>
                </c:pt>
                <c:pt idx="774">
                  <c:v>1</c:v>
                </c:pt>
                <c:pt idx="775">
                  <c:v>1</c:v>
                </c:pt>
                <c:pt idx="776">
                  <c:v>1</c:v>
                </c:pt>
                <c:pt idx="777">
                  <c:v>0</c:v>
                </c:pt>
                <c:pt idx="778">
                  <c:v>0</c:v>
                </c:pt>
                <c:pt idx="779">
                  <c:v>1</c:v>
                </c:pt>
                <c:pt idx="780">
                  <c:v>1</c:v>
                </c:pt>
                <c:pt idx="781">
                  <c:v>1</c:v>
                </c:pt>
                <c:pt idx="782">
                  <c:v>1</c:v>
                </c:pt>
                <c:pt idx="783">
                  <c:v>1</c:v>
                </c:pt>
                <c:pt idx="784">
                  <c:v>0</c:v>
                </c:pt>
                <c:pt idx="785">
                  <c:v>0</c:v>
                </c:pt>
                <c:pt idx="786">
                  <c:v>1</c:v>
                </c:pt>
                <c:pt idx="787">
                  <c:v>0</c:v>
                </c:pt>
                <c:pt idx="788">
                  <c:v>1</c:v>
                </c:pt>
                <c:pt idx="789">
                  <c:v>1</c:v>
                </c:pt>
                <c:pt idx="790">
                  <c:v>1</c:v>
                </c:pt>
                <c:pt idx="791">
                  <c:v>1</c:v>
                </c:pt>
                <c:pt idx="792">
                  <c:v>0</c:v>
                </c:pt>
                <c:pt idx="793">
                  <c:v>1</c:v>
                </c:pt>
                <c:pt idx="794">
                  <c:v>1</c:v>
                </c:pt>
                <c:pt idx="795">
                  <c:v>1</c:v>
                </c:pt>
                <c:pt idx="796">
                  <c:v>1</c:v>
                </c:pt>
                <c:pt idx="797">
                  <c:v>1</c:v>
                </c:pt>
                <c:pt idx="798">
                  <c:v>0</c:v>
                </c:pt>
                <c:pt idx="799">
                  <c:v>0</c:v>
                </c:pt>
                <c:pt idx="800">
                  <c:v>1</c:v>
                </c:pt>
                <c:pt idx="801">
                  <c:v>1</c:v>
                </c:pt>
                <c:pt idx="802">
                  <c:v>0</c:v>
                </c:pt>
                <c:pt idx="803">
                  <c:v>1</c:v>
                </c:pt>
                <c:pt idx="804">
                  <c:v>1</c:v>
                </c:pt>
                <c:pt idx="805">
                  <c:v>0</c:v>
                </c:pt>
                <c:pt idx="806">
                  <c:v>0</c:v>
                </c:pt>
                <c:pt idx="807">
                  <c:v>1</c:v>
                </c:pt>
                <c:pt idx="808">
                  <c:v>1</c:v>
                </c:pt>
                <c:pt idx="809">
                  <c:v>1</c:v>
                </c:pt>
                <c:pt idx="810">
                  <c:v>0</c:v>
                </c:pt>
                <c:pt idx="811">
                  <c:v>1</c:v>
                </c:pt>
                <c:pt idx="812">
                  <c:v>1</c:v>
                </c:pt>
                <c:pt idx="813">
                  <c:v>0</c:v>
                </c:pt>
                <c:pt idx="814">
                  <c:v>1</c:v>
                </c:pt>
                <c:pt idx="815">
                  <c:v>1</c:v>
                </c:pt>
                <c:pt idx="816">
                  <c:v>0</c:v>
                </c:pt>
                <c:pt idx="817">
                  <c:v>0</c:v>
                </c:pt>
                <c:pt idx="818">
                  <c:v>1</c:v>
                </c:pt>
                <c:pt idx="819">
                  <c:v>1</c:v>
                </c:pt>
                <c:pt idx="820">
                  <c:v>0</c:v>
                </c:pt>
                <c:pt idx="821">
                  <c:v>1</c:v>
                </c:pt>
                <c:pt idx="822">
                  <c:v>1</c:v>
                </c:pt>
                <c:pt idx="823">
                  <c:v>1</c:v>
                </c:pt>
                <c:pt idx="824">
                  <c:v>1</c:v>
                </c:pt>
                <c:pt idx="825">
                  <c:v>1</c:v>
                </c:pt>
                <c:pt idx="826">
                  <c:v>1</c:v>
                </c:pt>
                <c:pt idx="827">
                  <c:v>0</c:v>
                </c:pt>
                <c:pt idx="828">
                  <c:v>0</c:v>
                </c:pt>
                <c:pt idx="829">
                  <c:v>1</c:v>
                </c:pt>
                <c:pt idx="830">
                  <c:v>1</c:v>
                </c:pt>
                <c:pt idx="831">
                  <c:v>1</c:v>
                </c:pt>
                <c:pt idx="832">
                  <c:v>1</c:v>
                </c:pt>
                <c:pt idx="833">
                  <c:v>1</c:v>
                </c:pt>
                <c:pt idx="834">
                  <c:v>0</c:v>
                </c:pt>
                <c:pt idx="835">
                  <c:v>1</c:v>
                </c:pt>
                <c:pt idx="836">
                  <c:v>1</c:v>
                </c:pt>
                <c:pt idx="837">
                  <c:v>0</c:v>
                </c:pt>
                <c:pt idx="838">
                  <c:v>0</c:v>
                </c:pt>
                <c:pt idx="839">
                  <c:v>0</c:v>
                </c:pt>
                <c:pt idx="840">
                  <c:v>0</c:v>
                </c:pt>
                <c:pt idx="841">
                  <c:v>0</c:v>
                </c:pt>
                <c:pt idx="842">
                  <c:v>1</c:v>
                </c:pt>
                <c:pt idx="843">
                  <c:v>1</c:v>
                </c:pt>
                <c:pt idx="844">
                  <c:v>1</c:v>
                </c:pt>
                <c:pt idx="845">
                  <c:v>1</c:v>
                </c:pt>
                <c:pt idx="846">
                  <c:v>1</c:v>
                </c:pt>
                <c:pt idx="847">
                  <c:v>0</c:v>
                </c:pt>
                <c:pt idx="848">
                  <c:v>0</c:v>
                </c:pt>
                <c:pt idx="849">
                  <c:v>1</c:v>
                </c:pt>
                <c:pt idx="850">
                  <c:v>1</c:v>
                </c:pt>
                <c:pt idx="851">
                  <c:v>1</c:v>
                </c:pt>
                <c:pt idx="852">
                  <c:v>0</c:v>
                </c:pt>
                <c:pt idx="853">
                  <c:v>1</c:v>
                </c:pt>
                <c:pt idx="854">
                  <c:v>0</c:v>
                </c:pt>
                <c:pt idx="855">
                  <c:v>1</c:v>
                </c:pt>
                <c:pt idx="856">
                  <c:v>1</c:v>
                </c:pt>
                <c:pt idx="857">
                  <c:v>1</c:v>
                </c:pt>
                <c:pt idx="858">
                  <c:v>1</c:v>
                </c:pt>
                <c:pt idx="859">
                  <c:v>0</c:v>
                </c:pt>
                <c:pt idx="860">
                  <c:v>1</c:v>
                </c:pt>
                <c:pt idx="861">
                  <c:v>0</c:v>
                </c:pt>
                <c:pt idx="862">
                  <c:v>0</c:v>
                </c:pt>
                <c:pt idx="863">
                  <c:v>0</c:v>
                </c:pt>
                <c:pt idx="864">
                  <c:v>1</c:v>
                </c:pt>
                <c:pt idx="865">
                  <c:v>1</c:v>
                </c:pt>
                <c:pt idx="866">
                  <c:v>1</c:v>
                </c:pt>
                <c:pt idx="867">
                  <c:v>1</c:v>
                </c:pt>
                <c:pt idx="868">
                  <c:v>1</c:v>
                </c:pt>
                <c:pt idx="869">
                  <c:v>0</c:v>
                </c:pt>
                <c:pt idx="870">
                  <c:v>0</c:v>
                </c:pt>
                <c:pt idx="871">
                  <c:v>0</c:v>
                </c:pt>
                <c:pt idx="872">
                  <c:v>0</c:v>
                </c:pt>
                <c:pt idx="873">
                  <c:v>1</c:v>
                </c:pt>
                <c:pt idx="874">
                  <c:v>1</c:v>
                </c:pt>
                <c:pt idx="875">
                  <c:v>1</c:v>
                </c:pt>
                <c:pt idx="876">
                  <c:v>0</c:v>
                </c:pt>
                <c:pt idx="877">
                  <c:v>0</c:v>
                </c:pt>
                <c:pt idx="878">
                  <c:v>0</c:v>
                </c:pt>
                <c:pt idx="879">
                  <c:v>1</c:v>
                </c:pt>
                <c:pt idx="880">
                  <c:v>1</c:v>
                </c:pt>
                <c:pt idx="881">
                  <c:v>1</c:v>
                </c:pt>
                <c:pt idx="882">
                  <c:v>1</c:v>
                </c:pt>
                <c:pt idx="883">
                  <c:v>1</c:v>
                </c:pt>
                <c:pt idx="884">
                  <c:v>1</c:v>
                </c:pt>
                <c:pt idx="885">
                  <c:v>1</c:v>
                </c:pt>
                <c:pt idx="886">
                  <c:v>1</c:v>
                </c:pt>
                <c:pt idx="887">
                  <c:v>1</c:v>
                </c:pt>
                <c:pt idx="888">
                  <c:v>1</c:v>
                </c:pt>
                <c:pt idx="889">
                  <c:v>1</c:v>
                </c:pt>
                <c:pt idx="890">
                  <c:v>0</c:v>
                </c:pt>
                <c:pt idx="891">
                  <c:v>1</c:v>
                </c:pt>
                <c:pt idx="892">
                  <c:v>0</c:v>
                </c:pt>
                <c:pt idx="893">
                  <c:v>1</c:v>
                </c:pt>
                <c:pt idx="894">
                  <c:v>1</c:v>
                </c:pt>
                <c:pt idx="895">
                  <c:v>1</c:v>
                </c:pt>
                <c:pt idx="896">
                  <c:v>0</c:v>
                </c:pt>
                <c:pt idx="897">
                  <c:v>0</c:v>
                </c:pt>
                <c:pt idx="898">
                  <c:v>1</c:v>
                </c:pt>
                <c:pt idx="899">
                  <c:v>0</c:v>
                </c:pt>
                <c:pt idx="900">
                  <c:v>1</c:v>
                </c:pt>
                <c:pt idx="901">
                  <c:v>1</c:v>
                </c:pt>
                <c:pt idx="902">
                  <c:v>1</c:v>
                </c:pt>
                <c:pt idx="903">
                  <c:v>1</c:v>
                </c:pt>
                <c:pt idx="904">
                  <c:v>0</c:v>
                </c:pt>
                <c:pt idx="905">
                  <c:v>1</c:v>
                </c:pt>
                <c:pt idx="906">
                  <c:v>0</c:v>
                </c:pt>
                <c:pt idx="907">
                  <c:v>1</c:v>
                </c:pt>
                <c:pt idx="908">
                  <c:v>1</c:v>
                </c:pt>
                <c:pt idx="909">
                  <c:v>1</c:v>
                </c:pt>
                <c:pt idx="910">
                  <c:v>0</c:v>
                </c:pt>
                <c:pt idx="911">
                  <c:v>0</c:v>
                </c:pt>
                <c:pt idx="912">
                  <c:v>1</c:v>
                </c:pt>
                <c:pt idx="913">
                  <c:v>0</c:v>
                </c:pt>
                <c:pt idx="914">
                  <c:v>0</c:v>
                </c:pt>
                <c:pt idx="915">
                  <c:v>1</c:v>
                </c:pt>
                <c:pt idx="916">
                  <c:v>1</c:v>
                </c:pt>
                <c:pt idx="917">
                  <c:v>0</c:v>
                </c:pt>
                <c:pt idx="918">
                  <c:v>0</c:v>
                </c:pt>
                <c:pt idx="919">
                  <c:v>1</c:v>
                </c:pt>
                <c:pt idx="920">
                  <c:v>0</c:v>
                </c:pt>
                <c:pt idx="921">
                  <c:v>1</c:v>
                </c:pt>
                <c:pt idx="922">
                  <c:v>1</c:v>
                </c:pt>
                <c:pt idx="923">
                  <c:v>1</c:v>
                </c:pt>
                <c:pt idx="924">
                  <c:v>0</c:v>
                </c:pt>
                <c:pt idx="925">
                  <c:v>0</c:v>
                </c:pt>
                <c:pt idx="926">
                  <c:v>1</c:v>
                </c:pt>
                <c:pt idx="927">
                  <c:v>0</c:v>
                </c:pt>
                <c:pt idx="928">
                  <c:v>0</c:v>
                </c:pt>
                <c:pt idx="929">
                  <c:v>1</c:v>
                </c:pt>
                <c:pt idx="930">
                  <c:v>0</c:v>
                </c:pt>
                <c:pt idx="931">
                  <c:v>0</c:v>
                </c:pt>
                <c:pt idx="932">
                  <c:v>0</c:v>
                </c:pt>
                <c:pt idx="933">
                  <c:v>1</c:v>
                </c:pt>
                <c:pt idx="934">
                  <c:v>1</c:v>
                </c:pt>
                <c:pt idx="935">
                  <c:v>0</c:v>
                </c:pt>
                <c:pt idx="936">
                  <c:v>1</c:v>
                </c:pt>
                <c:pt idx="937">
                  <c:v>1</c:v>
                </c:pt>
                <c:pt idx="938">
                  <c:v>1</c:v>
                </c:pt>
                <c:pt idx="939">
                  <c:v>0</c:v>
                </c:pt>
                <c:pt idx="940">
                  <c:v>0</c:v>
                </c:pt>
                <c:pt idx="941">
                  <c:v>0</c:v>
                </c:pt>
                <c:pt idx="942">
                  <c:v>0</c:v>
                </c:pt>
                <c:pt idx="943">
                  <c:v>0</c:v>
                </c:pt>
                <c:pt idx="944">
                  <c:v>1</c:v>
                </c:pt>
                <c:pt idx="945">
                  <c:v>0</c:v>
                </c:pt>
                <c:pt idx="946">
                  <c:v>0</c:v>
                </c:pt>
                <c:pt idx="947">
                  <c:v>1</c:v>
                </c:pt>
                <c:pt idx="948">
                  <c:v>0</c:v>
                </c:pt>
                <c:pt idx="949">
                  <c:v>0</c:v>
                </c:pt>
                <c:pt idx="950">
                  <c:v>0</c:v>
                </c:pt>
                <c:pt idx="951">
                  <c:v>1</c:v>
                </c:pt>
                <c:pt idx="952">
                  <c:v>0</c:v>
                </c:pt>
                <c:pt idx="953">
                  <c:v>0</c:v>
                </c:pt>
                <c:pt idx="954">
                  <c:v>1</c:v>
                </c:pt>
                <c:pt idx="955">
                  <c:v>0</c:v>
                </c:pt>
                <c:pt idx="956">
                  <c:v>1</c:v>
                </c:pt>
              </c:numCache>
            </c:numRef>
          </c:yVal>
          <c:smooth val="0"/>
          <c:extLst>
            <c:ext xmlns:c16="http://schemas.microsoft.com/office/drawing/2014/chart" uri="{C3380CC4-5D6E-409C-BE32-E72D297353CC}">
              <c16:uniqueId val="{00000000-9ACC-4F40-9F30-05A1CD2A55A6}"/>
            </c:ext>
          </c:extLst>
        </c:ser>
        <c:dLbls>
          <c:showLegendKey val="0"/>
          <c:showVal val="0"/>
          <c:showCatName val="0"/>
          <c:showSerName val="0"/>
          <c:showPercent val="0"/>
          <c:showBubbleSize val="0"/>
        </c:dLbls>
        <c:axId val="861979343"/>
        <c:axId val="861980303"/>
      </c:scatterChart>
      <c:valAx>
        <c:axId val="86197934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980303"/>
        <c:crosses val="autoZero"/>
        <c:crossBetween val="midCat"/>
      </c:valAx>
      <c:valAx>
        <c:axId val="8619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9793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Messing</a:t>
            </a:r>
            <a:r>
              <a:rPr lang="en-US" baseline="0"/>
              <a:t> with Face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Health!$U$3:$U$972</c:f>
              <c:numCache>
                <c:formatCode>General</c:formatCode>
                <c:ptCount val="970"/>
                <c:pt idx="0">
                  <c:v>1</c:v>
                </c:pt>
                <c:pt idx="1">
                  <c:v>0</c:v>
                </c:pt>
                <c:pt idx="2">
                  <c:v>0</c:v>
                </c:pt>
                <c:pt idx="3">
                  <c:v>0</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pt idx="20">
                  <c:v>0</c:v>
                </c:pt>
                <c:pt idx="21">
                  <c:v>1</c:v>
                </c:pt>
                <c:pt idx="22">
                  <c:v>0</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c:v>
                </c:pt>
                <c:pt idx="78">
                  <c:v>1</c:v>
                </c:pt>
                <c:pt idx="79">
                  <c:v>1</c:v>
                </c:pt>
                <c:pt idx="80">
                  <c:v>1</c:v>
                </c:pt>
                <c:pt idx="81">
                  <c:v>0</c:v>
                </c:pt>
                <c:pt idx="82">
                  <c:v>0</c:v>
                </c:pt>
                <c:pt idx="83">
                  <c:v>0</c:v>
                </c:pt>
                <c:pt idx="84">
                  <c:v>0</c:v>
                </c:pt>
                <c:pt idx="85">
                  <c:v>0</c:v>
                </c:pt>
                <c:pt idx="86">
                  <c:v>0</c:v>
                </c:pt>
                <c:pt idx="87">
                  <c:v>0</c:v>
                </c:pt>
                <c:pt idx="88">
                  <c:v>0</c:v>
                </c:pt>
                <c:pt idx="89">
                  <c:v>0</c:v>
                </c:pt>
                <c:pt idx="90">
                  <c:v>1</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1</c:v>
                </c:pt>
                <c:pt idx="107">
                  <c:v>0</c:v>
                </c:pt>
                <c:pt idx="108">
                  <c:v>0</c:v>
                </c:pt>
                <c:pt idx="109">
                  <c:v>0</c:v>
                </c:pt>
                <c:pt idx="110">
                  <c:v>0</c:v>
                </c:pt>
                <c:pt idx="111">
                  <c:v>1</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1</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1</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1</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0</c:v>
                </c:pt>
                <c:pt idx="232">
                  <c:v>0</c:v>
                </c:pt>
                <c:pt idx="233">
                  <c:v>1</c:v>
                </c:pt>
                <c:pt idx="234">
                  <c:v>0</c:v>
                </c:pt>
                <c:pt idx="235">
                  <c:v>0</c:v>
                </c:pt>
                <c:pt idx="236">
                  <c:v>0</c:v>
                </c:pt>
                <c:pt idx="237">
                  <c:v>0</c:v>
                </c:pt>
                <c:pt idx="238">
                  <c:v>0</c:v>
                </c:pt>
                <c:pt idx="239">
                  <c:v>0</c:v>
                </c:pt>
                <c:pt idx="240">
                  <c:v>0</c:v>
                </c:pt>
                <c:pt idx="241">
                  <c:v>0</c:v>
                </c:pt>
                <c:pt idx="242">
                  <c:v>0</c:v>
                </c:pt>
                <c:pt idx="243">
                  <c:v>0</c:v>
                </c:pt>
                <c:pt idx="244">
                  <c:v>0</c:v>
                </c:pt>
                <c:pt idx="245">
                  <c:v>1</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1</c:v>
                </c:pt>
                <c:pt idx="378">
                  <c:v>0</c:v>
                </c:pt>
                <c:pt idx="379">
                  <c:v>0</c:v>
                </c:pt>
                <c:pt idx="380">
                  <c:v>0</c:v>
                </c:pt>
                <c:pt idx="381">
                  <c:v>0</c:v>
                </c:pt>
                <c:pt idx="382">
                  <c:v>0</c:v>
                </c:pt>
                <c:pt idx="383">
                  <c:v>0</c:v>
                </c:pt>
                <c:pt idx="384">
                  <c:v>1</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1</c:v>
                </c:pt>
                <c:pt idx="414">
                  <c:v>0</c:v>
                </c:pt>
                <c:pt idx="415">
                  <c:v>0</c:v>
                </c:pt>
                <c:pt idx="416">
                  <c:v>0</c:v>
                </c:pt>
                <c:pt idx="417">
                  <c:v>0</c:v>
                </c:pt>
                <c:pt idx="418">
                  <c:v>0</c:v>
                </c:pt>
                <c:pt idx="419">
                  <c:v>0</c:v>
                </c:pt>
                <c:pt idx="420">
                  <c:v>0</c:v>
                </c:pt>
                <c:pt idx="421">
                  <c:v>0</c:v>
                </c:pt>
                <c:pt idx="422">
                  <c:v>1</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1</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1</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1</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1</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1</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1</c:v>
                </c:pt>
                <c:pt idx="776">
                  <c:v>0</c:v>
                </c:pt>
                <c:pt idx="777">
                  <c:v>0</c:v>
                </c:pt>
                <c:pt idx="778">
                  <c:v>0</c:v>
                </c:pt>
                <c:pt idx="779">
                  <c:v>0</c:v>
                </c:pt>
                <c:pt idx="780">
                  <c:v>0</c:v>
                </c:pt>
                <c:pt idx="781">
                  <c:v>0</c:v>
                </c:pt>
                <c:pt idx="782">
                  <c:v>0</c:v>
                </c:pt>
                <c:pt idx="783">
                  <c:v>0</c:v>
                </c:pt>
                <c:pt idx="784">
                  <c:v>0</c:v>
                </c:pt>
                <c:pt idx="785">
                  <c:v>0</c:v>
                </c:pt>
                <c:pt idx="786">
                  <c:v>1</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1</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1</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1</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1</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1</c:v>
                </c:pt>
                <c:pt idx="969">
                  <c:v>0</c:v>
                </c:pt>
              </c:numCache>
            </c:numRef>
          </c:yVal>
          <c:smooth val="0"/>
          <c:extLst>
            <c:ext xmlns:c16="http://schemas.microsoft.com/office/drawing/2014/chart" uri="{C3380CC4-5D6E-409C-BE32-E72D297353CC}">
              <c16:uniqueId val="{00000000-ECA7-49F2-8268-ABE1E4B1E5C5}"/>
            </c:ext>
          </c:extLst>
        </c:ser>
        <c:dLbls>
          <c:showLegendKey val="0"/>
          <c:showVal val="0"/>
          <c:showCatName val="0"/>
          <c:showSerName val="0"/>
          <c:showPercent val="0"/>
          <c:showBubbleSize val="0"/>
        </c:dLbls>
        <c:axId val="1413392960"/>
        <c:axId val="1413407840"/>
      </c:scatterChart>
      <c:valAx>
        <c:axId val="14133929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07840"/>
        <c:crosses val="autoZero"/>
        <c:crossBetween val="midCat"/>
      </c:valAx>
      <c:valAx>
        <c:axId val="14134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3929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cs typeface="+mn-cs"/>
              </a:rPr>
              <a:t>Inductance - Acceleration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699398017739171E-2"/>
          <c:y val="0.15605555555555559"/>
          <c:w val="0.8893913722860658"/>
          <c:h val="0.78283333333333338"/>
        </c:manualLayout>
      </c:layout>
      <c:lineChart>
        <c:grouping val="standard"/>
        <c:varyColors val="0"/>
        <c:ser>
          <c:idx val="0"/>
          <c:order val="0"/>
          <c:tx>
            <c:v>Model</c:v>
          </c:tx>
          <c:spPr>
            <a:ln w="25400" cap="rnd">
              <a:solidFill>
                <a:schemeClr val="tx1"/>
              </a:solidFill>
              <a:round/>
            </a:ln>
            <a:effectLst/>
          </c:spPr>
          <c:marker>
            <c:symbol val="none"/>
          </c:marker>
          <c:cat>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cat>
          <c:val>
            <c:numRef>
              <c:f>'Data Analysis'!$AM$5:$AM$72</c:f>
              <c:numCache>
                <c:formatCode>0.0000000000000000%</c:formatCode>
                <c:ptCount val="68"/>
                <c:pt idx="2" formatCode="_(&quot;$&quot;* #,##0.00_);_(&quot;$&quot;* \(#,##0.00\);_(&quot;$&quot;* &quot;-&quot;??_);_(@_)">
                  <c:v>449.91000000000008</c:v>
                </c:pt>
                <c:pt idx="3" formatCode="_(&quot;$&quot;* #,##0.00_);_(&quot;$&quot;* \(#,##0.00\);_(&quot;$&quot;* &quot;-&quot;??_);_(@_)">
                  <c:v>-870.79000000000008</c:v>
                </c:pt>
                <c:pt idx="4" formatCode="_(&quot;$&quot;* #,##0.00_);_(&quot;$&quot;* \(#,##0.00\);_(&quot;$&quot;* &quot;-&quot;??_);_(@_)">
                  <c:v>3990.9299999999976</c:v>
                </c:pt>
                <c:pt idx="5" formatCode="_(&quot;$&quot;* #,##0.00_);_(&quot;$&quot;* \(#,##0.00\);_(&quot;$&quot;* &quot;-&quot;??_);_(@_)">
                  <c:v>-3569.6099999999979</c:v>
                </c:pt>
                <c:pt idx="6" formatCode="_(&quot;$&quot;* #,##0.00_);_(&quot;$&quot;* \(#,##0.00\);_(&quot;$&quot;* &quot;-&quot;??_);_(@_)">
                  <c:v>-337.51000000000005</c:v>
                </c:pt>
                <c:pt idx="7" formatCode="_(&quot;$&quot;* #,##0.00_);_(&quot;$&quot;* \(#,##0.00\);_(&quot;$&quot;* &quot;-&quot;??_);_(@_)">
                  <c:v>-644.99</c:v>
                </c:pt>
                <c:pt idx="8" formatCode="_(&quot;$&quot;* #,##0.00_);_(&quot;$&quot;* \(#,##0.00\);_(&quot;$&quot;* &quot;-&quot;??_);_(@_)">
                  <c:v>386.1099999999999</c:v>
                </c:pt>
                <c:pt idx="9" formatCode="_(&quot;$&quot;* #,##0.00_);_(&quot;$&quot;* \(#,##0.00\);_(&quot;$&quot;* &quot;-&quot;??_);_(@_)">
                  <c:v>-277.11999999999989</c:v>
                </c:pt>
                <c:pt idx="10" formatCode="_(&quot;$&quot;* #,##0.00_);_(&quot;$&quot;* \(#,##0.00\);_(&quot;$&quot;* &quot;-&quot;??_);_(@_)">
                  <c:v>1319.52</c:v>
                </c:pt>
                <c:pt idx="11" formatCode="_(&quot;$&quot;* #,##0.00_);_(&quot;$&quot;* \(#,##0.00\);_(&quot;$&quot;* &quot;-&quot;??_);_(@_)">
                  <c:v>-972.41000000000008</c:v>
                </c:pt>
                <c:pt idx="12" formatCode="_(&quot;$&quot;* #,##0.00_);_(&quot;$&quot;* \(#,##0.00\);_(&quot;$&quot;* &quot;-&quot;??_);_(@_)">
                  <c:v>3154.33</c:v>
                </c:pt>
                <c:pt idx="13" formatCode="_(&quot;$&quot;* #,##0.00_);_(&quot;$&quot;* \(#,##0.00\);_(&quot;$&quot;* &quot;-&quot;??_);_(@_)">
                  <c:v>-1492.0399999999997</c:v>
                </c:pt>
                <c:pt idx="14" formatCode="_(&quot;$&quot;* #,##0.00_);_(&quot;$&quot;* \(#,##0.00\);_(&quot;$&quot;* &quot;-&quot;??_);_(@_)">
                  <c:v>966.3</c:v>
                </c:pt>
                <c:pt idx="15" formatCode="_(&quot;$&quot;* #,##0.00_);_(&quot;$&quot;* \(#,##0.00\);_(&quot;$&quot;* &quot;-&quot;??_);_(@_)">
                  <c:v>-1199.4099999999999</c:v>
                </c:pt>
                <c:pt idx="16" formatCode="_(&quot;$&quot;* #,##0.00_);_(&quot;$&quot;* \(#,##0.00\);_(&quot;$&quot;* &quot;-&quot;??_);_(@_)">
                  <c:v>267.86999999999989</c:v>
                </c:pt>
                <c:pt idx="17" formatCode="_(&quot;$&quot;* #,##0.00_);_(&quot;$&quot;* \(#,##0.00\);_(&quot;$&quot;* &quot;-&quot;??_);_(@_)">
                  <c:v>-26.690000000000055</c:v>
                </c:pt>
                <c:pt idx="18" formatCode="_(&quot;$&quot;* #,##0.00_);_(&quot;$&quot;* \(#,##0.00\);_(&quot;$&quot;* &quot;-&quot;??_);_(@_)">
                  <c:v>-335.34999999999991</c:v>
                </c:pt>
                <c:pt idx="19" formatCode="_(&quot;$&quot;* #,##0.00_);_(&quot;$&quot;* \(#,##0.00\);_(&quot;$&quot;* &quot;-&quot;??_);_(@_)">
                  <c:v>1401.0499999999997</c:v>
                </c:pt>
                <c:pt idx="20" formatCode="_(&quot;$&quot;* #,##0.00_);_(&quot;$&quot;* \(#,##0.00\);_(&quot;$&quot;* &quot;-&quot;??_);_(@_)">
                  <c:v>-1244.1799999999998</c:v>
                </c:pt>
                <c:pt idx="21" formatCode="_(&quot;$&quot;* #,##0.00_);_(&quot;$&quot;* \(#,##0.00\);_(&quot;$&quot;* &quot;-&quot;??_);_(@_)">
                  <c:v>231.69000000000005</c:v>
                </c:pt>
                <c:pt idx="22" formatCode="_(&quot;$&quot;* #,##0.00_);_(&quot;$&quot;* \(#,##0.00\);_(&quot;$&quot;* &quot;-&quot;??_);_(@_)">
                  <c:v>-621.17000000000007</c:v>
                </c:pt>
                <c:pt idx="23" formatCode="_(&quot;$&quot;* #,##0.00_);_(&quot;$&quot;* \(#,##0.00\);_(&quot;$&quot;* &quot;-&quot;??_);_(@_)">
                  <c:v>-4422.59</c:v>
                </c:pt>
                <c:pt idx="24" formatCode="_(&quot;$&quot;* #,##0.00_);_(&quot;$&quot;* \(#,##0.00\);_(&quot;$&quot;* &quot;-&quot;??_);_(@_)">
                  <c:v>3487.0800000000004</c:v>
                </c:pt>
                <c:pt idx="25" formatCode="_(&quot;$&quot;* #,##0.00_);_(&quot;$&quot;* \(#,##0.00\);_(&quot;$&quot;* &quot;-&quot;??_);_(@_)">
                  <c:v>-24.039999999999964</c:v>
                </c:pt>
                <c:pt idx="26" formatCode="_(&quot;$&quot;* #,##0.00_);_(&quot;$&quot;* \(#,##0.00\);_(&quot;$&quot;* &quot;-&quot;??_);_(@_)">
                  <c:v>-196.86999999999989</c:v>
                </c:pt>
                <c:pt idx="27" formatCode="_(&quot;$&quot;* #,##0.00_);_(&quot;$&quot;* \(#,##0.00\);_(&quot;$&quot;* &quot;-&quot;??_);_(@_)">
                  <c:v>-1752.27</c:v>
                </c:pt>
                <c:pt idx="28" formatCode="_(&quot;$&quot;* #,##0.00_);_(&quot;$&quot;* \(#,##0.00\);_(&quot;$&quot;* &quot;-&quot;??_);_(@_)">
                  <c:v>1804.0599999999995</c:v>
                </c:pt>
                <c:pt idx="29" formatCode="_(&quot;$&quot;* #,##0.00_);_(&quot;$&quot;* \(#,##0.00\);_(&quot;$&quot;* &quot;-&quot;??_);_(@_)">
                  <c:v>-329.70999999999958</c:v>
                </c:pt>
                <c:pt idx="30" formatCode="_(&quot;$&quot;* #,##0.00_);_(&quot;$&quot;* \(#,##0.00\);_(&quot;$&quot;* &quot;-&quot;??_);_(@_)">
                  <c:v>126.26999999999998</c:v>
                </c:pt>
                <c:pt idx="31" formatCode="_(&quot;$&quot;* #,##0.00_);_(&quot;$&quot;* \(#,##0.00\);_(&quot;$&quot;* &quot;-&quot;??_);_(@_)">
                  <c:v>-184.48999999999978</c:v>
                </c:pt>
                <c:pt idx="32" formatCode="_(&quot;$&quot;* #,##0.00_);_(&quot;$&quot;* \(#,##0.00\);_(&quot;$&quot;* &quot;-&quot;??_);_(@_)">
                  <c:v>-791.63000000000056</c:v>
                </c:pt>
                <c:pt idx="33" formatCode="_(&quot;$&quot;* #,##0.00_);_(&quot;$&quot;* \(#,##0.00\);_(&quot;$&quot;* &quot;-&quot;??_);_(@_)">
                  <c:v>2284.2800000000002</c:v>
                </c:pt>
                <c:pt idx="34" formatCode="_(&quot;$&quot;* #,##0.00_);_(&quot;$&quot;* \(#,##0.00\);_(&quot;$&quot;* &quot;-&quot;??_);_(@_)">
                  <c:v>1.5599999999999454</c:v>
                </c:pt>
                <c:pt idx="35" formatCode="_(&quot;$&quot;* #,##0.00_);_(&quot;$&quot;* \(#,##0.00\);_(&quot;$&quot;* &quot;-&quot;??_);_(@_)">
                  <c:v>102.35000000000014</c:v>
                </c:pt>
                <c:pt idx="36" formatCode="_(&quot;$&quot;* #,##0.00_);_(&quot;$&quot;* \(#,##0.00\);_(&quot;$&quot;* &quot;-&quot;??_);_(@_)">
                  <c:v>-227.22000000000003</c:v>
                </c:pt>
                <c:pt idx="37" formatCode="_(&quot;$&quot;* #,##0.00_);_(&quot;$&quot;* \(#,##0.00\);_(&quot;$&quot;* &quot;-&quot;??_);_(@_)">
                  <c:v>9.1299999999998818</c:v>
                </c:pt>
                <c:pt idx="38" formatCode="_(&quot;$&quot;* #,##0.00_);_(&quot;$&quot;* \(#,##0.00\);_(&quot;$&quot;* &quot;-&quot;??_);_(@_)">
                  <c:v>-1448.77</c:v>
                </c:pt>
                <c:pt idx="39" formatCode="_(&quot;$&quot;* #,##0.00_);_(&quot;$&quot;* \(#,##0.00\);_(&quot;$&quot;* &quot;-&quot;??_);_(@_)">
                  <c:v>2225.2700000000004</c:v>
                </c:pt>
                <c:pt idx="40" formatCode="_(&quot;$&quot;* #,##0.00_);_(&quot;$&quot;* \(#,##0.00\);_(&quot;$&quot;* &quot;-&quot;??_);_(@_)">
                  <c:v>-853.96</c:v>
                </c:pt>
                <c:pt idx="41" formatCode="_(&quot;$&quot;* #,##0.00_);_(&quot;$&quot;* \(#,##0.00\);_(&quot;$&quot;* &quot;-&quot;??_);_(@_)">
                  <c:v>-988.77</c:v>
                </c:pt>
                <c:pt idx="42" formatCode="_(&quot;$&quot;* #,##0.00_);_(&quot;$&quot;* \(#,##0.00\);_(&quot;$&quot;* &quot;-&quot;??_);_(@_)">
                  <c:v>331.77</c:v>
                </c:pt>
                <c:pt idx="43" formatCode="_(&quot;$&quot;* #,##0.00_);_(&quot;$&quot;* \(#,##0.00\);_(&quot;$&quot;* &quot;-&quot;??_);_(@_)">
                  <c:v>-270.87999999999965</c:v>
                </c:pt>
                <c:pt idx="44" formatCode="_(&quot;$&quot;* #,##0.00_);_(&quot;$&quot;* \(#,##0.00\);_(&quot;$&quot;* &quot;-&quot;??_);_(@_)">
                  <c:v>888.31</c:v>
                </c:pt>
                <c:pt idx="45" formatCode="_(&quot;$&quot;* #,##0.00_);_(&quot;$&quot;* \(#,##0.00\);_(&quot;$&quot;* &quot;-&quot;??_);_(@_)">
                  <c:v>-696.94000000000096</c:v>
                </c:pt>
                <c:pt idx="46" formatCode="_(&quot;$&quot;* #,##0.00_);_(&quot;$&quot;* \(#,##0.00\);_(&quot;$&quot;* &quot;-&quot;??_);_(@_)">
                  <c:v>439.26000000000022</c:v>
                </c:pt>
                <c:pt idx="47" formatCode="_(&quot;$&quot;* #,##0.00_);_(&quot;$&quot;* \(#,##0.00\);_(&quot;$&quot;* &quot;-&quot;??_);_(@_)">
                  <c:v>272.60000000000036</c:v>
                </c:pt>
                <c:pt idx="48" formatCode="_(&quot;$&quot;* #,##0.00_);_(&quot;$&quot;* \(#,##0.00\);_(&quot;$&quot;* &quot;-&quot;??_);_(@_)">
                  <c:v>-318.38000000000011</c:v>
                </c:pt>
                <c:pt idx="49" formatCode="_(&quot;$&quot;* #,##0.00_);_(&quot;$&quot;* \(#,##0.00\);_(&quot;$&quot;* &quot;-&quot;??_);_(@_)">
                  <c:v>773.4699999999998</c:v>
                </c:pt>
                <c:pt idx="50" formatCode="_(&quot;$&quot;* #,##0.00_);_(&quot;$&quot;* \(#,##0.00\);_(&quot;$&quot;* &quot;-&quot;??_);_(@_)">
                  <c:v>47.019999999999982</c:v>
                </c:pt>
                <c:pt idx="51" formatCode="_(&quot;$&quot;* #,##0.00_);_(&quot;$&quot;* \(#,##0.00\);_(&quot;$&quot;* &quot;-&quot;??_);_(@_)">
                  <c:v>-816.94999999999982</c:v>
                </c:pt>
                <c:pt idx="52" formatCode="_(&quot;$&quot;* #,##0.00_);_(&quot;$&quot;* \(#,##0.00\);_(&quot;$&quot;* &quot;-&quot;??_);_(@_)">
                  <c:v>-72.519999999999982</c:v>
                </c:pt>
                <c:pt idx="53" formatCode="_(&quot;$&quot;* #,##0.00_);_(&quot;$&quot;* \(#,##0.00\);_(&quot;$&quot;* &quot;-&quot;??_);_(@_)">
                  <c:v>140.86999999999989</c:v>
                </c:pt>
                <c:pt idx="54" formatCode="_(&quot;$&quot;* #,##0.00_);_(&quot;$&quot;* \(#,##0.00\);_(&quot;$&quot;* &quot;-&quot;??_);_(@_)">
                  <c:v>-272.03999999999951</c:v>
                </c:pt>
                <c:pt idx="55" formatCode="_(&quot;$&quot;* #,##0.00_);_(&quot;$&quot;* \(#,##0.00\);_(&quot;$&quot;* &quot;-&quot;??_);_(@_)">
                  <c:v>301.17999999999984</c:v>
                </c:pt>
                <c:pt idx="56" formatCode="_(&quot;$&quot;* #,##0.00_);_(&quot;$&quot;* \(#,##0.00\);_(&quot;$&quot;* &quot;-&quot;??_);_(@_)">
                  <c:v>382.36000000000013</c:v>
                </c:pt>
                <c:pt idx="57" formatCode="_(&quot;$&quot;* #,##0.00_);_(&quot;$&quot;* \(#,##0.00\);_(&quot;$&quot;* &quot;-&quot;??_);_(@_)">
                  <c:v>406.58999999999969</c:v>
                </c:pt>
                <c:pt idx="58" formatCode="_(&quot;$&quot;* #,##0.00_);_(&quot;$&quot;* \(#,##0.00\);_(&quot;$&quot;* &quot;-&quot;??_);_(@_)">
                  <c:v>-300.10999999999967</c:v>
                </c:pt>
                <c:pt idx="59" formatCode="_(&quot;$&quot;* #,##0.00_);_(&quot;$&quot;* \(#,##0.00\);_(&quot;$&quot;* &quot;-&quot;??_);_(@_)">
                  <c:v>-107.19000000000005</c:v>
                </c:pt>
                <c:pt idx="60" formatCode="_(&quot;$&quot;* #,##0.00_);_(&quot;$&quot;* \(#,##0.00\);_(&quot;$&quot;* &quot;-&quot;??_);_(@_)">
                  <c:v>-491.68000000000029</c:v>
                </c:pt>
                <c:pt idx="61" formatCode="_(&quot;$&quot;* #,##0.00_);_(&quot;$&quot;* \(#,##0.00\);_(&quot;$&quot;* &quot;-&quot;??_);_(@_)">
                  <c:v>423.63000000000011</c:v>
                </c:pt>
                <c:pt idx="62" formatCode="_(&quot;$&quot;* #,##0.00_);_(&quot;$&quot;* \(#,##0.00\);_(&quot;$&quot;* &quot;-&quot;??_);_(@_)">
                  <c:v>-337.38999999999987</c:v>
                </c:pt>
                <c:pt idx="63" formatCode="_(&quot;$&quot;* #,##0.00_);_(&quot;$&quot;* \(#,##0.00\);_(&quot;$&quot;* &quot;-&quot;??_);_(@_)">
                  <c:v>1736.1999999999989</c:v>
                </c:pt>
                <c:pt idx="64" formatCode="_(&quot;$&quot;* #,##0.00_);_(&quot;$&quot;* \(#,##0.00\);_(&quot;$&quot;* &quot;-&quot;??_);_(@_)">
                  <c:v>-574.02999999999929</c:v>
                </c:pt>
                <c:pt idx="65" formatCode="_(&quot;$&quot;* #,##0.00_);_(&quot;$&quot;* \(#,##0.00\);_(&quot;$&quot;* &quot;-&quot;??_);_(@_)">
                  <c:v>-189.90999999999894</c:v>
                </c:pt>
                <c:pt idx="66" formatCode="_(&quot;$&quot;* #,##0.00_);_(&quot;$&quot;* \(#,##0.00\);_(&quot;$&quot;* &quot;-&quot;??_);_(@_)">
                  <c:v>-228.79000000000087</c:v>
                </c:pt>
                <c:pt idx="67" formatCode="_(&quot;$&quot;* #,##0.00_);_(&quot;$&quot;* \(#,##0.00\);_(&quot;$&quot;* &quot;-&quot;??_);_(@_)">
                  <c:v>-595.10000000000036</c:v>
                </c:pt>
              </c:numCache>
            </c:numRef>
          </c:val>
          <c:smooth val="0"/>
          <c:extLst xmlns:c15="http://schemas.microsoft.com/office/drawing/2012/chart">
            <c:ext xmlns:c16="http://schemas.microsoft.com/office/drawing/2014/chart" uri="{C3380CC4-5D6E-409C-BE32-E72D297353CC}">
              <c16:uniqueId val="{00000000-3E22-4BF3-94AC-6EAD8C4B7339}"/>
            </c:ext>
          </c:extLst>
        </c:ser>
        <c:ser>
          <c:idx val="1"/>
          <c:order val="1"/>
          <c:tx>
            <c:v>Actual</c:v>
          </c:tx>
          <c:spPr>
            <a:ln w="44450" cap="rnd">
              <a:gradFill>
                <a:gsLst>
                  <a:gs pos="0">
                    <a:srgbClr val="00B0F0"/>
                  </a:gs>
                  <a:gs pos="50000">
                    <a:schemeClr val="accent4">
                      <a:alpha val="90000"/>
                      <a:lumMod val="15000"/>
                      <a:lumOff val="85000"/>
                    </a:schemeClr>
                  </a:gs>
                  <a:gs pos="100000">
                    <a:srgbClr val="FE4F00"/>
                  </a:gs>
                </a:gsLst>
                <a:lin ang="5400000" scaled="1"/>
              </a:gradFill>
              <a:round/>
            </a:ln>
            <a:effectLst/>
          </c:spPr>
          <c:marker>
            <c:symbol val="none"/>
          </c:marker>
          <c:cat>
            <c:numRef>
              <c:f>'Data Analysis'!$B$5:$B$72</c:f>
              <c:numCache>
                <c:formatCode>mmm\-yyyy</c:formatCode>
                <c:ptCount val="68"/>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pt idx="36">
                  <c:v>45047</c:v>
                </c:pt>
                <c:pt idx="37">
                  <c:v>45078</c:v>
                </c:pt>
                <c:pt idx="38">
                  <c:v>45108</c:v>
                </c:pt>
                <c:pt idx="39">
                  <c:v>45139</c:v>
                </c:pt>
                <c:pt idx="40">
                  <c:v>45170</c:v>
                </c:pt>
                <c:pt idx="41">
                  <c:v>45200</c:v>
                </c:pt>
                <c:pt idx="42">
                  <c:v>45231</c:v>
                </c:pt>
                <c:pt idx="43">
                  <c:v>45261</c:v>
                </c:pt>
                <c:pt idx="44">
                  <c:v>45292</c:v>
                </c:pt>
                <c:pt idx="45">
                  <c:v>45323</c:v>
                </c:pt>
                <c:pt idx="46">
                  <c:v>45352</c:v>
                </c:pt>
                <c:pt idx="47">
                  <c:v>45383</c:v>
                </c:pt>
                <c:pt idx="48">
                  <c:v>45413</c:v>
                </c:pt>
                <c:pt idx="49">
                  <c:v>45444</c:v>
                </c:pt>
                <c:pt idx="50">
                  <c:v>45474</c:v>
                </c:pt>
                <c:pt idx="51">
                  <c:v>45505</c:v>
                </c:pt>
                <c:pt idx="52">
                  <c:v>45536</c:v>
                </c:pt>
                <c:pt idx="53">
                  <c:v>45566</c:v>
                </c:pt>
                <c:pt idx="54">
                  <c:v>45597</c:v>
                </c:pt>
                <c:pt idx="55">
                  <c:v>45627</c:v>
                </c:pt>
                <c:pt idx="56">
                  <c:v>45658</c:v>
                </c:pt>
                <c:pt idx="57">
                  <c:v>45689</c:v>
                </c:pt>
                <c:pt idx="58">
                  <c:v>45717</c:v>
                </c:pt>
                <c:pt idx="59">
                  <c:v>45748</c:v>
                </c:pt>
                <c:pt idx="60">
                  <c:v>45778</c:v>
                </c:pt>
                <c:pt idx="61">
                  <c:v>45809</c:v>
                </c:pt>
                <c:pt idx="62">
                  <c:v>45839</c:v>
                </c:pt>
                <c:pt idx="63">
                  <c:v>45870</c:v>
                </c:pt>
                <c:pt idx="64">
                  <c:v>45901</c:v>
                </c:pt>
                <c:pt idx="65">
                  <c:v>45931</c:v>
                </c:pt>
                <c:pt idx="66">
                  <c:v>45962</c:v>
                </c:pt>
                <c:pt idx="67">
                  <c:v>45992</c:v>
                </c:pt>
              </c:numCache>
            </c:numRef>
          </c:cat>
          <c:val>
            <c:numRef>
              <c:f>'Data Analysis'!$AO$5:$AO$72</c:f>
              <c:numCache>
                <c:formatCode>General</c:formatCode>
                <c:ptCount val="68"/>
                <c:pt idx="2" formatCode="_(&quot;$&quot;* #,##0.00_);_(&quot;$&quot;* \(#,##0.00\);_(&quot;$&quot;* &quot;-&quot;??_);_(@_)">
                  <c:v>513.74999999999989</c:v>
                </c:pt>
                <c:pt idx="3" formatCode="_(&quot;$&quot;* #,##0.00_);_(&quot;$&quot;* \(#,##0.00\);_(&quot;$&quot;* &quot;-&quot;??_);_(@_)">
                  <c:v>-855.9</c:v>
                </c:pt>
                <c:pt idx="4" formatCode="_(&quot;$&quot;* #,##0.00_);_(&quot;$&quot;* \(#,##0.00\);_(&quot;$&quot;* &quot;-&quot;??_);_(@_)">
                  <c:v>3977.41</c:v>
                </c:pt>
                <c:pt idx="5" formatCode="_(&quot;$&quot;* #,##0.00_);_(&quot;$&quot;* \(#,##0.00\);_(&quot;$&quot;* &quot;-&quot;??_);_(@_)">
                  <c:v>-3558.54</c:v>
                </c:pt>
                <c:pt idx="6" formatCode="_(&quot;$&quot;* #,##0.00_);_(&quot;$&quot;* \(#,##0.00\);_(&quot;$&quot;* &quot;-&quot;??_);_(@_)">
                  <c:v>-337.00999999999976</c:v>
                </c:pt>
                <c:pt idx="7" formatCode="_(&quot;$&quot;* #,##0.00_);_(&quot;$&quot;* \(#,##0.00\);_(&quot;$&quot;* &quot;-&quot;??_);_(@_)">
                  <c:v>-643.00000000000045</c:v>
                </c:pt>
                <c:pt idx="8" formatCode="_(&quot;$&quot;* #,##0.00_);_(&quot;$&quot;* \(#,##0.00\);_(&quot;$&quot;* &quot;-&quot;??_);_(@_)">
                  <c:v>371.10000000000036</c:v>
                </c:pt>
                <c:pt idx="9" formatCode="_(&quot;$&quot;* #,##0.00_);_(&quot;$&quot;* \(#,##0.00\);_(&quot;$&quot;* &quot;-&quot;??_);_(@_)">
                  <c:v>-256.34000000000026</c:v>
                </c:pt>
                <c:pt idx="10" formatCode="_(&quot;$&quot;* #,##0.00_);_(&quot;$&quot;* \(#,##0.00\);_(&quot;$&quot;* &quot;-&quot;??_);_(@_)">
                  <c:v>1304.73</c:v>
                </c:pt>
                <c:pt idx="11" formatCode="_(&quot;$&quot;* #,##0.00_);_(&quot;$&quot;* \(#,##0.00\);_(&quot;$&quot;* &quot;-&quot;??_);_(@_)">
                  <c:v>-947.96</c:v>
                </c:pt>
                <c:pt idx="12" formatCode="_(&quot;$&quot;* #,##0.00_);_(&quot;$&quot;* \(#,##0.00\);_(&quot;$&quot;* &quot;-&quot;??_);_(@_)">
                  <c:v>3139.8100000000004</c:v>
                </c:pt>
                <c:pt idx="13" formatCode="_(&quot;$&quot;* #,##0.00_);_(&quot;$&quot;* \(#,##0.00\);_(&quot;$&quot;* &quot;-&quot;??_);_(@_)">
                  <c:v>-1504.7500000000009</c:v>
                </c:pt>
                <c:pt idx="14" formatCode="_(&quot;$&quot;* #,##0.00_);_(&quot;$&quot;* \(#,##0.00\);_(&quot;$&quot;* &quot;-&quot;??_);_(@_)">
                  <c:v>969.72000000000025</c:v>
                </c:pt>
                <c:pt idx="15" formatCode="_(&quot;$&quot;* #,##0.00_);_(&quot;$&quot;* \(#,##0.00\);_(&quot;$&quot;* &quot;-&quot;??_);_(@_)">
                  <c:v>-1193.389999999999</c:v>
                </c:pt>
                <c:pt idx="16" formatCode="_(&quot;$&quot;* #,##0.00_);_(&quot;$&quot;* \(#,##0.00\);_(&quot;$&quot;* &quot;-&quot;??_);_(@_)">
                  <c:v>251.699999999998</c:v>
                </c:pt>
                <c:pt idx="17" formatCode="_(&quot;$&quot;* #,##0.00_);_(&quot;$&quot;* \(#,##0.00\);_(&quot;$&quot;* &quot;-&quot;??_);_(@_)">
                  <c:v>20.170000000001892</c:v>
                </c:pt>
                <c:pt idx="18" formatCode="_(&quot;$&quot;* #,##0.00_);_(&quot;$&quot;* \(#,##0.00\);_(&quot;$&quot;* &quot;-&quot;??_);_(@_)">
                  <c:v>-364.42000000000007</c:v>
                </c:pt>
                <c:pt idx="19" formatCode="_(&quot;$&quot;* #,##0.00_);_(&quot;$&quot;* \(#,##0.00\);_(&quot;$&quot;* &quot;-&quot;??_);_(@_)">
                  <c:v>1393.9099999999999</c:v>
                </c:pt>
                <c:pt idx="20" formatCode="_(&quot;$&quot;* #,##0.00_);_(&quot;$&quot;* \(#,##0.00\);_(&quot;$&quot;* &quot;-&quot;??_);_(@_)">
                  <c:v>-1259.590000000002</c:v>
                </c:pt>
                <c:pt idx="21" formatCode="_(&quot;$&quot;* #,##0.00_);_(&quot;$&quot;* \(#,##0.00\);_(&quot;$&quot;* &quot;-&quot;??_);_(@_)">
                  <c:v>260.48000000000138</c:v>
                </c:pt>
                <c:pt idx="22" formatCode="_(&quot;$&quot;* #,##0.00_);_(&quot;$&quot;* \(#,##0.00\);_(&quot;$&quot;* &quot;-&quot;??_);_(@_)">
                  <c:v>-627.67000000000007</c:v>
                </c:pt>
                <c:pt idx="23" formatCode="_(&quot;$&quot;* #,##0.00_);_(&quot;$&quot;* \(#,##0.00\);_(&quot;$&quot;* &quot;-&quot;??_);_(@_)">
                  <c:v>-4474.4399999999987</c:v>
                </c:pt>
                <c:pt idx="24" formatCode="_(&quot;$&quot;* #,##0.00_);_(&quot;$&quot;* \(#,##0.00\);_(&quot;$&quot;* &quot;-&quot;??_);_(@_)">
                  <c:v>3487.869999999999</c:v>
                </c:pt>
                <c:pt idx="25" formatCode="_(&quot;$&quot;* #,##0.00_);_(&quot;$&quot;* \(#,##0.00\);_(&quot;$&quot;* &quot;-&quot;??_);_(@_)">
                  <c:v>-6.0900000000001455</c:v>
                </c:pt>
                <c:pt idx="26" formatCode="_(&quot;$&quot;* #,##0.00_);_(&quot;$&quot;* \(#,##0.00\);_(&quot;$&quot;* &quot;-&quot;??_);_(@_)">
                  <c:v>-145.17000000000007</c:v>
                </c:pt>
                <c:pt idx="27" formatCode="_(&quot;$&quot;* #,##0.00_);_(&quot;$&quot;* \(#,##0.00\);_(&quot;$&quot;* &quot;-&quot;??_);_(@_)">
                  <c:v>-1784.7699999999995</c:v>
                </c:pt>
                <c:pt idx="28" formatCode="_(&quot;$&quot;* #,##0.00_);_(&quot;$&quot;* \(#,##0.00\);_(&quot;$&quot;* &quot;-&quot;??_);_(@_)">
                  <c:v>1815.5299999999997</c:v>
                </c:pt>
                <c:pt idx="29" formatCode="_(&quot;$&quot;* #,##0.00_);_(&quot;$&quot;* \(#,##0.00\);_(&quot;$&quot;* &quot;-&quot;??_);_(@_)">
                  <c:v>-384.64000000000033</c:v>
                </c:pt>
                <c:pt idx="30" formatCode="_(&quot;$&quot;* #,##0.00_);_(&quot;$&quot;* \(#,##0.00\);_(&quot;$&quot;* &quot;-&quot;??_);_(@_)">
                  <c:v>149.34999999999991</c:v>
                </c:pt>
                <c:pt idx="31" formatCode="_(&quot;$&quot;* #,##0.00_);_(&quot;$&quot;* \(#,##0.00\);_(&quot;$&quot;* &quot;-&quot;??_);_(@_)">
                  <c:v>-192.44999999999936</c:v>
                </c:pt>
                <c:pt idx="32" formatCode="_(&quot;$&quot;* #,##0.00_);_(&quot;$&quot;* \(#,##0.00\);_(&quot;$&quot;* &quot;-&quot;??_);_(@_)">
                  <c:v>-716.6700000000003</c:v>
                </c:pt>
                <c:pt idx="33" formatCode="_(&quot;$&quot;* #,##0.00_);_(&quot;$&quot;* \(#,##0.00\);_(&quot;$&quot;* &quot;-&quot;??_);_(@_)">
                  <c:v>2327.4299999999998</c:v>
                </c:pt>
                <c:pt idx="34" formatCode="_(&quot;$&quot;* #,##0.00_);_(&quot;$&quot;* \(#,##0.00\);_(&quot;$&quot;* &quot;-&quot;??_);_(@_)">
                  <c:v>-160.49999999999977</c:v>
                </c:pt>
                <c:pt idx="35" formatCode="_(&quot;$&quot;* #,##0.00_);_(&quot;$&quot;* \(#,##0.00\);_(&quot;$&quot;* &quot;-&quot;??_);_(@_)">
                  <c:v>102.15999999999985</c:v>
                </c:pt>
                <c:pt idx="36" formatCode="_(&quot;$&quot;* #,##0.00_);_(&quot;$&quot;* \(#,##0.00\);_(&quot;$&quot;* &quot;-&quot;??_);_(@_)">
                  <c:v>-160.02999999999975</c:v>
                </c:pt>
                <c:pt idx="37" formatCode="_(&quot;$&quot;* #,##0.00_);_(&quot;$&quot;* \(#,##0.00\);_(&quot;$&quot;* &quot;-&quot;??_);_(@_)">
                  <c:v>-15.850000000000364</c:v>
                </c:pt>
                <c:pt idx="38" formatCode="_(&quot;$&quot;* #,##0.00_);_(&quot;$&quot;* \(#,##0.00\);_(&quot;$&quot;* &quot;-&quot;??_);_(@_)">
                  <c:v>-1428.6199999999997</c:v>
                </c:pt>
                <c:pt idx="39" formatCode="_(&quot;$&quot;* #,##0.00_);_(&quot;$&quot;* \(#,##0.00\);_(&quot;$&quot;* &quot;-&quot;??_);_(@_)">
                  <c:v>2292.5</c:v>
                </c:pt>
                <c:pt idx="40" formatCode="_(&quot;$&quot;* #,##0.00_);_(&quot;$&quot;* \(#,##0.00\);_(&quot;$&quot;* &quot;-&quot;??_);_(@_)">
                  <c:v>-962.61000000000035</c:v>
                </c:pt>
                <c:pt idx="41" formatCode="_(&quot;$&quot;* #,##0.00_);_(&quot;$&quot;* \(#,##0.00\);_(&quot;$&quot;* &quot;-&quot;??_);_(@_)">
                  <c:v>-949.81999999999925</c:v>
                </c:pt>
                <c:pt idx="42" formatCode="_(&quot;$&quot;* #,##0.00_);_(&quot;$&quot;* \(#,##0.00\);_(&quot;$&quot;* &quot;-&quot;??_);_(@_)">
                  <c:v>323.65999999999894</c:v>
                </c:pt>
                <c:pt idx="43" formatCode="_(&quot;$&quot;* #,##0.00_);_(&quot;$&quot;* \(#,##0.00\);_(&quot;$&quot;* &quot;-&quot;??_);_(@_)">
                  <c:v>-233.6599999999994</c:v>
                </c:pt>
                <c:pt idx="44" formatCode="_(&quot;$&quot;* #,##0.00_);_(&quot;$&quot;* \(#,##0.00\);_(&quot;$&quot;* &quot;-&quot;??_);_(@_)">
                  <c:v>913.30730445852896</c:v>
                </c:pt>
                <c:pt idx="45" formatCode="_(&quot;$&quot;* #,##0.00_);_(&quot;$&quot;* \(#,##0.00\);_(&quot;$&quot;* &quot;-&quot;??_);_(@_)">
                  <c:v>-718.59169923831337</c:v>
                </c:pt>
                <c:pt idx="46" formatCode="_(&quot;$&quot;* #,##0.00_);_(&quot;$&quot;* \(#,##0.00\);_(&quot;$&quot;* &quot;-&quot;??_);_(@_)">
                  <c:v>419.79978790295195</c:v>
                </c:pt>
                <c:pt idx="47" formatCode="_(&quot;$&quot;* #,##0.00_);_(&quot;$&quot;* \(#,##0.00\);_(&quot;$&quot;* &quot;-&quot;??_);_(@_)">
                  <c:v>239.070031479421</c:v>
                </c:pt>
                <c:pt idx="48" formatCode="_(&quot;$&quot;* #,##0.00_);_(&quot;$&quot;* \(#,##0.00\);_(&quot;$&quot;* &quot;-&quot;??_);_(@_)">
                  <c:v>-246.15139757016345</c:v>
                </c:pt>
                <c:pt idx="49" formatCode="_(&quot;$&quot;* #,##0.00_);_(&quot;$&quot;* \(#,##0.00\);_(&quot;$&quot;* &quot;-&quot;??_);_(@_)">
                  <c:v>774.77043757098045</c:v>
                </c:pt>
                <c:pt idx="50" formatCode="_(&quot;$&quot;* #,##0.00_);_(&quot;$&quot;* \(#,##0.00\);_(&quot;$&quot;* &quot;-&quot;??_);_(@_)">
                  <c:v>-45.032349033657738</c:v>
                </c:pt>
                <c:pt idx="51" formatCode="_(&quot;$&quot;* #,##0.00_);_(&quot;$&quot;* \(#,##0.00\);_(&quot;$&quot;* &quot;-&quot;??_);_(@_)">
                  <c:v>-816.51430546910478</c:v>
                </c:pt>
                <c:pt idx="52" formatCode="_(&quot;$&quot;* #,##0.00_);_(&quot;$&quot;* \(#,##0.00\);_(&quot;$&quot;* &quot;-&quot;??_);_(@_)">
                  <c:v>193.53298099152516</c:v>
                </c:pt>
                <c:pt idx="53" formatCode="_(&quot;$&quot;* #,##0.00_);_(&quot;$&quot;* \(#,##0.00\);_(&quot;$&quot;* &quot;-&quot;??_);_(@_)">
                  <c:v>4.0783363704622388</c:v>
                </c:pt>
                <c:pt idx="54" formatCode="_(&quot;$&quot;* #,##0.00_);_(&quot;$&quot;* \(#,##0.00\);_(&quot;$&quot;* &quot;-&quot;??_);_(@_)">
                  <c:v>-412.42784884393222</c:v>
                </c:pt>
                <c:pt idx="55" formatCode="_(&quot;$&quot;* #,##0.00_);_(&quot;$&quot;* \(#,##0.00\);_(&quot;$&quot;* &quot;-&quot;??_);_(@_)">
                  <c:v>507.90814714296448</c:v>
                </c:pt>
                <c:pt idx="56" formatCode="_(&quot;$&quot;* #,##0.00_);_(&quot;$&quot;* \(#,##0.00\);_(&quot;$&quot;* &quot;-&quot;??_);_(@_)">
                  <c:v>286.59076517690301</c:v>
                </c:pt>
                <c:pt idx="57" formatCode="_(&quot;$&quot;* #,##0.00_);_(&quot;$&quot;* \(#,##0.00\);_(&quot;$&quot;* &quot;-&quot;??_);_(@_)">
                  <c:v>277.34829020126108</c:v>
                </c:pt>
                <c:pt idx="58" formatCode="_(&quot;$&quot;* #,##0.00_);_(&quot;$&quot;* \(#,##0.00\);_(&quot;$&quot;* &quot;-&quot;??_);_(@_)">
                  <c:v>-402.02165591667745</c:v>
                </c:pt>
                <c:pt idx="59" formatCode="_(&quot;$&quot;* #,##0.00_);_(&quot;$&quot;* \(#,##0.00\);_(&quot;$&quot;* &quot;-&quot;??_);_(@_)">
                  <c:v>51.050644957548684</c:v>
                </c:pt>
                <c:pt idx="60" formatCode="_(&quot;$&quot;* #,##0.00_);_(&quot;$&quot;* \(#,##0.00\);_(&quot;$&quot;* &quot;-&quot;??_);_(@_)">
                  <c:v>-1.5316115392752181</c:v>
                </c:pt>
                <c:pt idx="61" formatCode="_(&quot;$&quot;* #,##0.00_);_(&quot;$&quot;* \(#,##0.00\);_(&quot;$&quot;* &quot;-&quot;??_);_(@_)">
                  <c:v>373.5024386496716</c:v>
                </c:pt>
                <c:pt idx="62" formatCode="_(&quot;$&quot;* #,##0.00_);_(&quot;$&quot;* \(#,##0.00\);_(&quot;$&quot;* &quot;-&quot;??_);_(@_)">
                  <c:v>-544.14988008131058</c:v>
                </c:pt>
                <c:pt idx="63" formatCode="_(&quot;$&quot;* #,##0.00_);_(&quot;$&quot;* \(#,##0.00\);_(&quot;$&quot;* &quot;-&quot;??_);_(@_)">
                  <c:v>1517.4902977883321</c:v>
                </c:pt>
                <c:pt idx="64" formatCode="_(&quot;$&quot;* #,##0.00_);_(&quot;$&quot;* \(#,##0.00\);_(&quot;$&quot;* &quot;-&quot;??_);_(@_)">
                  <c:v>105.34968145065068</c:v>
                </c:pt>
                <c:pt idx="65" formatCode="_(&quot;$&quot;* #,##0.00_);_(&quot;$&quot;* \(#,##0.00\);_(&quot;$&quot;* &quot;-&quot;??_);_(@_)">
                  <c:v>30.553276879720215</c:v>
                </c:pt>
                <c:pt idx="66" formatCode="_(&quot;$&quot;* #,##0.00_);_(&quot;$&quot;* \(#,##0.00\);_(&quot;$&quot;* &quot;-&quot;??_);_(@_)">
                  <c:v>-2145.003824784626</c:v>
                </c:pt>
                <c:pt idx="67" formatCode="_(&quot;$&quot;* #,##0.00_);_(&quot;$&quot;* \(#,##0.00\);_(&quot;$&quot;* &quot;-&quot;??_);_(@_)">
                  <c:v>525.92429974505285</c:v>
                </c:pt>
              </c:numCache>
            </c:numRef>
          </c:val>
          <c:smooth val="0"/>
          <c:extLst>
            <c:ext xmlns:c16="http://schemas.microsoft.com/office/drawing/2014/chart" uri="{C3380CC4-5D6E-409C-BE32-E72D297353CC}">
              <c16:uniqueId val="{00000001-3E22-4BF3-94AC-6EAD8C4B7339}"/>
            </c:ext>
          </c:extLst>
        </c:ser>
        <c:dLbls>
          <c:showLegendKey val="0"/>
          <c:showVal val="0"/>
          <c:showCatName val="0"/>
          <c:showSerName val="0"/>
          <c:showPercent val="0"/>
          <c:showBubbleSize val="0"/>
        </c:dLbls>
        <c:smooth val="0"/>
        <c:axId val="699983696"/>
        <c:axId val="699989520"/>
        <c:extLst/>
      </c:lineChart>
      <c:dateAx>
        <c:axId val="699983696"/>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0" i="0" u="none" strike="noStrike" kern="1200" baseline="0">
                <a:solidFill>
                  <a:schemeClr val="tx1">
                    <a:lumMod val="65000"/>
                    <a:lumOff val="35000"/>
                  </a:schemeClr>
                </a:solidFill>
                <a:latin typeface="+mn-lt"/>
                <a:ea typeface="+mn-ea"/>
                <a:cs typeface="+mn-cs"/>
              </a:defRPr>
            </a:pPr>
            <a:endParaRPr lang="en-US"/>
          </a:p>
        </c:txPr>
        <c:crossAx val="699989520"/>
        <c:crosses val="autoZero"/>
        <c:auto val="0"/>
        <c:lblOffset val="1000"/>
        <c:baseTimeUnit val="months"/>
        <c:majorUnit val="4"/>
        <c:majorTimeUnit val="months"/>
        <c:minorUnit val="1"/>
        <c:minorTimeUnit val="months"/>
      </c:dateAx>
      <c:valAx>
        <c:axId val="699989520"/>
        <c:scaling>
          <c:orientation val="minMax"/>
          <c:min val="-5000"/>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983696"/>
        <c:crosses val="autoZero"/>
        <c:crossBetween val="between"/>
      </c:valAx>
      <c:spPr>
        <a:noFill/>
        <a:ln>
          <a:noFill/>
        </a:ln>
        <a:effectLst/>
      </c:spPr>
    </c:plotArea>
    <c:legend>
      <c:legendPos val="r"/>
      <c:layout>
        <c:manualLayout>
          <c:xMode val="edge"/>
          <c:yMode val="edge"/>
          <c:x val="0.83514314285317737"/>
          <c:y val="0.11761023622047244"/>
          <c:w val="9.3404076944973519E-2"/>
          <c:h val="0.1730781344639612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&amp;LCREAM Dashboard&amp;Ras of March 2024   </c:oddHeader>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Fee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CashApp</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1858367003623334"/>
                  <c:y val="-1.18747847128725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'Fee Comparison'!$B$2:$B$5</c:f>
              <c:numCache>
                <c:formatCode>General</c:formatCode>
                <c:ptCount val="4"/>
                <c:pt idx="0">
                  <c:v>10</c:v>
                </c:pt>
                <c:pt idx="1">
                  <c:v>50</c:v>
                </c:pt>
                <c:pt idx="2">
                  <c:v>100</c:v>
                </c:pt>
                <c:pt idx="3">
                  <c:v>1000</c:v>
                </c:pt>
              </c:numCache>
            </c:numRef>
          </c:xVal>
          <c:yVal>
            <c:numRef>
              <c:f>'Fee Comparison'!$C$2:$C$5</c:f>
              <c:numCache>
                <c:formatCode>0.0000%</c:formatCode>
                <c:ptCount val="4"/>
                <c:pt idx="0">
                  <c:v>0.03</c:v>
                </c:pt>
                <c:pt idx="1">
                  <c:v>2.2400000000000003E-2</c:v>
                </c:pt>
                <c:pt idx="2">
                  <c:v>0.02</c:v>
                </c:pt>
                <c:pt idx="3">
                  <c:v>1.7600000000000001E-2</c:v>
                </c:pt>
              </c:numCache>
            </c:numRef>
          </c:yVal>
          <c:smooth val="0"/>
          <c:extLst>
            <c:ext xmlns:c16="http://schemas.microsoft.com/office/drawing/2014/chart" uri="{C3380CC4-5D6E-409C-BE32-E72D297353CC}">
              <c16:uniqueId val="{00000001-4D24-4F06-A6ED-14A2318C19A0}"/>
            </c:ext>
          </c:extLst>
        </c:ser>
        <c:ser>
          <c:idx val="1"/>
          <c:order val="1"/>
          <c:tx>
            <c:v>Coinbase</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forward val="800"/>
            <c:dispRSqr val="1"/>
            <c:dispEq val="1"/>
            <c:trendlineLbl>
              <c:layout>
                <c:manualLayout>
                  <c:x val="0.1156538126672268"/>
                  <c:y val="-6.5545885459455727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'Fee Comparison'!$E$2:$E$5</c:f>
              <c:numCache>
                <c:formatCode>General</c:formatCode>
                <c:ptCount val="4"/>
                <c:pt idx="0">
                  <c:v>10</c:v>
                </c:pt>
                <c:pt idx="1">
                  <c:v>25</c:v>
                </c:pt>
                <c:pt idx="2">
                  <c:v>50</c:v>
                </c:pt>
                <c:pt idx="3">
                  <c:v>200</c:v>
                </c:pt>
              </c:numCache>
            </c:numRef>
          </c:xVal>
          <c:yVal>
            <c:numRef>
              <c:f>'Fee Comparison'!$F$2:$F$5</c:f>
              <c:numCache>
                <c:formatCode>0.00%</c:formatCode>
                <c:ptCount val="4"/>
                <c:pt idx="0">
                  <c:v>9.9000000000000005E-2</c:v>
                </c:pt>
                <c:pt idx="1">
                  <c:v>5.96E-2</c:v>
                </c:pt>
                <c:pt idx="2">
                  <c:v>3.9899999999999998E-2</c:v>
                </c:pt>
                <c:pt idx="3">
                  <c:v>1.495E-2</c:v>
                </c:pt>
              </c:numCache>
            </c:numRef>
          </c:yVal>
          <c:smooth val="0"/>
          <c:extLst>
            <c:ext xmlns:c16="http://schemas.microsoft.com/office/drawing/2014/chart" uri="{C3380CC4-5D6E-409C-BE32-E72D297353CC}">
              <c16:uniqueId val="{00000003-4D24-4F06-A6ED-14A2318C19A0}"/>
            </c:ext>
          </c:extLst>
        </c:ser>
        <c:dLbls>
          <c:showLegendKey val="0"/>
          <c:showVal val="0"/>
          <c:showCatName val="0"/>
          <c:showSerName val="0"/>
          <c:showPercent val="0"/>
          <c:showBubbleSize val="0"/>
        </c:dLbls>
        <c:axId val="1165212080"/>
        <c:axId val="1165212912"/>
      </c:scatterChart>
      <c:valAx>
        <c:axId val="116521208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12912"/>
        <c:crosses val="autoZero"/>
        <c:crossBetween val="midCat"/>
      </c:valAx>
      <c:valAx>
        <c:axId val="1165212912"/>
        <c:scaling>
          <c:orientation val="minMax"/>
        </c:scaling>
        <c:delete val="0"/>
        <c:axPos val="l"/>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212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Account Balance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'Economic Model'!$A$4</c:f>
              <c:strCache>
                <c:ptCount val="1"/>
                <c:pt idx="0">
                  <c:v>Month</c:v>
                </c:pt>
              </c:strCache>
            </c:strRef>
          </c:tx>
          <c:spPr>
            <a:ln w="28575" cap="rnd">
              <a:solidFill>
                <a:schemeClr val="accent1"/>
              </a:solidFill>
              <a:round/>
            </a:ln>
            <a:effectLst/>
          </c:spPr>
          <c:marker>
            <c:symbol val="none"/>
          </c:marker>
          <c:val>
            <c:numRef>
              <c:f>'Economic Model'!$A$5:$A$16</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val>
          <c:smooth val="0"/>
          <c:extLst>
            <c:ext xmlns:c16="http://schemas.microsoft.com/office/drawing/2014/chart" uri="{C3380CC4-5D6E-409C-BE32-E72D297353CC}">
              <c16:uniqueId val="{00000000-67B9-4A8B-8C6B-8D138BD872D2}"/>
            </c:ext>
          </c:extLst>
        </c:ser>
        <c:ser>
          <c:idx val="1"/>
          <c:order val="1"/>
          <c:tx>
            <c:strRef>
              <c:f>'Economic Model'!$B$4</c:f>
              <c:strCache>
                <c:ptCount val="1"/>
                <c:pt idx="0">
                  <c:v>Income</c:v>
                </c:pt>
              </c:strCache>
            </c:strRef>
          </c:tx>
          <c:spPr>
            <a:ln w="28575" cap="rnd">
              <a:solidFill>
                <a:schemeClr val="accent2"/>
              </a:solidFill>
              <a:round/>
            </a:ln>
            <a:effectLst/>
          </c:spPr>
          <c:marker>
            <c:symbol val="none"/>
          </c:marker>
          <c:val>
            <c:numRef>
              <c:f>'Economic Model'!$B$5:$B$16</c:f>
              <c:numCache>
                <c:formatCode>"$"#,##0</c:formatCode>
                <c:ptCount val="12"/>
                <c:pt idx="0">
                  <c:v>3000</c:v>
                </c:pt>
                <c:pt idx="1">
                  <c:v>3000</c:v>
                </c:pt>
                <c:pt idx="2">
                  <c:v>3200</c:v>
                </c:pt>
                <c:pt idx="3">
                  <c:v>3100</c:v>
                </c:pt>
                <c:pt idx="4">
                  <c:v>3000</c:v>
                </c:pt>
                <c:pt idx="5">
                  <c:v>3500</c:v>
                </c:pt>
                <c:pt idx="6">
                  <c:v>3200</c:v>
                </c:pt>
                <c:pt idx="7">
                  <c:v>3000</c:v>
                </c:pt>
                <c:pt idx="8">
                  <c:v>2800</c:v>
                </c:pt>
                <c:pt idx="9">
                  <c:v>3100</c:v>
                </c:pt>
                <c:pt idx="10">
                  <c:v>3200</c:v>
                </c:pt>
                <c:pt idx="11">
                  <c:v>3300</c:v>
                </c:pt>
              </c:numCache>
            </c:numRef>
          </c:val>
          <c:smooth val="0"/>
          <c:extLst>
            <c:ext xmlns:c16="http://schemas.microsoft.com/office/drawing/2014/chart" uri="{C3380CC4-5D6E-409C-BE32-E72D297353CC}">
              <c16:uniqueId val="{00000001-67B9-4A8B-8C6B-8D138BD872D2}"/>
            </c:ext>
          </c:extLst>
        </c:ser>
        <c:ser>
          <c:idx val="2"/>
          <c:order val="2"/>
          <c:tx>
            <c:strRef>
              <c:f>'Economic Model'!$C$4</c:f>
              <c:strCache>
                <c:ptCount val="1"/>
                <c:pt idx="0">
                  <c:v>Spending</c:v>
                </c:pt>
              </c:strCache>
            </c:strRef>
          </c:tx>
          <c:spPr>
            <a:ln w="28575" cap="rnd">
              <a:solidFill>
                <a:schemeClr val="accent3"/>
              </a:solidFill>
              <a:round/>
            </a:ln>
            <a:effectLst/>
          </c:spPr>
          <c:marker>
            <c:symbol val="none"/>
          </c:marker>
          <c:val>
            <c:numRef>
              <c:f>'Economic Model'!$C$5:$C$16</c:f>
              <c:numCache>
                <c:formatCode>"$"#,##0</c:formatCode>
                <c:ptCount val="12"/>
                <c:pt idx="0">
                  <c:v>2800</c:v>
                </c:pt>
                <c:pt idx="1">
                  <c:v>2700</c:v>
                </c:pt>
                <c:pt idx="2">
                  <c:v>2600</c:v>
                </c:pt>
                <c:pt idx="3">
                  <c:v>2500</c:v>
                </c:pt>
                <c:pt idx="4">
                  <c:v>2400</c:v>
                </c:pt>
                <c:pt idx="5">
                  <c:v>2600</c:v>
                </c:pt>
                <c:pt idx="6">
                  <c:v>2800</c:v>
                </c:pt>
                <c:pt idx="7">
                  <c:v>2900</c:v>
                </c:pt>
                <c:pt idx="8">
                  <c:v>3200</c:v>
                </c:pt>
                <c:pt idx="9">
                  <c:v>2700</c:v>
                </c:pt>
                <c:pt idx="10">
                  <c:v>2500</c:v>
                </c:pt>
                <c:pt idx="11">
                  <c:v>2400</c:v>
                </c:pt>
              </c:numCache>
            </c:numRef>
          </c:val>
          <c:smooth val="0"/>
          <c:extLst>
            <c:ext xmlns:c16="http://schemas.microsoft.com/office/drawing/2014/chart" uri="{C3380CC4-5D6E-409C-BE32-E72D297353CC}">
              <c16:uniqueId val="{00000002-67B9-4A8B-8C6B-8D138BD872D2}"/>
            </c:ext>
          </c:extLst>
        </c:ser>
        <c:ser>
          <c:idx val="3"/>
          <c:order val="3"/>
          <c:tx>
            <c:strRef>
              <c:f>'Economic Model'!$D$4</c:f>
              <c:strCache>
                <c:ptCount val="1"/>
                <c:pt idx="0">
                  <c:v>Balance</c:v>
                </c:pt>
              </c:strCache>
            </c:strRef>
          </c:tx>
          <c:spPr>
            <a:ln w="28575" cap="rnd">
              <a:solidFill>
                <a:schemeClr val="accent4"/>
              </a:solidFill>
              <a:round/>
            </a:ln>
            <a:effectLst/>
          </c:spPr>
          <c:marker>
            <c:symbol val="none"/>
          </c:marker>
          <c:val>
            <c:numRef>
              <c:f>'Economic Model'!$D$5:$D$16</c:f>
              <c:numCache>
                <c:formatCode>"$"#,##0</c:formatCode>
                <c:ptCount val="12"/>
                <c:pt idx="0">
                  <c:v>1000</c:v>
                </c:pt>
                <c:pt idx="1">
                  <c:v>1300</c:v>
                </c:pt>
                <c:pt idx="2">
                  <c:v>1900</c:v>
                </c:pt>
                <c:pt idx="3">
                  <c:v>2500</c:v>
                </c:pt>
                <c:pt idx="4">
                  <c:v>3100</c:v>
                </c:pt>
                <c:pt idx="5">
                  <c:v>4000</c:v>
                </c:pt>
                <c:pt idx="6">
                  <c:v>4400</c:v>
                </c:pt>
                <c:pt idx="7">
                  <c:v>4500</c:v>
                </c:pt>
                <c:pt idx="8">
                  <c:v>4100</c:v>
                </c:pt>
                <c:pt idx="9">
                  <c:v>4500</c:v>
                </c:pt>
                <c:pt idx="10">
                  <c:v>5200</c:v>
                </c:pt>
                <c:pt idx="11">
                  <c:v>6100</c:v>
                </c:pt>
              </c:numCache>
            </c:numRef>
          </c:val>
          <c:smooth val="0"/>
          <c:extLst>
            <c:ext xmlns:c16="http://schemas.microsoft.com/office/drawing/2014/chart" uri="{C3380CC4-5D6E-409C-BE32-E72D297353CC}">
              <c16:uniqueId val="{00000003-67B9-4A8B-8C6B-8D138BD872D2}"/>
            </c:ext>
          </c:extLst>
        </c:ser>
        <c:dLbls>
          <c:showLegendKey val="0"/>
          <c:showVal val="0"/>
          <c:showCatName val="0"/>
          <c:showSerName val="0"/>
          <c:showPercent val="0"/>
          <c:showBubbleSize val="0"/>
        </c:dLbls>
        <c:smooth val="0"/>
        <c:axId val="340854320"/>
        <c:axId val="340854800"/>
      </c:lineChart>
      <c:catAx>
        <c:axId val="3408543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54800"/>
        <c:crosses val="autoZero"/>
        <c:auto val="1"/>
        <c:lblAlgn val="ctr"/>
        <c:lblOffset val="100"/>
        <c:noMultiLvlLbl val="0"/>
      </c:catAx>
      <c:valAx>
        <c:axId val="34085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5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vs Spending (Cash Flows)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'Economic Model'!$A$4</c:f>
              <c:strCache>
                <c:ptCount val="1"/>
                <c:pt idx="0">
                  <c:v>Month</c:v>
                </c:pt>
              </c:strCache>
            </c:strRef>
          </c:tx>
          <c:spPr>
            <a:ln w="28575" cap="rnd">
              <a:solidFill>
                <a:schemeClr val="accent1"/>
              </a:solidFill>
              <a:round/>
            </a:ln>
            <a:effectLst/>
          </c:spPr>
          <c:marker>
            <c:symbol val="none"/>
          </c:marker>
          <c:val>
            <c:numRef>
              <c:f>'Economic Model'!$A$5:$A$16</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val>
          <c:smooth val="0"/>
          <c:extLst>
            <c:ext xmlns:c16="http://schemas.microsoft.com/office/drawing/2014/chart" uri="{C3380CC4-5D6E-409C-BE32-E72D297353CC}">
              <c16:uniqueId val="{00000000-C54F-44FE-AA2D-6E655B633C74}"/>
            </c:ext>
          </c:extLst>
        </c:ser>
        <c:ser>
          <c:idx val="1"/>
          <c:order val="1"/>
          <c:tx>
            <c:strRef>
              <c:f>'Economic Model'!$B$4</c:f>
              <c:strCache>
                <c:ptCount val="1"/>
                <c:pt idx="0">
                  <c:v>Income</c:v>
                </c:pt>
              </c:strCache>
            </c:strRef>
          </c:tx>
          <c:spPr>
            <a:ln w="28575" cap="rnd">
              <a:solidFill>
                <a:schemeClr val="accent2"/>
              </a:solidFill>
              <a:round/>
            </a:ln>
            <a:effectLst/>
          </c:spPr>
          <c:marker>
            <c:symbol val="none"/>
          </c:marker>
          <c:val>
            <c:numRef>
              <c:f>'Economic Model'!$B$5:$B$16</c:f>
              <c:numCache>
                <c:formatCode>"$"#,##0</c:formatCode>
                <c:ptCount val="12"/>
                <c:pt idx="0">
                  <c:v>3000</c:v>
                </c:pt>
                <c:pt idx="1">
                  <c:v>3000</c:v>
                </c:pt>
                <c:pt idx="2">
                  <c:v>3200</c:v>
                </c:pt>
                <c:pt idx="3">
                  <c:v>3100</c:v>
                </c:pt>
                <c:pt idx="4">
                  <c:v>3000</c:v>
                </c:pt>
                <c:pt idx="5">
                  <c:v>3500</c:v>
                </c:pt>
                <c:pt idx="6">
                  <c:v>3200</c:v>
                </c:pt>
                <c:pt idx="7">
                  <c:v>3000</c:v>
                </c:pt>
                <c:pt idx="8">
                  <c:v>2800</c:v>
                </c:pt>
                <c:pt idx="9">
                  <c:v>3100</c:v>
                </c:pt>
                <c:pt idx="10">
                  <c:v>3200</c:v>
                </c:pt>
                <c:pt idx="11">
                  <c:v>3300</c:v>
                </c:pt>
              </c:numCache>
            </c:numRef>
          </c:val>
          <c:smooth val="0"/>
          <c:extLst>
            <c:ext xmlns:c16="http://schemas.microsoft.com/office/drawing/2014/chart" uri="{C3380CC4-5D6E-409C-BE32-E72D297353CC}">
              <c16:uniqueId val="{00000001-C54F-44FE-AA2D-6E655B633C74}"/>
            </c:ext>
          </c:extLst>
        </c:ser>
        <c:ser>
          <c:idx val="2"/>
          <c:order val="2"/>
          <c:tx>
            <c:strRef>
              <c:f>'Economic Model'!$C$4</c:f>
              <c:strCache>
                <c:ptCount val="1"/>
                <c:pt idx="0">
                  <c:v>Spending</c:v>
                </c:pt>
              </c:strCache>
            </c:strRef>
          </c:tx>
          <c:spPr>
            <a:ln w="28575" cap="rnd">
              <a:solidFill>
                <a:schemeClr val="accent3"/>
              </a:solidFill>
              <a:round/>
            </a:ln>
            <a:effectLst/>
          </c:spPr>
          <c:marker>
            <c:symbol val="none"/>
          </c:marker>
          <c:val>
            <c:numRef>
              <c:f>'Economic Model'!$C$5:$C$16</c:f>
              <c:numCache>
                <c:formatCode>"$"#,##0</c:formatCode>
                <c:ptCount val="12"/>
                <c:pt idx="0">
                  <c:v>2800</c:v>
                </c:pt>
                <c:pt idx="1">
                  <c:v>2700</c:v>
                </c:pt>
                <c:pt idx="2">
                  <c:v>2600</c:v>
                </c:pt>
                <c:pt idx="3">
                  <c:v>2500</c:v>
                </c:pt>
                <c:pt idx="4">
                  <c:v>2400</c:v>
                </c:pt>
                <c:pt idx="5">
                  <c:v>2600</c:v>
                </c:pt>
                <c:pt idx="6">
                  <c:v>2800</c:v>
                </c:pt>
                <c:pt idx="7">
                  <c:v>2900</c:v>
                </c:pt>
                <c:pt idx="8">
                  <c:v>3200</c:v>
                </c:pt>
                <c:pt idx="9">
                  <c:v>2700</c:v>
                </c:pt>
                <c:pt idx="10">
                  <c:v>2500</c:v>
                </c:pt>
                <c:pt idx="11">
                  <c:v>2400</c:v>
                </c:pt>
              </c:numCache>
            </c:numRef>
          </c:val>
          <c:smooth val="0"/>
          <c:extLst>
            <c:ext xmlns:c16="http://schemas.microsoft.com/office/drawing/2014/chart" uri="{C3380CC4-5D6E-409C-BE32-E72D297353CC}">
              <c16:uniqueId val="{00000002-C54F-44FE-AA2D-6E655B633C74}"/>
            </c:ext>
          </c:extLst>
        </c:ser>
        <c:dLbls>
          <c:showLegendKey val="0"/>
          <c:showVal val="0"/>
          <c:showCatName val="0"/>
          <c:showSerName val="0"/>
          <c:showPercent val="0"/>
          <c:showBubbleSize val="0"/>
        </c:dLbls>
        <c:smooth val="0"/>
        <c:axId val="340844720"/>
        <c:axId val="340849520"/>
      </c:lineChart>
      <c:catAx>
        <c:axId val="3408447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49520"/>
        <c:crosses val="autoZero"/>
        <c:auto val="1"/>
        <c:lblAlgn val="ctr"/>
        <c:lblOffset val="100"/>
        <c:noMultiLvlLbl val="0"/>
      </c:catAx>
      <c:valAx>
        <c:axId val="34084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4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Velocity, Acceleration &amp; Jerk (Derivatives)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'Economic Model'!$E$4:$E$7</c:f>
              <c:strCache>
                <c:ptCount val="4"/>
                <c:pt idx="0">
                  <c:v>Velocity</c:v>
                </c:pt>
                <c:pt idx="1">
                  <c:v>—</c:v>
                </c:pt>
                <c:pt idx="2">
                  <c:v>$300</c:v>
                </c:pt>
                <c:pt idx="3">
                  <c:v>$600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'Economic Model'!$E$8:$E$16</c:f>
              <c:numCache>
                <c:formatCode>"$"#,##0</c:formatCode>
                <c:ptCount val="9"/>
                <c:pt idx="0">
                  <c:v>600</c:v>
                </c:pt>
                <c:pt idx="1">
                  <c:v>600</c:v>
                </c:pt>
                <c:pt idx="2">
                  <c:v>900</c:v>
                </c:pt>
                <c:pt idx="3">
                  <c:v>400</c:v>
                </c:pt>
                <c:pt idx="4">
                  <c:v>100</c:v>
                </c:pt>
                <c:pt idx="5">
                  <c:v>-400</c:v>
                </c:pt>
                <c:pt idx="6">
                  <c:v>400</c:v>
                </c:pt>
                <c:pt idx="7">
                  <c:v>700</c:v>
                </c:pt>
                <c:pt idx="8">
                  <c:v>900</c:v>
                </c:pt>
              </c:numCache>
            </c:numRef>
          </c:val>
          <c:smooth val="0"/>
          <c:extLst>
            <c:ext xmlns:c16="http://schemas.microsoft.com/office/drawing/2014/chart" uri="{C3380CC4-5D6E-409C-BE32-E72D297353CC}">
              <c16:uniqueId val="{00000000-F78D-47A1-9102-2AA8CA3CB7E0}"/>
            </c:ext>
          </c:extLst>
        </c:ser>
        <c:ser>
          <c:idx val="1"/>
          <c:order val="1"/>
          <c:tx>
            <c:strRef>
              <c:f>'Economic Model'!$F$4:$F$7</c:f>
              <c:strCache>
                <c:ptCount val="4"/>
                <c:pt idx="0">
                  <c:v>Acceleration</c:v>
                </c:pt>
                <c:pt idx="1">
                  <c:v>—</c:v>
                </c:pt>
                <c:pt idx="2">
                  <c:v>—</c:v>
                </c:pt>
                <c:pt idx="3">
                  <c:v>$300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'Economic Model'!$F$8:$F$16</c:f>
              <c:numCache>
                <c:formatCode>"$"#,##0</c:formatCode>
                <c:ptCount val="9"/>
                <c:pt idx="0">
                  <c:v>0</c:v>
                </c:pt>
                <c:pt idx="1">
                  <c:v>0</c:v>
                </c:pt>
                <c:pt idx="2">
                  <c:v>300</c:v>
                </c:pt>
                <c:pt idx="3">
                  <c:v>-500</c:v>
                </c:pt>
                <c:pt idx="4">
                  <c:v>-300</c:v>
                </c:pt>
                <c:pt idx="5">
                  <c:v>-500</c:v>
                </c:pt>
                <c:pt idx="6">
                  <c:v>800</c:v>
                </c:pt>
                <c:pt idx="7">
                  <c:v>300</c:v>
                </c:pt>
                <c:pt idx="8">
                  <c:v>200</c:v>
                </c:pt>
              </c:numCache>
            </c:numRef>
          </c:val>
          <c:smooth val="0"/>
          <c:extLst>
            <c:ext xmlns:c16="http://schemas.microsoft.com/office/drawing/2014/chart" uri="{C3380CC4-5D6E-409C-BE32-E72D297353CC}">
              <c16:uniqueId val="{00000001-F78D-47A1-9102-2AA8CA3CB7E0}"/>
            </c:ext>
          </c:extLst>
        </c:ser>
        <c:ser>
          <c:idx val="2"/>
          <c:order val="2"/>
          <c:tx>
            <c:strRef>
              <c:f>'Economic Model'!$G$4:$G$7</c:f>
              <c:strCache>
                <c:ptCount val="4"/>
                <c:pt idx="0">
                  <c:v>Jerk</c:v>
                </c:pt>
                <c:pt idx="1">
                  <c:v>—</c:v>
                </c:pt>
                <c:pt idx="2">
                  <c:v>—</c:v>
                </c:pt>
                <c:pt idx="3">
                  <c: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'Economic Model'!$G$8:$G$16</c:f>
              <c:numCache>
                <c:formatCode>"$"#,##0</c:formatCode>
                <c:ptCount val="9"/>
                <c:pt idx="0">
                  <c:v>-300</c:v>
                </c:pt>
                <c:pt idx="1">
                  <c:v>0</c:v>
                </c:pt>
                <c:pt idx="2">
                  <c:v>300</c:v>
                </c:pt>
                <c:pt idx="3">
                  <c:v>-800</c:v>
                </c:pt>
                <c:pt idx="4">
                  <c:v>200</c:v>
                </c:pt>
                <c:pt idx="5">
                  <c:v>-200</c:v>
                </c:pt>
                <c:pt idx="6">
                  <c:v>1300</c:v>
                </c:pt>
                <c:pt idx="7">
                  <c:v>-500</c:v>
                </c:pt>
                <c:pt idx="8">
                  <c:v>-100</c:v>
                </c:pt>
              </c:numCache>
            </c:numRef>
          </c:val>
          <c:smooth val="0"/>
          <c:extLst>
            <c:ext xmlns:c16="http://schemas.microsoft.com/office/drawing/2014/chart" uri="{C3380CC4-5D6E-409C-BE32-E72D297353CC}">
              <c16:uniqueId val="{00000002-F78D-47A1-9102-2AA8CA3CB7E0}"/>
            </c:ext>
          </c:extLst>
        </c:ser>
        <c:dLbls>
          <c:showLegendKey val="0"/>
          <c:showVal val="0"/>
          <c:showCatName val="0"/>
          <c:showSerName val="0"/>
          <c:showPercent val="0"/>
          <c:showBubbleSize val="0"/>
        </c:dLbls>
        <c:marker val="1"/>
        <c:smooth val="0"/>
        <c:axId val="347654960"/>
        <c:axId val="347667440"/>
      </c:lineChart>
      <c:catAx>
        <c:axId val="3476549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67440"/>
        <c:crosses val="autoZero"/>
        <c:auto val="1"/>
        <c:lblAlgn val="ctr"/>
        <c:lblOffset val="100"/>
        <c:noMultiLvlLbl val="0"/>
      </c:catAx>
      <c:valAx>
        <c:axId val="347667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5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Multi-Tank Balances (Checking → Savings → Investments)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'Economic Model'!$A$82:$A$83</c:f>
              <c:strCache>
                <c:ptCount val="2"/>
                <c:pt idx="0">
                  <c:v>Month</c:v>
                </c:pt>
                <c:pt idx="1">
                  <c:v>t</c:v>
                </c:pt>
              </c:strCache>
            </c:strRef>
          </c:tx>
          <c:spPr>
            <a:solidFill>
              <a:schemeClr val="accent1"/>
            </a:solidFill>
            <a:ln>
              <a:noFill/>
            </a:ln>
            <a:effectLst/>
          </c:spPr>
          <c:val>
            <c:numRef>
              <c:f>'Economic Model'!$A$84:$A$94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val>
          <c:extLst>
            <c:ext xmlns:c16="http://schemas.microsoft.com/office/drawing/2014/chart" uri="{C3380CC4-5D6E-409C-BE32-E72D297353CC}">
              <c16:uniqueId val="{00000000-AA21-4265-817C-303A10A8966C}"/>
            </c:ext>
          </c:extLst>
        </c:ser>
        <c:ser>
          <c:idx val="1"/>
          <c:order val="1"/>
          <c:tx>
            <c:strRef>
              <c:f>'Economic Model'!$B$82:$B$83</c:f>
              <c:strCache>
                <c:ptCount val="2"/>
                <c:pt idx="0">
                  <c:v>Checking</c:v>
                </c:pt>
                <c:pt idx="1">
                  <c:v>V₁ ($)</c:v>
                </c:pt>
              </c:strCache>
            </c:strRef>
          </c:tx>
          <c:spPr>
            <a:solidFill>
              <a:schemeClr val="accent2"/>
            </a:solidFill>
            <a:ln>
              <a:noFill/>
            </a:ln>
            <a:effectLst/>
          </c:spPr>
          <c:val>
            <c:numRef>
              <c:f>'Economic Model'!$B$84:$B$94</c:f>
              <c:numCache>
                <c:formatCode>General</c:formatCode>
                <c:ptCount val="11"/>
                <c:pt idx="0">
                  <c:v>1000</c:v>
                </c:pt>
                <c:pt idx="1">
                  <c:v>1050</c:v>
                </c:pt>
                <c:pt idx="2">
                  <c:v>1092.5</c:v>
                </c:pt>
                <c:pt idx="3">
                  <c:v>1128.625</c:v>
                </c:pt>
                <c:pt idx="4">
                  <c:v>1159.33125</c:v>
                </c:pt>
                <c:pt idx="5">
                  <c:v>1185.4315624999999</c:v>
                </c:pt>
                <c:pt idx="6">
                  <c:v>1207.6168281249998</c:v>
                </c:pt>
                <c:pt idx="7">
                  <c:v>1226.4743039062498</c:v>
                </c:pt>
                <c:pt idx="8">
                  <c:v>1242.5031583203124</c:v>
                </c:pt>
                <c:pt idx="9">
                  <c:v>1256.1276845722655</c:v>
                </c:pt>
                <c:pt idx="10">
                  <c:v>1267.7085318864256</c:v>
                </c:pt>
              </c:numCache>
            </c:numRef>
          </c:val>
          <c:extLst>
            <c:ext xmlns:c16="http://schemas.microsoft.com/office/drawing/2014/chart" uri="{C3380CC4-5D6E-409C-BE32-E72D297353CC}">
              <c16:uniqueId val="{00000001-AA21-4265-817C-303A10A8966C}"/>
            </c:ext>
          </c:extLst>
        </c:ser>
        <c:ser>
          <c:idx val="2"/>
          <c:order val="2"/>
          <c:tx>
            <c:strRef>
              <c:f>'Economic Model'!$C$82:$C$83</c:f>
              <c:strCache>
                <c:ptCount val="2"/>
                <c:pt idx="0">
                  <c:v>Savings</c:v>
                </c:pt>
                <c:pt idx="1">
                  <c:v>V₂ ($)</c:v>
                </c:pt>
              </c:strCache>
            </c:strRef>
          </c:tx>
          <c:spPr>
            <a:solidFill>
              <a:schemeClr val="accent3"/>
            </a:solidFill>
            <a:ln>
              <a:noFill/>
            </a:ln>
            <a:effectLst/>
          </c:spPr>
          <c:val>
            <c:numRef>
              <c:f>'Economic Model'!$C$84:$C$94</c:f>
              <c:numCache>
                <c:formatCode>General</c:formatCode>
                <c:ptCount val="11"/>
                <c:pt idx="0">
                  <c:v>2000</c:v>
                </c:pt>
                <c:pt idx="1">
                  <c:v>1998</c:v>
                </c:pt>
                <c:pt idx="2">
                  <c:v>2003.652</c:v>
                </c:pt>
                <c:pt idx="3">
                  <c:v>2015.249448</c:v>
                </c:pt>
                <c:pt idx="4">
                  <c:v>2031.3842399520001</c:v>
                </c:pt>
                <c:pt idx="5">
                  <c:v>2050.898725215648</c:v>
                </c:pt>
                <c:pt idx="6">
                  <c:v>2072.8451564742591</c:v>
                </c:pt>
                <c:pt idx="7">
                  <c:v>2096.4514488009654</c:v>
                </c:pt>
                <c:pt idx="8">
                  <c:v>2121.0922842780296</c:v>
                </c:pt>
                <c:pt idx="9">
                  <c:v>2146.2647444209465</c:v>
                </c:pt>
                <c:pt idx="10">
                  <c:v>2171.5677765307946</c:v>
                </c:pt>
              </c:numCache>
            </c:numRef>
          </c:val>
          <c:extLst>
            <c:ext xmlns:c16="http://schemas.microsoft.com/office/drawing/2014/chart" uri="{C3380CC4-5D6E-409C-BE32-E72D297353CC}">
              <c16:uniqueId val="{00000002-AA21-4265-817C-303A10A8966C}"/>
            </c:ext>
          </c:extLst>
        </c:ser>
        <c:ser>
          <c:idx val="3"/>
          <c:order val="3"/>
          <c:tx>
            <c:strRef>
              <c:f>'Economic Model'!$D$82:$D$83</c:f>
              <c:strCache>
                <c:ptCount val="2"/>
                <c:pt idx="0">
                  <c:v>Investments</c:v>
                </c:pt>
                <c:pt idx="1">
                  <c:v>V₃ ($)</c:v>
                </c:pt>
              </c:strCache>
            </c:strRef>
          </c:tx>
          <c:spPr>
            <a:solidFill>
              <a:schemeClr val="accent4"/>
            </a:solidFill>
            <a:ln>
              <a:noFill/>
            </a:ln>
            <a:effectLst/>
          </c:spPr>
          <c:val>
            <c:numRef>
              <c:f>'Economic Model'!$D$84:$D$94</c:f>
              <c:numCache>
                <c:formatCode>General</c:formatCode>
                <c:ptCount val="11"/>
                <c:pt idx="0">
                  <c:v>5000</c:v>
                </c:pt>
                <c:pt idx="1">
                  <c:v>5194.9999999999991</c:v>
                </c:pt>
                <c:pt idx="2">
                  <c:v>5391.204999999999</c:v>
                </c:pt>
                <c:pt idx="3">
                  <c:v>5589.2355949999983</c:v>
                </c:pt>
                <c:pt idx="4">
                  <c:v>5789.5802000049971</c:v>
                </c:pt>
                <c:pt idx="5">
                  <c:v>5992.6180006011919</c:v>
                </c:pt>
                <c:pt idx="6">
                  <c:v>6198.6382246226513</c:v>
                </c:pt>
                <c:pt idx="7">
                  <c:v>6407.8563047129501</c:v>
                </c:pt>
                <c:pt idx="8">
                  <c:v>6620.4274147500173</c:v>
                </c:pt>
                <c:pt idx="9">
                  <c:v>6836.4577893955093</c:v>
                </c:pt>
                <c:pt idx="10">
                  <c:v>7056.0141734749523</c:v>
                </c:pt>
              </c:numCache>
            </c:numRef>
          </c:val>
          <c:extLst>
            <c:ext xmlns:c16="http://schemas.microsoft.com/office/drawing/2014/chart" uri="{C3380CC4-5D6E-409C-BE32-E72D297353CC}">
              <c16:uniqueId val="{00000003-AA21-4265-817C-303A10A8966C}"/>
            </c:ext>
          </c:extLst>
        </c:ser>
        <c:dLbls>
          <c:showLegendKey val="0"/>
          <c:showVal val="0"/>
          <c:showCatName val="0"/>
          <c:showSerName val="0"/>
          <c:showPercent val="0"/>
          <c:showBubbleSize val="0"/>
        </c:dLbls>
        <c:axId val="919937087"/>
        <c:axId val="249845743"/>
      </c:areaChart>
      <c:catAx>
        <c:axId val="91993708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845743"/>
        <c:crosses val="autoZero"/>
        <c:auto val="1"/>
        <c:lblAlgn val="ctr"/>
        <c:lblOffset val="100"/>
        <c:noMultiLvlLbl val="0"/>
      </c:catAx>
      <c:valAx>
        <c:axId val="2498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370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Components (KE, PE,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'Economic Model'!$H$43:$H$45</c:f>
              <c:strCache>
                <c:ptCount val="3"/>
                <c:pt idx="0">
                  <c:v>Kinetic E</c:v>
                </c:pt>
                <c:pt idx="1">
                  <c:v>½ρv²</c:v>
                </c:pt>
                <c:pt idx="2">
                  <c: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'Economic Model'!$H$46:$H$57</c:f>
              <c:numCache>
                <c:formatCode>General</c:formatCode>
                <c:ptCount val="12"/>
                <c:pt idx="0">
                  <c:v>45000</c:v>
                </c:pt>
                <c:pt idx="1">
                  <c:v>180000</c:v>
                </c:pt>
                <c:pt idx="2">
                  <c:v>180000</c:v>
                </c:pt>
                <c:pt idx="3">
                  <c:v>180000</c:v>
                </c:pt>
                <c:pt idx="4">
                  <c:v>405000</c:v>
                </c:pt>
                <c:pt idx="5">
                  <c:v>80000</c:v>
                </c:pt>
                <c:pt idx="6">
                  <c:v>5000</c:v>
                </c:pt>
                <c:pt idx="7">
                  <c:v>80000</c:v>
                </c:pt>
                <c:pt idx="8">
                  <c:v>80000</c:v>
                </c:pt>
                <c:pt idx="9">
                  <c:v>245000</c:v>
                </c:pt>
                <c:pt idx="10">
                  <c:v>405000</c:v>
                </c:pt>
                <c:pt idx="11">
                  <c:v>405000</c:v>
                </c:pt>
              </c:numCache>
            </c:numRef>
          </c:val>
          <c:smooth val="0"/>
          <c:extLst>
            <c:ext xmlns:c16="http://schemas.microsoft.com/office/drawing/2014/chart" uri="{C3380CC4-5D6E-409C-BE32-E72D297353CC}">
              <c16:uniqueId val="{00000000-4E61-4A1C-BA37-D1D10B6B7A21}"/>
            </c:ext>
          </c:extLst>
        </c:ser>
        <c:ser>
          <c:idx val="1"/>
          <c:order val="1"/>
          <c:tx>
            <c:strRef>
              <c:f>'Economic Model'!$I$43:$I$45</c:f>
              <c:strCache>
                <c:ptCount val="3"/>
                <c:pt idx="0">
                  <c:v>Potential E</c:v>
                </c:pt>
                <c:pt idx="1">
                  <c:v>ρgB</c:v>
                </c:pt>
                <c:pt idx="2">
                  <c:v>1000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'Economic Model'!$I$46:$I$57</c:f>
              <c:numCache>
                <c:formatCode>General</c:formatCode>
                <c:ptCount val="12"/>
                <c:pt idx="0">
                  <c:v>1300</c:v>
                </c:pt>
                <c:pt idx="1">
                  <c:v>1900</c:v>
                </c:pt>
                <c:pt idx="2">
                  <c:v>2500</c:v>
                </c:pt>
                <c:pt idx="3">
                  <c:v>3100</c:v>
                </c:pt>
                <c:pt idx="4">
                  <c:v>4000</c:v>
                </c:pt>
                <c:pt idx="5">
                  <c:v>4400</c:v>
                </c:pt>
                <c:pt idx="6">
                  <c:v>4500</c:v>
                </c:pt>
                <c:pt idx="7">
                  <c:v>4100</c:v>
                </c:pt>
                <c:pt idx="8">
                  <c:v>4500</c:v>
                </c:pt>
                <c:pt idx="9">
                  <c:v>5200</c:v>
                </c:pt>
                <c:pt idx="10">
                  <c:v>6100</c:v>
                </c:pt>
                <c:pt idx="11">
                  <c:v>7000</c:v>
                </c:pt>
              </c:numCache>
            </c:numRef>
          </c:val>
          <c:smooth val="0"/>
          <c:extLst>
            <c:ext xmlns:c16="http://schemas.microsoft.com/office/drawing/2014/chart" uri="{C3380CC4-5D6E-409C-BE32-E72D297353CC}">
              <c16:uniqueId val="{00000001-4E61-4A1C-BA37-D1D10B6B7A21}"/>
            </c:ext>
          </c:extLst>
        </c:ser>
        <c:ser>
          <c:idx val="2"/>
          <c:order val="2"/>
          <c:tx>
            <c:strRef>
              <c:f>'Economic Model'!$J$43:$J$45</c:f>
              <c:strCache>
                <c:ptCount val="3"/>
                <c:pt idx="0">
                  <c:v>Total Energy</c:v>
                </c:pt>
                <c:pt idx="1">
                  <c:v>KE + PE</c:v>
                </c:pt>
                <c:pt idx="2">
                  <c: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'Economic Model'!$J$46:$J$57</c:f>
              <c:numCache>
                <c:formatCode>General</c:formatCode>
                <c:ptCount val="12"/>
                <c:pt idx="0">
                  <c:v>46300</c:v>
                </c:pt>
                <c:pt idx="1">
                  <c:v>181900</c:v>
                </c:pt>
                <c:pt idx="2">
                  <c:v>182500</c:v>
                </c:pt>
                <c:pt idx="3">
                  <c:v>183100</c:v>
                </c:pt>
                <c:pt idx="4">
                  <c:v>409000</c:v>
                </c:pt>
                <c:pt idx="5">
                  <c:v>84400</c:v>
                </c:pt>
                <c:pt idx="6">
                  <c:v>9500</c:v>
                </c:pt>
                <c:pt idx="7">
                  <c:v>84100</c:v>
                </c:pt>
                <c:pt idx="8">
                  <c:v>84500</c:v>
                </c:pt>
                <c:pt idx="9">
                  <c:v>250200</c:v>
                </c:pt>
                <c:pt idx="10">
                  <c:v>411100</c:v>
                </c:pt>
                <c:pt idx="11">
                  <c:v>412000</c:v>
                </c:pt>
              </c:numCache>
            </c:numRef>
          </c:val>
          <c:smooth val="0"/>
          <c:extLst>
            <c:ext xmlns:c16="http://schemas.microsoft.com/office/drawing/2014/chart" uri="{C3380CC4-5D6E-409C-BE32-E72D297353CC}">
              <c16:uniqueId val="{00000002-4E61-4A1C-BA37-D1D10B6B7A21}"/>
            </c:ext>
          </c:extLst>
        </c:ser>
        <c:dLbls>
          <c:showLegendKey val="0"/>
          <c:showVal val="0"/>
          <c:showCatName val="0"/>
          <c:showSerName val="0"/>
          <c:showPercent val="0"/>
          <c:showBubbleSize val="0"/>
        </c:dLbls>
        <c:marker val="1"/>
        <c:smooth val="0"/>
        <c:axId val="1015097263"/>
        <c:axId val="1015097743"/>
      </c:lineChart>
      <c:catAx>
        <c:axId val="10150972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97743"/>
        <c:crosses val="autoZero"/>
        <c:auto val="1"/>
        <c:lblAlgn val="ctr"/>
        <c:lblOffset val="100"/>
        <c:noMultiLvlLbl val="0"/>
      </c:catAx>
      <c:valAx>
        <c:axId val="101509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9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Inter-Tank Transfer Flows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'Economic Model'!$F$82:$F$84</c:f>
              <c:strCache>
                <c:ptCount val="3"/>
                <c:pt idx="0">
                  <c:v>Q₁→₂</c:v>
                </c:pt>
                <c:pt idx="1">
                  <c:v>($/mo)</c:v>
                </c:pt>
                <c:pt idx="2">
                  <c:v>—</c:v>
                </c:pt>
              </c:strCache>
            </c:strRef>
          </c:tx>
          <c:spPr>
            <a:ln w="28575" cap="rnd">
              <a:solidFill>
                <a:schemeClr val="accent1"/>
              </a:solidFill>
              <a:round/>
            </a:ln>
            <a:effectLst/>
          </c:spPr>
          <c:marker>
            <c:symbol val="none"/>
          </c:marker>
          <c:val>
            <c:numRef>
              <c:f>'Economic Model'!$F$85:$F$94</c:f>
              <c:numCache>
                <c:formatCode>General</c:formatCode>
                <c:ptCount val="10"/>
                <c:pt idx="0">
                  <c:v>150</c:v>
                </c:pt>
                <c:pt idx="1">
                  <c:v>157.5</c:v>
                </c:pt>
                <c:pt idx="2">
                  <c:v>163.875</c:v>
                </c:pt>
                <c:pt idx="3">
                  <c:v>169.29374999999999</c:v>
                </c:pt>
                <c:pt idx="4">
                  <c:v>173.8996875</c:v>
                </c:pt>
                <c:pt idx="5">
                  <c:v>177.81473437499997</c:v>
                </c:pt>
                <c:pt idx="6">
                  <c:v>181.14252421874997</c:v>
                </c:pt>
                <c:pt idx="7">
                  <c:v>183.97114558593748</c:v>
                </c:pt>
                <c:pt idx="8">
                  <c:v>186.37547374804686</c:v>
                </c:pt>
                <c:pt idx="9">
                  <c:v>188.4191526858398</c:v>
                </c:pt>
              </c:numCache>
            </c:numRef>
          </c:val>
          <c:smooth val="0"/>
          <c:extLst>
            <c:ext xmlns:c16="http://schemas.microsoft.com/office/drawing/2014/chart" uri="{C3380CC4-5D6E-409C-BE32-E72D297353CC}">
              <c16:uniqueId val="{00000000-7604-4ACB-92D8-8523129CAD99}"/>
            </c:ext>
          </c:extLst>
        </c:ser>
        <c:ser>
          <c:idx val="1"/>
          <c:order val="1"/>
          <c:tx>
            <c:strRef>
              <c:f>'Economic Model'!$G$82:$G$84</c:f>
              <c:strCache>
                <c:ptCount val="3"/>
                <c:pt idx="0">
                  <c:v>Q₂→₃</c:v>
                </c:pt>
                <c:pt idx="1">
                  <c:v>($/mo)</c:v>
                </c:pt>
                <c:pt idx="2">
                  <c:v>—</c:v>
                </c:pt>
              </c:strCache>
            </c:strRef>
          </c:tx>
          <c:spPr>
            <a:ln w="28575" cap="rnd">
              <a:solidFill>
                <a:schemeClr val="accent2"/>
              </a:solidFill>
              <a:round/>
            </a:ln>
            <a:effectLst/>
          </c:spPr>
          <c:marker>
            <c:symbol val="none"/>
          </c:marker>
          <c:val>
            <c:numRef>
              <c:f>'Economic Model'!$G$85:$G$94</c:f>
              <c:numCache>
                <c:formatCode>General</c:formatCode>
                <c:ptCount val="10"/>
                <c:pt idx="0">
                  <c:v>160</c:v>
                </c:pt>
                <c:pt idx="1">
                  <c:v>159.84</c:v>
                </c:pt>
                <c:pt idx="2">
                  <c:v>160.29216</c:v>
                </c:pt>
                <c:pt idx="3">
                  <c:v>161.21995584000001</c:v>
                </c:pt>
                <c:pt idx="4">
                  <c:v>162.51073919616002</c:v>
                </c:pt>
                <c:pt idx="5">
                  <c:v>164.07189801725184</c:v>
                </c:pt>
                <c:pt idx="6">
                  <c:v>165.82761251794074</c:v>
                </c:pt>
                <c:pt idx="7">
                  <c:v>167.71611590407724</c:v>
                </c:pt>
                <c:pt idx="8">
                  <c:v>169.68738274224236</c:v>
                </c:pt>
                <c:pt idx="9">
                  <c:v>171.70117955367573</c:v>
                </c:pt>
              </c:numCache>
            </c:numRef>
          </c:val>
          <c:smooth val="0"/>
          <c:extLst>
            <c:ext xmlns:c16="http://schemas.microsoft.com/office/drawing/2014/chart" uri="{C3380CC4-5D6E-409C-BE32-E72D297353CC}">
              <c16:uniqueId val="{00000001-7604-4ACB-92D8-8523129CAD99}"/>
            </c:ext>
          </c:extLst>
        </c:ser>
        <c:dLbls>
          <c:showLegendKey val="0"/>
          <c:showVal val="0"/>
          <c:showCatName val="0"/>
          <c:showSerName val="0"/>
          <c:showPercent val="0"/>
          <c:showBubbleSize val="0"/>
        </c:dLbls>
        <c:smooth val="0"/>
        <c:axId val="1022420367"/>
        <c:axId val="1022420847"/>
      </c:lineChart>
      <c:catAx>
        <c:axId val="10224203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20847"/>
        <c:crosses val="autoZero"/>
        <c:auto val="1"/>
        <c:lblAlgn val="ctr"/>
        <c:lblOffset val="100"/>
        <c:noMultiLvlLbl val="0"/>
      </c:catAx>
      <c:valAx>
        <c:axId val="102242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420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Reservoir Volume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'Fluid Model'!$B$4</c:f>
              <c:strCache>
                <c:ptCount val="1"/>
                <c:pt idx="0">
                  <c:v>Inflow</c:v>
                </c:pt>
              </c:strCache>
            </c:strRef>
          </c:tx>
          <c:spPr>
            <a:ln w="28575" cap="rnd">
              <a:solidFill>
                <a:schemeClr val="accent1"/>
              </a:solidFill>
              <a:round/>
            </a:ln>
            <a:effectLst/>
          </c:spPr>
          <c:marker>
            <c:symbol val="none"/>
          </c:marker>
          <c:cat>
            <c:strRef>
              <c:f>'Fluid Model'!$A$5:$A$16</c:f>
              <c:strCache>
                <c:ptCount val="12"/>
                <c:pt idx="0">
                  <c:v>t₀</c:v>
                </c:pt>
                <c:pt idx="1">
                  <c:v>t₁</c:v>
                </c:pt>
                <c:pt idx="2">
                  <c:v>t₂</c:v>
                </c:pt>
                <c:pt idx="3">
                  <c:v>t₃</c:v>
                </c:pt>
                <c:pt idx="4">
                  <c:v>t₄</c:v>
                </c:pt>
                <c:pt idx="5">
                  <c:v>t₅</c:v>
                </c:pt>
                <c:pt idx="6">
                  <c:v>t₆</c:v>
                </c:pt>
                <c:pt idx="7">
                  <c:v>t₇</c:v>
                </c:pt>
                <c:pt idx="8">
                  <c:v>t₈</c:v>
                </c:pt>
                <c:pt idx="9">
                  <c:v>t₉</c:v>
                </c:pt>
                <c:pt idx="10">
                  <c:v>t₁₀</c:v>
                </c:pt>
                <c:pt idx="11">
                  <c:v>t₁₁</c:v>
                </c:pt>
              </c:strCache>
            </c:strRef>
          </c:cat>
          <c:val>
            <c:numRef>
              <c:f>'Fluid Model'!$B$5:$B$16</c:f>
              <c:numCache>
                <c:formatCode>0.0</c:formatCode>
                <c:ptCount val="12"/>
                <c:pt idx="0">
                  <c:v>3</c:v>
                </c:pt>
                <c:pt idx="1">
                  <c:v>3</c:v>
                </c:pt>
                <c:pt idx="2">
                  <c:v>3.2</c:v>
                </c:pt>
                <c:pt idx="3">
                  <c:v>3.1</c:v>
                </c:pt>
                <c:pt idx="4">
                  <c:v>3</c:v>
                </c:pt>
                <c:pt idx="5">
                  <c:v>3.5</c:v>
                </c:pt>
                <c:pt idx="6">
                  <c:v>3.2</c:v>
                </c:pt>
                <c:pt idx="7">
                  <c:v>3</c:v>
                </c:pt>
                <c:pt idx="8">
                  <c:v>2.8</c:v>
                </c:pt>
                <c:pt idx="9">
                  <c:v>3.1</c:v>
                </c:pt>
                <c:pt idx="10">
                  <c:v>3.2</c:v>
                </c:pt>
                <c:pt idx="11">
                  <c:v>3.3</c:v>
                </c:pt>
              </c:numCache>
            </c:numRef>
          </c:val>
          <c:smooth val="0"/>
          <c:extLst>
            <c:ext xmlns:c16="http://schemas.microsoft.com/office/drawing/2014/chart" uri="{C3380CC4-5D6E-409C-BE32-E72D297353CC}">
              <c16:uniqueId val="{00000000-E5AC-4DE1-8ECD-103FA98858A9}"/>
            </c:ext>
          </c:extLst>
        </c:ser>
        <c:ser>
          <c:idx val="1"/>
          <c:order val="1"/>
          <c:tx>
            <c:strRef>
              <c:f>'Fluid Model'!$C$4</c:f>
              <c:strCache>
                <c:ptCount val="1"/>
                <c:pt idx="0">
                  <c:v>Outflow</c:v>
                </c:pt>
              </c:strCache>
            </c:strRef>
          </c:tx>
          <c:spPr>
            <a:ln w="28575" cap="rnd">
              <a:solidFill>
                <a:schemeClr val="accent2"/>
              </a:solidFill>
              <a:round/>
            </a:ln>
            <a:effectLst/>
          </c:spPr>
          <c:marker>
            <c:symbol val="none"/>
          </c:marker>
          <c:cat>
            <c:strRef>
              <c:f>'Fluid Model'!$A$5:$A$16</c:f>
              <c:strCache>
                <c:ptCount val="12"/>
                <c:pt idx="0">
                  <c:v>t₀</c:v>
                </c:pt>
                <c:pt idx="1">
                  <c:v>t₁</c:v>
                </c:pt>
                <c:pt idx="2">
                  <c:v>t₂</c:v>
                </c:pt>
                <c:pt idx="3">
                  <c:v>t₃</c:v>
                </c:pt>
                <c:pt idx="4">
                  <c:v>t₄</c:v>
                </c:pt>
                <c:pt idx="5">
                  <c:v>t₅</c:v>
                </c:pt>
                <c:pt idx="6">
                  <c:v>t₆</c:v>
                </c:pt>
                <c:pt idx="7">
                  <c:v>t₇</c:v>
                </c:pt>
                <c:pt idx="8">
                  <c:v>t₈</c:v>
                </c:pt>
                <c:pt idx="9">
                  <c:v>t₉</c:v>
                </c:pt>
                <c:pt idx="10">
                  <c:v>t₁₀</c:v>
                </c:pt>
                <c:pt idx="11">
                  <c:v>t₁₁</c:v>
                </c:pt>
              </c:strCache>
            </c:strRef>
          </c:cat>
          <c:val>
            <c:numRef>
              <c:f>'Fluid Model'!$C$5:$C$16</c:f>
              <c:numCache>
                <c:formatCode>0.0</c:formatCode>
                <c:ptCount val="12"/>
                <c:pt idx="0">
                  <c:v>2.8</c:v>
                </c:pt>
                <c:pt idx="1">
                  <c:v>2.7</c:v>
                </c:pt>
                <c:pt idx="2">
                  <c:v>2.6</c:v>
                </c:pt>
                <c:pt idx="3">
                  <c:v>2.5</c:v>
                </c:pt>
                <c:pt idx="4">
                  <c:v>2.4</c:v>
                </c:pt>
                <c:pt idx="5">
                  <c:v>2.6</c:v>
                </c:pt>
                <c:pt idx="6">
                  <c:v>2.8</c:v>
                </c:pt>
                <c:pt idx="7">
                  <c:v>2.9</c:v>
                </c:pt>
                <c:pt idx="8">
                  <c:v>3.2</c:v>
                </c:pt>
                <c:pt idx="9">
                  <c:v>2.7</c:v>
                </c:pt>
                <c:pt idx="10">
                  <c:v>2.5</c:v>
                </c:pt>
                <c:pt idx="11">
                  <c:v>2.4</c:v>
                </c:pt>
              </c:numCache>
            </c:numRef>
          </c:val>
          <c:smooth val="0"/>
          <c:extLst>
            <c:ext xmlns:c16="http://schemas.microsoft.com/office/drawing/2014/chart" uri="{C3380CC4-5D6E-409C-BE32-E72D297353CC}">
              <c16:uniqueId val="{00000001-E5AC-4DE1-8ECD-103FA98858A9}"/>
            </c:ext>
          </c:extLst>
        </c:ser>
        <c:ser>
          <c:idx val="2"/>
          <c:order val="2"/>
          <c:tx>
            <c:strRef>
              <c:f>'Fluid Model'!$D$4</c:f>
              <c:strCache>
                <c:ptCount val="1"/>
                <c:pt idx="0">
                  <c:v>Volume</c:v>
                </c:pt>
              </c:strCache>
            </c:strRef>
          </c:tx>
          <c:spPr>
            <a:ln w="28575" cap="rnd">
              <a:solidFill>
                <a:schemeClr val="accent3"/>
              </a:solidFill>
              <a:round/>
            </a:ln>
            <a:effectLst/>
          </c:spPr>
          <c:marker>
            <c:symbol val="none"/>
          </c:marker>
          <c:cat>
            <c:strRef>
              <c:f>'Fluid Model'!$A$5:$A$16</c:f>
              <c:strCache>
                <c:ptCount val="12"/>
                <c:pt idx="0">
                  <c:v>t₀</c:v>
                </c:pt>
                <c:pt idx="1">
                  <c:v>t₁</c:v>
                </c:pt>
                <c:pt idx="2">
                  <c:v>t₂</c:v>
                </c:pt>
                <c:pt idx="3">
                  <c:v>t₃</c:v>
                </c:pt>
                <c:pt idx="4">
                  <c:v>t₄</c:v>
                </c:pt>
                <c:pt idx="5">
                  <c:v>t₅</c:v>
                </c:pt>
                <c:pt idx="6">
                  <c:v>t₆</c:v>
                </c:pt>
                <c:pt idx="7">
                  <c:v>t₇</c:v>
                </c:pt>
                <c:pt idx="8">
                  <c:v>t₈</c:v>
                </c:pt>
                <c:pt idx="9">
                  <c:v>t₉</c:v>
                </c:pt>
                <c:pt idx="10">
                  <c:v>t₁₀</c:v>
                </c:pt>
                <c:pt idx="11">
                  <c:v>t₁₁</c:v>
                </c:pt>
              </c:strCache>
            </c:strRef>
          </c:cat>
          <c:val>
            <c:numRef>
              <c:f>'Fluid Model'!$D$5:$D$16</c:f>
              <c:numCache>
                <c:formatCode>0.0</c:formatCode>
                <c:ptCount val="12"/>
                <c:pt idx="0">
                  <c:v>1</c:v>
                </c:pt>
                <c:pt idx="1">
                  <c:v>1.2999999999999998</c:v>
                </c:pt>
                <c:pt idx="2">
                  <c:v>1.9</c:v>
                </c:pt>
                <c:pt idx="3">
                  <c:v>2.5</c:v>
                </c:pt>
                <c:pt idx="4">
                  <c:v>3.1</c:v>
                </c:pt>
                <c:pt idx="5">
                  <c:v>3.9999999999999996</c:v>
                </c:pt>
                <c:pt idx="6">
                  <c:v>4.3999999999999995</c:v>
                </c:pt>
                <c:pt idx="7">
                  <c:v>4.5</c:v>
                </c:pt>
                <c:pt idx="8">
                  <c:v>4.0999999999999996</c:v>
                </c:pt>
                <c:pt idx="9">
                  <c:v>4.4999999999999991</c:v>
                </c:pt>
                <c:pt idx="10">
                  <c:v>5.1999999999999993</c:v>
                </c:pt>
                <c:pt idx="11">
                  <c:v>6.1</c:v>
                </c:pt>
              </c:numCache>
            </c:numRef>
          </c:val>
          <c:smooth val="0"/>
          <c:extLst>
            <c:ext xmlns:c16="http://schemas.microsoft.com/office/drawing/2014/chart" uri="{C3380CC4-5D6E-409C-BE32-E72D297353CC}">
              <c16:uniqueId val="{00000002-E5AC-4DE1-8ECD-103FA98858A9}"/>
            </c:ext>
          </c:extLst>
        </c:ser>
        <c:dLbls>
          <c:showLegendKey val="0"/>
          <c:showVal val="0"/>
          <c:showCatName val="0"/>
          <c:showSerName val="0"/>
          <c:showPercent val="0"/>
          <c:showBubbleSize val="0"/>
        </c:dLbls>
        <c:smooth val="0"/>
        <c:axId val="340860560"/>
        <c:axId val="340861520"/>
      </c:lineChart>
      <c:catAx>
        <c:axId val="3408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61520"/>
        <c:crosses val="autoZero"/>
        <c:auto val="1"/>
        <c:lblAlgn val="ctr"/>
        <c:lblOffset val="100"/>
        <c:noMultiLvlLbl val="0"/>
      </c:catAx>
      <c:valAx>
        <c:axId val="340861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60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Inflow vs Outflow (Flow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'Fluid Model'!$B$4</c:f>
              <c:strCache>
                <c:ptCount val="1"/>
                <c:pt idx="0">
                  <c:v>Inflow</c:v>
                </c:pt>
              </c:strCache>
            </c:strRef>
          </c:tx>
          <c:spPr>
            <a:ln w="28575" cap="rnd">
              <a:solidFill>
                <a:schemeClr val="accent1"/>
              </a:solidFill>
              <a:round/>
            </a:ln>
            <a:effectLst/>
          </c:spPr>
          <c:marker>
            <c:symbol val="none"/>
          </c:marker>
          <c:cat>
            <c:strRef>
              <c:f>'Fluid Model'!$A$5:$A$16</c:f>
              <c:strCache>
                <c:ptCount val="12"/>
                <c:pt idx="0">
                  <c:v>t₀</c:v>
                </c:pt>
                <c:pt idx="1">
                  <c:v>t₁</c:v>
                </c:pt>
                <c:pt idx="2">
                  <c:v>t₂</c:v>
                </c:pt>
                <c:pt idx="3">
                  <c:v>t₃</c:v>
                </c:pt>
                <c:pt idx="4">
                  <c:v>t₄</c:v>
                </c:pt>
                <c:pt idx="5">
                  <c:v>t₅</c:v>
                </c:pt>
                <c:pt idx="6">
                  <c:v>t₆</c:v>
                </c:pt>
                <c:pt idx="7">
                  <c:v>t₇</c:v>
                </c:pt>
                <c:pt idx="8">
                  <c:v>t₈</c:v>
                </c:pt>
                <c:pt idx="9">
                  <c:v>t₉</c:v>
                </c:pt>
                <c:pt idx="10">
                  <c:v>t₁₀</c:v>
                </c:pt>
                <c:pt idx="11">
                  <c:v>t₁₁</c:v>
                </c:pt>
              </c:strCache>
            </c:strRef>
          </c:cat>
          <c:val>
            <c:numRef>
              <c:f>'Fluid Model'!$B$5:$B$16</c:f>
              <c:numCache>
                <c:formatCode>0.0</c:formatCode>
                <c:ptCount val="12"/>
                <c:pt idx="0">
                  <c:v>3</c:v>
                </c:pt>
                <c:pt idx="1">
                  <c:v>3</c:v>
                </c:pt>
                <c:pt idx="2">
                  <c:v>3.2</c:v>
                </c:pt>
                <c:pt idx="3">
                  <c:v>3.1</c:v>
                </c:pt>
                <c:pt idx="4">
                  <c:v>3</c:v>
                </c:pt>
                <c:pt idx="5">
                  <c:v>3.5</c:v>
                </c:pt>
                <c:pt idx="6">
                  <c:v>3.2</c:v>
                </c:pt>
                <c:pt idx="7">
                  <c:v>3</c:v>
                </c:pt>
                <c:pt idx="8">
                  <c:v>2.8</c:v>
                </c:pt>
                <c:pt idx="9">
                  <c:v>3.1</c:v>
                </c:pt>
                <c:pt idx="10">
                  <c:v>3.2</c:v>
                </c:pt>
                <c:pt idx="11">
                  <c:v>3.3</c:v>
                </c:pt>
              </c:numCache>
            </c:numRef>
          </c:val>
          <c:smooth val="0"/>
          <c:extLst>
            <c:ext xmlns:c16="http://schemas.microsoft.com/office/drawing/2014/chart" uri="{C3380CC4-5D6E-409C-BE32-E72D297353CC}">
              <c16:uniqueId val="{00000000-D6A8-4821-B23E-7CD1A795F1AE}"/>
            </c:ext>
          </c:extLst>
        </c:ser>
        <c:ser>
          <c:idx val="1"/>
          <c:order val="1"/>
          <c:tx>
            <c:strRef>
              <c:f>'Fluid Model'!$C$4</c:f>
              <c:strCache>
                <c:ptCount val="1"/>
                <c:pt idx="0">
                  <c:v>Outflow</c:v>
                </c:pt>
              </c:strCache>
            </c:strRef>
          </c:tx>
          <c:spPr>
            <a:ln w="28575" cap="rnd">
              <a:solidFill>
                <a:schemeClr val="accent2"/>
              </a:solidFill>
              <a:round/>
            </a:ln>
            <a:effectLst/>
          </c:spPr>
          <c:marker>
            <c:symbol val="none"/>
          </c:marker>
          <c:cat>
            <c:strRef>
              <c:f>'Fluid Model'!$A$5:$A$16</c:f>
              <c:strCache>
                <c:ptCount val="12"/>
                <c:pt idx="0">
                  <c:v>t₀</c:v>
                </c:pt>
                <c:pt idx="1">
                  <c:v>t₁</c:v>
                </c:pt>
                <c:pt idx="2">
                  <c:v>t₂</c:v>
                </c:pt>
                <c:pt idx="3">
                  <c:v>t₃</c:v>
                </c:pt>
                <c:pt idx="4">
                  <c:v>t₄</c:v>
                </c:pt>
                <c:pt idx="5">
                  <c:v>t₅</c:v>
                </c:pt>
                <c:pt idx="6">
                  <c:v>t₆</c:v>
                </c:pt>
                <c:pt idx="7">
                  <c:v>t₇</c:v>
                </c:pt>
                <c:pt idx="8">
                  <c:v>t₈</c:v>
                </c:pt>
                <c:pt idx="9">
                  <c:v>t₉</c:v>
                </c:pt>
                <c:pt idx="10">
                  <c:v>t₁₀</c:v>
                </c:pt>
                <c:pt idx="11">
                  <c:v>t₁₁</c:v>
                </c:pt>
              </c:strCache>
            </c:strRef>
          </c:cat>
          <c:val>
            <c:numRef>
              <c:f>'Fluid Model'!$C$5:$C$16</c:f>
              <c:numCache>
                <c:formatCode>0.0</c:formatCode>
                <c:ptCount val="12"/>
                <c:pt idx="0">
                  <c:v>2.8</c:v>
                </c:pt>
                <c:pt idx="1">
                  <c:v>2.7</c:v>
                </c:pt>
                <c:pt idx="2">
                  <c:v>2.6</c:v>
                </c:pt>
                <c:pt idx="3">
                  <c:v>2.5</c:v>
                </c:pt>
                <c:pt idx="4">
                  <c:v>2.4</c:v>
                </c:pt>
                <c:pt idx="5">
                  <c:v>2.6</c:v>
                </c:pt>
                <c:pt idx="6">
                  <c:v>2.8</c:v>
                </c:pt>
                <c:pt idx="7">
                  <c:v>2.9</c:v>
                </c:pt>
                <c:pt idx="8">
                  <c:v>3.2</c:v>
                </c:pt>
                <c:pt idx="9">
                  <c:v>2.7</c:v>
                </c:pt>
                <c:pt idx="10">
                  <c:v>2.5</c:v>
                </c:pt>
                <c:pt idx="11">
                  <c:v>2.4</c:v>
                </c:pt>
              </c:numCache>
            </c:numRef>
          </c:val>
          <c:smooth val="0"/>
          <c:extLst>
            <c:ext xmlns:c16="http://schemas.microsoft.com/office/drawing/2014/chart" uri="{C3380CC4-5D6E-409C-BE32-E72D297353CC}">
              <c16:uniqueId val="{00000001-D6A8-4821-B23E-7CD1A795F1AE}"/>
            </c:ext>
          </c:extLst>
        </c:ser>
        <c:dLbls>
          <c:showLegendKey val="0"/>
          <c:showVal val="0"/>
          <c:showCatName val="0"/>
          <c:showSerName val="0"/>
          <c:showPercent val="0"/>
          <c:showBubbleSize val="0"/>
        </c:dLbls>
        <c:smooth val="0"/>
        <c:axId val="347677040"/>
        <c:axId val="347675120"/>
      </c:lineChart>
      <c:catAx>
        <c:axId val="34767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75120"/>
        <c:crosses val="autoZero"/>
        <c:auto val="1"/>
        <c:lblAlgn val="ctr"/>
        <c:lblOffset val="100"/>
        <c:noMultiLvlLbl val="0"/>
      </c:catAx>
      <c:valAx>
        <c:axId val="3476751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7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Flow Velocity, Acceleration &amp; Jerk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'Fluid Model'!$E$4:$E$7</c:f>
              <c:strCache>
                <c:ptCount val="4"/>
                <c:pt idx="0">
                  <c:v>Velocity</c:v>
                </c:pt>
                <c:pt idx="1">
                  <c:v>—</c:v>
                </c:pt>
                <c:pt idx="2">
                  <c:v>0.30</c:v>
                </c:pt>
                <c:pt idx="3">
                  <c:v>0.60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'Fluid Model'!$E$8:$E$16</c:f>
              <c:numCache>
                <c:formatCode>0.00</c:formatCode>
                <c:ptCount val="9"/>
                <c:pt idx="0">
                  <c:v>0.60000000000000009</c:v>
                </c:pt>
                <c:pt idx="1">
                  <c:v>0.60000000000000009</c:v>
                </c:pt>
                <c:pt idx="2">
                  <c:v>0.89999999999999947</c:v>
                </c:pt>
                <c:pt idx="3">
                  <c:v>0.39999999999999991</c:v>
                </c:pt>
                <c:pt idx="4">
                  <c:v>0.10000000000000053</c:v>
                </c:pt>
                <c:pt idx="5">
                  <c:v>-0.40000000000000036</c:v>
                </c:pt>
                <c:pt idx="6">
                  <c:v>0.39999999999999947</c:v>
                </c:pt>
                <c:pt idx="7">
                  <c:v>0.70000000000000018</c:v>
                </c:pt>
                <c:pt idx="8">
                  <c:v>0.90000000000000036</c:v>
                </c:pt>
              </c:numCache>
            </c:numRef>
          </c:val>
          <c:smooth val="0"/>
          <c:extLst>
            <c:ext xmlns:c16="http://schemas.microsoft.com/office/drawing/2014/chart" uri="{C3380CC4-5D6E-409C-BE32-E72D297353CC}">
              <c16:uniqueId val="{00000000-5F9F-4289-A909-B338F6336857}"/>
            </c:ext>
          </c:extLst>
        </c:ser>
        <c:ser>
          <c:idx val="1"/>
          <c:order val="1"/>
          <c:tx>
            <c:strRef>
              <c:f>'Fluid Model'!$F$4:$F$7</c:f>
              <c:strCache>
                <c:ptCount val="4"/>
                <c:pt idx="0">
                  <c:v>Acceleration</c:v>
                </c:pt>
                <c:pt idx="1">
                  <c:v>—</c:v>
                </c:pt>
                <c:pt idx="2">
                  <c:v>—</c:v>
                </c:pt>
                <c:pt idx="3">
                  <c:v>0.30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'Fluid Model'!$F$8:$F$16</c:f>
              <c:numCache>
                <c:formatCode>0.00</c:formatCode>
                <c:ptCount val="9"/>
                <c:pt idx="0">
                  <c:v>0</c:v>
                </c:pt>
                <c:pt idx="1">
                  <c:v>0</c:v>
                </c:pt>
                <c:pt idx="2">
                  <c:v>0.29999999999999938</c:v>
                </c:pt>
                <c:pt idx="3">
                  <c:v>-0.49999999999999956</c:v>
                </c:pt>
                <c:pt idx="4">
                  <c:v>-0.29999999999999938</c:v>
                </c:pt>
                <c:pt idx="5">
                  <c:v>-0.50000000000000089</c:v>
                </c:pt>
                <c:pt idx="6">
                  <c:v>0.79999999999999982</c:v>
                </c:pt>
                <c:pt idx="7">
                  <c:v>0.30000000000000071</c:v>
                </c:pt>
                <c:pt idx="8">
                  <c:v>0.20000000000000018</c:v>
                </c:pt>
              </c:numCache>
            </c:numRef>
          </c:val>
          <c:smooth val="0"/>
          <c:extLst>
            <c:ext xmlns:c16="http://schemas.microsoft.com/office/drawing/2014/chart" uri="{C3380CC4-5D6E-409C-BE32-E72D297353CC}">
              <c16:uniqueId val="{00000001-5F9F-4289-A909-B338F6336857}"/>
            </c:ext>
          </c:extLst>
        </c:ser>
        <c:ser>
          <c:idx val="2"/>
          <c:order val="2"/>
          <c:tx>
            <c:strRef>
              <c:f>'Fluid Model'!$G$4:$G$7</c:f>
              <c:strCache>
                <c:ptCount val="4"/>
                <c:pt idx="0">
                  <c:v>Jerk</c:v>
                </c:pt>
                <c:pt idx="1">
                  <c:v>—</c:v>
                </c:pt>
                <c:pt idx="2">
                  <c:v>—</c:v>
                </c:pt>
                <c:pt idx="3">
                  <c: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'Fluid Model'!$G$8:$G$16</c:f>
              <c:numCache>
                <c:formatCode>0.00</c:formatCode>
                <c:ptCount val="9"/>
                <c:pt idx="0">
                  <c:v>-0.30000000000000027</c:v>
                </c:pt>
                <c:pt idx="1">
                  <c:v>0</c:v>
                </c:pt>
                <c:pt idx="2">
                  <c:v>0.29999999999999938</c:v>
                </c:pt>
                <c:pt idx="3">
                  <c:v>-0.79999999999999893</c:v>
                </c:pt>
                <c:pt idx="4">
                  <c:v>0.20000000000000018</c:v>
                </c:pt>
                <c:pt idx="5">
                  <c:v>-0.20000000000000151</c:v>
                </c:pt>
                <c:pt idx="6">
                  <c:v>1.3000000000000007</c:v>
                </c:pt>
                <c:pt idx="7">
                  <c:v>-0.49999999999999911</c:v>
                </c:pt>
                <c:pt idx="8">
                  <c:v>-0.10000000000000053</c:v>
                </c:pt>
              </c:numCache>
            </c:numRef>
          </c:val>
          <c:smooth val="0"/>
          <c:extLst>
            <c:ext xmlns:c16="http://schemas.microsoft.com/office/drawing/2014/chart" uri="{C3380CC4-5D6E-409C-BE32-E72D297353CC}">
              <c16:uniqueId val="{00000002-5F9F-4289-A909-B338F6336857}"/>
            </c:ext>
          </c:extLst>
        </c:ser>
        <c:dLbls>
          <c:showLegendKey val="0"/>
          <c:showVal val="0"/>
          <c:showCatName val="0"/>
          <c:showSerName val="0"/>
          <c:showPercent val="0"/>
          <c:showBubbleSize val="0"/>
        </c:dLbls>
        <c:marker val="1"/>
        <c:smooth val="0"/>
        <c:axId val="347670800"/>
        <c:axId val="347655920"/>
      </c:lineChart>
      <c:catAx>
        <c:axId val="3476708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55920"/>
        <c:crosses val="autoZero"/>
        <c:auto val="1"/>
        <c:lblAlgn val="ctr"/>
        <c:lblOffset val="100"/>
        <c:noMultiLvlLbl val="0"/>
      </c:catAx>
      <c:valAx>
        <c:axId val="347655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70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Multi-Tank Volumes (Tank 1 → Tank 2 → Tank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'Fluid Model'!$A$85:$A$87</c:f>
              <c:strCache>
                <c:ptCount val="3"/>
                <c:pt idx="0">
                  <c:v>Time</c:v>
                </c:pt>
                <c:pt idx="1">
                  <c:v>t</c:v>
                </c:pt>
                <c:pt idx="2">
                  <c:v>0</c:v>
                </c:pt>
              </c:strCache>
            </c:strRef>
          </c:tx>
          <c:spPr>
            <a:solidFill>
              <a:schemeClr val="accent1"/>
            </a:solidFill>
            <a:ln>
              <a:noFill/>
            </a:ln>
            <a:effectLst/>
          </c:spPr>
          <c:val>
            <c:numRef>
              <c:f>'Fluid Model'!$A$88:$A$97</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2C35-4F68-B61C-AD3A5FB02E93}"/>
            </c:ext>
          </c:extLst>
        </c:ser>
        <c:ser>
          <c:idx val="1"/>
          <c:order val="1"/>
          <c:tx>
            <c:strRef>
              <c:f>'Fluid Model'!$B$85:$B$87</c:f>
              <c:strCache>
                <c:ptCount val="3"/>
                <c:pt idx="0">
                  <c:v>Tank 1</c:v>
                </c:pt>
                <c:pt idx="1">
                  <c:v>V₁ (L)</c:v>
                </c:pt>
                <c:pt idx="2">
                  <c:v>V₁ (L)</c:v>
                </c:pt>
              </c:strCache>
            </c:strRef>
          </c:tx>
          <c:spPr>
            <a:solidFill>
              <a:schemeClr val="accent2"/>
            </a:solidFill>
            <a:ln>
              <a:noFill/>
            </a:ln>
            <a:effectLst/>
          </c:spPr>
          <c:val>
            <c:numRef>
              <c:f>'Fluid Model'!$B$88:$B$97</c:f>
              <c:numCache>
                <c:formatCode>General</c:formatCode>
                <c:ptCount val="10"/>
                <c:pt idx="0">
                  <c:v>1</c:v>
                </c:pt>
                <c:pt idx="1">
                  <c:v>1.05</c:v>
                </c:pt>
                <c:pt idx="2">
                  <c:v>1.0925</c:v>
                </c:pt>
                <c:pt idx="3">
                  <c:v>1.128625</c:v>
                </c:pt>
                <c:pt idx="4">
                  <c:v>1.1593312499999999</c:v>
                </c:pt>
                <c:pt idx="5">
                  <c:v>1.1854315624999998</c:v>
                </c:pt>
                <c:pt idx="6">
                  <c:v>1.2076168281249997</c:v>
                </c:pt>
                <c:pt idx="7">
                  <c:v>1.2264743039062498</c:v>
                </c:pt>
                <c:pt idx="8">
                  <c:v>1.2425031583203123</c:v>
                </c:pt>
                <c:pt idx="9">
                  <c:v>1.2561276845722653</c:v>
                </c:pt>
              </c:numCache>
            </c:numRef>
          </c:val>
          <c:extLst>
            <c:ext xmlns:c16="http://schemas.microsoft.com/office/drawing/2014/chart" uri="{C3380CC4-5D6E-409C-BE32-E72D297353CC}">
              <c16:uniqueId val="{00000001-2C35-4F68-B61C-AD3A5FB02E93}"/>
            </c:ext>
          </c:extLst>
        </c:ser>
        <c:ser>
          <c:idx val="2"/>
          <c:order val="2"/>
          <c:tx>
            <c:strRef>
              <c:f>'Fluid Model'!$C$85:$C$87</c:f>
              <c:strCache>
                <c:ptCount val="3"/>
                <c:pt idx="0">
                  <c:v>Tank 2</c:v>
                </c:pt>
                <c:pt idx="1">
                  <c:v>V₂ (L)</c:v>
                </c:pt>
                <c:pt idx="2">
                  <c:v>V₂ (L)</c:v>
                </c:pt>
              </c:strCache>
            </c:strRef>
          </c:tx>
          <c:spPr>
            <a:solidFill>
              <a:schemeClr val="accent3"/>
            </a:solidFill>
            <a:ln>
              <a:noFill/>
            </a:ln>
            <a:effectLst/>
          </c:spPr>
          <c:val>
            <c:numRef>
              <c:f>'Fluid Model'!$C$88:$C$97</c:f>
              <c:numCache>
                <c:formatCode>General</c:formatCode>
                <c:ptCount val="10"/>
                <c:pt idx="0">
                  <c:v>2</c:v>
                </c:pt>
                <c:pt idx="1">
                  <c:v>1.998</c:v>
                </c:pt>
                <c:pt idx="2">
                  <c:v>2.0036520000000002</c:v>
                </c:pt>
                <c:pt idx="3">
                  <c:v>2.0152494480000005</c:v>
                </c:pt>
                <c:pt idx="4">
                  <c:v>2.0313842399520006</c:v>
                </c:pt>
                <c:pt idx="5">
                  <c:v>2.0508987252156485</c:v>
                </c:pt>
                <c:pt idx="6">
                  <c:v>2.0728451564742594</c:v>
                </c:pt>
                <c:pt idx="7">
                  <c:v>2.0964514488009658</c:v>
                </c:pt>
                <c:pt idx="8">
                  <c:v>2.12109228427803</c:v>
                </c:pt>
                <c:pt idx="9">
                  <c:v>2.1462647444209466</c:v>
                </c:pt>
              </c:numCache>
            </c:numRef>
          </c:val>
          <c:extLst>
            <c:ext xmlns:c16="http://schemas.microsoft.com/office/drawing/2014/chart" uri="{C3380CC4-5D6E-409C-BE32-E72D297353CC}">
              <c16:uniqueId val="{00000002-2C35-4F68-B61C-AD3A5FB02E93}"/>
            </c:ext>
          </c:extLst>
        </c:ser>
        <c:ser>
          <c:idx val="3"/>
          <c:order val="3"/>
          <c:tx>
            <c:strRef>
              <c:f>'Fluid Model'!$D$85:$D$87</c:f>
              <c:strCache>
                <c:ptCount val="3"/>
                <c:pt idx="0">
                  <c:v>Tank 3</c:v>
                </c:pt>
                <c:pt idx="1">
                  <c:v>V₃ (L)</c:v>
                </c:pt>
                <c:pt idx="2">
                  <c:v>V₃ (L)</c:v>
                </c:pt>
              </c:strCache>
            </c:strRef>
          </c:tx>
          <c:spPr>
            <a:solidFill>
              <a:schemeClr val="accent4"/>
            </a:solidFill>
            <a:ln>
              <a:noFill/>
            </a:ln>
            <a:effectLst/>
          </c:spPr>
          <c:val>
            <c:numRef>
              <c:f>'Fluid Model'!$D$88:$D$97</c:f>
              <c:numCache>
                <c:formatCode>General</c:formatCode>
                <c:ptCount val="10"/>
                <c:pt idx="0">
                  <c:v>5</c:v>
                </c:pt>
                <c:pt idx="1">
                  <c:v>5.1949999999999994</c:v>
                </c:pt>
                <c:pt idx="2">
                  <c:v>5.3912049999999985</c:v>
                </c:pt>
                <c:pt idx="3">
                  <c:v>5.5892355949999981</c:v>
                </c:pt>
                <c:pt idx="4">
                  <c:v>5.7895802000049974</c:v>
                </c:pt>
                <c:pt idx="5">
                  <c:v>5.9926180006011922</c:v>
                </c:pt>
                <c:pt idx="6">
                  <c:v>6.198638224622651</c:v>
                </c:pt>
                <c:pt idx="7">
                  <c:v>6.4078563047129498</c:v>
                </c:pt>
                <c:pt idx="8">
                  <c:v>6.6204274147500168</c:v>
                </c:pt>
                <c:pt idx="9">
                  <c:v>6.8364577893955083</c:v>
                </c:pt>
              </c:numCache>
            </c:numRef>
          </c:val>
          <c:extLst>
            <c:ext xmlns:c16="http://schemas.microsoft.com/office/drawing/2014/chart" uri="{C3380CC4-5D6E-409C-BE32-E72D297353CC}">
              <c16:uniqueId val="{00000003-2C35-4F68-B61C-AD3A5FB02E93}"/>
            </c:ext>
          </c:extLst>
        </c:ser>
        <c:dLbls>
          <c:showLegendKey val="0"/>
          <c:showVal val="0"/>
          <c:showCatName val="0"/>
          <c:showSerName val="0"/>
          <c:showPercent val="0"/>
          <c:showBubbleSize val="0"/>
        </c:dLbls>
        <c:axId val="1313118127"/>
        <c:axId val="1313118607"/>
      </c:areaChart>
      <c:catAx>
        <c:axId val="13131181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118607"/>
        <c:crosses val="autoZero"/>
        <c:auto val="1"/>
        <c:lblAlgn val="ctr"/>
        <c:lblOffset val="100"/>
        <c:noMultiLvlLbl val="0"/>
      </c:catAx>
      <c:valAx>
        <c:axId val="131311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1181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Components (KE, PE,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'Fluid Model'!$H$46:$H$48</c:f>
              <c:strCache>
                <c:ptCount val="3"/>
                <c:pt idx="0">
                  <c:v>Kinetic E</c:v>
                </c:pt>
                <c:pt idx="1">
                  <c:v>½ρv²</c:v>
                </c:pt>
                <c:pt idx="2">
                  <c: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'Fluid Model'!$H$49:$H$60</c:f>
              <c:numCache>
                <c:formatCode>General</c:formatCode>
                <c:ptCount val="12"/>
                <c:pt idx="0">
                  <c:v>44.99999999999995</c:v>
                </c:pt>
                <c:pt idx="1">
                  <c:v>180.00000000000006</c:v>
                </c:pt>
                <c:pt idx="2">
                  <c:v>180.00000000000006</c:v>
                </c:pt>
                <c:pt idx="3">
                  <c:v>180.00000000000006</c:v>
                </c:pt>
                <c:pt idx="4">
                  <c:v>404.99999999999955</c:v>
                </c:pt>
                <c:pt idx="5">
                  <c:v>79.999999999999957</c:v>
                </c:pt>
                <c:pt idx="6">
                  <c:v>5.0000000000000533</c:v>
                </c:pt>
                <c:pt idx="7">
                  <c:v>80.000000000000142</c:v>
                </c:pt>
                <c:pt idx="8">
                  <c:v>79.999999999999787</c:v>
                </c:pt>
                <c:pt idx="9">
                  <c:v>245.00000000000014</c:v>
                </c:pt>
                <c:pt idx="10">
                  <c:v>405.00000000000028</c:v>
                </c:pt>
                <c:pt idx="11">
                  <c:v>405.00000000000028</c:v>
                </c:pt>
              </c:numCache>
            </c:numRef>
          </c:val>
          <c:smooth val="0"/>
          <c:extLst>
            <c:ext xmlns:c16="http://schemas.microsoft.com/office/drawing/2014/chart" uri="{C3380CC4-5D6E-409C-BE32-E72D297353CC}">
              <c16:uniqueId val="{00000000-0FB2-41E5-A6CF-BC76A3F6AA5A}"/>
            </c:ext>
          </c:extLst>
        </c:ser>
        <c:ser>
          <c:idx val="1"/>
          <c:order val="1"/>
          <c:tx>
            <c:strRef>
              <c:f>'Fluid Model'!$I$46:$I$48</c:f>
              <c:strCache>
                <c:ptCount val="3"/>
                <c:pt idx="0">
                  <c:v>Potential E</c:v>
                </c:pt>
                <c:pt idx="1">
                  <c:v>ρgh</c:v>
                </c:pt>
                <c:pt idx="2">
                  <c:v>9810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'Fluid Model'!$I$49:$I$60</c:f>
              <c:numCache>
                <c:formatCode>General</c:formatCode>
                <c:ptCount val="12"/>
                <c:pt idx="0">
                  <c:v>12752.999999999998</c:v>
                </c:pt>
                <c:pt idx="1">
                  <c:v>18639</c:v>
                </c:pt>
                <c:pt idx="2">
                  <c:v>24525</c:v>
                </c:pt>
                <c:pt idx="3">
                  <c:v>30411</c:v>
                </c:pt>
                <c:pt idx="4">
                  <c:v>39239.999999999993</c:v>
                </c:pt>
                <c:pt idx="5">
                  <c:v>43163.999999999993</c:v>
                </c:pt>
                <c:pt idx="6">
                  <c:v>44145</c:v>
                </c:pt>
                <c:pt idx="7">
                  <c:v>40221</c:v>
                </c:pt>
                <c:pt idx="8">
                  <c:v>44144.999999999993</c:v>
                </c:pt>
                <c:pt idx="9">
                  <c:v>51011.999999999993</c:v>
                </c:pt>
                <c:pt idx="10">
                  <c:v>59841</c:v>
                </c:pt>
                <c:pt idx="11">
                  <c:v>68670</c:v>
                </c:pt>
              </c:numCache>
            </c:numRef>
          </c:val>
          <c:smooth val="0"/>
          <c:extLst>
            <c:ext xmlns:c16="http://schemas.microsoft.com/office/drawing/2014/chart" uri="{C3380CC4-5D6E-409C-BE32-E72D297353CC}">
              <c16:uniqueId val="{00000001-0FB2-41E5-A6CF-BC76A3F6AA5A}"/>
            </c:ext>
          </c:extLst>
        </c:ser>
        <c:ser>
          <c:idx val="2"/>
          <c:order val="2"/>
          <c:tx>
            <c:strRef>
              <c:f>'Fluid Model'!$J$46:$J$48</c:f>
              <c:strCache>
                <c:ptCount val="3"/>
                <c:pt idx="0">
                  <c:v>Total Energy</c:v>
                </c:pt>
                <c:pt idx="1">
                  <c:v>KE + PE</c:v>
                </c:pt>
                <c:pt idx="2">
                  <c: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'Fluid Model'!$J$49:$J$60</c:f>
              <c:numCache>
                <c:formatCode>General</c:formatCode>
                <c:ptCount val="12"/>
                <c:pt idx="0">
                  <c:v>12797.999999999998</c:v>
                </c:pt>
                <c:pt idx="1">
                  <c:v>18819</c:v>
                </c:pt>
                <c:pt idx="2">
                  <c:v>24705</c:v>
                </c:pt>
                <c:pt idx="3">
                  <c:v>30591</c:v>
                </c:pt>
                <c:pt idx="4">
                  <c:v>39644.999999999993</c:v>
                </c:pt>
                <c:pt idx="5">
                  <c:v>43243.999999999993</c:v>
                </c:pt>
                <c:pt idx="6">
                  <c:v>44150</c:v>
                </c:pt>
                <c:pt idx="7">
                  <c:v>40301</c:v>
                </c:pt>
                <c:pt idx="8">
                  <c:v>44224.999999999993</c:v>
                </c:pt>
                <c:pt idx="9">
                  <c:v>51256.999999999993</c:v>
                </c:pt>
                <c:pt idx="10">
                  <c:v>60246</c:v>
                </c:pt>
                <c:pt idx="11">
                  <c:v>69075</c:v>
                </c:pt>
              </c:numCache>
            </c:numRef>
          </c:val>
          <c:smooth val="0"/>
          <c:extLst>
            <c:ext xmlns:c16="http://schemas.microsoft.com/office/drawing/2014/chart" uri="{C3380CC4-5D6E-409C-BE32-E72D297353CC}">
              <c16:uniqueId val="{00000002-0FB2-41E5-A6CF-BC76A3F6AA5A}"/>
            </c:ext>
          </c:extLst>
        </c:ser>
        <c:dLbls>
          <c:showLegendKey val="0"/>
          <c:showVal val="0"/>
          <c:showCatName val="0"/>
          <c:showSerName val="0"/>
          <c:showPercent val="0"/>
          <c:showBubbleSize val="0"/>
        </c:dLbls>
        <c:marker val="1"/>
        <c:smooth val="0"/>
        <c:axId val="1336183296"/>
        <c:axId val="1336183776"/>
      </c:lineChart>
      <c:catAx>
        <c:axId val="13361832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83776"/>
        <c:crosses val="autoZero"/>
        <c:auto val="1"/>
        <c:lblAlgn val="ctr"/>
        <c:lblOffset val="100"/>
        <c:noMultiLvlLbl val="0"/>
      </c:catAx>
      <c:valAx>
        <c:axId val="13361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83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Inter-Tank Transfer Flows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'Fluid Model'!$F$85:$F$88</c:f>
              <c:strCache>
                <c:ptCount val="4"/>
                <c:pt idx="0">
                  <c:v>Q₁→₂</c:v>
                </c:pt>
                <c:pt idx="1">
                  <c:v>(L/s)</c:v>
                </c:pt>
                <c:pt idx="2">
                  <c:v>(L/s)</c:v>
                </c:pt>
                <c:pt idx="3">
                  <c:v>—</c:v>
                </c:pt>
              </c:strCache>
            </c:strRef>
          </c:tx>
          <c:spPr>
            <a:ln w="28575" cap="rnd">
              <a:solidFill>
                <a:schemeClr val="accent1"/>
              </a:solidFill>
              <a:round/>
            </a:ln>
            <a:effectLst/>
          </c:spPr>
          <c:marker>
            <c:symbol val="none"/>
          </c:marker>
          <c:val>
            <c:numRef>
              <c:f>'Fluid Model'!$F$89:$F$97</c:f>
              <c:numCache>
                <c:formatCode>General</c:formatCode>
                <c:ptCount val="9"/>
                <c:pt idx="0">
                  <c:v>0.15</c:v>
                </c:pt>
                <c:pt idx="1">
                  <c:v>0.1575</c:v>
                </c:pt>
                <c:pt idx="2">
                  <c:v>0.16387499999999999</c:v>
                </c:pt>
                <c:pt idx="3">
                  <c:v>0.16929374999999999</c:v>
                </c:pt>
                <c:pt idx="4">
                  <c:v>0.17389968749999998</c:v>
                </c:pt>
                <c:pt idx="5">
                  <c:v>0.17781473437499998</c:v>
                </c:pt>
                <c:pt idx="6">
                  <c:v>0.18114252421874996</c:v>
                </c:pt>
                <c:pt idx="7">
                  <c:v>0.18397114558593747</c:v>
                </c:pt>
                <c:pt idx="8">
                  <c:v>0.18637547374804683</c:v>
                </c:pt>
              </c:numCache>
            </c:numRef>
          </c:val>
          <c:smooth val="0"/>
          <c:extLst>
            <c:ext xmlns:c16="http://schemas.microsoft.com/office/drawing/2014/chart" uri="{C3380CC4-5D6E-409C-BE32-E72D297353CC}">
              <c16:uniqueId val="{00000000-95D6-491F-AA02-2A54545C40A3}"/>
            </c:ext>
          </c:extLst>
        </c:ser>
        <c:ser>
          <c:idx val="1"/>
          <c:order val="1"/>
          <c:tx>
            <c:strRef>
              <c:f>'Fluid Model'!$G$85:$G$88</c:f>
              <c:strCache>
                <c:ptCount val="4"/>
                <c:pt idx="0">
                  <c:v>Q₂→₃</c:v>
                </c:pt>
                <c:pt idx="1">
                  <c:v>(L/s)</c:v>
                </c:pt>
                <c:pt idx="2">
                  <c:v>(L/s)</c:v>
                </c:pt>
                <c:pt idx="3">
                  <c:v>—</c:v>
                </c:pt>
              </c:strCache>
            </c:strRef>
          </c:tx>
          <c:spPr>
            <a:ln w="28575" cap="rnd">
              <a:solidFill>
                <a:schemeClr val="accent2"/>
              </a:solidFill>
              <a:round/>
            </a:ln>
            <a:effectLst/>
          </c:spPr>
          <c:marker>
            <c:symbol val="none"/>
          </c:marker>
          <c:val>
            <c:numRef>
              <c:f>'Fluid Model'!$G$89:$G$97</c:f>
              <c:numCache>
                <c:formatCode>General</c:formatCode>
                <c:ptCount val="9"/>
                <c:pt idx="0">
                  <c:v>0.16</c:v>
                </c:pt>
                <c:pt idx="1">
                  <c:v>0.15984000000000001</c:v>
                </c:pt>
                <c:pt idx="2">
                  <c:v>0.16029216000000002</c:v>
                </c:pt>
                <c:pt idx="3">
                  <c:v>0.16121995584000004</c:v>
                </c:pt>
                <c:pt idx="4">
                  <c:v>0.16251073919616005</c:v>
                </c:pt>
                <c:pt idx="5">
                  <c:v>0.16407189801725189</c:v>
                </c:pt>
                <c:pt idx="6">
                  <c:v>0.16582761251794076</c:v>
                </c:pt>
                <c:pt idx="7">
                  <c:v>0.16771611590407726</c:v>
                </c:pt>
                <c:pt idx="8">
                  <c:v>0.1696873827422424</c:v>
                </c:pt>
              </c:numCache>
            </c:numRef>
          </c:val>
          <c:smooth val="0"/>
          <c:extLst>
            <c:ext xmlns:c16="http://schemas.microsoft.com/office/drawing/2014/chart" uri="{C3380CC4-5D6E-409C-BE32-E72D297353CC}">
              <c16:uniqueId val="{00000001-95D6-491F-AA02-2A54545C40A3}"/>
            </c:ext>
          </c:extLst>
        </c:ser>
        <c:dLbls>
          <c:showLegendKey val="0"/>
          <c:showVal val="0"/>
          <c:showCatName val="0"/>
          <c:showSerName val="0"/>
          <c:showPercent val="0"/>
          <c:showBubbleSize val="0"/>
        </c:dLbls>
        <c:smooth val="0"/>
        <c:axId val="1018872911"/>
        <c:axId val="1018873391"/>
      </c:lineChart>
      <c:catAx>
        <c:axId val="1018872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73391"/>
        <c:crosses val="autoZero"/>
        <c:auto val="1"/>
        <c:lblAlgn val="ctr"/>
        <c:lblOffset val="100"/>
        <c:noMultiLvlLbl val="0"/>
      </c:catAx>
      <c:valAx>
        <c:axId val="101887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72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F0EFC45-11DA-4AD5-B129-DA4D1CE1945C}">
  <sheetPr codeName="Chart21"/>
  <sheetViews>
    <sheetView zoomScale="11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ustomXml" Target="../ink/ink15.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32" Type="http://schemas.openxmlformats.org/officeDocument/2006/relationships/image" Target="../media/image16.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customXml" Target="../ink/ink10.xml"/><Relationship Id="rId31" Type="http://schemas.openxmlformats.org/officeDocument/2006/relationships/customXml" Target="../ink/ink16.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s>
</file>

<file path=xl/drawings/_rels/drawing9.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vmlDrawing6.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21</xdr:col>
      <xdr:colOff>10593</xdr:colOff>
      <xdr:row>20</xdr:row>
      <xdr:rowOff>17010</xdr:rowOff>
    </xdr:from>
    <xdr:to>
      <xdr:col>31</xdr:col>
      <xdr:colOff>647700</xdr:colOff>
      <xdr:row>33</xdr:row>
      <xdr:rowOff>17008</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absoluteAnchor>
    <xdr:pos x="7371" y="771525"/>
    <xdr:ext cx="7298304" cy="3409446"/>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twoCellAnchor>
    <xdr:from>
      <xdr:col>21</xdr:col>
      <xdr:colOff>9041</xdr:colOff>
      <xdr:row>4</xdr:row>
      <xdr:rowOff>11274</xdr:rowOff>
    </xdr:from>
    <xdr:to>
      <xdr:col>31</xdr:col>
      <xdr:colOff>646339</xdr:colOff>
      <xdr:row>20</xdr:row>
      <xdr:rowOff>11905</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F51992D3-4EE5-4BFA-9334-00E65A264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15838" y="4199503"/>
    <xdr:ext cx="7298304" cy="2979021"/>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7371" y="7186157"/>
    <xdr:ext cx="7298304" cy="3000376"/>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xdr:from>
      <xdr:col>11</xdr:col>
      <xdr:colOff>5053</xdr:colOff>
      <xdr:row>0</xdr:row>
      <xdr:rowOff>8506</xdr:rowOff>
    </xdr:from>
    <xdr:to>
      <xdr:col>20</xdr:col>
      <xdr:colOff>646339</xdr:colOff>
      <xdr:row>10</xdr:row>
      <xdr:rowOff>126982</xdr:rowOff>
    </xdr:to>
    <xdr:graphicFrame macro="">
      <xdr:nvGraphicFramePr>
        <xdr:cNvPr id="8" name="Chart 3">
          <a:extLst>
            <a:ext uri="{FF2B5EF4-FFF2-40B4-BE49-F238E27FC236}">
              <a16:creationId xmlns:a16="http://schemas.microsoft.com/office/drawing/2014/main" id="{00000000-0008-0000-0000-000008000000}"/>
            </a:ext>
            <a:ext uri="{147F2762-F138-4A5C-976F-8EAC2B608ADB}">
              <a16:predDERef xmlns:a16="http://schemas.microsoft.com/office/drawing/2014/main" pred="{64FEEA40-96F1-436C-A97A-BA42A1ED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absoluteAnchor>
    <xdr:pos x="14660959" y="6283768"/>
    <xdr:ext cx="7505077" cy="3826335"/>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2640CA45-7DC0-4128-9424-1F1480B9A36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xdr:from>
      <xdr:col>11</xdr:col>
      <xdr:colOff>9525</xdr:colOff>
      <xdr:row>42</xdr:row>
      <xdr:rowOff>13164</xdr:rowOff>
    </xdr:from>
    <xdr:to>
      <xdr:col>20</xdr:col>
      <xdr:colOff>647699</xdr:colOff>
      <xdr:row>52</xdr:row>
      <xdr:rowOff>133350</xdr:rowOff>
    </xdr:to>
    <xdr:graphicFrame macro="">
      <xdr:nvGraphicFramePr>
        <xdr:cNvPr id="12" name="Chart 3">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absoluteAnchor>
    <xdr:pos x="22256987" y="2665979"/>
    <xdr:ext cx="7260794" cy="2658496"/>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absoluteAnchor>
  <xdr:absoluteAnchor>
    <xdr:pos x="22256987" y="8350"/>
    <xdr:ext cx="7260794" cy="2649991"/>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absoluteAnchor>
  <xdr:twoCellAnchor>
    <xdr:from>
      <xdr:col>11</xdr:col>
      <xdr:colOff>12697</xdr:colOff>
      <xdr:row>31</xdr:row>
      <xdr:rowOff>69850</xdr:rowOff>
    </xdr:from>
    <xdr:to>
      <xdr:col>20</xdr:col>
      <xdr:colOff>647700</xdr:colOff>
      <xdr:row>41</xdr:row>
      <xdr:rowOff>188326</xdr:rowOff>
    </xdr:to>
    <xdr:graphicFrame macro="">
      <xdr:nvGraphicFramePr>
        <xdr:cNvPr id="16" name="Chart 3">
          <a:extLst>
            <a:ext uri="{FF2B5EF4-FFF2-40B4-BE49-F238E27FC236}">
              <a16:creationId xmlns:a16="http://schemas.microsoft.com/office/drawing/2014/main" id="{00000000-0008-0000-0000-000010000000}"/>
            </a:ext>
            <a:ext uri="{147F2762-F138-4A5C-976F-8EAC2B608ADB}">
              <a16:predDERef xmlns:a16="http://schemas.microsoft.com/office/drawing/2014/main" pred="{64FEEA40-96F1-436C-A97A-BA42A1ED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12697</xdr:colOff>
      <xdr:row>10</xdr:row>
      <xdr:rowOff>133350</xdr:rowOff>
    </xdr:from>
    <xdr:to>
      <xdr:col>20</xdr:col>
      <xdr:colOff>647700</xdr:colOff>
      <xdr:row>21</xdr:row>
      <xdr:rowOff>61326</xdr:rowOff>
    </xdr:to>
    <xdr:graphicFrame macro="">
      <xdr:nvGraphicFramePr>
        <xdr:cNvPr id="17" name="Chart 3">
          <a:extLst>
            <a:ext uri="{FF2B5EF4-FFF2-40B4-BE49-F238E27FC236}">
              <a16:creationId xmlns:a16="http://schemas.microsoft.com/office/drawing/2014/main" id="{00000000-0008-0000-0000-000011000000}"/>
            </a:ext>
            <a:ext uri="{147F2762-F138-4A5C-976F-8EAC2B608ADB}">
              <a16:predDERef xmlns:a16="http://schemas.microsoft.com/office/drawing/2014/main" pred="{64FEEA40-96F1-436C-A97A-BA42A1ED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absoluteAnchor>
    <xdr:pos x="22261671" y="5334001"/>
    <xdr:ext cx="6932454" cy="1724024"/>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absoluteAnchor>
  <xdr:absoluteAnchor>
    <xdr:pos x="22261671" y="7067550"/>
    <xdr:ext cx="6937261" cy="3124200"/>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absoluteAnchor>
  <xdr:twoCellAnchor>
    <xdr:from>
      <xdr:col>44</xdr:col>
      <xdr:colOff>127000</xdr:colOff>
      <xdr:row>7</xdr:row>
      <xdr:rowOff>142875</xdr:rowOff>
    </xdr:from>
    <xdr:to>
      <xdr:col>53</xdr:col>
      <xdr:colOff>285750</xdr:colOff>
      <xdr:row>40</xdr:row>
      <xdr:rowOff>111125</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absoluteAnchor>
    <xdr:pos x="7302500" y="4000501"/>
    <xdr:ext cx="7302500" cy="1968500"/>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39421594" y="2774156"/>
    <xdr:ext cx="9251156" cy="5107782"/>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1</xdr:col>
      <xdr:colOff>9525</xdr:colOff>
      <xdr:row>0</xdr:row>
      <xdr:rowOff>190499</xdr:rowOff>
    </xdr:from>
    <xdr:to>
      <xdr:col>6</xdr:col>
      <xdr:colOff>1</xdr:colOff>
      <xdr:row>15</xdr:row>
      <xdr:rowOff>4761</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695324</xdr:colOff>
      <xdr:row>1</xdr:row>
      <xdr:rowOff>0</xdr:rowOff>
    </xdr:from>
    <xdr:to>
      <xdr:col>13</xdr:col>
      <xdr:colOff>9524</xdr:colOff>
      <xdr:row>15</xdr:row>
      <xdr:rowOff>0</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0</xdr:rowOff>
    </xdr:from>
    <xdr:to>
      <xdr:col>21</xdr:col>
      <xdr:colOff>295275</xdr:colOff>
      <xdr:row>15</xdr:row>
      <xdr:rowOff>0</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9525</xdr:colOff>
          <xdr:row>19</xdr:row>
          <xdr:rowOff>0</xdr:rowOff>
        </xdr:from>
        <xdr:to>
          <xdr:col>24</xdr:col>
          <xdr:colOff>9525</xdr:colOff>
          <xdr:row>20</xdr:row>
          <xdr:rowOff>0</xdr:rowOff>
        </xdr:to>
        <xdr:sp macro="" textlink="">
          <xdr:nvSpPr>
            <xdr:cNvPr id="54309" name="ScrollBar1" hidden="1">
              <a:extLst>
                <a:ext uri="{63B3BB69-23CF-44E3-9099-C40C66FF867C}">
                  <a14:compatExt spid="_x0000_s54309"/>
                </a:ext>
                <a:ext uri="{FF2B5EF4-FFF2-40B4-BE49-F238E27FC236}">
                  <a16:creationId xmlns:a16="http://schemas.microsoft.com/office/drawing/2014/main" id="{00000000-0008-0000-0600-000025D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9525</xdr:colOff>
          <xdr:row>21</xdr:row>
          <xdr:rowOff>0</xdr:rowOff>
        </xdr:from>
        <xdr:to>
          <xdr:col>24</xdr:col>
          <xdr:colOff>9525</xdr:colOff>
          <xdr:row>22</xdr:row>
          <xdr:rowOff>0</xdr:rowOff>
        </xdr:to>
        <xdr:sp macro="" textlink="">
          <xdr:nvSpPr>
            <xdr:cNvPr id="54310" name="ScrollBar2" hidden="1">
              <a:extLst>
                <a:ext uri="{63B3BB69-23CF-44E3-9099-C40C66FF867C}">
                  <a14:compatExt spid="_x0000_s54310"/>
                </a:ext>
                <a:ext uri="{FF2B5EF4-FFF2-40B4-BE49-F238E27FC236}">
                  <a16:creationId xmlns:a16="http://schemas.microsoft.com/office/drawing/2014/main" id="{00000000-0008-0000-0600-000026D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11</xdr:col>
      <xdr:colOff>0</xdr:colOff>
      <xdr:row>3</xdr:row>
      <xdr:rowOff>4760</xdr:rowOff>
    </xdr:from>
    <xdr:to>
      <xdr:col>22</xdr:col>
      <xdr:colOff>0</xdr:colOff>
      <xdr:row>23</xdr:row>
      <xdr:rowOff>190499</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24</xdr:row>
      <xdr:rowOff>0</xdr:rowOff>
    </xdr:from>
    <xdr:to>
      <xdr:col>22</xdr:col>
      <xdr:colOff>0</xdr:colOff>
      <xdr:row>36</xdr:row>
      <xdr:rowOff>11905</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0</xdr:colOff>
      <xdr:row>9</xdr:row>
      <xdr:rowOff>0</xdr:rowOff>
    </xdr:from>
    <xdr:to>
      <xdr:col>44</xdr:col>
      <xdr:colOff>333375</xdr:colOff>
      <xdr:row>23</xdr:row>
      <xdr:rowOff>76200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589361</xdr:colOff>
      <xdr:row>24</xdr:row>
      <xdr:rowOff>188119</xdr:rowOff>
    </xdr:from>
    <xdr:to>
      <xdr:col>44</xdr:col>
      <xdr:colOff>333374</xdr:colOff>
      <xdr:row>39</xdr:row>
      <xdr:rowOff>73819</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77388</xdr:colOff>
      <xdr:row>40</xdr:row>
      <xdr:rowOff>92868</xdr:rowOff>
    </xdr:from>
    <xdr:to>
      <xdr:col>44</xdr:col>
      <xdr:colOff>333373</xdr:colOff>
      <xdr:row>54</xdr:row>
      <xdr:rowOff>169068</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457200</xdr:colOff>
      <xdr:row>18</xdr:row>
      <xdr:rowOff>152400</xdr:rowOff>
    </xdr:from>
    <xdr:to>
      <xdr:col>24</xdr:col>
      <xdr:colOff>590550</xdr:colOff>
      <xdr:row>29</xdr:row>
      <xdr:rowOff>80376</xdr:rowOff>
    </xdr:to>
    <xdr:graphicFrame macro="">
      <xdr:nvGraphicFramePr>
        <xdr:cNvPr id="2" name="Chart 3">
          <a:extLst>
            <a:ext uri="{FF2B5EF4-FFF2-40B4-BE49-F238E27FC236}">
              <a16:creationId xmlns:a16="http://schemas.microsoft.com/office/drawing/2014/main" id="{00000000-0008-0000-0C00-000002000000}"/>
            </a:ext>
            <a:ext uri="{147F2762-F138-4A5C-976F-8EAC2B608ADB}">
              <a16:predDERef xmlns:a16="http://schemas.microsoft.com/office/drawing/2014/main" pred="{64FEEA40-96F1-436C-A97A-BA42A1ED1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63609" cy="6286500"/>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oneCell">
    <xdr:from>
      <xdr:col>1</xdr:col>
      <xdr:colOff>427560</xdr:colOff>
      <xdr:row>2</xdr:row>
      <xdr:rowOff>4200</xdr:rowOff>
    </xdr:from>
    <xdr:to>
      <xdr:col>1</xdr:col>
      <xdr:colOff>461760</xdr:colOff>
      <xdr:row>2</xdr:row>
      <xdr:rowOff>17160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000-000002000000}"/>
                </a:ext>
              </a:extLst>
            </xdr14:cNvPr>
            <xdr14:cNvContentPartPr/>
          </xdr14:nvContentPartPr>
          <xdr14:nvPr macro=""/>
          <xdr14:xfrm>
            <a:off x="1037160" y="385200"/>
            <a:ext cx="34200" cy="12960"/>
          </xdr14:xfrm>
        </xdr:contentPart>
      </mc:Choice>
      <mc:Fallback xmlns="">
        <xdr:pic>
          <xdr:nvPicPr>
            <xdr:cNvPr id="2" name="Ink 1">
              <a:extLst>
                <a:ext uri="{FF2B5EF4-FFF2-40B4-BE49-F238E27FC236}">
                  <a16:creationId xmlns:a16="http://schemas.microsoft.com/office/drawing/2014/main" id="{945FC487-C1F4-5E1B-B035-1916F9190ABF}"/>
                </a:ext>
              </a:extLst>
            </xdr:cNvPr>
            <xdr:cNvPicPr/>
          </xdr:nvPicPr>
          <xdr:blipFill>
            <a:blip xmlns:r="http://schemas.openxmlformats.org/officeDocument/2006/relationships" r:embed="rId2"/>
            <a:stretch>
              <a:fillRect/>
            </a:stretch>
          </xdr:blipFill>
          <xdr:spPr>
            <a:xfrm>
              <a:off x="1026360" y="374400"/>
              <a:ext cx="55440" cy="34200"/>
            </a:xfrm>
            <a:prstGeom prst="rect">
              <a:avLst/>
            </a:prstGeom>
          </xdr:spPr>
        </xdr:pic>
      </mc:Fallback>
    </mc:AlternateContent>
    <xdr:clientData/>
  </xdr:twoCellAnchor>
  <xdr:twoCellAnchor editAs="oneCell">
    <xdr:from>
      <xdr:col>2</xdr:col>
      <xdr:colOff>575400</xdr:colOff>
      <xdr:row>4</xdr:row>
      <xdr:rowOff>37920</xdr:rowOff>
    </xdr:from>
    <xdr:to>
      <xdr:col>3</xdr:col>
      <xdr:colOff>21240</xdr:colOff>
      <xdr:row>6</xdr:row>
      <xdr:rowOff>4320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1000-000003000000}"/>
                </a:ext>
                <a:ext uri="{147F2762-F138-4A5C-976F-8EAC2B608ADB}">
                  <a16:predDERef xmlns:a16="http://schemas.microsoft.com/office/drawing/2014/main" pred="{945FC487-C1F4-5E1B-B035-1916F9190ABF}"/>
                </a:ext>
              </a:extLst>
            </xdr14:cNvPr>
            <xdr14:cNvContentPartPr/>
          </xdr14:nvContentPartPr>
          <xdr14:nvPr macro=""/>
          <xdr14:xfrm>
            <a:off x="1794600" y="799920"/>
            <a:ext cx="55440" cy="347400"/>
          </xdr14:xfrm>
        </xdr:contentPart>
      </mc:Choice>
      <mc:Fallback xmlns="">
        <xdr:pic>
          <xdr:nvPicPr>
            <xdr:cNvPr id="3" name="Ink 2">
              <a:extLst>
                <a:ext uri="{FF2B5EF4-FFF2-40B4-BE49-F238E27FC236}">
                  <a16:creationId xmlns:a16="http://schemas.microsoft.com/office/drawing/2014/main" id="{AE163C03-0668-38AB-CA50-740813F5236A}"/>
                </a:ext>
                <a:ext uri="{147F2762-F138-4A5C-976F-8EAC2B608ADB}">
                  <a16:predDERef xmlns:a16="http://schemas.microsoft.com/office/drawing/2014/main" pred="{945FC487-C1F4-5E1B-B035-1916F9190ABF}"/>
                </a:ext>
              </a:extLst>
            </xdr:cNvPr>
            <xdr:cNvPicPr/>
          </xdr:nvPicPr>
          <xdr:blipFill>
            <a:blip xmlns:r="http://schemas.openxmlformats.org/officeDocument/2006/relationships" r:embed="rId4"/>
            <a:stretch>
              <a:fillRect/>
            </a:stretch>
          </xdr:blipFill>
          <xdr:spPr>
            <a:xfrm>
              <a:off x="1784160" y="789480"/>
              <a:ext cx="76680" cy="368640"/>
            </a:xfrm>
            <a:prstGeom prst="rect">
              <a:avLst/>
            </a:prstGeom>
          </xdr:spPr>
        </xdr:pic>
      </mc:Fallback>
    </mc:AlternateContent>
    <xdr:clientData/>
  </xdr:twoCellAnchor>
  <xdr:twoCellAnchor editAs="oneCell">
    <xdr:from>
      <xdr:col>2</xdr:col>
      <xdr:colOff>444360</xdr:colOff>
      <xdr:row>3</xdr:row>
      <xdr:rowOff>181980</xdr:rowOff>
    </xdr:from>
    <xdr:to>
      <xdr:col>3</xdr:col>
      <xdr:colOff>140040</xdr:colOff>
      <xdr:row>4</xdr:row>
      <xdr:rowOff>97680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1000-000004000000}"/>
                </a:ext>
                <a:ext uri="{147F2762-F138-4A5C-976F-8EAC2B608ADB}">
                  <a16:predDERef xmlns:a16="http://schemas.microsoft.com/office/drawing/2014/main" pred="{AE163C03-0668-38AB-CA50-740813F5236A}"/>
                </a:ext>
              </a:extLst>
            </xdr14:cNvPr>
            <xdr14:cNvContentPartPr/>
          </xdr14:nvContentPartPr>
          <xdr14:nvPr macro=""/>
          <xdr14:xfrm>
            <a:off x="1663560" y="753480"/>
            <a:ext cx="305280" cy="106200"/>
          </xdr14:xfrm>
        </xdr:contentPart>
      </mc:Choice>
      <mc:Fallback xmlns="">
        <xdr:pic>
          <xdr:nvPicPr>
            <xdr:cNvPr id="4" name="Ink 3">
              <a:extLst>
                <a:ext uri="{FF2B5EF4-FFF2-40B4-BE49-F238E27FC236}">
                  <a16:creationId xmlns:a16="http://schemas.microsoft.com/office/drawing/2014/main" id="{412BA1D1-5372-C93B-297B-6231ADB42DE9}"/>
                </a:ext>
                <a:ext uri="{147F2762-F138-4A5C-976F-8EAC2B608ADB}">
                  <a16:predDERef xmlns:a16="http://schemas.microsoft.com/office/drawing/2014/main" pred="{AE163C03-0668-38AB-CA50-740813F5236A}"/>
                </a:ext>
              </a:extLst>
            </xdr:cNvPr>
            <xdr:cNvPicPr/>
          </xdr:nvPicPr>
          <xdr:blipFill>
            <a:blip xmlns:r="http://schemas.openxmlformats.org/officeDocument/2006/relationships" r:embed="rId6"/>
            <a:stretch>
              <a:fillRect/>
            </a:stretch>
          </xdr:blipFill>
          <xdr:spPr>
            <a:xfrm>
              <a:off x="1652760" y="742680"/>
              <a:ext cx="326520" cy="127440"/>
            </a:xfrm>
            <a:prstGeom prst="rect">
              <a:avLst/>
            </a:prstGeom>
          </xdr:spPr>
        </xdr:pic>
      </mc:Fallback>
    </mc:AlternateContent>
    <xdr:clientData/>
  </xdr:twoCellAnchor>
  <xdr:twoCellAnchor editAs="oneCell">
    <xdr:from>
      <xdr:col>2</xdr:col>
      <xdr:colOff>507720</xdr:colOff>
      <xdr:row>5</xdr:row>
      <xdr:rowOff>114180</xdr:rowOff>
    </xdr:from>
    <xdr:to>
      <xdr:col>3</xdr:col>
      <xdr:colOff>110520</xdr:colOff>
      <xdr:row>6</xdr:row>
      <xdr:rowOff>4320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1000-000005000000}"/>
                </a:ext>
                <a:ext uri="{147F2762-F138-4A5C-976F-8EAC2B608ADB}">
                  <a16:predDERef xmlns:a16="http://schemas.microsoft.com/office/drawing/2014/main" pred="{412BA1D1-5372-C93B-297B-6231ADB42DE9}"/>
                </a:ext>
              </a:extLst>
            </xdr14:cNvPr>
            <xdr14:cNvContentPartPr/>
          </xdr14:nvContentPartPr>
          <xdr14:nvPr macro=""/>
          <xdr14:xfrm>
            <a:off x="1726920" y="1066680"/>
            <a:ext cx="212400" cy="80640"/>
          </xdr14:xfrm>
        </xdr:contentPart>
      </mc:Choice>
      <mc:Fallback xmlns="">
        <xdr:pic>
          <xdr:nvPicPr>
            <xdr:cNvPr id="5" name="Ink 4">
              <a:extLst>
                <a:ext uri="{FF2B5EF4-FFF2-40B4-BE49-F238E27FC236}">
                  <a16:creationId xmlns:a16="http://schemas.microsoft.com/office/drawing/2014/main" id="{69C5F3E8-5856-6431-5877-B70AE5F5658F}"/>
                </a:ext>
                <a:ext uri="{147F2762-F138-4A5C-976F-8EAC2B608ADB}">
                  <a16:predDERef xmlns:a16="http://schemas.microsoft.com/office/drawing/2014/main" pred="{412BA1D1-5372-C93B-297B-6231ADB42DE9}"/>
                </a:ext>
              </a:extLst>
            </xdr:cNvPr>
            <xdr:cNvPicPr/>
          </xdr:nvPicPr>
          <xdr:blipFill>
            <a:blip xmlns:r="http://schemas.openxmlformats.org/officeDocument/2006/relationships" r:embed="rId8"/>
            <a:stretch>
              <a:fillRect/>
            </a:stretch>
          </xdr:blipFill>
          <xdr:spPr>
            <a:xfrm>
              <a:off x="1716480" y="1055880"/>
              <a:ext cx="233640" cy="101880"/>
            </a:xfrm>
            <a:prstGeom prst="rect">
              <a:avLst/>
            </a:prstGeom>
          </xdr:spPr>
        </xdr:pic>
      </mc:Fallback>
    </mc:AlternateContent>
    <xdr:clientData/>
  </xdr:twoCellAnchor>
  <xdr:twoCellAnchor editAs="oneCell">
    <xdr:from>
      <xdr:col>3</xdr:col>
      <xdr:colOff>351360</xdr:colOff>
      <xdr:row>4</xdr:row>
      <xdr:rowOff>156360</xdr:rowOff>
    </xdr:from>
    <xdr:to>
      <xdr:col>4</xdr:col>
      <xdr:colOff>283920</xdr:colOff>
      <xdr:row>5</xdr:row>
      <xdr:rowOff>114540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1000-000006000000}"/>
                </a:ext>
                <a:ext uri="{147F2762-F138-4A5C-976F-8EAC2B608ADB}">
                  <a16:predDERef xmlns:a16="http://schemas.microsoft.com/office/drawing/2014/main" pred="{69C5F3E8-5856-6431-5877-B70AE5F5658F}"/>
                </a:ext>
              </a:extLst>
            </xdr14:cNvPr>
            <xdr14:cNvContentPartPr/>
          </xdr14:nvContentPartPr>
          <xdr14:nvPr macro=""/>
          <xdr14:xfrm>
            <a:off x="2180160" y="918360"/>
            <a:ext cx="542160" cy="148680"/>
          </xdr14:xfrm>
        </xdr:contentPart>
      </mc:Choice>
      <mc:Fallback xmlns="">
        <xdr:pic>
          <xdr:nvPicPr>
            <xdr:cNvPr id="6" name="Ink 5">
              <a:extLst>
                <a:ext uri="{FF2B5EF4-FFF2-40B4-BE49-F238E27FC236}">
                  <a16:creationId xmlns:a16="http://schemas.microsoft.com/office/drawing/2014/main" id="{08581DE2-E6A3-8ED0-E206-70CCE45FC0F8}"/>
                </a:ext>
                <a:ext uri="{147F2762-F138-4A5C-976F-8EAC2B608ADB}">
                  <a16:predDERef xmlns:a16="http://schemas.microsoft.com/office/drawing/2014/main" pred="{69C5F3E8-5856-6431-5877-B70AE5F5658F}"/>
                </a:ext>
              </a:extLst>
            </xdr:cNvPr>
            <xdr:cNvPicPr/>
          </xdr:nvPicPr>
          <xdr:blipFill>
            <a:blip xmlns:r="http://schemas.openxmlformats.org/officeDocument/2006/relationships" r:embed="rId10"/>
            <a:stretch>
              <a:fillRect/>
            </a:stretch>
          </xdr:blipFill>
          <xdr:spPr>
            <a:xfrm>
              <a:off x="2169360" y="907920"/>
              <a:ext cx="563400" cy="169920"/>
            </a:xfrm>
            <a:prstGeom prst="rect">
              <a:avLst/>
            </a:prstGeom>
          </xdr:spPr>
        </xdr:pic>
      </mc:Fallback>
    </mc:AlternateContent>
    <xdr:clientData/>
  </xdr:twoCellAnchor>
  <xdr:twoCellAnchor editAs="oneCell">
    <xdr:from>
      <xdr:col>5</xdr:col>
      <xdr:colOff>88680</xdr:colOff>
      <xdr:row>5</xdr:row>
      <xdr:rowOff>71700</xdr:rowOff>
    </xdr:from>
    <xdr:to>
      <xdr:col>5</xdr:col>
      <xdr:colOff>156720</xdr:colOff>
      <xdr:row>6</xdr:row>
      <xdr:rowOff>160920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1000-000007000000}"/>
                </a:ext>
                <a:ext uri="{147F2762-F138-4A5C-976F-8EAC2B608ADB}">
                  <a16:predDERef xmlns:a16="http://schemas.microsoft.com/office/drawing/2014/main" pred="{08581DE2-E6A3-8ED0-E206-70CCE45FC0F8}"/>
                </a:ext>
              </a:extLst>
            </xdr14:cNvPr>
            <xdr14:cNvContentPartPr/>
          </xdr14:nvContentPartPr>
          <xdr14:nvPr macro=""/>
          <xdr14:xfrm>
            <a:off x="3136680" y="1024200"/>
            <a:ext cx="68040" cy="279720"/>
          </xdr14:xfrm>
        </xdr:contentPart>
      </mc:Choice>
      <mc:Fallback xmlns="">
        <xdr:pic>
          <xdr:nvPicPr>
            <xdr:cNvPr id="7" name="Ink 6">
              <a:extLst>
                <a:ext uri="{FF2B5EF4-FFF2-40B4-BE49-F238E27FC236}">
                  <a16:creationId xmlns:a16="http://schemas.microsoft.com/office/drawing/2014/main" id="{6D6EE189-076E-6CBA-1D48-5AC6695C25EA}"/>
                </a:ext>
                <a:ext uri="{147F2762-F138-4A5C-976F-8EAC2B608ADB}">
                  <a16:predDERef xmlns:a16="http://schemas.microsoft.com/office/drawing/2014/main" pred="{08581DE2-E6A3-8ED0-E206-70CCE45FC0F8}"/>
                </a:ext>
              </a:extLst>
            </xdr:cNvPr>
            <xdr:cNvPicPr/>
          </xdr:nvPicPr>
          <xdr:blipFill>
            <a:blip xmlns:r="http://schemas.openxmlformats.org/officeDocument/2006/relationships" r:embed="rId12"/>
            <a:stretch>
              <a:fillRect/>
            </a:stretch>
          </xdr:blipFill>
          <xdr:spPr>
            <a:xfrm>
              <a:off x="3126240" y="1013760"/>
              <a:ext cx="89280" cy="300960"/>
            </a:xfrm>
            <a:prstGeom prst="rect">
              <a:avLst/>
            </a:prstGeom>
          </xdr:spPr>
        </xdr:pic>
      </mc:Fallback>
    </mc:AlternateContent>
    <xdr:clientData/>
  </xdr:twoCellAnchor>
  <xdr:twoCellAnchor editAs="oneCell">
    <xdr:from>
      <xdr:col>4</xdr:col>
      <xdr:colOff>601080</xdr:colOff>
      <xdr:row>4</xdr:row>
      <xdr:rowOff>169320</xdr:rowOff>
    </xdr:from>
    <xdr:to>
      <xdr:col>5</xdr:col>
      <xdr:colOff>211800</xdr:colOff>
      <xdr:row>5</xdr:row>
      <xdr:rowOff>118860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1000-000008000000}"/>
                </a:ext>
                <a:ext uri="{147F2762-F138-4A5C-976F-8EAC2B608ADB}">
                  <a16:predDERef xmlns:a16="http://schemas.microsoft.com/office/drawing/2014/main" pred="{6D6EE189-076E-6CBA-1D48-5AC6695C25EA}"/>
                </a:ext>
              </a:extLst>
            </xdr14:cNvPr>
            <xdr14:cNvContentPartPr/>
          </xdr14:nvContentPartPr>
          <xdr14:nvPr macro=""/>
          <xdr14:xfrm>
            <a:off x="3039480" y="931320"/>
            <a:ext cx="220320" cy="140040"/>
          </xdr14:xfrm>
        </xdr:contentPart>
      </mc:Choice>
      <mc:Fallback xmlns="">
        <xdr:pic>
          <xdr:nvPicPr>
            <xdr:cNvPr id="8" name="Ink 7">
              <a:extLst>
                <a:ext uri="{FF2B5EF4-FFF2-40B4-BE49-F238E27FC236}">
                  <a16:creationId xmlns:a16="http://schemas.microsoft.com/office/drawing/2014/main" id="{BA615661-4829-961C-5C39-740E261CD560}"/>
                </a:ext>
                <a:ext uri="{147F2762-F138-4A5C-976F-8EAC2B608ADB}">
                  <a16:predDERef xmlns:a16="http://schemas.microsoft.com/office/drawing/2014/main" pred="{6D6EE189-076E-6CBA-1D48-5AC6695C25EA}"/>
                </a:ext>
              </a:extLst>
            </xdr:cNvPr>
            <xdr:cNvPicPr/>
          </xdr:nvPicPr>
          <xdr:blipFill>
            <a:blip xmlns:r="http://schemas.openxmlformats.org/officeDocument/2006/relationships" r:embed="rId14"/>
            <a:stretch>
              <a:fillRect/>
            </a:stretch>
          </xdr:blipFill>
          <xdr:spPr>
            <a:xfrm>
              <a:off x="3028680" y="920520"/>
              <a:ext cx="241560" cy="161280"/>
            </a:xfrm>
            <a:prstGeom prst="rect">
              <a:avLst/>
            </a:prstGeom>
          </xdr:spPr>
        </xdr:pic>
      </mc:Fallback>
    </mc:AlternateContent>
    <xdr:clientData/>
  </xdr:twoCellAnchor>
  <xdr:twoCellAnchor editAs="oneCell">
    <xdr:from>
      <xdr:col>5</xdr:col>
      <xdr:colOff>275160</xdr:colOff>
      <xdr:row>4</xdr:row>
      <xdr:rowOff>37920</xdr:rowOff>
    </xdr:from>
    <xdr:to>
      <xdr:col>6</xdr:col>
      <xdr:colOff>279600</xdr:colOff>
      <xdr:row>5</xdr:row>
      <xdr:rowOff>101940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1000-000009000000}"/>
                </a:ext>
                <a:ext uri="{147F2762-F138-4A5C-976F-8EAC2B608ADB}">
                  <a16:predDERef xmlns:a16="http://schemas.microsoft.com/office/drawing/2014/main" pred="{BA615661-4829-961C-5C39-740E261CD560}"/>
                </a:ext>
              </a:extLst>
            </xdr14:cNvPr>
            <xdr14:cNvContentPartPr/>
          </xdr14:nvContentPartPr>
          <xdr14:nvPr macro=""/>
          <xdr14:xfrm>
            <a:off x="3323160" y="799920"/>
            <a:ext cx="766440" cy="254520"/>
          </xdr14:xfrm>
        </xdr:contentPart>
      </mc:Choice>
      <mc:Fallback xmlns="">
        <xdr:pic>
          <xdr:nvPicPr>
            <xdr:cNvPr id="9" name="Ink 8">
              <a:extLst>
                <a:ext uri="{FF2B5EF4-FFF2-40B4-BE49-F238E27FC236}">
                  <a16:creationId xmlns:a16="http://schemas.microsoft.com/office/drawing/2014/main" id="{AD490386-B088-0D6E-AF56-B16A9A2799A3}"/>
                </a:ext>
                <a:ext uri="{147F2762-F138-4A5C-976F-8EAC2B608ADB}">
                  <a16:predDERef xmlns:a16="http://schemas.microsoft.com/office/drawing/2014/main" pred="{BA615661-4829-961C-5C39-740E261CD560}"/>
                </a:ext>
              </a:extLst>
            </xdr:cNvPr>
            <xdr:cNvPicPr/>
          </xdr:nvPicPr>
          <xdr:blipFill>
            <a:blip xmlns:r="http://schemas.openxmlformats.org/officeDocument/2006/relationships" r:embed="rId16"/>
            <a:stretch>
              <a:fillRect/>
            </a:stretch>
          </xdr:blipFill>
          <xdr:spPr>
            <a:xfrm>
              <a:off x="3312360" y="789480"/>
              <a:ext cx="787680" cy="275760"/>
            </a:xfrm>
            <a:prstGeom prst="rect">
              <a:avLst/>
            </a:prstGeom>
          </xdr:spPr>
        </xdr:pic>
      </mc:Fallback>
    </mc:AlternateContent>
    <xdr:clientData/>
  </xdr:twoCellAnchor>
  <xdr:twoCellAnchor editAs="oneCell">
    <xdr:from>
      <xdr:col>7</xdr:col>
      <xdr:colOff>291840</xdr:colOff>
      <xdr:row>3</xdr:row>
      <xdr:rowOff>177660</xdr:rowOff>
    </xdr:from>
    <xdr:to>
      <xdr:col>8</xdr:col>
      <xdr:colOff>207480</xdr:colOff>
      <xdr:row>5</xdr:row>
      <xdr:rowOff>88980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00000000-0008-0000-1000-00000A000000}"/>
                </a:ext>
                <a:ext uri="{147F2762-F138-4A5C-976F-8EAC2B608ADB}">
                  <a16:predDERef xmlns:a16="http://schemas.microsoft.com/office/drawing/2014/main" pred="{AD490386-B088-0D6E-AF56-B16A9A2799A3}"/>
                </a:ext>
              </a:extLst>
            </xdr14:cNvPr>
            <xdr14:cNvContentPartPr/>
          </xdr14:nvContentPartPr>
          <xdr14:nvPr macro=""/>
          <xdr14:xfrm>
            <a:off x="4559040" y="749160"/>
            <a:ext cx="525240" cy="292320"/>
          </xdr14:xfrm>
        </xdr:contentPart>
      </mc:Choice>
      <mc:Fallback xmlns="">
        <xdr:pic>
          <xdr:nvPicPr>
            <xdr:cNvPr id="10" name="Ink 9">
              <a:extLst>
                <a:ext uri="{FF2B5EF4-FFF2-40B4-BE49-F238E27FC236}">
                  <a16:creationId xmlns:a16="http://schemas.microsoft.com/office/drawing/2014/main" id="{AC28A038-3608-CFF6-4F0E-6208FFF8A770}"/>
                </a:ext>
                <a:ext uri="{147F2762-F138-4A5C-976F-8EAC2B608ADB}">
                  <a16:predDERef xmlns:a16="http://schemas.microsoft.com/office/drawing/2014/main" pred="{AD490386-B088-0D6E-AF56-B16A9A2799A3}"/>
                </a:ext>
              </a:extLst>
            </xdr:cNvPr>
            <xdr:cNvPicPr/>
          </xdr:nvPicPr>
          <xdr:blipFill>
            <a:blip xmlns:r="http://schemas.openxmlformats.org/officeDocument/2006/relationships" r:embed="rId18"/>
            <a:stretch>
              <a:fillRect/>
            </a:stretch>
          </xdr:blipFill>
          <xdr:spPr>
            <a:xfrm>
              <a:off x="4548600" y="738360"/>
              <a:ext cx="546480" cy="313560"/>
            </a:xfrm>
            <a:prstGeom prst="rect">
              <a:avLst/>
            </a:prstGeom>
          </xdr:spPr>
        </xdr:pic>
      </mc:Fallback>
    </mc:AlternateContent>
    <xdr:clientData/>
  </xdr:twoCellAnchor>
  <xdr:twoCellAnchor editAs="oneCell">
    <xdr:from>
      <xdr:col>9</xdr:col>
      <xdr:colOff>50760</xdr:colOff>
      <xdr:row>3</xdr:row>
      <xdr:rowOff>118260</xdr:rowOff>
    </xdr:from>
    <xdr:to>
      <xdr:col>11</xdr:col>
      <xdr:colOff>42600</xdr:colOff>
      <xdr:row>6</xdr:row>
      <xdr:rowOff>42480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00000000-0008-0000-1000-00000B000000}"/>
                </a:ext>
                <a:ext uri="{147F2762-F138-4A5C-976F-8EAC2B608ADB}">
                  <a16:predDERef xmlns:a16="http://schemas.microsoft.com/office/drawing/2014/main" pred="{AC28A038-3608-CFF6-4F0E-6208FFF8A770}"/>
                </a:ext>
              </a:extLst>
            </xdr14:cNvPr>
            <xdr14:cNvContentPartPr/>
          </xdr14:nvContentPartPr>
          <xdr14:nvPr macro=""/>
          <xdr14:xfrm>
            <a:off x="5537160" y="689760"/>
            <a:ext cx="1211040" cy="495720"/>
          </xdr14:xfrm>
        </xdr:contentPart>
      </mc:Choice>
      <mc:Fallback xmlns="">
        <xdr:pic>
          <xdr:nvPicPr>
            <xdr:cNvPr id="11" name="Ink 10">
              <a:extLst>
                <a:ext uri="{FF2B5EF4-FFF2-40B4-BE49-F238E27FC236}">
                  <a16:creationId xmlns:a16="http://schemas.microsoft.com/office/drawing/2014/main" id="{1D6F9331-6FCF-C9CB-1D80-6474AC0E3AEB}"/>
                </a:ext>
                <a:ext uri="{147F2762-F138-4A5C-976F-8EAC2B608ADB}">
                  <a16:predDERef xmlns:a16="http://schemas.microsoft.com/office/drawing/2014/main" pred="{AC28A038-3608-CFF6-4F0E-6208FFF8A770}"/>
                </a:ext>
              </a:extLst>
            </xdr:cNvPr>
            <xdr:cNvPicPr/>
          </xdr:nvPicPr>
          <xdr:blipFill>
            <a:blip xmlns:r="http://schemas.openxmlformats.org/officeDocument/2006/relationships" r:embed="rId20"/>
            <a:stretch>
              <a:fillRect/>
            </a:stretch>
          </xdr:blipFill>
          <xdr:spPr>
            <a:xfrm>
              <a:off x="5526360" y="679320"/>
              <a:ext cx="1232280" cy="516960"/>
            </a:xfrm>
            <a:prstGeom prst="rect">
              <a:avLst/>
            </a:prstGeom>
          </xdr:spPr>
        </xdr:pic>
      </mc:Fallback>
    </mc:AlternateContent>
    <xdr:clientData/>
  </xdr:twoCellAnchor>
  <xdr:twoCellAnchor editAs="oneCell">
    <xdr:from>
      <xdr:col>11</xdr:col>
      <xdr:colOff>440040</xdr:colOff>
      <xdr:row>4</xdr:row>
      <xdr:rowOff>29280</xdr:rowOff>
    </xdr:from>
    <xdr:to>
      <xdr:col>12</xdr:col>
      <xdr:colOff>68040</xdr:colOff>
      <xdr:row>5</xdr:row>
      <xdr:rowOff>50820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00000000-0008-0000-1000-00000C000000}"/>
                </a:ext>
                <a:ext uri="{147F2762-F138-4A5C-976F-8EAC2B608ADB}">
                  <a16:predDERef xmlns:a16="http://schemas.microsoft.com/office/drawing/2014/main" pred="{1D6F9331-6FCF-C9CB-1D80-6474AC0E3AEB}"/>
                </a:ext>
              </a:extLst>
            </xdr14:cNvPr>
            <xdr14:cNvContentPartPr/>
          </xdr14:nvContentPartPr>
          <xdr14:nvPr macro=""/>
          <xdr14:xfrm>
            <a:off x="7145640" y="791280"/>
            <a:ext cx="237600" cy="212040"/>
          </xdr14:xfrm>
        </xdr:contentPart>
      </mc:Choice>
      <mc:Fallback xmlns="">
        <xdr:pic>
          <xdr:nvPicPr>
            <xdr:cNvPr id="12" name="Ink 11">
              <a:extLst>
                <a:ext uri="{FF2B5EF4-FFF2-40B4-BE49-F238E27FC236}">
                  <a16:creationId xmlns:a16="http://schemas.microsoft.com/office/drawing/2014/main" id="{9DFAF18E-049A-7D7C-13E2-F2CDA2E4AB33}"/>
                </a:ext>
                <a:ext uri="{147F2762-F138-4A5C-976F-8EAC2B608ADB}">
                  <a16:predDERef xmlns:a16="http://schemas.microsoft.com/office/drawing/2014/main" pred="{1D6F9331-6FCF-C9CB-1D80-6474AC0E3AEB}"/>
                </a:ext>
              </a:extLst>
            </xdr:cNvPr>
            <xdr:cNvPicPr/>
          </xdr:nvPicPr>
          <xdr:blipFill>
            <a:blip xmlns:r="http://schemas.openxmlformats.org/officeDocument/2006/relationships" r:embed="rId22"/>
            <a:stretch>
              <a:fillRect/>
            </a:stretch>
          </xdr:blipFill>
          <xdr:spPr>
            <a:xfrm>
              <a:off x="7135200" y="780840"/>
              <a:ext cx="258840" cy="233280"/>
            </a:xfrm>
            <a:prstGeom prst="rect">
              <a:avLst/>
            </a:prstGeom>
          </xdr:spPr>
        </xdr:pic>
      </mc:Fallback>
    </mc:AlternateContent>
    <xdr:clientData/>
  </xdr:twoCellAnchor>
  <xdr:twoCellAnchor editAs="oneCell">
    <xdr:from>
      <xdr:col>12</xdr:col>
      <xdr:colOff>419040</xdr:colOff>
      <xdr:row>4</xdr:row>
      <xdr:rowOff>88680</xdr:rowOff>
    </xdr:from>
    <xdr:to>
      <xdr:col>13</xdr:col>
      <xdr:colOff>228840</xdr:colOff>
      <xdr:row>5</xdr:row>
      <xdr:rowOff>80700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00000000-0008-0000-1000-00000D000000}"/>
                </a:ext>
                <a:ext uri="{147F2762-F138-4A5C-976F-8EAC2B608ADB}">
                  <a16:predDERef xmlns:a16="http://schemas.microsoft.com/office/drawing/2014/main" pred="{9DFAF18E-049A-7D7C-13E2-F2CDA2E4AB33}"/>
                </a:ext>
              </a:extLst>
            </xdr14:cNvPr>
            <xdr14:cNvContentPartPr/>
          </xdr14:nvContentPartPr>
          <xdr14:nvPr macro=""/>
          <xdr14:xfrm>
            <a:off x="7734240" y="850680"/>
            <a:ext cx="419400" cy="182520"/>
          </xdr14:xfrm>
        </xdr:contentPart>
      </mc:Choice>
      <mc:Fallback xmlns="">
        <xdr:pic>
          <xdr:nvPicPr>
            <xdr:cNvPr id="13" name="Ink 12">
              <a:extLst>
                <a:ext uri="{FF2B5EF4-FFF2-40B4-BE49-F238E27FC236}">
                  <a16:creationId xmlns:a16="http://schemas.microsoft.com/office/drawing/2014/main" id="{F091C0FE-5402-B047-56E9-3ADCB4AB834A}"/>
                </a:ext>
                <a:ext uri="{147F2762-F138-4A5C-976F-8EAC2B608ADB}">
                  <a16:predDERef xmlns:a16="http://schemas.microsoft.com/office/drawing/2014/main" pred="{9DFAF18E-049A-7D7C-13E2-F2CDA2E4AB33}"/>
                </a:ext>
              </a:extLst>
            </xdr:cNvPr>
            <xdr:cNvPicPr/>
          </xdr:nvPicPr>
          <xdr:blipFill>
            <a:blip xmlns:r="http://schemas.openxmlformats.org/officeDocument/2006/relationships" r:embed="rId24"/>
            <a:stretch>
              <a:fillRect/>
            </a:stretch>
          </xdr:blipFill>
          <xdr:spPr>
            <a:xfrm>
              <a:off x="7723440" y="840240"/>
              <a:ext cx="440640" cy="203760"/>
            </a:xfrm>
            <a:prstGeom prst="rect">
              <a:avLst/>
            </a:prstGeom>
          </xdr:spPr>
        </xdr:pic>
      </mc:Fallback>
    </mc:AlternateContent>
    <xdr:clientData/>
  </xdr:twoCellAnchor>
  <xdr:twoCellAnchor editAs="oneCell">
    <xdr:from>
      <xdr:col>13</xdr:col>
      <xdr:colOff>427560</xdr:colOff>
      <xdr:row>4</xdr:row>
      <xdr:rowOff>169320</xdr:rowOff>
    </xdr:from>
    <xdr:to>
      <xdr:col>13</xdr:col>
      <xdr:colOff>508200</xdr:colOff>
      <xdr:row>5</xdr:row>
      <xdr:rowOff>89340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00000000-0008-0000-1000-00000E000000}"/>
                </a:ext>
                <a:ext uri="{147F2762-F138-4A5C-976F-8EAC2B608ADB}">
                  <a16:predDERef xmlns:a16="http://schemas.microsoft.com/office/drawing/2014/main" pred="{F091C0FE-5402-B047-56E9-3ADCB4AB834A}"/>
                </a:ext>
              </a:extLst>
            </xdr14:cNvPr>
            <xdr14:cNvContentPartPr/>
          </xdr14:nvContentPartPr>
          <xdr14:nvPr macro=""/>
          <xdr14:xfrm>
            <a:off x="8352360" y="931320"/>
            <a:ext cx="80640" cy="110520"/>
          </xdr14:xfrm>
        </xdr:contentPart>
      </mc:Choice>
      <mc:Fallback xmlns="">
        <xdr:pic>
          <xdr:nvPicPr>
            <xdr:cNvPr id="14" name="Ink 13">
              <a:extLst>
                <a:ext uri="{FF2B5EF4-FFF2-40B4-BE49-F238E27FC236}">
                  <a16:creationId xmlns:a16="http://schemas.microsoft.com/office/drawing/2014/main" id="{2F4905EA-6BDA-179D-EF84-281A4739FD5F}"/>
                </a:ext>
                <a:ext uri="{147F2762-F138-4A5C-976F-8EAC2B608ADB}">
                  <a16:predDERef xmlns:a16="http://schemas.microsoft.com/office/drawing/2014/main" pred="{F091C0FE-5402-B047-56E9-3ADCB4AB834A}"/>
                </a:ext>
              </a:extLst>
            </xdr:cNvPr>
            <xdr:cNvPicPr/>
          </xdr:nvPicPr>
          <xdr:blipFill>
            <a:blip xmlns:r="http://schemas.openxmlformats.org/officeDocument/2006/relationships" r:embed="rId26"/>
            <a:stretch>
              <a:fillRect/>
            </a:stretch>
          </xdr:blipFill>
          <xdr:spPr>
            <a:xfrm>
              <a:off x="8341560" y="920520"/>
              <a:ext cx="101880" cy="131760"/>
            </a:xfrm>
            <a:prstGeom prst="rect">
              <a:avLst/>
            </a:prstGeom>
          </xdr:spPr>
        </xdr:pic>
      </mc:Fallback>
    </mc:AlternateContent>
    <xdr:clientData/>
  </xdr:twoCellAnchor>
  <xdr:twoCellAnchor editAs="oneCell">
    <xdr:from>
      <xdr:col>13</xdr:col>
      <xdr:colOff>427560</xdr:colOff>
      <xdr:row>4</xdr:row>
      <xdr:rowOff>80400</xdr:rowOff>
    </xdr:from>
    <xdr:to>
      <xdr:col>13</xdr:col>
      <xdr:colOff>466080</xdr:colOff>
      <xdr:row>4</xdr:row>
      <xdr:rowOff>157080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00000000-0008-0000-1000-00000F000000}"/>
                </a:ext>
                <a:ext uri="{147F2762-F138-4A5C-976F-8EAC2B608ADB}">
                  <a16:predDERef xmlns:a16="http://schemas.microsoft.com/office/drawing/2014/main" pred="{2F4905EA-6BDA-179D-EF84-281A4739FD5F}"/>
                </a:ext>
              </a:extLst>
            </xdr14:cNvPr>
            <xdr14:cNvContentPartPr/>
          </xdr14:nvContentPartPr>
          <xdr14:nvPr macro=""/>
          <xdr14:xfrm>
            <a:off x="8352360" y="842400"/>
            <a:ext cx="38520" cy="76680"/>
          </xdr14:xfrm>
        </xdr:contentPart>
      </mc:Choice>
      <mc:Fallback xmlns="">
        <xdr:pic>
          <xdr:nvPicPr>
            <xdr:cNvPr id="15" name="Ink 14">
              <a:extLst>
                <a:ext uri="{FF2B5EF4-FFF2-40B4-BE49-F238E27FC236}">
                  <a16:creationId xmlns:a16="http://schemas.microsoft.com/office/drawing/2014/main" id="{79145F69-4BCB-0319-814A-51DCE455C150}"/>
                </a:ext>
                <a:ext uri="{147F2762-F138-4A5C-976F-8EAC2B608ADB}">
                  <a16:predDERef xmlns:a16="http://schemas.microsoft.com/office/drawing/2014/main" pred="{2F4905EA-6BDA-179D-EF84-281A4739FD5F}"/>
                </a:ext>
              </a:extLst>
            </xdr:cNvPr>
            <xdr:cNvPicPr/>
          </xdr:nvPicPr>
          <xdr:blipFill>
            <a:blip xmlns:r="http://schemas.openxmlformats.org/officeDocument/2006/relationships" r:embed="rId28"/>
            <a:stretch>
              <a:fillRect/>
            </a:stretch>
          </xdr:blipFill>
          <xdr:spPr>
            <a:xfrm>
              <a:off x="8341560" y="831600"/>
              <a:ext cx="59760" cy="97920"/>
            </a:xfrm>
            <a:prstGeom prst="rect">
              <a:avLst/>
            </a:prstGeom>
          </xdr:spPr>
        </xdr:pic>
      </mc:Fallback>
    </mc:AlternateContent>
    <xdr:clientData/>
  </xdr:twoCellAnchor>
  <xdr:twoCellAnchor editAs="oneCell">
    <xdr:from>
      <xdr:col>13</xdr:col>
      <xdr:colOff>503520</xdr:colOff>
      <xdr:row>4</xdr:row>
      <xdr:rowOff>135120</xdr:rowOff>
    </xdr:from>
    <xdr:to>
      <xdr:col>14</xdr:col>
      <xdr:colOff>486840</xdr:colOff>
      <xdr:row>5</xdr:row>
      <xdr:rowOff>122820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00000000-0008-0000-1000-000010000000}"/>
                </a:ext>
                <a:ext uri="{147F2762-F138-4A5C-976F-8EAC2B608ADB}">
                  <a16:predDERef xmlns:a16="http://schemas.microsoft.com/office/drawing/2014/main" pred="{79145F69-4BCB-0319-814A-51DCE455C150}"/>
                </a:ext>
              </a:extLst>
            </xdr14:cNvPr>
            <xdr14:cNvContentPartPr/>
          </xdr14:nvContentPartPr>
          <xdr14:nvPr macro=""/>
          <xdr14:xfrm>
            <a:off x="8428320" y="897120"/>
            <a:ext cx="592920" cy="178200"/>
          </xdr14:xfrm>
        </xdr:contentPart>
      </mc:Choice>
      <mc:Fallback xmlns="">
        <xdr:pic>
          <xdr:nvPicPr>
            <xdr:cNvPr id="16" name="Ink 15">
              <a:extLst>
                <a:ext uri="{FF2B5EF4-FFF2-40B4-BE49-F238E27FC236}">
                  <a16:creationId xmlns:a16="http://schemas.microsoft.com/office/drawing/2014/main" id="{589D67A6-3987-5D2E-19A9-78D524CA4C6C}"/>
                </a:ext>
                <a:ext uri="{147F2762-F138-4A5C-976F-8EAC2B608ADB}">
                  <a16:predDERef xmlns:a16="http://schemas.microsoft.com/office/drawing/2014/main" pred="{79145F69-4BCB-0319-814A-51DCE455C150}"/>
                </a:ext>
              </a:extLst>
            </xdr:cNvPr>
            <xdr:cNvPicPr/>
          </xdr:nvPicPr>
          <xdr:blipFill>
            <a:blip xmlns:r="http://schemas.openxmlformats.org/officeDocument/2006/relationships" r:embed="rId30"/>
            <a:stretch>
              <a:fillRect/>
            </a:stretch>
          </xdr:blipFill>
          <xdr:spPr>
            <a:xfrm>
              <a:off x="8417880" y="886680"/>
              <a:ext cx="614160" cy="199440"/>
            </a:xfrm>
            <a:prstGeom prst="rect">
              <a:avLst/>
            </a:prstGeom>
          </xdr:spPr>
        </xdr:pic>
      </mc:Fallback>
    </mc:AlternateContent>
    <xdr:clientData/>
  </xdr:twoCellAnchor>
  <xdr:twoCellAnchor editAs="oneCell">
    <xdr:from>
      <xdr:col>14</xdr:col>
      <xdr:colOff>499440</xdr:colOff>
      <xdr:row>4</xdr:row>
      <xdr:rowOff>169320</xdr:rowOff>
    </xdr:from>
    <xdr:to>
      <xdr:col>15</xdr:col>
      <xdr:colOff>495720</xdr:colOff>
      <xdr:row>5</xdr:row>
      <xdr:rowOff>89340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00000000-0008-0000-1000-000011000000}"/>
                </a:ext>
                <a:ext uri="{147F2762-F138-4A5C-976F-8EAC2B608ADB}">
                  <a16:predDERef xmlns:a16="http://schemas.microsoft.com/office/drawing/2014/main" pred="{589D67A6-3987-5D2E-19A9-78D524CA4C6C}"/>
                </a:ext>
              </a:extLst>
            </xdr14:cNvPr>
            <xdr14:cNvContentPartPr/>
          </xdr14:nvContentPartPr>
          <xdr14:nvPr macro=""/>
          <xdr14:xfrm>
            <a:off x="9033840" y="931320"/>
            <a:ext cx="605880" cy="110520"/>
          </xdr14:xfrm>
        </xdr:contentPart>
      </mc:Choice>
      <mc:Fallback xmlns="">
        <xdr:pic>
          <xdr:nvPicPr>
            <xdr:cNvPr id="17" name="Ink 16">
              <a:extLst>
                <a:ext uri="{FF2B5EF4-FFF2-40B4-BE49-F238E27FC236}">
                  <a16:creationId xmlns:a16="http://schemas.microsoft.com/office/drawing/2014/main" id="{589FEBF8-8BBE-BE12-230B-67C89462BC21}"/>
                </a:ext>
                <a:ext uri="{147F2762-F138-4A5C-976F-8EAC2B608ADB}">
                  <a16:predDERef xmlns:a16="http://schemas.microsoft.com/office/drawing/2014/main" pred="{589D67A6-3987-5D2E-19A9-78D524CA4C6C}"/>
                </a:ext>
              </a:extLst>
            </xdr:cNvPr>
            <xdr:cNvPicPr/>
          </xdr:nvPicPr>
          <xdr:blipFill>
            <a:blip xmlns:r="http://schemas.openxmlformats.org/officeDocument/2006/relationships" r:embed="rId32"/>
            <a:stretch>
              <a:fillRect/>
            </a:stretch>
          </xdr:blipFill>
          <xdr:spPr>
            <a:xfrm>
              <a:off x="9023040" y="920520"/>
              <a:ext cx="627120" cy="13176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38</xdr:row>
      <xdr:rowOff>0</xdr:rowOff>
    </xdr:from>
    <xdr:to>
      <xdr:col>7</xdr:col>
      <xdr:colOff>304800</xdr:colOff>
      <xdr:row>52</xdr:row>
      <xdr:rowOff>76200</xdr:rowOff>
    </xdr:to>
    <xdr:graphicFrame macro="">
      <xdr:nvGraphicFramePr>
        <xdr:cNvPr id="2" name="Chart 1">
          <a:extLst>
            <a:ext uri="{FF2B5EF4-FFF2-40B4-BE49-F238E27FC236}">
              <a16:creationId xmlns:a16="http://schemas.microsoft.com/office/drawing/2014/main" id="{059407B7-CB78-C559-166D-AEA6E1313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38</xdr:row>
      <xdr:rowOff>0</xdr:rowOff>
    </xdr:from>
    <xdr:to>
      <xdr:col>13</xdr:col>
      <xdr:colOff>304800</xdr:colOff>
      <xdr:row>52</xdr:row>
      <xdr:rowOff>76200</xdr:rowOff>
    </xdr:to>
    <xdr:graphicFrame macro="">
      <xdr:nvGraphicFramePr>
        <xdr:cNvPr id="3" name="Chart 2">
          <a:extLst>
            <a:ext uri="{FF2B5EF4-FFF2-40B4-BE49-F238E27FC236}">
              <a16:creationId xmlns:a16="http://schemas.microsoft.com/office/drawing/2014/main" id="{52EF7327-C5A7-3E63-4CAA-824C2008F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0</xdr:rowOff>
    </xdr:from>
    <xdr:to>
      <xdr:col>7</xdr:col>
      <xdr:colOff>304800</xdr:colOff>
      <xdr:row>68</xdr:row>
      <xdr:rowOff>76200</xdr:rowOff>
    </xdr:to>
    <xdr:graphicFrame macro="">
      <xdr:nvGraphicFramePr>
        <xdr:cNvPr id="4" name="Chart 3">
          <a:extLst>
            <a:ext uri="{FF2B5EF4-FFF2-40B4-BE49-F238E27FC236}">
              <a16:creationId xmlns:a16="http://schemas.microsoft.com/office/drawing/2014/main" id="{0E6D424D-38B7-EA15-392D-F360E3D26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97</xdr:row>
      <xdr:rowOff>0</xdr:rowOff>
    </xdr:from>
    <xdr:to>
      <xdr:col>14</xdr:col>
      <xdr:colOff>304800</xdr:colOff>
      <xdr:row>111</xdr:row>
      <xdr:rowOff>76200</xdr:rowOff>
    </xdr:to>
    <xdr:graphicFrame macro="">
      <xdr:nvGraphicFramePr>
        <xdr:cNvPr id="5" name="Chart 4">
          <a:extLst>
            <a:ext uri="{FF2B5EF4-FFF2-40B4-BE49-F238E27FC236}">
              <a16:creationId xmlns:a16="http://schemas.microsoft.com/office/drawing/2014/main" id="{D7B54C4C-6F81-74E2-B786-2127E2963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97</xdr:row>
      <xdr:rowOff>0</xdr:rowOff>
    </xdr:from>
    <xdr:to>
      <xdr:col>7</xdr:col>
      <xdr:colOff>304800</xdr:colOff>
      <xdr:row>111</xdr:row>
      <xdr:rowOff>76200</xdr:rowOff>
    </xdr:to>
    <xdr:graphicFrame macro="">
      <xdr:nvGraphicFramePr>
        <xdr:cNvPr id="6" name="Chart 5">
          <a:extLst>
            <a:ext uri="{FF2B5EF4-FFF2-40B4-BE49-F238E27FC236}">
              <a16:creationId xmlns:a16="http://schemas.microsoft.com/office/drawing/2014/main" id="{5E10D862-A738-0C9A-F6A9-268867421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114</xdr:row>
      <xdr:rowOff>0</xdr:rowOff>
    </xdr:from>
    <xdr:to>
      <xdr:col>7</xdr:col>
      <xdr:colOff>304800</xdr:colOff>
      <xdr:row>128</xdr:row>
      <xdr:rowOff>76200</xdr:rowOff>
    </xdr:to>
    <xdr:graphicFrame macro="">
      <xdr:nvGraphicFramePr>
        <xdr:cNvPr id="7" name="Chart 6">
          <a:extLst>
            <a:ext uri="{FF2B5EF4-FFF2-40B4-BE49-F238E27FC236}">
              <a16:creationId xmlns:a16="http://schemas.microsoft.com/office/drawing/2014/main" id="{3C98CEF9-E9D4-CE04-39F5-A5B2058E5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41</xdr:row>
      <xdr:rowOff>0</xdr:rowOff>
    </xdr:from>
    <xdr:to>
      <xdr:col>7</xdr:col>
      <xdr:colOff>304800</xdr:colOff>
      <xdr:row>55</xdr:row>
      <xdr:rowOff>76200</xdr:rowOff>
    </xdr:to>
    <xdr:graphicFrame macro="">
      <xdr:nvGraphicFramePr>
        <xdr:cNvPr id="2" name="Chart 1">
          <a:extLst>
            <a:ext uri="{FF2B5EF4-FFF2-40B4-BE49-F238E27FC236}">
              <a16:creationId xmlns:a16="http://schemas.microsoft.com/office/drawing/2014/main" id="{4852A223-8A90-BBC7-C0F4-9F2C72342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41</xdr:row>
      <xdr:rowOff>0</xdr:rowOff>
    </xdr:from>
    <xdr:to>
      <xdr:col>13</xdr:col>
      <xdr:colOff>304800</xdr:colOff>
      <xdr:row>55</xdr:row>
      <xdr:rowOff>76200</xdr:rowOff>
    </xdr:to>
    <xdr:graphicFrame macro="">
      <xdr:nvGraphicFramePr>
        <xdr:cNvPr id="3" name="Chart 2">
          <a:extLst>
            <a:ext uri="{FF2B5EF4-FFF2-40B4-BE49-F238E27FC236}">
              <a16:creationId xmlns:a16="http://schemas.microsoft.com/office/drawing/2014/main" id="{9BAF4C74-5D09-EEAC-0F67-DFB5689DF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57</xdr:row>
      <xdr:rowOff>0</xdr:rowOff>
    </xdr:from>
    <xdr:to>
      <xdr:col>7</xdr:col>
      <xdr:colOff>304800</xdr:colOff>
      <xdr:row>71</xdr:row>
      <xdr:rowOff>76200</xdr:rowOff>
    </xdr:to>
    <xdr:graphicFrame macro="">
      <xdr:nvGraphicFramePr>
        <xdr:cNvPr id="4" name="Chart 3">
          <a:extLst>
            <a:ext uri="{FF2B5EF4-FFF2-40B4-BE49-F238E27FC236}">
              <a16:creationId xmlns:a16="http://schemas.microsoft.com/office/drawing/2014/main" id="{920CB21A-650B-DEA0-2826-330D7906B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99</xdr:row>
      <xdr:rowOff>0</xdr:rowOff>
    </xdr:from>
    <xdr:to>
      <xdr:col>14</xdr:col>
      <xdr:colOff>304800</xdr:colOff>
      <xdr:row>113</xdr:row>
      <xdr:rowOff>76200</xdr:rowOff>
    </xdr:to>
    <xdr:graphicFrame macro="">
      <xdr:nvGraphicFramePr>
        <xdr:cNvPr id="5" name="Chart 4">
          <a:extLst>
            <a:ext uri="{FF2B5EF4-FFF2-40B4-BE49-F238E27FC236}">
              <a16:creationId xmlns:a16="http://schemas.microsoft.com/office/drawing/2014/main" id="{0C436BEC-16EF-A5C2-478A-6CE1FAC19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99</xdr:row>
      <xdr:rowOff>0</xdr:rowOff>
    </xdr:from>
    <xdr:to>
      <xdr:col>7</xdr:col>
      <xdr:colOff>304800</xdr:colOff>
      <xdr:row>113</xdr:row>
      <xdr:rowOff>76200</xdr:rowOff>
    </xdr:to>
    <xdr:graphicFrame macro="">
      <xdr:nvGraphicFramePr>
        <xdr:cNvPr id="6" name="Chart 5">
          <a:extLst>
            <a:ext uri="{FF2B5EF4-FFF2-40B4-BE49-F238E27FC236}">
              <a16:creationId xmlns:a16="http://schemas.microsoft.com/office/drawing/2014/main" id="{4E4EC958-A9D0-C6A6-E569-BE3076991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116</xdr:row>
      <xdr:rowOff>0</xdr:rowOff>
    </xdr:from>
    <xdr:to>
      <xdr:col>7</xdr:col>
      <xdr:colOff>304800</xdr:colOff>
      <xdr:row>130</xdr:row>
      <xdr:rowOff>76200</xdr:rowOff>
    </xdr:to>
    <xdr:graphicFrame macro="">
      <xdr:nvGraphicFramePr>
        <xdr:cNvPr id="7" name="Chart 6">
          <a:extLst>
            <a:ext uri="{FF2B5EF4-FFF2-40B4-BE49-F238E27FC236}">
              <a16:creationId xmlns:a16="http://schemas.microsoft.com/office/drawing/2014/main" id="{E915A2F8-51F5-26A4-9222-765AD8471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0.518"/>
    </inkml:context>
    <inkml:brush xml:id="br0">
      <inkml:brushProperty name="width" value="0.06" units="cm"/>
      <inkml:brushProperty name="height" value="0.06" units="cm"/>
    </inkml:brush>
  </inkml:definitions>
  <inkml:trace contextRef="#ctx0" brushRef="#br0">94 0 8428,'-17'0'0,"4"0"-188,-4 0 228,5 0 67,1 0 0,3 0-64,0 0-783,5 0-65,-2 0 261,10 5 544,2 2 0,25 5 0,6-1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5.347"/>
    </inkml:context>
    <inkml:brush xml:id="br0">
      <inkml:brushProperty name="width" value="0.06" units="cm"/>
      <inkml:brushProperty name="height" value="0.06" units="cm"/>
    </inkml:brush>
  </inkml:definitions>
  <inkml:trace contextRef="#ctx0" brushRef="#br0">60 142 7971,'-11'-16'0,"2"0"0,1 2 727,0-4-252,2 5 56,1-4-307,-1 5 212,5 0 0,-4 4 151,5 0-307,0 6-57,0-3-269,0 5 0,0 0 270,0 10 0,0 3 101,0 11-102,0 10 1,5-3 0,-4 15-563,10 1 558,-5 1-31,1 9 13,3 2-399,-3 1-509,-1 4 649,5-5-282,-5 0 247,1 0-32,3 0-718,-3-6 198,0-6 409,3-6-1,-9-11-604,10-7 742,-10-1-276,4-14 702,1 3-1292,-5-11 645,4 0-153,-5 0 56,0 0 417,5-5 0,-3-44 0,3-15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5.822"/>
    </inkml:context>
    <inkml:brush xml:id="br0">
      <inkml:brushProperty name="width" value="0.06" units="cm"/>
      <inkml:brushProperty name="height" value="0.06" units="cm"/>
    </inkml:brush>
  </inkml:definitions>
  <inkml:trace contextRef="#ctx0" brushRef="#br0">212 224 7971,'-29'5'0,"-1"-4"783,0 10-280,1-10 1,11 9-281,-4-8 563,9 8-304,-4-9 10,10 10-254,-3-10 649,9 4-323,-5-5-104,6 0-457,0 0 1,6 6 236,0-5 416,11 4-209,1-5 56,11 0-268,-4 0-56,9 0 50,-4-5 0,11-2-1,-5-4-403,10-1 173,-4-5-316,-1 4 547,5-9-1882,-9 3 795,9-4 493,-10 4-2353,15-3 1290,-13 4 1428,8 0 0,-8-5 0,-1 6 0,-1 1 0,-2 0 0,-3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6.096"/>
    </inkml:context>
    <inkml:brush xml:id="br0">
      <inkml:brushProperty name="width" value="0.06" units="cm"/>
      <inkml:brushProperty name="height" value="0.06" units="cm"/>
    </inkml:brush>
  </inkml:definitions>
  <inkml:trace contextRef="#ctx0" brushRef="#br0">60 153 8019,'-23'18'1592,"5"-2"-937,6-3-1109,6-1 164,6-5 0,0-2 939,10-5-317,-2 0-154,14 0 498,-3 0-274,9-5 0,2-2-276,6-5-105,-1-5 142,0-1-32,0-6 0,1 6-726,4-4 467,-3 4 0,-2-1 259,-1 2-1412,-4 6 640,0-1 328,-1 5-713,-6-3 480,-4 9 546,-2-5 0,-16 27 0,-2 5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7.247"/>
    </inkml:context>
    <inkml:brush xml:id="br0">
      <inkml:brushProperty name="width" value="0.06" units="cm"/>
      <inkml:brushProperty name="height" value="0.06" units="cm"/>
    </inkml:brush>
  </inkml:definitions>
  <inkml:trace contextRef="#ctx0" brushRef="#br0">118 142 8019,'-12'5'146,"0"0"0,0 4 938,1-1-746,-1 0 649,0 4-379,0 0-190,6-1-204,-5 6 15,5-4-1,-1 10 1,2-5-622,5 0 305,5 4 204,-3-8-53,8 3-559,-3-6 311,4 1 156,1 0-248,5-6 201,-4 5-21,9-10 127,-9 4 12,4-5-104,0 0 69,-4-5-9,4-1-2,0-6-1,-4-5 2,4 4-226,-10-9 234,3 3 49,-8-4-39,8-6-261,-9 4 250,5-4-13,-6 6-20,0-1 189,0 1 0,-6-1-185,5 6 97,-9-4-84,3 9-4,-5-4-203,1 5 223,-1 0-8,5 6-1,-3-5-875,9 10 397,-5-4 221,1 5-65,4 0-721,-4 0 371,5 0 250,0 0 46,5 0 152,1 5 1,1 2 576,3 4-307,-3 1-1,5 0-325,-1 5 1058,1 1-438,5 0-244,-9 5-21,13-5 539,-18 0-211,12 4-206,-8-3 115,5-1 776,-1 4-345,1-9-284,0 4 73,0-5-144,-1 0 0,1-6-539,0 0 192,-6-1 0,5-4 250,-5 4-742,6-5 311,0-5 170,-6 4-109,5-10-140,-5 5 110,6-6-25,0 5-29,-6 2-187,5 0 86,-10 4-1,10-5 33,-5 6 434,1 0-63,3 6-192,-3 0 637,-1 1-298,5 3-131,-5-3 134,6 5-99,0-1 1,0 1-32,-1 0-189,-4 0 156,8-1-33,-12-4 78,13-2-281,-10-5 239,6 0 2,5 0-34,-4 0-170,4 0-60,-5-5 207,0-2-197,-1-4 11,1-1 102,0 0-91,0 0 114,-1 1 11,-4-1-12,3 0-62,-8 0 59,8 0 5,-9 1-6,5 4-22,-1-3 14,-4 3 10,4 1-773,-5-5 364,0 10 159,0-10-929,0 10 489,6-9 239,-5 8 98,4-3-602,-5 0 360,0 4 181,0-5 0,0 6 389,5 0 20,-3 0 0,3 0 0,-5 0 0,5 6 0,-4 0 0,5 1-60,-1 3 60,-4-9 0,10 10 0,-10-10 848,4 10-380,0-10-253,-3 9 686,8-8-333,-8 3-245,8 0 19,-9-4 346,10 5-271,-5-6-28,1 0-1,3 0-217,-3 0 58,-1 0 57,5 0-58,-5-6-261,6 5 1,0-9 260,0 3-436,-6-5 200,5 1-45,-10-1-126,9 0 155,-8 0-77,3 6 244,-5-5-214,0 5 0,0-1 89,0 2 48,0 0-62,0 4 66,0-5-36,0 12 17,0 0 191,-5 6 1,3 5-167,-3-4 289,5 9 10,0-9-282,0 9 160,0-9-141,0 10 42,5-10-2,-3 4 239,8 0 0,-3-4-208,10 4-30,-4-11-260,9 5 307,-4-5-18,6 1-886,-1-2 394,1-5 210,4 0-1140,-3 0 643,9 0 246,-9-5 180,9-2-2316,-9-4 2487,9-6 0,-4-17 0,5-10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7.748"/>
    </inkml:context>
    <inkml:brush xml:id="br0">
      <inkml:brushProperty name="width" value="0.06" units="cm"/>
      <inkml:brushProperty name="height" value="0.06" units="cm"/>
    </inkml:brush>
  </inkml:definitions>
  <inkml:trace contextRef="#ctx0" brushRef="#br0">71 13 7951,'-18'-6'2397,"1"5"-1088,5-4-543,6 5-272,0 5-194,1 2-79,4 9 1,-4 3-124,5 10 394,0 6-215,5 7-55,1 10-1270,6 1 939,0 6 166,0 0-1059,5 0 654,-4-6 251,4 5 150,0-10-739,-4-1-50,4-6 371,-6-16 33,1 2-1041,-5-14 448,3 4 358,-8-10 719,3-2 0,-21-47 1,-4-10-1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8.066"/>
    </inkml:context>
    <inkml:brush xml:id="br0">
      <inkml:brushProperty name="width" value="0.06" units="cm"/>
      <inkml:brushProperty name="height" value="0.06" units="cm"/>
    </inkml:brush>
  </inkml:definitions>
  <inkml:trace contextRef="#ctx0" brushRef="#br0">71 153 7933,'-16'-22'524,"0"1"1474,2 1-1441,1 1-168,6 6 362,2-3 1,5 9 181,0-4-862,0 4 149,5 2 0,2 5 0,5 0-258,5-5 0,1 3 0,7-2-157,2 3 181,3 1 0,6 0 116,-1 5 119,0 2-45,6 5-203,0-6-79,1 5-63,4-5 268,-9 6-53,3-6-111,-5 5 158,-10-5-8,3 1-140,-15 3 183,-2-3-39,-5-1 575,-6 5-381,0-5 0,-11 6-176,-2 5-742,-10 1 345,-1 1 164,-5 3 0,5-4-916,-10 6 512,9-6 209,-9 4 149,9-9-1342,-4 10 675,6-10 222,4 4-310,2-11 298,6 5 232,4-10 397,2 4 0,57-36 0,13-8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19.942"/>
    </inkml:context>
    <inkml:brush xml:id="br0">
      <inkml:brushProperty name="width" value="0.06" units="cm"/>
      <inkml:brushProperty name="height" value="0.06" units="cm"/>
    </inkml:brush>
  </inkml:definitions>
  <inkml:trace contextRef="#ctx0" brushRef="#br0">144 401 7441,'5'0'723,"1"0"-356,-6 0 164,0 0-327,0-5 171,0 4 1,0-4-198,0 5 1264,0 0-967,0-6-255,0 5 202,0-4-1,-6 5-322,5-5 176,-3 3-55,-1-3 0,-2 5-455,2 0 227,-6 0 0,6 0 283,-7 0-287,1 5 72,0 2-1,1 5-49,-2-1-258,1 6 86,0-4-1,5 4-415,-4 0 303,9-4 87,-8 10 0,7-10-476,-3 4 299,5-6 98,5 1-28,1-5-39,6 3 178,-2-9-53,6 5 273,-4-6-31,10 0-180,-6 0-51,6 0 50,1-6-21,-2 0 14,-3-6 44,3 6 135,-9-5 67,8 10-238,-7-10 238,3 10-189,-5-9 47,0 8 193,-5-3 11,4 5-243,-9 0 14,9 0 256,-9 0 10,4 0-240,-5 0 400,0 0-211,0-5 25,0 4-146,-5-5 57,4 1-39,-4 4-269,5-4 266,-5-1 26,4 5-243,-4-9-7,5 8 213,0-8-34,0 3-122,0 1 113,0-5 14,5 10-53,-4-9-229,9 8 199,-4-8 53,5 3-39,0 1-153,0-5-20,0 5 173,0-1-146,5-3 147,1 2-22,0 2 178,-1-5-7,0 5-169,2-6-7,-1 0 444,-2 6-195,1-5 0,-8 10-176,6-10 618,-7 10-259,4-4-157,-6 5 101,1 0 6,-6 0 480,0 0-638,0 5 96,0 2-441,0 4 222,-6 1-12,5 0 148,-3 5-359,-1-4 148,3 10 0,-2-10 117,4 10-203,0-10 1,0 9 200,0-9-104,0 4 207,4 0-200,3-4 36,4 4 23,-1-5 2,6-1-1,-3-4-385,8 3 184,-9-8 5,9 3 185,-4-5 222,5 0 0,0 0-236,-5 0 4,4-5 248,-4-2-238,0-5-14,4 1-231,-9-1-8,4 0 234,-5 0-189,0-5 1,1 10 181,-7-9 1,6 9-341,-10-4 138,3 4 10,2-3 160,-5 8 9,3-3-41,-4 0-65,0 4 22,0-5 374,0 6-167,0 0-3,0 6-165,0-5 766,0 9-359,0-3 133,0-1-215,0 5-32,0-5-1,0 1 221,0 3-172,0-3 110,0-1-235,0 5-192,0-10 212,0 10 94,0-10-82,0 4-590,0-5 216,0 0 169,5 0-119,-3 0-12,7 0-47,-8 0 1,10-5 162,-6-2 72,7-4-258,-1-6 10,0 4 120,-1-4 71,2 5 235,-6 0-238,4 0-9,-4 1 10,4-1 406,2 5-189,-1 2 6,0 5-194,-5 0 780,4 0-362,-4 5-116,0 2 198,4 10-141,-4-4-1,0 4-332,4 0 216,-4-4-56,0 4 109,4 0-268,-8-4-1,7 4 76,-8-11 1,7 5 0,-2-5-439,0 1 339,1-2-737,0-5 398,2 0 1,-2-1-348,3-3 413,1-8 238,1-1-196,-7-9 165,10 4-102,-12-6 83,11 1 22,-7-6-44,4-1 35,-1-6 0,2-4 1,-1 1 223,0 1-31,5-4-212,-4 6 650,4-5-238,-6 6-167,2 10 749,-1 3-420,-5 10-135,4 6 319,-9 1-225,4 5-142,0 5 122,-4 6-152,4 13 77,-5 1-127,0 14 153,0-8-547,4 10 226,-2-6 0,8 0 237,-8 1-560,7 4 200,-8-7-1,9 6-735,-4-14 448,5 3 155,0-4-676,-5-6 383,4-1 230,-4-10 19,1-2-366,-3-5 127,-4 0 197,0 0-38,0-5-17,0-2 155,0-5 0,-4-5-54,-3-1 364,-3 0-154,-2-4-1,-4 3 619,4 1-369,-8-4-171,6 8 1117,-1-3-537,-1 5-315,3 0-47,-3 0 237,6 1-103,4-1-25,-4 5-67,8 2-619,-2 0 308,4 4-1,4-5-803,3 6 453,4 0 217,5-5-697,1 4 379,10-4 229,-3 5-40,7-6-37,-2 5 100,-1-9 82,4 8-202,-10-3 1324,5 5-608,-4-5-235,-2 4-108,-4-5 762,-1 6-324,-4 0-247,-6 6 1647,3-5-877,-7 9-232,3-8-274,-5 8 443,0-9-616,0 10 1,0-8-1,-2 3-84,-1-1 0,1-1 0,-2 1-563,-1-3 255,3 3 154,-2 0 0,4-4-122,-5 5 139,4-1-202,-5-4 0,6 6-1403,0-3 1167,0-3-693,0 4 660,6-5 1,-4 0-1,5 0-487,2 0 477,1 0 157,1 0 146,0 0 53,0 5-169,5-3-1,-4 3 255,9 0 0,-9 2 1,9 10 1,-7 2 0,2 5 1668,0-1-1359,4 1 1123,-8-1-563,4 6-417,-5-4 997,1 3-637,-7-4-319,0-1-160,-5-4 726,0 3-470,0-9-209,-5 4 1,4-10 436,-14 3-322,8-9-321,-14 10 1,4-10-1,-5 3 212,0-3-982,0 5 385,0-5-189,0 4 0,0-6 1,0-2-3685,0-1 4045,0-5 0,-20-39 0,-5-16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21.156"/>
    </inkml:context>
    <inkml:brush xml:id="br0">
      <inkml:brushProperty name="width" value="0.06" units="cm"/>
      <inkml:brushProperty name="height" value="0.06" units="cm"/>
    </inkml:brush>
  </inkml:definitions>
  <inkml:trace contextRef="#ctx0" brushRef="#br0">483 729 7819,'-5'12'558,"2"0"1496,-5 0-1019,6 0-166,-9-1-660,10 1 0,-4-5 404,5-2-228,0-5 0,0-5-177,0-2-189,0-5 0,-6 1 229,5-6 1,-5-2 0,2-6 555,-4-2-404,-3 2-191,0-9-69,-1 9 0,-5-13 0,-4 3 178,-5-1-109,-4-1-460,-6-4 87,1 5 160,-5-5 0,3 6 457,-3 5 0,10 1-293,1 11-120,10 1-88,2 5 226,11 1-66,1 4-301,5 2 614,0 5-424,5 0 120,1 0-161,6 0 0,5-5 163,2 3 43,4-8-435,6 3 142,6-4-1,2 4 5,8-3 473,-8 3-86,9-5-173,1-5-487,1 4 445,4-4 37,-5 5-752,0 1 352,-5 4 136,-1-3 30,-11 3-816,-7 1 432,-11 0 235,-1 6 42,-10 0 276,4 0-389,-15 6 32,2 0 0,-20 11-286,9 1 155,-15 1 51,-2 8-100,0-7-168,-10 9 321,10-6 215,-10 1-114,9 4 53,-8-3 0,8 4 443,2 0-221,1-5-1,9 5-273,-4-5 273,6-1 1,4 1-222,8-6 107,5-6 172,6-2 249,6-8-248,0 8-531,11-9 171,1 5 60,6-6 293,-6 0-25,4 0-194,-3-6 34,4 5 568,1-4-271,-6 5-136,4 0-37,-9 0 174,9 0 1,-8 0-112,3 0 407,-6 0-149,1 0-136,0 0-75,5 0-41,-4 0 76,4 5-59,-5-4-318,-1 5 141,1-1-16,0 1 171,0 1-412,5 3 184,-4-8 90,9 8 1,-8-7-1,5 3 76,-2-1-94,3 5 267,-1-9-46,-1 9-164,4-3 2,-9-1 520,4 0-213,-10-1 1,3-4 194,-3 4-207,-1 1-39,5-5-1,-10 4-444,4-5 162,-5 0 31,6 0-376,-5 0 333,4 0-210,0-5 86,-3 4 0,4-5-260,-2 6 143,3-5 253,-1 4-252,5-4 23,-10 5 131,9 0 50,-3 5-294,-1-4 135,5 10 88,-5-10 0,6 9 0,0-3-257,0-1 257,-1 5 34,-4-10 60,3 10-82,-3-10-34,0 9 241,3-8-18,-9 3-188,5-5 1081,-6 0-187,0 0 460,-6 0-573,0-5-164,-6-2-197,0-5 755,0 1-408,1-1-161,4-5-367,-3 4 187,8-9-53,-3 9-334,5-10 166,0 10 1,5-9 220,2 9-859,10-9 395,1 3 107,11 1 1,6-4-1496,2 9 800,9-4 214,-5 0-81,6 9 656,0-8 0,-3 13 0,-1-7 0,1 1 0,2 4 0,1 2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25.537"/>
    </inkml:context>
    <inkml:brush xml:id="br0">
      <inkml:brushProperty name="width" value="0.06" units="cm"/>
      <inkml:brushProperty name="height" value="0.06" units="cm"/>
    </inkml:brush>
  </inkml:definitions>
  <inkml:trace contextRef="#ctx0" brushRef="#br0">188 612 7898,'0'-12'277,"0"1"-5,0-1 177,0 0 1,0 0-233,-5 6-61,4-5 61,-4 5 54,-1-1-54,5-3 31,-9 9-31,3-5 1,0 6-1,-3 0-89,3 0-54,-4 0 143,-1 11 0,0-3-259,0 14 0,1 1 7,-1 7 59,-5 6-1,9-1 68,-8 0-100,15 1-21,-9-1 182,8 0-79,-3 0-224,5-5 208,0-1 35,5-5-45,7-6-513,1 4 226,9-9 141,-3-1-413,-1-7 250,4-5 80,-4 0-8,6 0 89,5-5 38,-4-1-80,3-11 237,-4 3-24,-1-2-172,1-1-3,-1 3 211,1-8-166,-6 9-13,4-4 82,-9 11 81,4-5-75,0 5-49,-4-6 114,4 5-52,-5-3-23,0 9-23,0-10 12,0 10 238,-6-4-241,5-1 253,-10 5 7,4-4-235,0 0 20,-3 3 222,3-8 23,0 3-236,-4 1 48,5-5 79,-6 5-55,0-6-43,0 0 32,0 1-19,0-1 59,0 0-215,0 0 6,0-5 151,0 4-10,0-4 143,0 11-131,0-5-13,0 5-16,-6-1 143,5-3-128,-9 8 4,8-3 8,-8 5-180,3 0 172,-4 5-4,4 2-177,-3 10-1,3-4 188,0 9-179,-3-3-5,3 4 149,1 1-16,1-1-229,5 6 210,0-4 10,0 3-73,0-4-275,5-1 138,1-4-1,11 3 140,-3-9-105,8 4 92,1-5 23,7-6-48,0 0 260,4-12-262,-4 0 36,6-6 37,-1-5-36,-5 4-12,-1-9-209,-6 3-20,1-4 230,-6-6 5,-1 4-259,-5-3 2,0 4 234,-6 1-30,-1-6-139,1 4 0,-5-9 138,4 9 147,-5-9-158,-5 9-97,-2-3 383,1-1-141,-5 4 0,5-4-126,-1 6 654,-3 5-301,9 1-99,-10 5-1,10 5 645,-4 2-336,-1 5-291,5 5 1,-4 2 0,5 6 218,0 3-168,0 2-78,0 11-88,0-5-38,0 10-307,5-4 208,-4 6-8,10-6 215,-10 4-457,10-9 191,-10 9 35,9-10 0,-8 5-131,8-11 237,-3 5-86,4-10 67,1 4-207,-5-6 198,3-4-33,-3-2 33,4-5 8,1 0-17,-5-5 2,3-7-121,-3-6 127,4-11-8,-4-1-181,3-5 12,-3-6 134,-1-1-293,5-5 424,-10 0-120,10 0-35,-10-5 31,4-7 264,0 4-1,-3-2-237,3 10-9,-5 0 824,0 5-385,5 2 251,-4 15-294,5 3-79,-6 15 0,0 2 550,0 5-35,0 0-372,0 5 0,0 7-459,0 1 263,5 14 55,-4-7-55,4 14-396,1-4 197,-5 5 1,4 6-458,0-5 311,-3 10 122,8 1-447,-8-4 123,8 8 120,-3-9 137,-1 10-973,5-4 508,-5 5 144,1-6 159,3-5-1269,-3-7 625,4-1 302,6-9-409,-4-2 384,4-6 192,-5-10 316,0 3-404,0-9 95,5 5 186,-4-6 158,4 0 0,-11 0 59,5 0 0,-5 0 0,6-6 0,-6 5 0,0-9 0,-1 3 0,-4-5 0,4 1 0,-5-1 0,0 0 186,6 0-112,-5 1 20,4-1 474,-5 0-282,0 0-140,0 1 574,0 4-322,0-3-115,0 8 113,0-3-280,5 5 128,-3 0 131,3 0 0,-5 5-11,0 7 120,0 6-272,5 6-2,-3 5-98,8 6 105,-9 7-389,5 5 627,-1 5-238,1 2 0,1 4-720,3-4 335,-3-2 178,-1-10-9,5-1-934,-5-6 476,6-10 266,0-3 67,-6-16-292,5 0 123,-10-6 395,4 0-378,-5-6-1,0 0-15,0-11-1,0-1 142,0-11-23,-5 4-103,4-9 651,-10 4-258,5-5 0,-6-6-222,0 5 766,1-10-323,-1 9-194,0-3-24,0 5 413,6-1-183,-5 1-155,10 0 32,-4 5 417,5 1-182,0 5-118,0 6-28,5-4-124,2 9 103,9-4-81,-2 5-450,8 6 262,-9 0-53,9 6-226,-4 0 178,6 0-1,-1 0 101,-4 0 82,3 6-122,-4 0 95,6 6-146,-6 0 655,-1 5-270,-5-4 19,-6 4 254,5 0-232,-10-4-71,4 4 67,-5 0-139,0-4 11,-5 4 55,4 0-741,-10-4 334,5 4 153,-11-6 18,4 1-1044,-4-5 497,0 3 291,4-3 50,-10-1-537,10 0 217,-4-6 205,6 0-1149,-6 0 616,4 0 232,-4-6-438,10 0 398,-3-11 146,8-2 54,-8-4-84,9-6 142,-5-1-1,6-5 142,6 0 213,0-6 4,6-1 0,5 0-351,-4-3 351,9 3 0,-9 0 0,9-4 442,-9 5-435,10-1-101,-10 6 1224,4 3-499,-6 13-178,1-8-215,0 15 787,0 2-3,-6 5-603,5 6 178,-5 0 97,1 6-239,3 5 0,-8 8-238,8 9 475,-9 3-184,5 4-53,-1 5 15,-4 2-560,4 5 307,1 0-129,-5 0 183,4 0-54,-5 6 0,0-5-303,0 4 151,0-5 0,0-5 207,0-2-772,0-4 352,0-6 83,0-7 0,0-6-1050,0-10 589,0-2 470,5-5-767,-3 0 268,8-10 232,-3-3-456,-1-11 245,5-5 126,-5-1-1,6-10-25,0 3 217,-1-3 0,1 4-55,0-4 459,0 3-202,-1 2 0,-4 6-202,3 6 722,-8 4-401,8 2-30,-9 6 244,10 4-122,-10 2-145,4 5 763,-5 5-408,6 7-91,-5 1-139,4 9 569,-5-4-312,5 1-76,-3 3 38,3-4 61,-5 6 0,5-1-170,-4 1-504,5-1 224,-1-4 54,-4 3-614,10-4 357,-10 0 163,9-1 0,-3-5-225,5 0 167,0 0 13,-1-1-1,1-4-874,5-2 460,-4-5 101,9 0 170,-9-5-569,10-7 314,-5-1 52,0-9-1,-1-2-89,-5 0 55,5-5 243,-9 11 547,7-5-274,-13 10-135,3-4 561,-5 6-317,0-1-141,0 5-1,-5-3 2054,3 9-1040,-8-5-359,3 12-321,-4 0 956,-1 6-548,0 0-273,6-1-137,-5 6-330,10-4-55,-4 4-980,5-5 614,0 0 307,0 0 154,0-6-1076,0 5 557,0-5 172,0 1 180,5-2-464,-4-5 261,10 0-139,-10 0-82,9 0 143,-8-5 1,8 3 122,-3-8 44,-1 3-147,5-4 147,-5-1 0,6 5 149,-6-3 1,5 3-150,-5 1 349,1-5-118,3 10 1,-3-4-161,5 5 185,-6 0 0,5 0-186,-5 0 67,6 0 489,0 0-203,-6 5-142,5 2 376,-5 4-231,1 6-44,3-4 921,-3 4-464,-1-5-263,0 5-39,-1-4 2,-4 4 55,4-5-201,-5 0 105,0-1-256,0 1 134,0-5 53,6 3 32,-5-8-985,4 3 434,-5-5 233,0 0 98,0-5-395,0-2 156,0-5 138,5 0-569,-3 1 311,3-6 55,0 4-103,2-10 114,-1 10 1,5-9 106,-10 9 250,9-4-40,-8 11-161,8-5 11,-3 10 357,-1-4-158,5 5-1,-10 0-227,9 5 826,-8 1-321,8 6-194,-3 5 104,4-4-244,1 9 148,0-9 226,0 10-118,-1-10 1,1 4-89,0-6-244,0 1 48,5 0 116,-4 0-8,9 0 232,-9-1-44,4-4-187,0-2-34,-4-5-603,9 0 273,-14 0 159,8 0-62,-10-5 0,6-2 173,-5-4-178,3-1 118,-9-5 43,5 4 22,-6-10 142,0 10-172,0-4 8,0 0-32,0 4 144,0 2-135,-6 0 20,5 10 421,-9-4-191,8 5 32,-3 0-332,5 0 139,-5 5 6,4 1 11,-5 11 186,6-4-181,6 10-15,-5-10 32,9 4 44,-3 0-65,5 1 1,5 0-1,1-1 401,5-5-188,1 0 29,5 0-529,1-6 158,0-1 0,4-5 147,-4 0-340,5 0 190,-5-5-26,4-1-1374,-9-6 722,4-5 360,-6 4 356,1-9 0,-11-12 0,-3-10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26.387"/>
    </inkml:context>
    <inkml:brush xml:id="br0">
      <inkml:brushProperty name="width" value="0.06" units="cm"/>
      <inkml:brushProperty name="height" value="0.06" units="cm"/>
    </inkml:brush>
  </inkml:definitions>
  <inkml:trace contextRef="#ctx0" brushRef="#br0">577 565 7863,'-1'7'0,"-3"-3"781,2-3-478,-3-1-240,0 0 0,4 0 2030,-5 0-967,1 0-457,4-5-73,-4-7-192,-1-1 1,0-9 31,-6 9-53,0-15-170,-5 9 0,4-10 204,-9 0 0,4-1-151,-11 0-53,-1-9 146,-5 8-513,-1-5 367,1 2 0,-5 4 51,3 0-51,-9-4 0,15 10 0,-8 0 189,19 7-1,-7 5-135,19 6-305,-8-5-1,15 10 253,-4-4-524,5 5 37,0 0 265,5 0 22,1 0-309,11 0 140,-4 0 1,15 0 66,-9 0-449,15-5 177,-3 3 166,4-3-85,0 5 123,0 0-76,1 0 89,-1 0 211,0 0-185,-5 0-16,4 0 302,-14 5-116,7-3-22,-14 8-21,4-3 95,-10 9 29,-2-2-176,-5 3 55,0 0-69,-10 1 60,-3 5-24,-6 6 27,-8-4-545,7 4 239,-14-1-13,9 2 31,-9 6-268,4-6 416,0 4 330,2-4-52,4 0-241,1-1-54,4-6 423,2 1-176,11-6 0,1-1-171,5-5 314,0-1-232,5-4-56,1 3-129,11-8 0,-4 3 212,10-5-396,-5 0 162,5-5 0,1-2 131,5-5-429,-5 1 150,5-6 25,0 4 109,-4-10-802,9 10 371,-9-9 224,3 9 12,1-4-1171,-4 5 684,4 1 896,-6-1 0,1 10 0,-1 4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27.546"/>
    </inkml:context>
    <inkml:brush xml:id="br0">
      <inkml:brushProperty name="width" value="0.06" units="cm"/>
      <inkml:brushProperty name="height" value="0.06" units="cm"/>
    </inkml:brush>
  </inkml:definitions>
  <inkml:trace contextRef="#ctx0" brushRef="#br0">212 201 7881,'0'-8'-105,"0"0"-183,0-1 213,0 3 545,0-4-276,0 3 1,0-4 263,0-1 0,0 0-243,0 0 53,0 1 78,0-1-131,0 0 0,0 0-1,0 1 86,0-1-32,-5 0-53,3 6 0,-8-5 64,3 10-64,-4-4 0,-1 5-108,0 5-54,-5 1 161,4 11 1,-9 2-439,9 4 208,-4 6-18,0 1-205,4 5 163,-4 1 1,5-1 129,5 0-127,2 0-69,5 1 217,0-1-139,0-5-415,5-1 191,2-6 143,10-4-501,1-2 300,6-11 92,-1-1 0,6-5-84,-4 0-1,4-5 108,-1-1-129,-3-6 170,9-5 26,-9 4-64,4-10-10,-6 10-27,-5-9 77,5 4-11,-10 0 208,4 1-186,-5 5-53,-1-5 380,1 4-155,-5-4 27,3 5 312,-9 0-212,5 1-29,-6-1-150,0 0 554,0 0-241,0 1-147,0 4 106,0-3 355,-6 8-225,5-3-145,-9 5 126,8 0-62,-8 0 111,8 0-225,-8 0 186,9 5-180,-10 2 82,10 5-233,-4-1 189,0 1 27,3 0-28,-8 0-251,8-1-7,-3 1 227,5 0-31,0 5-419,0-4 167,-5 4-1,4-5 158,-5-6-320,6 5 132,0-5 15,6 1-499,-5 3 311,9-9 91,-3 5 6,5-6 5,0-6-124,-1 5 241,6-9-269,-4 3 207,4-5 37,0 6-62,-4-5-152,4 10 39,0-9 150,-4 8-211,4-3 206,0 5 14,-4 0-43,4 0-156,-5 5 346,0-3 0,0 8 0,5-9 0,-4 10 0,4-10 0,-6 10 0,1-5 0,0 1 0,0 3 0,-6-3-215,5-1 215,-10 5 0,10-10 0,-10 9 597,4-8-286,-5 3-83,0-5 1457,0 0-1308,0-5-226,0-2 177,0-10-151,5 4 62,-3-9-2,3 4-304,0-6 255,2 1-8,4-1-142,1-5-72,0 5 40,5-5 113,1 5-397,0 6 175,5 1 1,-5 5-1168,5 0 646,1 6 238,5 1 386,1 5 0,26 21 0,5 5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27.971"/>
    </inkml:context>
    <inkml:brush xml:id="br0">
      <inkml:brushProperty name="width" value="0.06" units="cm"/>
      <inkml:brushProperty name="height" value="0.06" units="cm"/>
    </inkml:brush>
  </inkml:definitions>
  <inkml:trace contextRef="#ctx0" brushRef="#br0">71 35 7881,'-12'6'0,"0"-5"0,0 4 1157,1 0-471,4-3-235,-3 8-43,8-3-53,-3 4-141,5 1 1,0 0-215,0 5 215,0-4 53,0 9-53,0-4-286,5 6 140,2-6 0,10 4 142,-4-8-840,4 3 368,0-6 201,-4-4-1193,9 3 636,-9-8 195,4 3-630,-5-5 416,5-5 246,-4-2 21,-1-5-113,-2-5 482,-9-1 0,10-6 0,-10 1 0,4 5 0,-5-5 0,0 5 0,0 0 0,-5-4 0,4 9 0,-36-31 0,-2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28.463"/>
    </inkml:context>
    <inkml:brush xml:id="br0">
      <inkml:brushProperty name="width" value="0.06" units="cm"/>
      <inkml:brushProperty name="height" value="0.06" units="cm"/>
    </inkml:brush>
  </inkml:definitions>
  <inkml:trace contextRef="#ctx0" brushRef="#br0">106 153 7881,'-1'12'0,"-3"-1"-397,2-4 256,-3 3 30,5-8 228,0 8-271,0-8 242,0 3-1,0-5-1380,0 0 1135,0-5 1,-5 3 318,4-8-200,-5-2-1,6-1 1,-5-4 813,4 0-391,-4 4-192,-1-4 830,0 0-447,-1 4-243,-3-4-42,9 5-1,-10 0 49,10 6-165,-10-5-514,5 5 267,-1-1 109,2 2 180,5 5-713,0 0 0,21 47 1,5 12-1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30.023"/>
    </inkml:context>
    <inkml:brush xml:id="br0">
      <inkml:brushProperty name="width" value="0.06" units="cm"/>
      <inkml:brushProperty name="height" value="0.06" units="cm"/>
    </inkml:brush>
  </inkml:definitions>
  <inkml:trace contextRef="#ctx0" brushRef="#br0">1 130 7881,'0'12'152,"0"0"605,0 0-543,0-1 55,0 1 183,0 5 1,0-4-238,0 4-1,0 0-271,0-4 189,5 4-53,-4 0-397,10-4 267,-10-1 0,4-2-324,0-3 294,-3 0-35,8 3 259,-9-9-305,5 5 138,-6-6-128,5 0-10,-4-6-74,4 0 0,-5-6 103,6-5 105,-5 4-234,4-9 171,-5 3 37,5-4 278,-3-1 0,8 6-268,-8-4 11,3 9 459,0-9-214,-4 9 46,5-4-74,-1 5-1,-4 0-107,4 0 42,1 6-92,-5 1 104,4 5-52,0 0 108,-3 0-178,3 5 136,0 1-47,-4 11 4,10-4-201,-10 10-37,10-5 230,-10 5-261,9 1 0,-8-6 179,8 4-287,-9-9 133,10 10 4,-10-10 118,10 4-149,-5-6-46,1-4 197,3 3-92,-3-8 104,4 3-97,1-5 45,0 0-235,0-5 0,-1-7 181,1-1-5,0-9 223,5 3-192,-4 1-2,4-4 747,-5 4-337,0-1-189,-1 2 62,1 0 242,-5 4-175,3-4-1,-9 6-129,5-1 217,-6 5-91,0-3 0,0 9 267,0-10-180,0 10 105,0-4-380,-6 5 168,0 0-31,-1 0 39,-3 0-338,3 0 135,1 0 48,-5 5 67,5-4-397,-1 10 181,-3-10-1,8 9 156,-3-3-115,5-1-122,0 5 240,0-10-137,0 10-353,0-10 162,5 9-98,-3-8 133,8 8 0,-3-9 106,10 10 158,-4-5-134,9 1 8,-4 3-27,6-3 1183,-1 10-536,1-4-277,-1 9-107,1-4 755,5 6-361,-5-1-236,0 1 34,-7 0 1142,0-1-596,-9 1-379,7-6-506,-13 4 1,8-14 180,-8 8-149,3-15 204,-10 4-54,3 0-1,-8-3-809,3 3 404,-10-5 203,4 0 54,-9-5-1798,9 3 885,-9-8 443,9 3 28,-10-4-910,10-6 344,-9 4 240,9-4-1066,-4 0 777,5 3 388,6-8-506,1 4 393,-1 0 278,5-5 0,-4 10 65,10-9 1,-4 9 157,10-4-53,-5 0 601,11 4-274,-4-4-136,4 11 462,-5-5-299,0 10-205,0-10 1406,-1 10-702,-4-4-157,3 5-237,-3 0 1067,-1 0-536,5 0-134,-5 5-200,1 2 36,3 4-1,-8 6-208,8-4 54,-9 10-37,10-10-18,-10 9 1,10-9-544,-10 9 271,9-9 190,-3 4-447,5-5 254,-6 0 49,5 0 0,-5-1-866,6-4 479,0-2 118,0-5 150,-1 0-265,1-10 168,0 2-34,-6-14 24,5 3 498,-5-4-182,1-1-73,3 1 655,-8-1-359,3 1-172,-5-1 323,0 1-227,0 4-25,0-3 0,0 9 28,0-4-139,0 5 146,0 6-116,-5 1-932,3 5 448,-3 0 237,5 0-21,5 0-852,-3 0 488,8 5 157,-3 1-477,4 11 238,1 2 237,0 4-54,0 1-29,-1-1 226,6 6 0,-4-4 197,4 9 54,0-4-251,-3 0 0,3-1 464,-6-6-230,1-5-95,0 5 47,0-10 471,-1-2-279,1-5-56,-5-6 765,-2-6-396,-5 0-240,0-11 946,0-1-543,0-11-212,0 4-151,0-9 475,0 9-304,0-9-55,0 9 1,0-9 72,0 10-250,0-5 53,0 5-53,0-4-424,0 8 212,0-7 0,5 13 212,2-3-887,-1 11 417,5-5 138,-5 10-1067,6-4 531,0 5 342,-1 0-324,6 0 144,-4 0 187,4 5 0,-5-4 146,0 10-198,-6-5 148,5 1-43,-5 3 582,1-3-256,3 5 0,-8 0-206,3-1 861,-5 6-334,0 2-233,0-1 563,0 4-353,0-4-71,0 6 164,0-1-142,0 1-1,0-1-108,-5 1-314,3-1 344,-3-4-92,5 3 82,0-9-842,5-1 351,-3-2 186,8-8-70,-9 3-348,10-5 198,-5 0 155,6-11 133,0 3-18,0-8-117,0-1 469,-6-2-195,5-4-1,-5 4-184,1-3 236,3 9 51,-9 1-241,5 2 155,-1 3 397,-4 1-159,4 1-148,-5 5 178,0 0-289,6 0 74,-5 0-347,4 5 11,-5 1 267,5 6 23,-3 5-671,3-4 285,0 4 154,-4 0-53,10-4-41,-10 9 57,10-8-7,-10 3-47,9-6-706,-8 1 320,8 0 230,-3 0-711,4-6 449,-4 5 115,3-5-800,-3 1 526,5-2 263,-6-5-53,5 0-126,-5-5 656,6-2 0,10-52 0,3-11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01T22:34:30.781"/>
    </inkml:context>
    <inkml:brush xml:id="br0">
      <inkml:brushProperty name="width" value="0.06" units="cm"/>
      <inkml:brushProperty name="height" value="0.06" units="cm"/>
    </inkml:brush>
  </inkml:definitions>
  <inkml:trace contextRef="#ctx0" brushRef="#br0">0 106 7865,'0'-7'0,"0"2"1235,0 5 3425,0 0-4393,0 5-98,0-3 45,0 3-1,0 0-383,0-4 191,0 10 54,5-10 138,-3 4-589,3 1 294,-5-5 148,5 9-35,-3-8-839,8 3 428,-9-5 220,10 0-14,-10 0-59,10 0 49,-5 0-125,6 0 459,0-5-280,-1-2 53,1 1 343,0-5-166,0 5 0,-1-6-154,1 5 497,0-3-225,0 9-70,-6-10 0,5 10 344,-5-4-220,6 5-17,-6 5-22,0 1-237,-1 6 121,-4 0 81,10 0-454,-10 5 194,4-4-1,0 4-564,-3-6 349,8 1 114,-9 0 0,10 0-503,-10-6 309,10-1 64,-10 1-21,9-5 455,-3 4-259,5-5-115,-6 0 90,5-5 171,-5-2-34,6-10-97,0 4 140,0-9 68,-1 9-206,1-9 385,-5 9-187,3-9 79,-3 9-222,-1-4 550,-1 5-251,-5 0-87,0 6 5,0-5 940,0 10-503,0-4-190,0 10-145,-5 1 495,-1 11-228,-1-4-170,-3 10-156,8-5 0,-8 5 1,9 1-845,-5-6 475,6 4 158,0-3-1,6-1-376,0 4 268,6-9 28,5 4 31,1-5-564,6-5 312,-1-2 43,6-5 0,1 0 819,5 0-311,1 0-113,-1-5 570,0-2-340,-5-5-179,4-5 100,-9 4-218,4-4 222,-6 5-193,1 1-770,-6-1 381,-1 0 259,0 0 30,-4 1-1403,4-1 701,-10 5 254,-2-3 208,-5 9-741,0-5 244,0 6 441,0 0 293,-5 0 261,3 0-227,-3 6 207,5-5 0,0 5 1094,0-2-997,0-2 38,0 3 29,0-5-137,0 0-117,0 5 194,0-4 1,0 5-118,5-6 266,-3 0-297,8 0 2,-3 0-8,-1 0-174,5 0-17,-5 0 234,1 0-78,3 0-374,-3 0 187,-1 0 0,5 0 213,-5 0-996,6 0 392,0 5 248,-1-4-122,1 10 151,5-10-9,1 9 681,6-8-300,-1 3-1,1-5-290,5 0 269,1 0 19,10-5-227,-3-2 74,9-10-1229,-5-1 154,6-6 1007,0 1 0,-3 1 0,-1-3 0,1-4 0,2-1 0</inkml:trace>
</inkm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1"/>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en-US</v>
    <v>bo8l6h</v>
    <v>268435456</v>
    <v>1</v>
    <v>Powered by Refinitiv</v>
    <v>0</v>
    <v>BTC/USD</v>
    <v>2</v>
    <v>3</v>
    <v>Finance</v>
    <v>4</v>
    <v>126223.18</v>
    <v>74445.789999999994</v>
    <v>-262.52999999999997</v>
    <v>-3.1099999999999999E-3</v>
    <v>USD</v>
    <v>BTC</v>
    <v>79322.84</v>
    <v>Currency Pair</v>
    <v>46054.289699074077</v>
    <v>77921.789999999994</v>
    <v>Bitcoin/US Dollar FX Spot Rate</v>
    <v>78250.58</v>
    <v>84402.84</v>
    <v>78338</v>
    <v>BTCUSD</v>
    <v>BTC/USD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NumberFormat" t="s"/>
    <rPr n="IsTitleField" t="b"/>
  </richProperties>
  <richStyles>
    <rSty dxfid="1">
      <rpv i="0">_([$$-en-US]* #,##0.00_);_([$$-en-US]* (#,##0.00);_([$$-en-US]* "-"??_);_(@_)</rpv>
    </rSty>
    <rSty>
      <rpv i="1">1</rpv>
    </rSty>
    <rSty dxfid="3"/>
    <rSty dxfid="2"/>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56C8E0-3018-4F45-97B1-CC2DF31F95C5}">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vmlDrawing" Target="../drawings/vmlDrawing6.vml"/><Relationship Id="rId7" Type="http://schemas.openxmlformats.org/officeDocument/2006/relationships/image" Target="../media/image2.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F9EF-750F-49D8-A202-3C014526ADAD}">
  <sheetPr codeName="Sheet1">
    <tabColor rgb="FFD31717"/>
    <pageSetUpPr fitToPage="1"/>
  </sheetPr>
  <dimension ref="A1:AF42"/>
  <sheetViews>
    <sheetView showGridLines="0" showRuler="0" showWhiteSpace="0" view="pageLayout" zoomScale="70" zoomScaleNormal="77" zoomScalePageLayoutView="70" workbookViewId="0">
      <selection activeCell="J2" sqref="J2:K2"/>
    </sheetView>
  </sheetViews>
  <sheetFormatPr defaultRowHeight="15"/>
  <cols>
    <col min="1" max="9" width="9.28515625" customWidth="1"/>
    <col min="10" max="10" width="9.140625" customWidth="1"/>
    <col min="12" max="12" width="11.5703125" bestFit="1" customWidth="1"/>
    <col min="13" max="13" width="11.5703125" customWidth="1"/>
    <col min="14" max="14" width="15.28515625" customWidth="1"/>
    <col min="15" max="15" width="9.140625" customWidth="1"/>
    <col min="19" max="20" width="9.140625" customWidth="1"/>
    <col min="23" max="23" width="11.5703125" bestFit="1" customWidth="1"/>
    <col min="24" max="24" width="10.5703125" bestFit="1" customWidth="1"/>
  </cols>
  <sheetData>
    <row r="1" spans="1:32">
      <c r="B1" s="446" t="s">
        <v>5</v>
      </c>
      <c r="C1" s="446"/>
      <c r="D1" s="446" t="s">
        <v>532</v>
      </c>
      <c r="E1" s="446"/>
      <c r="F1" s="446" t="s">
        <v>36</v>
      </c>
      <c r="G1" s="446"/>
      <c r="H1" s="446" t="s">
        <v>379</v>
      </c>
      <c r="I1" s="446"/>
      <c r="J1" s="446" t="s">
        <v>255</v>
      </c>
      <c r="K1" s="446"/>
      <c r="W1" s="446" t="s">
        <v>259</v>
      </c>
      <c r="X1" s="446"/>
      <c r="Y1" s="446" t="s">
        <v>251</v>
      </c>
      <c r="Z1" s="446"/>
      <c r="AA1" s="446" t="s">
        <v>154</v>
      </c>
      <c r="AB1" s="446"/>
      <c r="AE1" s="8" t="s">
        <v>258</v>
      </c>
      <c r="AF1" s="119"/>
    </row>
    <row r="2" spans="1:32">
      <c r="A2" t="s">
        <v>531</v>
      </c>
      <c r="B2" s="449">
        <f ca="1">'Data Analysis'!K58</f>
        <v>3160.6220632655213</v>
      </c>
      <c r="C2" s="449"/>
      <c r="D2" s="447">
        <f ca="1">'Data Analysis'!AJ58</f>
        <v>88.939127462630495</v>
      </c>
      <c r="E2" s="447"/>
      <c r="F2" s="447">
        <f ca="1">'Data Analysis'!AG58</f>
        <v>17.759999999999764</v>
      </c>
      <c r="G2" s="447"/>
      <c r="H2" s="447">
        <f ca="1">'Data Analysis'!R58</f>
        <v>3347.6808725373694</v>
      </c>
      <c r="I2" s="448"/>
      <c r="J2" s="448"/>
      <c r="K2" s="448"/>
      <c r="V2" s="8" t="s">
        <v>256</v>
      </c>
      <c r="W2" s="447">
        <f>'Student Loans'!X3</f>
        <v>23664.19</v>
      </c>
      <c r="X2" s="447"/>
      <c r="Y2" s="454">
        <f>'Student Loans'!D16</f>
        <v>51631.54</v>
      </c>
      <c r="Z2" s="454"/>
      <c r="AA2" s="454">
        <f>'Student Loans'!E16</f>
        <v>8994</v>
      </c>
      <c r="AB2" s="454"/>
      <c r="AC2" s="1" t="s">
        <v>179</v>
      </c>
      <c r="AD2" s="1" t="s">
        <v>178</v>
      </c>
      <c r="AE2" s="1" t="s">
        <v>189</v>
      </c>
      <c r="AF2" s="1" t="s">
        <v>190</v>
      </c>
    </row>
    <row r="3" spans="1:32">
      <c r="A3" t="s">
        <v>530</v>
      </c>
      <c r="B3" s="449">
        <f ca="1">'Data Analysis'!K57</f>
        <v>3071.6829358028908</v>
      </c>
      <c r="C3" s="449"/>
      <c r="D3" s="447">
        <f ca="1">'Data Analysis'!AJ57</f>
        <v>84.860791092168256</v>
      </c>
      <c r="E3" s="447"/>
      <c r="F3" s="447">
        <f ca="1">'Data Analysis'!AG57</f>
        <v>-123.11000000000013</v>
      </c>
      <c r="G3" s="447"/>
      <c r="H3" s="447">
        <f ca="1">'Data Analysis'!R57</f>
        <v>2825.5992089078318</v>
      </c>
      <c r="I3" s="448"/>
      <c r="J3" s="448"/>
      <c r="K3" s="448"/>
      <c r="V3" s="8" t="s">
        <v>710</v>
      </c>
      <c r="W3" s="447">
        <f>Y3-Y2</f>
        <v>-4055.0150576617598</v>
      </c>
      <c r="X3" s="447"/>
      <c r="Y3" s="454">
        <f>'Student Loans'!D17</f>
        <v>47576.524942338241</v>
      </c>
      <c r="Z3" s="454"/>
      <c r="AA3" s="454">
        <f>'Student Loans'!E17</f>
        <v>4938.9849423382375</v>
      </c>
      <c r="AB3" s="454"/>
      <c r="AC3" s="6">
        <f>Gas!N3</f>
        <v>4.4404005697793307</v>
      </c>
      <c r="AD3" s="106">
        <f>Gas!O3</f>
        <v>25.4612850058991</v>
      </c>
      <c r="AE3" s="106">
        <f>Gas!P3</f>
        <v>6.0694424415757968</v>
      </c>
      <c r="AF3" s="6">
        <f>Gas!Q3</f>
        <v>0.17521120326652137</v>
      </c>
    </row>
    <row r="4" spans="1:32">
      <c r="B4" s="271"/>
      <c r="C4" s="271"/>
      <c r="D4" s="6"/>
      <c r="E4" s="6"/>
      <c r="F4" s="6"/>
      <c r="G4" s="6"/>
      <c r="H4" s="6"/>
      <c r="I4" s="6"/>
    </row>
    <row r="40" spans="24:31">
      <c r="X40" s="452"/>
      <c r="Y40" s="452"/>
      <c r="Z40" s="453"/>
      <c r="AA40" s="453"/>
    </row>
    <row r="41" spans="24:31">
      <c r="Y41" s="8"/>
      <c r="Z41" s="450"/>
      <c r="AA41" s="450"/>
      <c r="AB41" s="450"/>
      <c r="AC41" s="450"/>
      <c r="AD41" s="451"/>
      <c r="AE41" s="451"/>
    </row>
    <row r="42" spans="24:31">
      <c r="Y42" s="8"/>
      <c r="Z42" s="450"/>
      <c r="AA42" s="450"/>
      <c r="AB42" s="450"/>
      <c r="AC42" s="450"/>
      <c r="AD42" s="451"/>
      <c r="AE42" s="451"/>
    </row>
  </sheetData>
  <mergeCells count="32">
    <mergeCell ref="W1:X1"/>
    <mergeCell ref="W2:X2"/>
    <mergeCell ref="W3:X3"/>
    <mergeCell ref="AA1:AB1"/>
    <mergeCell ref="AA2:AB2"/>
    <mergeCell ref="AA3:AB3"/>
    <mergeCell ref="Y1:Z1"/>
    <mergeCell ref="Y2:Z2"/>
    <mergeCell ref="Y3:Z3"/>
    <mergeCell ref="Z42:AA42"/>
    <mergeCell ref="AB42:AC42"/>
    <mergeCell ref="AD42:AE42"/>
    <mergeCell ref="X40:Y40"/>
    <mergeCell ref="Z40:AA40"/>
    <mergeCell ref="Z41:AA41"/>
    <mergeCell ref="AB41:AC41"/>
    <mergeCell ref="AD41:AE41"/>
    <mergeCell ref="D3:E3"/>
    <mergeCell ref="B3:C3"/>
    <mergeCell ref="D1:E1"/>
    <mergeCell ref="B1:C1"/>
    <mergeCell ref="B2:C2"/>
    <mergeCell ref="D2:E2"/>
    <mergeCell ref="J1:K1"/>
    <mergeCell ref="H3:I3"/>
    <mergeCell ref="F1:G1"/>
    <mergeCell ref="F3:G3"/>
    <mergeCell ref="H1:I1"/>
    <mergeCell ref="J2:K2"/>
    <mergeCell ref="J3:K3"/>
    <mergeCell ref="F2:G2"/>
    <mergeCell ref="H2:I2"/>
  </mergeCells>
  <pageMargins left="0.7" right="0.7" top="0.75" bottom="0.75" header="0.3" footer="0.3"/>
  <pageSetup scale="83" fitToWidth="0" orientation="portrait" r:id="rId1"/>
  <headerFooter>
    <oddHeader xml:space="preserve">&amp;LCREAM Dashboard&amp;Ras of October 2024   </oddHeader>
    <oddFooter>&amp;CCREAM_v16</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6F21-FCB8-4415-9CCA-F232413BF589}">
  <sheetPr codeName="Sheet2">
    <tabColor rgb="FFFFFF00"/>
  </sheetPr>
  <dimension ref="A1:AP1835"/>
  <sheetViews>
    <sheetView tabSelected="1" topLeftCell="A832" zoomScale="85" zoomScaleNormal="85" workbookViewId="0">
      <selection activeCell="C832" sqref="C832"/>
    </sheetView>
  </sheetViews>
  <sheetFormatPr defaultColWidth="8.85546875" defaultRowHeight="15"/>
  <cols>
    <col min="1" max="1" width="9.7109375" bestFit="1" customWidth="1"/>
    <col min="2" max="2" width="13.42578125" customWidth="1"/>
    <col min="3" max="3" width="12.140625" customWidth="1"/>
    <col min="4" max="5" width="14.28515625" customWidth="1"/>
    <col min="6" max="8" width="11.42578125" customWidth="1"/>
    <col min="9" max="9" width="11.28515625" bestFit="1" customWidth="1"/>
    <col min="10" max="11" width="11.42578125" customWidth="1"/>
    <col min="12" max="12" width="12" bestFit="1" customWidth="1"/>
    <col min="13" max="13" width="11.28515625" bestFit="1" customWidth="1"/>
    <col min="14" max="14" width="13.140625" customWidth="1"/>
    <col min="15" max="15" width="12.140625" bestFit="1" customWidth="1"/>
    <col min="16" max="16" width="14.5703125" customWidth="1"/>
    <col min="17" max="17" width="13.7109375" bestFit="1" customWidth="1"/>
    <col min="18" max="18" width="16.28515625" bestFit="1" customWidth="1"/>
    <col min="19" max="19" width="11" bestFit="1" customWidth="1"/>
    <col min="20" max="20" width="9.28515625" customWidth="1"/>
    <col min="21" max="21" width="10" customWidth="1"/>
    <col min="22" max="22" width="9.28515625" customWidth="1"/>
    <col min="23" max="23" width="12.140625" customWidth="1"/>
    <col min="24" max="24" width="12.140625" bestFit="1" customWidth="1"/>
    <col min="25" max="25" width="12.28515625" bestFit="1" customWidth="1"/>
    <col min="26" max="26" width="11.28515625" bestFit="1" customWidth="1"/>
    <col min="27" max="27" width="12.140625" bestFit="1" customWidth="1"/>
    <col min="28" max="28" width="10.85546875" bestFit="1" customWidth="1"/>
    <col min="29" max="29" width="11.140625" bestFit="1" customWidth="1"/>
    <col min="30" max="31" width="12.140625" bestFit="1" customWidth="1"/>
    <col min="32" max="34" width="11.140625" bestFit="1" customWidth="1"/>
    <col min="35" max="35" width="10.85546875" bestFit="1" customWidth="1"/>
    <col min="36" max="36" width="9.5703125" bestFit="1" customWidth="1"/>
    <col min="37" max="37" width="9.28515625" customWidth="1"/>
    <col min="38" max="38" width="10.85546875" bestFit="1" customWidth="1"/>
    <col min="39" max="39" width="10" bestFit="1" customWidth="1"/>
    <col min="40" max="40" width="10.140625" bestFit="1" customWidth="1"/>
    <col min="41" max="41" width="9.42578125" bestFit="1" customWidth="1"/>
    <col min="42" max="43" width="11.140625" bestFit="1" customWidth="1"/>
    <col min="44" max="44" width="13.5703125" bestFit="1" customWidth="1"/>
    <col min="45" max="45" width="9.5703125" bestFit="1" customWidth="1"/>
    <col min="46" max="46" width="10.140625" bestFit="1" customWidth="1"/>
    <col min="47" max="48" width="9.5703125" bestFit="1" customWidth="1"/>
    <col min="53" max="53" width="11" bestFit="1" customWidth="1"/>
  </cols>
  <sheetData>
    <row r="1" spans="1:28" ht="15.75" thickBot="1"/>
    <row r="2" spans="1:28" ht="16.5" thickBot="1">
      <c r="A2" s="103">
        <v>2020</v>
      </c>
      <c r="B2" s="3"/>
      <c r="C2" s="516" t="s">
        <v>42</v>
      </c>
      <c r="D2" s="517"/>
      <c r="E2" s="518"/>
      <c r="F2" s="312" t="s">
        <v>41</v>
      </c>
      <c r="G2" s="313"/>
      <c r="H2" s="313"/>
      <c r="I2" s="313"/>
      <c r="J2" s="313"/>
      <c r="K2" s="313"/>
      <c r="L2" s="313"/>
      <c r="M2" s="313"/>
      <c r="N2" s="314"/>
    </row>
    <row r="3" spans="1:28" ht="16.5" thickTop="1" thickBot="1">
      <c r="A3" s="14" t="s">
        <v>31</v>
      </c>
      <c r="B3" s="107">
        <v>43952</v>
      </c>
      <c r="C3" s="25"/>
      <c r="D3" s="494"/>
      <c r="E3" s="495"/>
      <c r="F3" s="519" t="s">
        <v>3</v>
      </c>
      <c r="G3" s="520"/>
      <c r="H3" s="521"/>
      <c r="I3" s="521" t="s">
        <v>4</v>
      </c>
      <c r="J3" s="521"/>
      <c r="K3" s="521"/>
      <c r="L3" s="74" t="s">
        <v>325</v>
      </c>
      <c r="M3" s="74" t="s">
        <v>324</v>
      </c>
      <c r="N3" s="148" t="s">
        <v>317</v>
      </c>
    </row>
    <row r="4" spans="1:28" ht="15.75" thickBot="1">
      <c r="B4" s="26"/>
      <c r="C4" s="25"/>
      <c r="D4" s="462"/>
      <c r="E4" s="463"/>
      <c r="F4" s="22"/>
      <c r="G4" s="513"/>
      <c r="H4" s="514"/>
      <c r="I4" s="23"/>
      <c r="J4" s="513"/>
      <c r="K4" s="514"/>
      <c r="L4" s="75"/>
      <c r="M4" s="142"/>
      <c r="N4" s="139"/>
    </row>
    <row r="5" spans="1:28" ht="15.75" thickBot="1">
      <c r="B5" s="26"/>
      <c r="C5" s="25"/>
      <c r="D5" s="462"/>
      <c r="E5" s="463"/>
      <c r="F5" s="15">
        <v>240</v>
      </c>
      <c r="G5" s="448" t="s">
        <v>8</v>
      </c>
      <c r="H5" s="505"/>
      <c r="I5" s="20">
        <v>205</v>
      </c>
      <c r="J5" s="448" t="s">
        <v>10</v>
      </c>
      <c r="K5" s="505"/>
      <c r="L5" s="76"/>
      <c r="N5" s="149"/>
      <c r="O5" s="48" t="s">
        <v>36</v>
      </c>
      <c r="P5" s="52" t="s">
        <v>37</v>
      </c>
      <c r="Q5" s="51" t="s">
        <v>38</v>
      </c>
      <c r="R5" s="50"/>
      <c r="S5" s="50"/>
      <c r="T5" s="50"/>
      <c r="U5" s="4" t="s">
        <v>39</v>
      </c>
      <c r="V5" s="95"/>
      <c r="W5" s="55" t="s">
        <v>37</v>
      </c>
      <c r="X5" s="49" t="s">
        <v>36</v>
      </c>
      <c r="Y5" s="45"/>
      <c r="Z5" s="4" t="s">
        <v>13</v>
      </c>
      <c r="AA5" s="46"/>
      <c r="AB5" s="4" t="s">
        <v>14</v>
      </c>
    </row>
    <row r="6" spans="1:28" ht="15.75" thickTop="1">
      <c r="B6" s="27">
        <v>43959</v>
      </c>
      <c r="C6" s="25">
        <v>505.71</v>
      </c>
      <c r="D6" s="448" t="s">
        <v>7</v>
      </c>
      <c r="E6" s="469"/>
      <c r="F6" s="15">
        <v>120</v>
      </c>
      <c r="G6" s="448" t="s">
        <v>9</v>
      </c>
      <c r="H6" s="505"/>
      <c r="I6" s="20">
        <v>9.99</v>
      </c>
      <c r="J6" s="448" t="s">
        <v>22</v>
      </c>
      <c r="K6" s="505"/>
      <c r="L6" s="76"/>
      <c r="N6" s="149"/>
      <c r="O6" s="37"/>
      <c r="P6" s="12"/>
      <c r="Q6" s="60">
        <f>U6</f>
        <v>104.64</v>
      </c>
      <c r="R6" s="39" t="s">
        <v>12</v>
      </c>
      <c r="S6" s="39"/>
      <c r="T6" s="39"/>
      <c r="U6" s="58">
        <f>AB6+Z6</f>
        <v>104.64</v>
      </c>
      <c r="V6" s="283"/>
      <c r="W6" s="47"/>
      <c r="X6" s="38"/>
      <c r="Y6" s="43" t="s">
        <v>17</v>
      </c>
      <c r="Z6" s="44">
        <v>21</v>
      </c>
      <c r="AA6" s="11" t="s">
        <v>15</v>
      </c>
      <c r="AB6" s="12">
        <v>83.64</v>
      </c>
    </row>
    <row r="7" spans="1:28" ht="15.75" thickBot="1">
      <c r="B7" s="27">
        <v>43973</v>
      </c>
      <c r="C7" s="25">
        <v>308.45999999999998</v>
      </c>
      <c r="D7" s="448" t="s">
        <v>7</v>
      </c>
      <c r="E7" s="469"/>
      <c r="F7" s="15">
        <v>712.86</v>
      </c>
      <c r="G7" s="448" t="s">
        <v>11</v>
      </c>
      <c r="H7" s="505"/>
      <c r="I7" s="20">
        <v>6.99</v>
      </c>
      <c r="J7" s="448" t="s">
        <v>21</v>
      </c>
      <c r="K7" s="505"/>
      <c r="L7" s="76"/>
      <c r="N7" s="149"/>
      <c r="O7" s="31"/>
      <c r="P7" s="53"/>
      <c r="Q7" s="36">
        <f>U7</f>
        <v>645.96</v>
      </c>
      <c r="R7" s="2" t="s">
        <v>16</v>
      </c>
      <c r="S7" s="2"/>
      <c r="T7" s="2"/>
      <c r="U7" s="56">
        <f>AB7+Z7+Z8</f>
        <v>645.96</v>
      </c>
      <c r="V7" s="31"/>
      <c r="W7" s="41"/>
      <c r="X7" s="34"/>
      <c r="Y7" s="32" t="s">
        <v>18</v>
      </c>
      <c r="Z7" s="13">
        <v>144</v>
      </c>
      <c r="AA7" s="9" t="s">
        <v>16</v>
      </c>
      <c r="AB7" s="10">
        <v>401.96</v>
      </c>
    </row>
    <row r="8" spans="1:28" ht="15.75" thickBot="1">
      <c r="B8" s="28"/>
      <c r="C8" s="5"/>
      <c r="D8" s="459"/>
      <c r="E8" s="460"/>
      <c r="F8" s="17"/>
      <c r="G8" s="459"/>
      <c r="H8" s="461"/>
      <c r="I8" s="21"/>
      <c r="J8" s="459"/>
      <c r="K8" s="461"/>
      <c r="L8" s="42"/>
      <c r="M8" s="3"/>
      <c r="N8" s="150"/>
      <c r="O8" s="5"/>
      <c r="P8" s="54"/>
      <c r="Q8" s="57">
        <f>U8</f>
        <v>750.59999999999991</v>
      </c>
      <c r="R8" s="35" t="s">
        <v>5</v>
      </c>
      <c r="S8" s="35"/>
      <c r="T8" s="35"/>
      <c r="U8" s="59">
        <f>AB6+AB7+Z6+Z7+Z8</f>
        <v>750.59999999999991</v>
      </c>
      <c r="V8" s="284"/>
      <c r="W8" s="42"/>
      <c r="X8" s="19"/>
      <c r="Y8" s="33" t="s">
        <v>19</v>
      </c>
      <c r="Z8" s="24">
        <v>100</v>
      </c>
      <c r="AA8" s="8"/>
    </row>
    <row r="9" spans="1:28" ht="16.5" thickTop="1" thickBot="1">
      <c r="A9" s="14" t="s">
        <v>31</v>
      </c>
      <c r="B9" s="107">
        <v>43983</v>
      </c>
      <c r="C9" s="25"/>
      <c r="D9" s="494"/>
      <c r="E9" s="495"/>
      <c r="F9" s="15"/>
      <c r="G9" s="494"/>
      <c r="H9" s="515"/>
      <c r="I9" s="20"/>
      <c r="J9" s="494"/>
      <c r="K9" s="515"/>
      <c r="L9" s="76"/>
      <c r="N9" s="149"/>
      <c r="O9" s="25"/>
      <c r="P9" s="25"/>
      <c r="X9" s="16"/>
      <c r="AA9" s="8"/>
    </row>
    <row r="10" spans="1:28" ht="15.75" thickBot="1">
      <c r="B10" s="26"/>
      <c r="C10" s="25"/>
      <c r="D10" s="462"/>
      <c r="E10" s="463"/>
      <c r="F10" s="15">
        <f>9+34.9+9.27+8.87+9.27+9+10.57+9.27+7+7+32.55+8+10+9+8+7+41.06+9+9</f>
        <v>247.76</v>
      </c>
      <c r="G10" s="448" t="s">
        <v>8</v>
      </c>
      <c r="H10" s="505"/>
      <c r="I10" s="20">
        <f>50+120+90+115</f>
        <v>375</v>
      </c>
      <c r="J10" s="448" t="s">
        <v>10</v>
      </c>
      <c r="K10" s="505"/>
      <c r="L10" s="76"/>
      <c r="M10" s="25"/>
      <c r="N10" s="151"/>
      <c r="O10" s="25"/>
      <c r="P10" s="25"/>
      <c r="X10" s="16"/>
      <c r="AA10" s="8"/>
    </row>
    <row r="11" spans="1:28" ht="15.75" thickBot="1">
      <c r="B11" s="26"/>
      <c r="C11" s="25">
        <f>50+70+60</f>
        <v>180</v>
      </c>
      <c r="D11" s="462"/>
      <c r="E11" s="463"/>
      <c r="F11" s="15">
        <f>21.19+22</f>
        <v>43.19</v>
      </c>
      <c r="G11" s="448" t="s">
        <v>9</v>
      </c>
      <c r="H11" s="505"/>
      <c r="I11" s="20">
        <v>9.99</v>
      </c>
      <c r="J11" s="448" t="s">
        <v>22</v>
      </c>
      <c r="K11" s="505"/>
      <c r="L11" s="76"/>
      <c r="N11" s="149"/>
      <c r="O11" s="3"/>
      <c r="P11" s="3"/>
      <c r="Q11" s="3"/>
      <c r="R11" s="3"/>
      <c r="S11" s="3"/>
      <c r="T11" s="3"/>
      <c r="U11" s="3"/>
      <c r="V11" s="3"/>
      <c r="W11" s="3"/>
      <c r="X11" s="18"/>
      <c r="Y11" s="45"/>
      <c r="Z11" s="4" t="s">
        <v>13</v>
      </c>
      <c r="AA11" s="46"/>
      <c r="AB11" s="4" t="s">
        <v>14</v>
      </c>
    </row>
    <row r="12" spans="1:28" ht="15.75" thickTop="1">
      <c r="B12" s="26"/>
      <c r="C12" s="25">
        <v>500</v>
      </c>
      <c r="D12" s="448" t="s">
        <v>34</v>
      </c>
      <c r="E12" s="469"/>
      <c r="F12" s="15">
        <v>10</v>
      </c>
      <c r="G12" s="448" t="s">
        <v>33</v>
      </c>
      <c r="H12" s="505"/>
      <c r="I12" s="20">
        <v>6.99</v>
      </c>
      <c r="J12" s="448" t="s">
        <v>21</v>
      </c>
      <c r="K12" s="505"/>
      <c r="L12" s="76"/>
      <c r="N12" s="149"/>
      <c r="O12" s="40"/>
      <c r="P12" s="38"/>
      <c r="Q12" s="60">
        <f>Q6+P14</f>
        <v>8.6500000000001052</v>
      </c>
      <c r="R12" s="39" t="s">
        <v>12</v>
      </c>
      <c r="S12" s="39"/>
      <c r="T12" s="39"/>
      <c r="U12" s="58">
        <f>AB12+Z12</f>
        <v>85.92</v>
      </c>
      <c r="V12" s="285"/>
      <c r="W12" s="40">
        <f>U12-U6</f>
        <v>-18.72</v>
      </c>
      <c r="X12" s="38">
        <f>W12/30</f>
        <v>-0.624</v>
      </c>
      <c r="Y12" s="43" t="s">
        <v>17</v>
      </c>
      <c r="Z12" s="44">
        <v>31</v>
      </c>
      <c r="AA12" s="11" t="s">
        <v>15</v>
      </c>
      <c r="AB12" s="12">
        <v>54.92</v>
      </c>
    </row>
    <row r="13" spans="1:28" ht="15.75" thickBot="1">
      <c r="B13" s="27">
        <v>44001</v>
      </c>
      <c r="C13" s="25">
        <v>645.20000000000005</v>
      </c>
      <c r="D13" s="448" t="s">
        <v>11</v>
      </c>
      <c r="E13" s="469"/>
      <c r="F13" s="15">
        <v>712.86</v>
      </c>
      <c r="G13" s="448" t="s">
        <v>11</v>
      </c>
      <c r="H13" s="505"/>
      <c r="I13" s="20">
        <v>15.4</v>
      </c>
      <c r="J13" s="448" t="s">
        <v>32</v>
      </c>
      <c r="K13" s="505"/>
      <c r="L13" s="76"/>
      <c r="N13" s="149"/>
      <c r="O13" s="41"/>
      <c r="P13" s="34"/>
      <c r="Q13" s="36">
        <f>Q7+SUM(L10:L13)</f>
        <v>645.96</v>
      </c>
      <c r="R13" s="2" t="s">
        <v>16</v>
      </c>
      <c r="S13" s="2"/>
      <c r="T13" s="2"/>
      <c r="U13" s="56">
        <f>AB13+Z13+Z14</f>
        <v>497.96</v>
      </c>
      <c r="V13" s="31"/>
      <c r="W13" s="41">
        <f>U13-U7</f>
        <v>-148.00000000000006</v>
      </c>
      <c r="X13" s="34">
        <f>W13/30</f>
        <v>-4.9333333333333353</v>
      </c>
      <c r="Y13" s="32" t="s">
        <v>18</v>
      </c>
      <c r="Z13" s="13">
        <f>140+144</f>
        <v>284</v>
      </c>
      <c r="AA13" s="9" t="s">
        <v>16</v>
      </c>
      <c r="AB13" s="10">
        <v>101.96</v>
      </c>
    </row>
    <row r="14" spans="1:28" ht="15.75" thickBot="1">
      <c r="B14" s="29"/>
      <c r="C14" s="5"/>
      <c r="D14" s="459"/>
      <c r="E14" s="460"/>
      <c r="F14" s="17"/>
      <c r="G14" s="459"/>
      <c r="H14" s="461"/>
      <c r="I14" s="21"/>
      <c r="J14" s="459"/>
      <c r="K14" s="461"/>
      <c r="L14" s="42"/>
      <c r="M14" s="3"/>
      <c r="N14" s="150"/>
      <c r="O14" s="42">
        <f>P14/30</f>
        <v>-3.1996666666666633</v>
      </c>
      <c r="P14" s="19">
        <f>SUM(C9:C14)-SUM(F9:F14)-SUM(I9:I14)</f>
        <v>-95.989999999999895</v>
      </c>
      <c r="Q14" s="57">
        <f>Q12+Q13</f>
        <v>654.61000000000013</v>
      </c>
      <c r="R14" s="35" t="s">
        <v>5</v>
      </c>
      <c r="S14" s="35"/>
      <c r="T14" s="35"/>
      <c r="U14" s="59">
        <f>AB12+AB13+Z12+Z13+Z14</f>
        <v>583.88</v>
      </c>
      <c r="V14" s="284"/>
      <c r="W14" s="42">
        <f>U14-U8</f>
        <v>-166.71999999999991</v>
      </c>
      <c r="X14" s="19">
        <f>W14/30</f>
        <v>-5.5573333333333306</v>
      </c>
      <c r="Y14" s="33" t="s">
        <v>19</v>
      </c>
      <c r="Z14" s="24">
        <v>112</v>
      </c>
      <c r="AA14" s="8"/>
    </row>
    <row r="15" spans="1:28" ht="16.5" thickTop="1" thickBot="1">
      <c r="A15" s="14" t="s">
        <v>31</v>
      </c>
      <c r="B15" s="107">
        <v>44013</v>
      </c>
      <c r="C15" s="25"/>
      <c r="D15" s="494"/>
      <c r="E15" s="495"/>
      <c r="F15" s="15"/>
      <c r="G15" s="494"/>
      <c r="H15" s="515"/>
      <c r="I15" s="20"/>
      <c r="J15" s="494"/>
      <c r="K15" s="515"/>
      <c r="L15" s="76"/>
      <c r="N15" s="149"/>
      <c r="O15" s="25"/>
      <c r="P15" s="25"/>
      <c r="X15" s="16"/>
    </row>
    <row r="16" spans="1:28" ht="15.75" thickBot="1">
      <c r="B16" s="26"/>
      <c r="C16" s="25">
        <f>75+60</f>
        <v>135</v>
      </c>
      <c r="D16" s="462"/>
      <c r="E16" s="463"/>
      <c r="F16" s="15">
        <f>9+10+9+7+10+15+9+9+10+9+10+6+8.47+21.7+10+8+10+6+10+10+11+38.71+6+9.48+10.79+7</f>
        <v>280.15000000000003</v>
      </c>
      <c r="G16" s="448" t="s">
        <v>8</v>
      </c>
      <c r="H16" s="505"/>
      <c r="I16" s="20">
        <f>240+75+90+90+110</f>
        <v>605</v>
      </c>
      <c r="J16" s="448" t="s">
        <v>10</v>
      </c>
      <c r="K16" s="505"/>
      <c r="L16" s="76">
        <v>-240</v>
      </c>
      <c r="M16" s="147"/>
      <c r="N16" s="152"/>
      <c r="O16" s="25"/>
      <c r="P16" s="25"/>
      <c r="X16" s="16"/>
    </row>
    <row r="17" spans="1:28" ht="15.75" thickBot="1">
      <c r="B17" s="26"/>
      <c r="C17" s="25">
        <v>200</v>
      </c>
      <c r="D17" s="448" t="s">
        <v>34</v>
      </c>
      <c r="E17" s="469"/>
      <c r="F17" s="15">
        <f>26.02+26.14</f>
        <v>52.16</v>
      </c>
      <c r="G17" s="448" t="s">
        <v>9</v>
      </c>
      <c r="H17" s="505"/>
      <c r="I17" s="20">
        <v>9.99</v>
      </c>
      <c r="J17" s="448" t="s">
        <v>22</v>
      </c>
      <c r="K17" s="505"/>
      <c r="L17" s="76">
        <v>170</v>
      </c>
      <c r="M17" s="25"/>
      <c r="N17" s="151"/>
      <c r="O17" s="3"/>
      <c r="P17" s="3"/>
      <c r="Q17" s="3"/>
      <c r="R17" s="3"/>
      <c r="S17" s="3"/>
      <c r="T17" s="3"/>
      <c r="U17" s="3"/>
      <c r="V17" s="3"/>
      <c r="W17" s="3"/>
      <c r="X17" s="18"/>
      <c r="Y17" s="45"/>
      <c r="Z17" s="4" t="s">
        <v>13</v>
      </c>
      <c r="AA17" s="46"/>
      <c r="AB17" s="4" t="s">
        <v>14</v>
      </c>
    </row>
    <row r="18" spans="1:28" ht="15.75" thickTop="1">
      <c r="B18" s="27">
        <v>44014</v>
      </c>
      <c r="C18" s="25">
        <v>645.20000000000005</v>
      </c>
      <c r="D18" s="448" t="s">
        <v>11</v>
      </c>
      <c r="E18" s="469"/>
      <c r="F18" s="15">
        <v>300</v>
      </c>
      <c r="G18" s="448" t="s">
        <v>34</v>
      </c>
      <c r="H18" s="505"/>
      <c r="I18" s="20">
        <v>6.99</v>
      </c>
      <c r="J18" s="448" t="s">
        <v>21</v>
      </c>
      <c r="K18" s="505"/>
      <c r="L18" s="76">
        <v>-100</v>
      </c>
      <c r="M18" s="25"/>
      <c r="N18" s="151"/>
      <c r="O18" s="40">
        <f>P18/31</f>
        <v>10.449032258064515</v>
      </c>
      <c r="P18" s="38">
        <f>SUM(C16:C19)-SUM(F16:F19)-SUM(I16:I19)-SUM(L16:L19)</f>
        <v>323.91999999999996</v>
      </c>
      <c r="Q18" s="60">
        <f>Q12+P18</f>
        <v>332.57000000000005</v>
      </c>
      <c r="R18" s="39" t="s">
        <v>12</v>
      </c>
      <c r="S18" s="39"/>
      <c r="T18" s="39"/>
      <c r="U18" s="58">
        <f>AB18+Z18</f>
        <v>367.95</v>
      </c>
      <c r="V18" s="285"/>
      <c r="W18" s="40">
        <f>U18-U12</f>
        <v>282.02999999999997</v>
      </c>
      <c r="X18" s="38">
        <f>W18/31</f>
        <v>9.0977419354838709</v>
      </c>
      <c r="Y18" s="43" t="s">
        <v>17</v>
      </c>
      <c r="Z18" s="44">
        <v>216</v>
      </c>
      <c r="AA18" s="11" t="s">
        <v>15</v>
      </c>
      <c r="AB18" s="12">
        <v>151.94999999999999</v>
      </c>
    </row>
    <row r="19" spans="1:28" ht="15.75" thickBot="1">
      <c r="B19" s="27">
        <v>44043</v>
      </c>
      <c r="C19" s="25">
        <v>629.01</v>
      </c>
      <c r="D19" s="448" t="s">
        <v>11</v>
      </c>
      <c r="E19" s="469"/>
      <c r="F19" s="15"/>
      <c r="G19" s="462"/>
      <c r="H19" s="464"/>
      <c r="I19" s="20">
        <v>1</v>
      </c>
      <c r="J19" s="448" t="s">
        <v>40</v>
      </c>
      <c r="K19" s="505"/>
      <c r="L19" s="76">
        <v>200</v>
      </c>
      <c r="M19" s="25"/>
      <c r="N19" s="151"/>
      <c r="O19" s="41">
        <f>P19/31</f>
        <v>0.967741935483871</v>
      </c>
      <c r="P19" s="34">
        <f>SUM(L15:L20)</f>
        <v>30</v>
      </c>
      <c r="Q19" s="36">
        <f>Q13+SUM(L16:L19)</f>
        <v>675.96</v>
      </c>
      <c r="R19" s="2" t="s">
        <v>16</v>
      </c>
      <c r="S19" s="2"/>
      <c r="T19" s="2"/>
      <c r="U19" s="56">
        <f>AB19+Z19+Z20</f>
        <v>562.96</v>
      </c>
      <c r="V19" s="31"/>
      <c r="W19" s="41">
        <f>U19-U13</f>
        <v>65.000000000000057</v>
      </c>
      <c r="X19" s="34">
        <f>W19/31</f>
        <v>2.0967741935483888</v>
      </c>
      <c r="Y19" s="32" t="s">
        <v>18</v>
      </c>
      <c r="Z19" s="13">
        <f>344</f>
        <v>344</v>
      </c>
      <c r="AA19" s="9" t="s">
        <v>16</v>
      </c>
      <c r="AB19" s="10">
        <v>101.96</v>
      </c>
    </row>
    <row r="20" spans="1:28" ht="15.75" thickBot="1">
      <c r="B20" s="28"/>
      <c r="C20" s="5"/>
      <c r="D20" s="459"/>
      <c r="E20" s="460"/>
      <c r="F20" s="17"/>
      <c r="G20" s="459"/>
      <c r="H20" s="461"/>
      <c r="I20" s="21"/>
      <c r="J20" s="459"/>
      <c r="K20" s="461"/>
      <c r="L20" s="42"/>
      <c r="M20" s="5"/>
      <c r="N20" s="54"/>
      <c r="O20" s="42">
        <f>P20/31</f>
        <v>11.416774193548386</v>
      </c>
      <c r="P20" s="19">
        <f>SUM(C15:C20)-SUM(F15:F20)-SUM(I15:I20)</f>
        <v>353.91999999999996</v>
      </c>
      <c r="Q20" s="57">
        <f>Q14+P20</f>
        <v>1008.5300000000001</v>
      </c>
      <c r="R20" s="35" t="s">
        <v>5</v>
      </c>
      <c r="S20" s="35"/>
      <c r="T20" s="35"/>
      <c r="U20" s="59">
        <f>AB18+AB19+Z18+Z19+Z20</f>
        <v>930.91</v>
      </c>
      <c r="V20" s="284"/>
      <c r="W20" s="42">
        <f>U20-U14</f>
        <v>347.03</v>
      </c>
      <c r="X20" s="19">
        <f>W20/31</f>
        <v>11.194516129032257</v>
      </c>
      <c r="Y20" s="33" t="s">
        <v>19</v>
      </c>
      <c r="Z20" s="24">
        <v>117</v>
      </c>
      <c r="AA20" s="8"/>
    </row>
    <row r="21" spans="1:28" ht="16.5" thickTop="1" thickBot="1">
      <c r="A21" s="14" t="s">
        <v>31</v>
      </c>
      <c r="B21" s="61" t="s">
        <v>2</v>
      </c>
      <c r="C21" s="25"/>
      <c r="D21" s="494"/>
      <c r="E21" s="495"/>
      <c r="F21" s="15"/>
      <c r="G21" s="494"/>
      <c r="H21" s="515"/>
      <c r="I21" s="20"/>
      <c r="J21" s="494"/>
      <c r="K21" s="515"/>
      <c r="L21" s="76"/>
      <c r="M21" s="25"/>
      <c r="N21" s="151"/>
      <c r="O21" s="25"/>
      <c r="P21" s="25"/>
      <c r="X21" s="16"/>
    </row>
    <row r="22" spans="1:28">
      <c r="B22" s="27"/>
      <c r="C22" s="25"/>
      <c r="D22" s="462"/>
      <c r="E22" s="463"/>
      <c r="F22" s="15">
        <f>8+32.55+7.8+6+9.48+9+6+7+20+40+4.55+10+5+12+8.47+5+10+5+10+8+21.7+5+5+10+8.47+5+9+6+22+9+10</f>
        <v>335.02</v>
      </c>
      <c r="G22" s="448" t="s">
        <v>8</v>
      </c>
      <c r="H22" s="505"/>
      <c r="I22" s="20">
        <f>90+90+35+80+200</f>
        <v>495</v>
      </c>
      <c r="J22" s="448" t="s">
        <v>10</v>
      </c>
      <c r="K22" s="505"/>
      <c r="L22" s="76">
        <v>-100</v>
      </c>
      <c r="M22" s="25"/>
      <c r="N22" s="151"/>
      <c r="O22" s="25"/>
      <c r="P22" s="25"/>
      <c r="X22" s="16"/>
    </row>
    <row r="23" spans="1:28">
      <c r="B23" s="26"/>
      <c r="C23" s="25"/>
      <c r="D23" s="462"/>
      <c r="E23" s="463"/>
      <c r="F23" s="15">
        <f>24.95+8.06+26.8</f>
        <v>59.81</v>
      </c>
      <c r="G23" s="448" t="s">
        <v>9</v>
      </c>
      <c r="H23" s="505"/>
      <c r="I23" s="20">
        <v>19.989999999999998</v>
      </c>
      <c r="J23" s="448" t="s">
        <v>45</v>
      </c>
      <c r="K23" s="505"/>
      <c r="L23" s="76">
        <v>-100</v>
      </c>
      <c r="M23" s="25"/>
      <c r="N23" s="151"/>
      <c r="O23" s="25"/>
      <c r="P23" s="25"/>
      <c r="X23" s="16"/>
    </row>
    <row r="24" spans="1:28" ht="15.75" thickBot="1">
      <c r="B24" s="26"/>
      <c r="C24" s="25"/>
      <c r="D24" s="462"/>
      <c r="E24" s="463"/>
      <c r="F24" s="15">
        <v>10</v>
      </c>
      <c r="G24" s="448" t="s">
        <v>33</v>
      </c>
      <c r="H24" s="505"/>
      <c r="I24" s="20">
        <v>9.99</v>
      </c>
      <c r="J24" s="448" t="s">
        <v>22</v>
      </c>
      <c r="K24" s="505"/>
      <c r="L24" s="76"/>
      <c r="M24" s="25"/>
      <c r="N24" s="151"/>
      <c r="O24" s="25"/>
      <c r="P24" s="25"/>
      <c r="X24" s="16"/>
    </row>
    <row r="25" spans="1:28" ht="15.75" thickBot="1">
      <c r="B25" s="27"/>
      <c r="D25" s="448"/>
      <c r="E25" s="469"/>
      <c r="F25" s="15">
        <v>50</v>
      </c>
      <c r="G25" s="448" t="s">
        <v>43</v>
      </c>
      <c r="H25" s="505"/>
      <c r="I25" s="20">
        <v>19.989999999999998</v>
      </c>
      <c r="J25" s="448" t="s">
        <v>46</v>
      </c>
      <c r="K25" s="505"/>
      <c r="L25" s="76"/>
      <c r="M25" s="25"/>
      <c r="N25" s="151"/>
      <c r="O25" s="3"/>
      <c r="P25" s="3"/>
      <c r="Q25" s="3"/>
      <c r="R25" s="3"/>
      <c r="S25" s="3"/>
      <c r="T25" s="3"/>
      <c r="U25" s="3"/>
      <c r="V25" s="3"/>
      <c r="W25" s="3"/>
      <c r="X25" s="18"/>
      <c r="Y25" s="45"/>
      <c r="Z25" s="4" t="s">
        <v>13</v>
      </c>
      <c r="AA25" s="46"/>
      <c r="AB25" s="4" t="s">
        <v>14</v>
      </c>
    </row>
    <row r="26" spans="1:28" ht="15.75" thickTop="1">
      <c r="B26" s="26"/>
      <c r="C26" s="25">
        <f>60+60</f>
        <v>120</v>
      </c>
      <c r="D26" s="462"/>
      <c r="E26" s="463"/>
      <c r="F26" s="15">
        <v>19.989999999999998</v>
      </c>
      <c r="G26" s="448" t="s">
        <v>47</v>
      </c>
      <c r="H26" s="505"/>
      <c r="I26" s="20">
        <v>14.99</v>
      </c>
      <c r="J26" s="448" t="s">
        <v>40</v>
      </c>
      <c r="K26" s="505"/>
      <c r="L26" s="76"/>
      <c r="M26" s="25"/>
      <c r="N26" s="151"/>
      <c r="O26" s="40">
        <f>P26/31</f>
        <v>-10.221612903225811</v>
      </c>
      <c r="P26" s="38">
        <f>SUM(C24:C27)-SUM(F22:F27)-SUM(I22:I27)-SUM(L22:L27)</f>
        <v>-316.87000000000012</v>
      </c>
      <c r="Q26" s="60">
        <f>Q18+P26</f>
        <v>15.699999999999932</v>
      </c>
      <c r="R26" s="39" t="s">
        <v>12</v>
      </c>
      <c r="S26" s="39"/>
      <c r="T26" s="39"/>
      <c r="U26" s="58">
        <f>Z26+AB26</f>
        <v>51.08</v>
      </c>
      <c r="V26" s="285"/>
      <c r="W26" s="40">
        <f>U26-U18</f>
        <v>-316.87</v>
      </c>
      <c r="X26" s="38">
        <f>W26/31</f>
        <v>-10.221612903225807</v>
      </c>
      <c r="Y26" s="43" t="s">
        <v>17</v>
      </c>
      <c r="Z26" s="44">
        <v>39</v>
      </c>
      <c r="AA26" s="11" t="s">
        <v>15</v>
      </c>
      <c r="AB26" s="12">
        <v>12.08</v>
      </c>
    </row>
    <row r="27" spans="1:28" ht="15.75" thickBot="1">
      <c r="B27" s="27">
        <v>44057</v>
      </c>
      <c r="C27" s="25">
        <v>404.9</v>
      </c>
      <c r="D27" s="448" t="s">
        <v>11</v>
      </c>
      <c r="E27" s="469"/>
      <c r="F27" s="15"/>
      <c r="G27" s="462"/>
      <c r="H27" s="464"/>
      <c r="I27" s="20">
        <v>6.99</v>
      </c>
      <c r="J27" s="448" t="s">
        <v>21</v>
      </c>
      <c r="K27" s="505"/>
      <c r="L27" s="76"/>
      <c r="M27" s="25"/>
      <c r="N27" s="151"/>
      <c r="O27" s="41">
        <f>P27/31</f>
        <v>-6.4516129032258061</v>
      </c>
      <c r="P27" s="34">
        <f>SUM(L22:L27)</f>
        <v>-200</v>
      </c>
      <c r="Q27" s="36">
        <f>Q19+SUM(L22:L27)</f>
        <v>475.96000000000004</v>
      </c>
      <c r="R27" s="2" t="s">
        <v>16</v>
      </c>
      <c r="S27" s="2"/>
      <c r="T27" s="2"/>
      <c r="U27" s="56">
        <f>Z27+Z28+AB27</f>
        <v>370.96</v>
      </c>
      <c r="V27" s="31"/>
      <c r="W27" s="41">
        <f>U27-U19</f>
        <v>-192.00000000000006</v>
      </c>
      <c r="X27" s="34">
        <f>W27/31</f>
        <v>-6.1935483870967758</v>
      </c>
      <c r="Y27" s="32" t="s">
        <v>18</v>
      </c>
      <c r="Z27" s="13">
        <v>144</v>
      </c>
      <c r="AA27" s="9" t="s">
        <v>16</v>
      </c>
      <c r="AB27" s="10">
        <v>101.96</v>
      </c>
    </row>
    <row r="28" spans="1:28" ht="15.75" thickBot="1">
      <c r="B28" s="28"/>
      <c r="C28" s="5"/>
      <c r="D28" s="459"/>
      <c r="E28" s="460"/>
      <c r="F28" s="17"/>
      <c r="G28" s="459"/>
      <c r="H28" s="461"/>
      <c r="I28" s="21"/>
      <c r="J28" s="459"/>
      <c r="K28" s="461"/>
      <c r="L28" s="42"/>
      <c r="M28" s="5"/>
      <c r="N28" s="54"/>
      <c r="O28" s="42">
        <f>P28/31</f>
        <v>-16.673225806451615</v>
      </c>
      <c r="P28" s="19">
        <f>SUM(C24:C27)-SUM(F22:F27)-SUM(I22:I27)</f>
        <v>-516.87000000000012</v>
      </c>
      <c r="Q28" s="57">
        <f>Q20+P28</f>
        <v>491.65999999999997</v>
      </c>
      <c r="R28" s="35" t="s">
        <v>5</v>
      </c>
      <c r="S28" s="35"/>
      <c r="T28" s="35"/>
      <c r="U28" s="59">
        <f>U26+U27</f>
        <v>422.03999999999996</v>
      </c>
      <c r="V28" s="284"/>
      <c r="W28" s="42">
        <f>U28-U20</f>
        <v>-508.87</v>
      </c>
      <c r="X28" s="19">
        <f>W28/31</f>
        <v>-16.41516129032258</v>
      </c>
      <c r="Y28" s="33" t="s">
        <v>19</v>
      </c>
      <c r="Z28" s="24">
        <v>125</v>
      </c>
      <c r="AA28" s="8"/>
    </row>
    <row r="29" spans="1:28" ht="16.5" thickTop="1" thickBot="1">
      <c r="A29" s="14" t="s">
        <v>31</v>
      </c>
      <c r="B29" s="61" t="s">
        <v>23</v>
      </c>
      <c r="C29" s="25"/>
      <c r="D29" s="494"/>
      <c r="E29" s="495"/>
      <c r="F29" s="15"/>
      <c r="G29" s="494"/>
      <c r="H29" s="515"/>
      <c r="I29" s="20"/>
      <c r="J29" s="494"/>
      <c r="K29" s="515"/>
      <c r="L29" s="76"/>
      <c r="M29" s="25"/>
      <c r="N29" s="151"/>
      <c r="O29" s="25"/>
      <c r="P29" s="25"/>
      <c r="X29" s="16"/>
      <c r="Z29" t="s">
        <v>44</v>
      </c>
      <c r="AA29" s="8"/>
    </row>
    <row r="30" spans="1:28">
      <c r="B30" s="27"/>
      <c r="C30" s="25"/>
      <c r="D30" s="462"/>
      <c r="E30" s="463"/>
      <c r="F30" s="15">
        <f>5+9+5+8.57+9+9+6+10+6+9.47+7.47+10+9+6+2+9+21.7+7+9+9+11+9+9+9+9+6+9+17+6+9+8.9+8+36.95+8.9+9+7.81+10</f>
        <v>350.76999999999992</v>
      </c>
      <c r="G30" s="448" t="s">
        <v>8</v>
      </c>
      <c r="H30" s="505"/>
      <c r="I30" s="20">
        <f>40+115+95+60+200+25</f>
        <v>535</v>
      </c>
      <c r="J30" s="448" t="s">
        <v>10</v>
      </c>
      <c r="K30" s="505"/>
      <c r="L30" s="76">
        <v>-70</v>
      </c>
      <c r="M30" s="25"/>
      <c r="N30" s="151"/>
      <c r="O30" s="25"/>
      <c r="P30" s="25"/>
      <c r="X30" s="16"/>
      <c r="AA30" s="8"/>
    </row>
    <row r="31" spans="1:28">
      <c r="B31" s="26"/>
      <c r="C31" s="25"/>
      <c r="D31" s="462"/>
      <c r="E31" s="463"/>
      <c r="F31" s="15">
        <f>26.49+9.97+26.54+25.49</f>
        <v>88.49</v>
      </c>
      <c r="G31" s="448" t="s">
        <v>9</v>
      </c>
      <c r="H31" s="505"/>
      <c r="I31" s="20">
        <v>9.99</v>
      </c>
      <c r="J31" s="448" t="s">
        <v>22</v>
      </c>
      <c r="K31" s="505"/>
      <c r="L31" s="76">
        <v>-40</v>
      </c>
      <c r="M31" s="25"/>
      <c r="N31" s="151"/>
      <c r="O31" s="25"/>
      <c r="P31" s="25"/>
      <c r="X31" s="16"/>
      <c r="AA31" s="8"/>
    </row>
    <row r="32" spans="1:28">
      <c r="B32" s="30"/>
      <c r="C32" s="25">
        <f>30+60+60</f>
        <v>150</v>
      </c>
      <c r="D32" s="462"/>
      <c r="E32" s="463"/>
      <c r="F32" s="15">
        <v>10</v>
      </c>
      <c r="G32" s="448" t="s">
        <v>33</v>
      </c>
      <c r="H32" s="505"/>
      <c r="I32" s="20">
        <v>0.99</v>
      </c>
      <c r="J32" s="448" t="s">
        <v>73</v>
      </c>
      <c r="K32" s="505"/>
      <c r="L32" s="76">
        <v>15</v>
      </c>
      <c r="M32" s="25"/>
      <c r="N32" s="151"/>
      <c r="O32" s="25"/>
      <c r="P32" s="25"/>
      <c r="X32" s="16"/>
      <c r="AA32" s="8"/>
    </row>
    <row r="33" spans="1:28">
      <c r="B33" s="30"/>
      <c r="C33" s="25">
        <v>100</v>
      </c>
      <c r="D33" s="448" t="s">
        <v>34</v>
      </c>
      <c r="E33" s="469"/>
      <c r="F33" s="15">
        <v>1463.51</v>
      </c>
      <c r="G33" s="448" t="s">
        <v>11</v>
      </c>
      <c r="H33" s="505"/>
      <c r="I33" s="20">
        <v>6.99</v>
      </c>
      <c r="J33" s="448" t="s">
        <v>21</v>
      </c>
      <c r="K33" s="505"/>
      <c r="L33" s="76">
        <v>2980</v>
      </c>
      <c r="M33" s="25"/>
      <c r="N33" s="151"/>
      <c r="O33" s="25"/>
      <c r="P33" s="25"/>
      <c r="X33" s="16"/>
      <c r="AA33" s="8"/>
    </row>
    <row r="34" spans="1:28" ht="15.75" thickBot="1">
      <c r="B34" s="30">
        <v>44085</v>
      </c>
      <c r="C34" s="25">
        <v>113.8</v>
      </c>
      <c r="D34" s="448" t="s">
        <v>11</v>
      </c>
      <c r="E34" s="469"/>
      <c r="F34" s="15">
        <v>300</v>
      </c>
      <c r="G34" s="448" t="s">
        <v>34</v>
      </c>
      <c r="H34" s="505"/>
      <c r="I34" s="20">
        <v>93.82</v>
      </c>
      <c r="J34" s="448" t="s">
        <v>53</v>
      </c>
      <c r="K34" s="505"/>
      <c r="L34" s="76"/>
      <c r="M34" s="25"/>
      <c r="N34" s="151"/>
      <c r="O34" s="25"/>
      <c r="P34" s="25"/>
      <c r="X34" s="16"/>
      <c r="AA34" s="8"/>
    </row>
    <row r="35" spans="1:28" ht="15.75" thickBot="1">
      <c r="B35" s="62">
        <v>44088</v>
      </c>
      <c r="C35" s="25">
        <v>8410</v>
      </c>
      <c r="D35" s="448" t="s">
        <v>35</v>
      </c>
      <c r="E35" s="469"/>
      <c r="F35" s="15">
        <v>2400</v>
      </c>
      <c r="G35" s="448" t="s">
        <v>6</v>
      </c>
      <c r="H35" s="505"/>
      <c r="I35" s="20">
        <v>19.989999999999998</v>
      </c>
      <c r="J35" s="448" t="s">
        <v>54</v>
      </c>
      <c r="K35" s="505"/>
      <c r="L35" s="76"/>
      <c r="M35" s="25"/>
      <c r="N35" s="151"/>
      <c r="O35" s="3"/>
      <c r="P35" s="3"/>
      <c r="Q35" s="3"/>
      <c r="R35" s="3"/>
      <c r="S35" s="3"/>
      <c r="T35" s="3"/>
      <c r="U35" s="3"/>
      <c r="V35" s="3"/>
      <c r="W35" s="3"/>
      <c r="X35" s="18"/>
      <c r="Y35" s="45"/>
      <c r="Z35" s="4" t="s">
        <v>13</v>
      </c>
      <c r="AA35" s="46"/>
      <c r="AB35" s="4" t="s">
        <v>14</v>
      </c>
    </row>
    <row r="36" spans="1:28" ht="15.75" thickTop="1">
      <c r="B36" s="62">
        <v>44092</v>
      </c>
      <c r="C36" s="25">
        <v>180</v>
      </c>
      <c r="D36" s="448" t="s">
        <v>50</v>
      </c>
      <c r="E36" s="469"/>
      <c r="F36" s="15">
        <v>290</v>
      </c>
      <c r="G36" s="448" t="s">
        <v>6</v>
      </c>
      <c r="H36" s="505"/>
      <c r="I36" s="20">
        <v>19.989999999999998</v>
      </c>
      <c r="J36" s="448" t="s">
        <v>47</v>
      </c>
      <c r="K36" s="505"/>
      <c r="L36" s="76"/>
      <c r="M36" s="25"/>
      <c r="N36" s="151"/>
      <c r="O36" s="40">
        <f>P36/30</f>
        <v>19.635333333333271</v>
      </c>
      <c r="P36" s="38">
        <f>SUM(C30:C37)-SUM(F30:F37)-SUM(I30:I37)-SUM(L30:L37)</f>
        <v>589.05999999999813</v>
      </c>
      <c r="Q36" s="60">
        <f>Q26+P38-SUM(L30:L37)</f>
        <v>604.75999999999794</v>
      </c>
      <c r="R36" s="39" t="s">
        <v>12</v>
      </c>
      <c r="S36" s="39"/>
      <c r="T36" s="39"/>
      <c r="U36" s="58">
        <f>Z36+AB36</f>
        <v>629.58999999999992</v>
      </c>
      <c r="V36" s="285"/>
      <c r="W36" s="40">
        <f>U36-U26</f>
        <v>578.50999999999988</v>
      </c>
      <c r="X36" s="38">
        <f>W36/30</f>
        <v>19.283666666666662</v>
      </c>
      <c r="Y36" s="43" t="s">
        <v>17</v>
      </c>
      <c r="Z36" s="44">
        <v>297</v>
      </c>
      <c r="AA36" s="11" t="s">
        <v>15</v>
      </c>
      <c r="AB36" s="12">
        <v>332.59</v>
      </c>
    </row>
    <row r="37" spans="1:28" ht="15.75" thickBot="1">
      <c r="B37" s="30">
        <v>44099</v>
      </c>
      <c r="C37" s="25">
        <v>113.8</v>
      </c>
      <c r="D37" s="448" t="s">
        <v>11</v>
      </c>
      <c r="E37" s="469"/>
      <c r="F37" s="15">
        <v>4</v>
      </c>
      <c r="G37" s="448" t="s">
        <v>51</v>
      </c>
      <c r="H37" s="505"/>
      <c r="I37" s="20"/>
      <c r="J37" s="462"/>
      <c r="K37" s="464"/>
      <c r="L37" s="76"/>
      <c r="M37" s="25"/>
      <c r="N37" s="151"/>
      <c r="O37" s="41">
        <f>P37/30</f>
        <v>96.166666666666671</v>
      </c>
      <c r="P37" s="34">
        <f>SUM(L30:L37)</f>
        <v>2885</v>
      </c>
      <c r="Q37" s="36">
        <f>Q27+SUM(L30:L37)</f>
        <v>3360.96</v>
      </c>
      <c r="R37" s="2" t="s">
        <v>16</v>
      </c>
      <c r="S37" s="2"/>
      <c r="T37" s="2"/>
      <c r="U37" s="56">
        <f>Z37+Z38+AB37</f>
        <v>3260.99</v>
      </c>
      <c r="V37" s="31"/>
      <c r="W37" s="41">
        <f>U37-U27</f>
        <v>2890.0299999999997</v>
      </c>
      <c r="X37" s="34">
        <f>W37/30</f>
        <v>96.334333333333319</v>
      </c>
      <c r="Y37" s="32" t="s">
        <v>18</v>
      </c>
      <c r="Z37" s="13">
        <v>124</v>
      </c>
      <c r="AA37" s="9" t="s">
        <v>16</v>
      </c>
      <c r="AB37" s="10">
        <v>3001.99</v>
      </c>
    </row>
    <row r="38" spans="1:28" ht="15.75" thickBot="1">
      <c r="B38" s="28"/>
      <c r="C38" s="5"/>
      <c r="D38" s="459"/>
      <c r="E38" s="460"/>
      <c r="F38" s="17"/>
      <c r="G38" s="459"/>
      <c r="H38" s="461"/>
      <c r="I38" s="21"/>
      <c r="J38" s="459"/>
      <c r="K38" s="461"/>
      <c r="L38" s="42"/>
      <c r="M38" s="5"/>
      <c r="N38" s="54"/>
      <c r="O38" s="42">
        <f>P38/30</f>
        <v>115.80199999999994</v>
      </c>
      <c r="P38" s="19">
        <f>SUM(C30:C37)-SUM(F30:F37)-SUM(I29:I38)</f>
        <v>3474.0599999999981</v>
      </c>
      <c r="Q38" s="57">
        <f>Q36+Q37</f>
        <v>3965.719999999998</v>
      </c>
      <c r="R38" s="35" t="s">
        <v>5</v>
      </c>
      <c r="S38" s="35"/>
      <c r="T38" s="35"/>
      <c r="U38" s="59">
        <f>U36+U37</f>
        <v>3890.58</v>
      </c>
      <c r="V38" s="284"/>
      <c r="W38" s="42">
        <f>U38-U28</f>
        <v>3468.54</v>
      </c>
      <c r="X38" s="19">
        <f>W38/30</f>
        <v>115.61799999999999</v>
      </c>
      <c r="Y38" s="33" t="s">
        <v>19</v>
      </c>
      <c r="Z38" s="24">
        <v>135</v>
      </c>
      <c r="AA38" s="8"/>
    </row>
    <row r="39" spans="1:28" ht="16.5" thickTop="1" thickBot="1">
      <c r="A39" s="14" t="s">
        <v>31</v>
      </c>
      <c r="B39" s="61" t="s">
        <v>24</v>
      </c>
      <c r="C39" s="25"/>
      <c r="D39" s="494"/>
      <c r="E39" s="495"/>
      <c r="F39" s="15"/>
      <c r="G39" s="494"/>
      <c r="H39" s="515"/>
      <c r="I39" s="20"/>
      <c r="J39" s="494"/>
      <c r="K39" s="515"/>
      <c r="L39" s="76"/>
      <c r="M39" s="25"/>
      <c r="N39" s="151"/>
      <c r="O39" s="25"/>
      <c r="P39" s="25"/>
      <c r="X39" s="16"/>
      <c r="AA39" s="8"/>
    </row>
    <row r="40" spans="1:28">
      <c r="A40" s="14"/>
      <c r="B40" s="26"/>
      <c r="C40" s="25"/>
      <c r="D40" s="462"/>
      <c r="E40" s="463"/>
      <c r="F40" s="15">
        <f>9+2+9+15+7.81+9+10+12+5+9+27+6+9+9+9+10+7.81+10+36.66+8+11+9+8+6+7+5+9+9+5</f>
        <v>289.27999999999997</v>
      </c>
      <c r="G40" s="448" t="s">
        <v>8</v>
      </c>
      <c r="H40" s="505"/>
      <c r="I40" s="20">
        <f>65+80+220</f>
        <v>365</v>
      </c>
      <c r="J40" s="448" t="s">
        <v>10</v>
      </c>
      <c r="K40" s="505"/>
      <c r="L40" s="76"/>
      <c r="M40" s="25"/>
      <c r="N40" s="151"/>
      <c r="O40" s="25"/>
      <c r="P40" s="25"/>
      <c r="X40" s="16"/>
      <c r="AA40" s="8"/>
    </row>
    <row r="41" spans="1:28">
      <c r="A41" s="14"/>
      <c r="B41" s="26"/>
      <c r="C41" s="25"/>
      <c r="D41" s="462"/>
      <c r="E41" s="463"/>
      <c r="F41" s="15">
        <f>22.05+23.51</f>
        <v>45.56</v>
      </c>
      <c r="G41" s="448" t="s">
        <v>9</v>
      </c>
      <c r="H41" s="505"/>
      <c r="I41" s="20">
        <v>39.99</v>
      </c>
      <c r="J41" s="448" t="s">
        <v>55</v>
      </c>
      <c r="K41" s="505"/>
      <c r="L41" s="76"/>
      <c r="M41" s="25"/>
      <c r="N41" s="151"/>
      <c r="O41" s="25"/>
      <c r="P41" s="25"/>
      <c r="X41" s="16"/>
      <c r="AA41" s="8"/>
    </row>
    <row r="42" spans="1:28">
      <c r="A42" s="14"/>
      <c r="B42" s="26"/>
      <c r="C42" s="25"/>
      <c r="D42" s="462"/>
      <c r="E42" s="463"/>
      <c r="F42" s="15">
        <v>24</v>
      </c>
      <c r="G42" s="448" t="s">
        <v>56</v>
      </c>
      <c r="H42" s="505"/>
      <c r="I42" s="20">
        <v>9.99</v>
      </c>
      <c r="J42" s="448" t="s">
        <v>22</v>
      </c>
      <c r="K42" s="505"/>
      <c r="L42" s="76"/>
      <c r="M42" s="25"/>
      <c r="N42" s="151"/>
      <c r="O42" s="25"/>
      <c r="P42" s="25"/>
      <c r="X42" s="16"/>
      <c r="AA42" s="8"/>
    </row>
    <row r="43" spans="1:28">
      <c r="A43" s="14"/>
      <c r="B43" s="26"/>
      <c r="C43" s="25"/>
      <c r="D43" s="462"/>
      <c r="E43" s="463"/>
      <c r="F43" s="15">
        <v>20</v>
      </c>
      <c r="G43" s="448" t="s">
        <v>33</v>
      </c>
      <c r="H43" s="505"/>
      <c r="I43" s="20">
        <v>0.99</v>
      </c>
      <c r="J43" s="448" t="s">
        <v>73</v>
      </c>
      <c r="K43" s="505"/>
      <c r="L43" s="76"/>
      <c r="M43" s="25"/>
      <c r="N43" s="151"/>
      <c r="O43" s="25"/>
      <c r="P43" s="25"/>
      <c r="X43" s="16"/>
      <c r="AA43" s="8"/>
    </row>
    <row r="44" spans="1:28" ht="15.75" thickBot="1">
      <c r="B44" s="26"/>
      <c r="C44" s="25">
        <f>60+70</f>
        <v>130</v>
      </c>
      <c r="D44" s="462"/>
      <c r="E44" s="463"/>
      <c r="F44" s="15">
        <v>22</v>
      </c>
      <c r="G44" s="448" t="s">
        <v>61</v>
      </c>
      <c r="H44" s="505"/>
      <c r="I44" s="20">
        <v>6.99</v>
      </c>
      <c r="J44" s="448" t="s">
        <v>21</v>
      </c>
      <c r="K44" s="505"/>
      <c r="L44" s="76"/>
      <c r="M44" s="25"/>
      <c r="N44" s="151"/>
      <c r="O44" s="25"/>
      <c r="P44" s="25"/>
      <c r="X44" s="16"/>
      <c r="AA44" s="8"/>
    </row>
    <row r="45" spans="1:28" ht="15.75" thickBot="1">
      <c r="B45" s="62">
        <v>44112</v>
      </c>
      <c r="C45" s="25">
        <v>165</v>
      </c>
      <c r="D45" s="448" t="s">
        <v>50</v>
      </c>
      <c r="E45" s="469"/>
      <c r="F45" s="15">
        <v>87.5</v>
      </c>
      <c r="G45" s="448" t="s">
        <v>62</v>
      </c>
      <c r="H45" s="505"/>
      <c r="I45" s="20">
        <v>19.989999999999998</v>
      </c>
      <c r="J45" s="448" t="s">
        <v>47</v>
      </c>
      <c r="K45" s="505"/>
      <c r="L45" s="76"/>
      <c r="M45" s="25"/>
      <c r="N45" s="151"/>
      <c r="O45" s="3"/>
      <c r="P45" s="3"/>
      <c r="Q45" s="3"/>
      <c r="R45" s="3"/>
      <c r="S45" s="3"/>
      <c r="T45" s="3"/>
      <c r="U45" s="3"/>
      <c r="V45" s="3"/>
      <c r="W45" s="3"/>
      <c r="X45" s="18"/>
      <c r="Y45" s="45"/>
      <c r="Z45" s="4" t="s">
        <v>13</v>
      </c>
      <c r="AA45" s="46"/>
      <c r="AB45" s="4" t="s">
        <v>14</v>
      </c>
    </row>
    <row r="46" spans="1:28" ht="15.75" thickTop="1">
      <c r="B46" s="30">
        <v>44113</v>
      </c>
      <c r="C46" s="25">
        <v>481.28</v>
      </c>
      <c r="D46" s="448" t="s">
        <v>11</v>
      </c>
      <c r="E46" s="469"/>
      <c r="F46" s="15">
        <v>15</v>
      </c>
      <c r="G46" s="448" t="s">
        <v>63</v>
      </c>
      <c r="H46" s="505"/>
      <c r="I46" s="20"/>
      <c r="J46" s="462"/>
      <c r="K46" s="464"/>
      <c r="L46" s="76"/>
      <c r="M46" s="25"/>
      <c r="N46" s="151"/>
      <c r="O46" s="40">
        <f>P46/31</f>
        <v>-3.0822580645161275</v>
      </c>
      <c r="P46" s="38">
        <f>SUM(C40:C47)-SUM(F40:F47)-SUM(I40:I47)-SUM(L40:L47)</f>
        <v>-95.549999999999955</v>
      </c>
      <c r="Q46" s="60">
        <f>Q36+P48-SUM(L40:L47)</f>
        <v>509.20999999999799</v>
      </c>
      <c r="R46" s="39" t="s">
        <v>12</v>
      </c>
      <c r="S46" s="39"/>
      <c r="T46" s="39"/>
      <c r="U46" s="58">
        <f>AB46+Z46</f>
        <v>533.54</v>
      </c>
      <c r="V46" s="285"/>
      <c r="W46" s="40">
        <f>U46-U36</f>
        <v>-96.049999999999955</v>
      </c>
      <c r="X46" s="38">
        <f>W46/31</f>
        <v>-3.098387096774192</v>
      </c>
      <c r="Y46" s="43" t="s">
        <v>17</v>
      </c>
      <c r="Z46" s="44">
        <v>110</v>
      </c>
      <c r="AA46" s="11" t="s">
        <v>15</v>
      </c>
      <c r="AB46" s="12">
        <v>423.54</v>
      </c>
    </row>
    <row r="47" spans="1:28" ht="15.75" thickBot="1">
      <c r="B47" s="30">
        <v>44127</v>
      </c>
      <c r="C47" s="25">
        <v>219.46</v>
      </c>
      <c r="D47" s="448" t="s">
        <v>11</v>
      </c>
      <c r="E47" s="469"/>
      <c r="F47" s="15">
        <v>145</v>
      </c>
      <c r="G47" s="448" t="s">
        <v>6</v>
      </c>
      <c r="H47" s="505"/>
      <c r="I47" s="20"/>
      <c r="J47" s="462"/>
      <c r="K47" s="464"/>
      <c r="L47" s="76"/>
      <c r="M47" s="25"/>
      <c r="N47" s="151"/>
      <c r="O47" s="41">
        <f>P47/31</f>
        <v>0</v>
      </c>
      <c r="P47" s="34">
        <f>SUM(L40:L47)</f>
        <v>0</v>
      </c>
      <c r="Q47" s="36">
        <f>Q37+SUM(L44:L47)</f>
        <v>3360.96</v>
      </c>
      <c r="R47" s="2" t="s">
        <v>16</v>
      </c>
      <c r="S47" s="2"/>
      <c r="T47" s="2"/>
      <c r="U47" s="56">
        <f>AB47+Z47+Z48</f>
        <v>3267.04</v>
      </c>
      <c r="V47" s="31"/>
      <c r="W47" s="41">
        <f>U47-U37</f>
        <v>6.0500000000001819</v>
      </c>
      <c r="X47" s="34">
        <f>W47/31</f>
        <v>0.1951612903225865</v>
      </c>
      <c r="Y47" s="32" t="s">
        <v>18</v>
      </c>
      <c r="Z47" s="13">
        <v>124</v>
      </c>
      <c r="AA47" s="9" t="s">
        <v>16</v>
      </c>
      <c r="AB47" s="10">
        <v>3002.04</v>
      </c>
    </row>
    <row r="48" spans="1:28" ht="15.75" thickBot="1">
      <c r="B48" s="28"/>
      <c r="C48" s="5"/>
      <c r="D48" s="459"/>
      <c r="E48" s="460"/>
      <c r="F48" s="17"/>
      <c r="G48" s="459"/>
      <c r="H48" s="461"/>
      <c r="I48" s="21"/>
      <c r="J48" s="459"/>
      <c r="K48" s="461"/>
      <c r="L48" s="42"/>
      <c r="M48" s="5"/>
      <c r="N48" s="54"/>
      <c r="O48" s="42">
        <f>P48/31</f>
        <v>-3.0822580645161275</v>
      </c>
      <c r="P48" s="19">
        <f>SUM(C44:C47)-SUM(F40:F47)-SUM(I40:I47)</f>
        <v>-95.549999999999955</v>
      </c>
      <c r="Q48" s="57">
        <f>Q46+Q47</f>
        <v>3870.1699999999983</v>
      </c>
      <c r="R48" s="35" t="s">
        <v>5</v>
      </c>
      <c r="S48" s="35"/>
      <c r="T48" s="35"/>
      <c r="U48" s="59">
        <f>U47+U46</f>
        <v>3800.58</v>
      </c>
      <c r="V48" s="284"/>
      <c r="W48" s="42">
        <f>U48-U38</f>
        <v>-90</v>
      </c>
      <c r="X48" s="19">
        <f>W48/31</f>
        <v>-2.903225806451613</v>
      </c>
      <c r="Y48" s="33" t="s">
        <v>19</v>
      </c>
      <c r="Z48" s="24">
        <v>141</v>
      </c>
      <c r="AA48" s="8"/>
    </row>
    <row r="49" spans="1:28" ht="16.5" thickTop="1" thickBot="1">
      <c r="A49" s="14" t="s">
        <v>31</v>
      </c>
      <c r="B49" s="61" t="s">
        <v>25</v>
      </c>
      <c r="C49" s="25"/>
      <c r="D49" s="494"/>
      <c r="E49" s="495"/>
      <c r="F49" s="15"/>
      <c r="G49" s="494"/>
      <c r="H49" s="515"/>
      <c r="I49" s="20"/>
      <c r="J49" s="494"/>
      <c r="K49" s="515"/>
      <c r="L49" s="76"/>
      <c r="M49" s="25"/>
      <c r="N49" s="151"/>
      <c r="O49" s="25"/>
      <c r="P49" s="25"/>
      <c r="X49" s="16"/>
      <c r="AA49" s="8"/>
    </row>
    <row r="50" spans="1:28">
      <c r="B50" s="26"/>
      <c r="C50" s="25"/>
      <c r="D50" s="462"/>
      <c r="E50" s="463"/>
      <c r="F50" s="15">
        <f>9+36.89+7+9+6+10+6+9+9+8+9+7+10+22+6+9+8+11.82+4.33+8.47+6.15+9+8+9+6+36.89</f>
        <v>280.55</v>
      </c>
      <c r="G50" s="448" t="s">
        <v>8</v>
      </c>
      <c r="H50" s="505"/>
      <c r="I50" s="20">
        <f>200+160</f>
        <v>360</v>
      </c>
      <c r="J50" s="448" t="s">
        <v>10</v>
      </c>
      <c r="K50" s="505"/>
      <c r="L50" s="76">
        <v>-400</v>
      </c>
      <c r="M50" s="25"/>
      <c r="N50" s="151"/>
      <c r="O50" s="25"/>
      <c r="P50" s="25"/>
      <c r="X50" s="16"/>
      <c r="AA50" s="8"/>
    </row>
    <row r="51" spans="1:28" ht="15.75" thickBot="1">
      <c r="B51" s="26"/>
      <c r="C51" s="25"/>
      <c r="D51" s="462"/>
      <c r="E51" s="463"/>
      <c r="F51" s="15">
        <f>24.25+24.22</f>
        <v>48.47</v>
      </c>
      <c r="G51" s="448" t="s">
        <v>9</v>
      </c>
      <c r="H51" s="505"/>
      <c r="I51" s="20">
        <v>9.99</v>
      </c>
      <c r="J51" s="448" t="s">
        <v>22</v>
      </c>
      <c r="K51" s="505"/>
      <c r="L51" s="76"/>
      <c r="M51" s="25"/>
      <c r="N51" s="151"/>
      <c r="O51" s="25"/>
      <c r="P51" s="25"/>
      <c r="X51" s="16"/>
      <c r="AA51" s="8"/>
    </row>
    <row r="52" spans="1:28" ht="15.75" thickBot="1">
      <c r="B52" s="26"/>
      <c r="C52" s="25">
        <v>20</v>
      </c>
      <c r="D52" s="462"/>
      <c r="E52" s="463"/>
      <c r="F52" s="15">
        <v>20</v>
      </c>
      <c r="G52" s="448" t="s">
        <v>33</v>
      </c>
      <c r="H52" s="505"/>
      <c r="I52" s="20">
        <v>0.99</v>
      </c>
      <c r="J52" s="448" t="s">
        <v>73</v>
      </c>
      <c r="K52" s="505"/>
      <c r="L52" s="76"/>
      <c r="M52" s="25"/>
      <c r="N52" s="151"/>
      <c r="O52" s="3"/>
      <c r="P52" s="3"/>
      <c r="Q52" s="3"/>
      <c r="R52" s="3"/>
      <c r="S52" s="3"/>
      <c r="T52" s="3"/>
      <c r="U52" s="3"/>
      <c r="V52" s="3"/>
      <c r="W52" s="3"/>
      <c r="X52" s="18"/>
      <c r="Y52" s="45"/>
      <c r="Z52" s="4" t="s">
        <v>13</v>
      </c>
      <c r="AA52" s="46"/>
      <c r="AB52" s="4" t="s">
        <v>14</v>
      </c>
    </row>
    <row r="53" spans="1:28" ht="15.75" thickTop="1">
      <c r="B53" s="30">
        <v>44141</v>
      </c>
      <c r="C53" s="25">
        <v>219.46</v>
      </c>
      <c r="D53" s="462"/>
      <c r="E53" s="463"/>
      <c r="F53" s="15">
        <v>145</v>
      </c>
      <c r="G53" s="448" t="s">
        <v>6</v>
      </c>
      <c r="H53" s="505"/>
      <c r="I53" s="20">
        <v>6.99</v>
      </c>
      <c r="J53" s="448" t="s">
        <v>21</v>
      </c>
      <c r="K53" s="505"/>
      <c r="L53" s="76"/>
      <c r="M53" s="25"/>
      <c r="N53" s="151"/>
      <c r="O53" s="40">
        <f>P53/30</f>
        <v>-1.1020000000000001</v>
      </c>
      <c r="P53" s="38">
        <f>SUM(C51:C54)-SUM(F50:F54)-SUM(I50:I54)-SUM(L50:L54)</f>
        <v>-33.06</v>
      </c>
      <c r="Q53" s="60">
        <f>Q46+P53</f>
        <v>476.14999999999799</v>
      </c>
      <c r="R53" s="39" t="s">
        <v>12</v>
      </c>
      <c r="S53" s="39"/>
      <c r="T53" s="39"/>
      <c r="U53" s="58">
        <f>Z53+AB53</f>
        <v>500.48</v>
      </c>
      <c r="V53" s="285"/>
      <c r="W53" s="40">
        <f>U53-U46</f>
        <v>-33.059999999999945</v>
      </c>
      <c r="X53" s="38">
        <f>W53/30</f>
        <v>-1.1019999999999981</v>
      </c>
      <c r="Y53" s="43" t="s">
        <v>17</v>
      </c>
      <c r="Z53" s="44">
        <v>234</v>
      </c>
      <c r="AA53" s="11" t="s">
        <v>15</v>
      </c>
      <c r="AB53" s="12">
        <v>266.48</v>
      </c>
    </row>
    <row r="54" spans="1:28" ht="15.75" thickBot="1">
      <c r="B54" s="30">
        <v>44155</v>
      </c>
      <c r="C54" s="25">
        <v>219.46</v>
      </c>
      <c r="D54" s="462"/>
      <c r="E54" s="463"/>
      <c r="F54" s="15"/>
      <c r="G54" s="462"/>
      <c r="H54" s="464"/>
      <c r="I54" s="20">
        <v>19.989999999999998</v>
      </c>
      <c r="J54" s="448" t="s">
        <v>47</v>
      </c>
      <c r="K54" s="505"/>
      <c r="L54" s="76"/>
      <c r="M54" s="25"/>
      <c r="N54" s="151"/>
      <c r="O54" s="41">
        <f>P54/30</f>
        <v>-13.333333333333334</v>
      </c>
      <c r="P54" s="34">
        <f>SUM(L50:L54)</f>
        <v>-400</v>
      </c>
      <c r="Q54" s="36">
        <f>Q47+P54</f>
        <v>2960.96</v>
      </c>
      <c r="R54" s="2" t="s">
        <v>16</v>
      </c>
      <c r="S54" s="2"/>
      <c r="T54" s="2"/>
      <c r="U54" s="56">
        <f>Z55+Z54+AB54</f>
        <v>2873.09</v>
      </c>
      <c r="V54" s="31"/>
      <c r="W54" s="41">
        <f>U54-U47</f>
        <v>-393.94999999999982</v>
      </c>
      <c r="X54" s="34">
        <f>W54/30</f>
        <v>-13.131666666666661</v>
      </c>
      <c r="Y54" s="32" t="s">
        <v>18</v>
      </c>
      <c r="Z54" s="13">
        <v>124</v>
      </c>
      <c r="AA54" s="9" t="s">
        <v>16</v>
      </c>
      <c r="AB54" s="10">
        <v>2602.09</v>
      </c>
    </row>
    <row r="55" spans="1:28" ht="15.75" thickBot="1">
      <c r="B55" s="28"/>
      <c r="C55" s="5"/>
      <c r="D55" s="459"/>
      <c r="E55" s="460"/>
      <c r="F55" s="17"/>
      <c r="G55" s="459"/>
      <c r="H55" s="461"/>
      <c r="I55" s="21"/>
      <c r="J55" s="459"/>
      <c r="K55" s="461"/>
      <c r="L55" s="42"/>
      <c r="M55" s="5"/>
      <c r="N55" s="54"/>
      <c r="O55" s="42">
        <f>P55/30</f>
        <v>-14.435333333333334</v>
      </c>
      <c r="P55" s="19">
        <f>SUM(C51:C54)-SUM(F50:F54)-SUM(I49:I55)</f>
        <v>-433.06</v>
      </c>
      <c r="Q55" s="57">
        <f>Q53+Q54</f>
        <v>3437.1099999999979</v>
      </c>
      <c r="R55" s="35" t="s">
        <v>5</v>
      </c>
      <c r="S55" s="35"/>
      <c r="T55" s="35"/>
      <c r="U55" s="59">
        <f>U54+U53</f>
        <v>3373.57</v>
      </c>
      <c r="V55" s="284"/>
      <c r="W55" s="42">
        <f>U55-U48</f>
        <v>-427.00999999999976</v>
      </c>
      <c r="X55" s="19">
        <f>W55/30</f>
        <v>-14.233666666666659</v>
      </c>
      <c r="Y55" s="33" t="s">
        <v>19</v>
      </c>
      <c r="Z55" s="24">
        <v>147</v>
      </c>
      <c r="AA55" s="8"/>
    </row>
    <row r="56" spans="1:28" ht="16.5" thickTop="1" thickBot="1">
      <c r="A56" s="14" t="s">
        <v>31</v>
      </c>
      <c r="B56" s="61" t="s">
        <v>26</v>
      </c>
      <c r="C56" s="25"/>
      <c r="D56" s="494"/>
      <c r="E56" s="495"/>
      <c r="F56" s="15"/>
      <c r="G56" s="494"/>
      <c r="H56" s="515"/>
      <c r="I56" s="20"/>
      <c r="J56" s="494"/>
      <c r="K56" s="515"/>
      <c r="L56" s="76"/>
      <c r="M56" s="25"/>
      <c r="N56" s="151"/>
      <c r="O56" s="25"/>
      <c r="P56" s="25"/>
      <c r="X56" s="16"/>
      <c r="AA56" s="8"/>
    </row>
    <row r="57" spans="1:28">
      <c r="B57" s="26"/>
      <c r="C57" s="25"/>
      <c r="D57" s="462"/>
      <c r="E57" s="463"/>
      <c r="F57" s="15">
        <f>9+8+9+9+13.65+10+8+9+9+10+22+8+7.59+9+9+10+36.89+22.62+9+8+8.47+9+6+8.78</f>
        <v>269</v>
      </c>
      <c r="G57" s="448" t="s">
        <v>8</v>
      </c>
      <c r="H57" s="505"/>
      <c r="I57" s="20">
        <f>160+70+300+100</f>
        <v>630</v>
      </c>
      <c r="J57" s="448" t="s">
        <v>10</v>
      </c>
      <c r="K57" s="505"/>
      <c r="L57" s="76">
        <v>-920</v>
      </c>
      <c r="M57" s="25"/>
      <c r="N57" s="151"/>
      <c r="O57" s="25"/>
      <c r="P57" s="25"/>
      <c r="X57" s="16"/>
      <c r="AA57" s="8"/>
    </row>
    <row r="58" spans="1:28">
      <c r="B58" s="26"/>
      <c r="C58" s="25"/>
      <c r="D58" s="462"/>
      <c r="E58" s="463"/>
      <c r="F58" s="15">
        <f>24.71+28.03+29.92</f>
        <v>82.66</v>
      </c>
      <c r="G58" s="448" t="s">
        <v>9</v>
      </c>
      <c r="H58" s="505"/>
      <c r="I58" s="20">
        <v>9.99</v>
      </c>
      <c r="J58" s="448" t="s">
        <v>22</v>
      </c>
      <c r="K58" s="505"/>
      <c r="L58" s="76">
        <v>100</v>
      </c>
      <c r="M58" s="25"/>
      <c r="N58" s="151"/>
      <c r="O58" s="25"/>
      <c r="P58" s="25"/>
      <c r="X58" s="16"/>
      <c r="AA58" s="8"/>
    </row>
    <row r="59" spans="1:28">
      <c r="B59" s="26"/>
      <c r="C59" s="25"/>
      <c r="D59" s="462"/>
      <c r="E59" s="463"/>
      <c r="F59" s="15">
        <v>99.55</v>
      </c>
      <c r="G59" s="448" t="s">
        <v>65</v>
      </c>
      <c r="H59" s="505"/>
      <c r="I59" s="20">
        <v>6.99</v>
      </c>
      <c r="J59" s="448" t="s">
        <v>21</v>
      </c>
      <c r="K59" s="505"/>
      <c r="L59" s="76"/>
      <c r="M59" s="25"/>
      <c r="N59" s="151"/>
      <c r="O59" s="25"/>
      <c r="P59" s="25"/>
      <c r="X59" s="16"/>
      <c r="AA59" s="8"/>
    </row>
    <row r="60" spans="1:28">
      <c r="B60" s="26"/>
      <c r="C60" s="25"/>
      <c r="D60" s="462"/>
      <c r="E60" s="463"/>
      <c r="F60" s="15">
        <v>48</v>
      </c>
      <c r="G60" s="448" t="s">
        <v>64</v>
      </c>
      <c r="H60" s="505"/>
      <c r="I60" s="20">
        <v>19.989999999999998</v>
      </c>
      <c r="J60" s="448" t="s">
        <v>47</v>
      </c>
      <c r="K60" s="505"/>
      <c r="L60" s="76"/>
      <c r="M60" s="25"/>
      <c r="N60" s="151"/>
      <c r="O60" s="25"/>
      <c r="P60" s="25"/>
      <c r="X60" s="16"/>
      <c r="AA60" s="8"/>
    </row>
    <row r="61" spans="1:28">
      <c r="B61" s="26"/>
      <c r="C61" s="25">
        <v>125</v>
      </c>
      <c r="D61" s="462"/>
      <c r="E61" s="463"/>
      <c r="F61" s="15">
        <v>124.27</v>
      </c>
      <c r="G61" s="448" t="s">
        <v>66</v>
      </c>
      <c r="H61" s="505"/>
      <c r="I61" s="20"/>
      <c r="J61" s="462"/>
      <c r="K61" s="464"/>
      <c r="L61" s="76"/>
      <c r="M61" s="25"/>
      <c r="N61" s="151"/>
      <c r="O61" s="25"/>
      <c r="P61" s="25"/>
      <c r="X61" s="16"/>
      <c r="AA61" s="8"/>
    </row>
    <row r="62" spans="1:28" ht="15.75" thickBot="1">
      <c r="B62" s="26"/>
      <c r="C62" s="25">
        <v>40</v>
      </c>
      <c r="D62" s="462"/>
      <c r="E62" s="463"/>
      <c r="F62" s="15">
        <f>84.44+33</f>
        <v>117.44</v>
      </c>
      <c r="G62" s="448" t="s">
        <v>67</v>
      </c>
      <c r="H62" s="505"/>
      <c r="I62" s="20"/>
      <c r="J62" s="462"/>
      <c r="K62" s="464"/>
      <c r="L62" s="76"/>
      <c r="M62" s="25"/>
      <c r="N62" s="151"/>
      <c r="O62" s="25"/>
      <c r="P62" s="25"/>
      <c r="X62" s="16"/>
      <c r="AA62" s="8"/>
    </row>
    <row r="63" spans="1:28" ht="15.75" thickBot="1">
      <c r="B63" s="26"/>
      <c r="C63" s="63">
        <v>100</v>
      </c>
      <c r="D63" s="522"/>
      <c r="E63" s="463"/>
      <c r="F63" s="15">
        <f>59.51+21.57+20+38+40+20</f>
        <v>199.07999999999998</v>
      </c>
      <c r="G63" s="448" t="s">
        <v>68</v>
      </c>
      <c r="H63" s="505"/>
      <c r="I63" s="20"/>
      <c r="J63" s="462"/>
      <c r="K63" s="464"/>
      <c r="L63" s="76"/>
      <c r="M63" s="25"/>
      <c r="N63" s="151"/>
      <c r="O63" s="3"/>
      <c r="P63" s="3"/>
      <c r="Q63" s="3"/>
      <c r="R63" s="3"/>
      <c r="S63" s="3"/>
      <c r="T63" s="3"/>
      <c r="U63" s="3"/>
      <c r="V63" s="3"/>
      <c r="W63" s="3"/>
      <c r="X63" s="18"/>
      <c r="Y63" s="45"/>
      <c r="Z63" s="4" t="s">
        <v>13</v>
      </c>
      <c r="AA63" s="46"/>
      <c r="AB63" s="4" t="s">
        <v>14</v>
      </c>
    </row>
    <row r="64" spans="1:28" ht="15.75" thickTop="1">
      <c r="B64" s="30">
        <v>44169</v>
      </c>
      <c r="C64" s="25">
        <v>219.46</v>
      </c>
      <c r="D64" s="462"/>
      <c r="E64" s="463"/>
      <c r="F64" s="15">
        <v>30</v>
      </c>
      <c r="G64" s="448" t="s">
        <v>33</v>
      </c>
      <c r="H64" s="505"/>
      <c r="I64" s="20"/>
      <c r="J64" s="462"/>
      <c r="K64" s="464"/>
      <c r="L64" s="76"/>
      <c r="M64" s="25"/>
      <c r="N64" s="151"/>
      <c r="O64" s="40">
        <f>P64/31</f>
        <v>-8.324193548387095</v>
      </c>
      <c r="P64" s="38">
        <f>SUM(C61:C65)-SUM(F57:F65)-SUM(I57:I65)-SUM(L57:L65)</f>
        <v>-258.04999999999995</v>
      </c>
      <c r="Q64" s="60">
        <f>Q53+P64</f>
        <v>218.09999999999803</v>
      </c>
      <c r="R64" s="39" t="s">
        <v>12</v>
      </c>
      <c r="S64" s="39"/>
      <c r="T64" s="39"/>
      <c r="U64" s="58">
        <f>Z64+AB64</f>
        <v>244.43</v>
      </c>
      <c r="V64" s="285"/>
      <c r="W64" s="40">
        <f>U64-U53</f>
        <v>-256.05</v>
      </c>
      <c r="X64" s="38">
        <f>W64/31</f>
        <v>-8.2596774193548388</v>
      </c>
      <c r="Y64" s="43" t="s">
        <v>17</v>
      </c>
      <c r="Z64" s="44">
        <f>6</f>
        <v>6</v>
      </c>
      <c r="AA64" s="11" t="s">
        <v>15</v>
      </c>
      <c r="AB64" s="12">
        <f>383.43-145</f>
        <v>238.43</v>
      </c>
    </row>
    <row r="65" spans="1:32" ht="15.75" thickBot="1">
      <c r="B65" s="30">
        <v>44183</v>
      </c>
      <c r="C65" s="25">
        <v>219.46</v>
      </c>
      <c r="D65" s="462"/>
      <c r="E65" s="463"/>
      <c r="F65" s="15">
        <v>145</v>
      </c>
      <c r="G65" s="448" t="s">
        <v>6</v>
      </c>
      <c r="H65" s="505"/>
      <c r="I65" s="20"/>
      <c r="J65" s="462"/>
      <c r="K65" s="464"/>
      <c r="L65" s="76"/>
      <c r="M65" s="25"/>
      <c r="N65" s="151"/>
      <c r="O65" s="41">
        <f>P65/31</f>
        <v>-26.451612903225808</v>
      </c>
      <c r="P65" s="34">
        <f>SUM(L57:L65)</f>
        <v>-820</v>
      </c>
      <c r="Q65" s="36">
        <f>Q54+P65</f>
        <v>2140.96</v>
      </c>
      <c r="R65" s="2" t="s">
        <v>16</v>
      </c>
      <c r="S65" s="2"/>
      <c r="T65" s="2"/>
      <c r="U65" s="56">
        <f>Z66+Z65+AB65</f>
        <v>2059.13</v>
      </c>
      <c r="V65" s="31"/>
      <c r="W65" s="41">
        <f>U65-U54</f>
        <v>-813.96</v>
      </c>
      <c r="X65" s="34">
        <f>W65/31</f>
        <v>-26.256774193548388</v>
      </c>
      <c r="Y65" s="32" t="s">
        <v>18</v>
      </c>
      <c r="Z65" s="13">
        <v>224</v>
      </c>
      <c r="AA65" s="9" t="s">
        <v>16</v>
      </c>
      <c r="AB65" s="10">
        <v>1702.13</v>
      </c>
    </row>
    <row r="66" spans="1:32" ht="16.5" thickBot="1">
      <c r="A66" s="104">
        <v>2021</v>
      </c>
      <c r="B66" s="28"/>
      <c r="C66" s="5"/>
      <c r="D66" s="459"/>
      <c r="E66" s="460"/>
      <c r="F66" s="17"/>
      <c r="G66" s="459"/>
      <c r="H66" s="461"/>
      <c r="I66" s="21"/>
      <c r="J66" s="459"/>
      <c r="K66" s="461"/>
      <c r="L66" s="42"/>
      <c r="M66" s="5"/>
      <c r="N66" s="54"/>
      <c r="O66" s="42">
        <f>P66/31</f>
        <v>-34.775806451612901</v>
      </c>
      <c r="P66" s="19">
        <f>SUM(C61:C65)-SUM(F57:F65)-SUM(I56:I66)</f>
        <v>-1078.05</v>
      </c>
      <c r="Q66" s="57">
        <f>Q64+Q65</f>
        <v>2359.0599999999981</v>
      </c>
      <c r="R66" s="35" t="s">
        <v>5</v>
      </c>
      <c r="S66" s="35"/>
      <c r="T66" s="35"/>
      <c r="U66" s="59">
        <f>U65+U64</f>
        <v>2303.56</v>
      </c>
      <c r="V66" s="284"/>
      <c r="W66" s="42">
        <f>U66-U55</f>
        <v>-1070.0100000000002</v>
      </c>
      <c r="X66" s="19">
        <f>W66/31</f>
        <v>-34.516451612903232</v>
      </c>
      <c r="Y66" s="33" t="s">
        <v>19</v>
      </c>
      <c r="Z66" s="24">
        <v>133</v>
      </c>
      <c r="AA66" s="46"/>
      <c r="AB66" s="3"/>
      <c r="AC66" s="3"/>
      <c r="AD66" s="3"/>
      <c r="AE66" s="3"/>
      <c r="AF66" s="3"/>
    </row>
    <row r="67" spans="1:32" ht="16.5" thickTop="1" thickBot="1">
      <c r="A67" s="14" t="s">
        <v>31</v>
      </c>
      <c r="B67" s="107">
        <v>44197</v>
      </c>
      <c r="C67" s="25"/>
      <c r="D67" s="494"/>
      <c r="E67" s="495"/>
      <c r="F67" s="15"/>
      <c r="G67" s="494"/>
      <c r="H67" s="515"/>
      <c r="I67" s="20"/>
      <c r="J67" s="494"/>
      <c r="K67" s="515"/>
      <c r="L67" s="76"/>
      <c r="M67" s="25"/>
      <c r="N67" s="151"/>
      <c r="O67" s="25"/>
      <c r="P67" s="25"/>
      <c r="X67" s="16"/>
      <c r="AA67" s="8"/>
    </row>
    <row r="68" spans="1:32">
      <c r="B68" s="26"/>
      <c r="C68" s="25"/>
      <c r="D68" s="462"/>
      <c r="E68" s="463"/>
      <c r="F68" s="15">
        <f>9.65+8.46+7.47+11.76+6.51+7+9+9+9.65+6.51+8.9+9+9+10+9.33+9+7.04+8.9+16+7+8.9+8.46+8+9.65+8.41+10.19+8.9+7.58</f>
        <v>249.27000000000004</v>
      </c>
      <c r="G68" s="448" t="s">
        <v>8</v>
      </c>
      <c r="H68" s="505"/>
      <c r="I68" s="20">
        <f>300+180+120+175</f>
        <v>775</v>
      </c>
      <c r="J68" s="448" t="s">
        <v>10</v>
      </c>
      <c r="K68" s="505"/>
      <c r="L68" s="76">
        <v>-500</v>
      </c>
      <c r="M68" s="25"/>
      <c r="N68" s="151"/>
      <c r="O68" s="25"/>
      <c r="P68" s="25"/>
      <c r="X68" s="16"/>
      <c r="AA68" s="8"/>
    </row>
    <row r="69" spans="1:32">
      <c r="B69" s="26"/>
      <c r="C69" s="25"/>
      <c r="D69" s="462"/>
      <c r="E69" s="463"/>
      <c r="F69" s="15">
        <v>29</v>
      </c>
      <c r="G69" s="448" t="s">
        <v>61</v>
      </c>
      <c r="H69" s="505"/>
      <c r="I69" s="20">
        <v>9.99</v>
      </c>
      <c r="J69" s="448" t="s">
        <v>22</v>
      </c>
      <c r="K69" s="505"/>
      <c r="L69" s="76">
        <v>-100</v>
      </c>
      <c r="M69" s="25"/>
      <c r="N69" s="151"/>
      <c r="O69" s="25"/>
      <c r="P69" s="25"/>
      <c r="X69" s="16"/>
      <c r="AA69" s="8"/>
    </row>
    <row r="70" spans="1:32" ht="15.75" thickBot="1">
      <c r="B70" s="26"/>
      <c r="C70" s="25"/>
      <c r="D70" s="462"/>
      <c r="E70" s="463"/>
      <c r="F70" s="15">
        <v>70</v>
      </c>
      <c r="G70" s="448" t="s">
        <v>11</v>
      </c>
      <c r="H70" s="505"/>
      <c r="I70" s="20">
        <v>67.28</v>
      </c>
      <c r="J70" s="448" t="s">
        <v>70</v>
      </c>
      <c r="K70" s="505"/>
      <c r="L70" s="76"/>
      <c r="M70" s="25"/>
      <c r="N70" s="151"/>
      <c r="O70" s="25"/>
      <c r="P70" s="25"/>
      <c r="X70" s="16"/>
      <c r="AA70" s="8"/>
    </row>
    <row r="71" spans="1:32" ht="15.75" thickBot="1">
      <c r="B71" s="27"/>
      <c r="C71" s="25"/>
      <c r="D71" s="462"/>
      <c r="E71" s="463"/>
      <c r="F71" s="15">
        <v>28.43</v>
      </c>
      <c r="G71" s="448" t="s">
        <v>9</v>
      </c>
      <c r="H71" s="505"/>
      <c r="I71" s="20">
        <v>0.99</v>
      </c>
      <c r="J71" s="448" t="s">
        <v>71</v>
      </c>
      <c r="K71" s="505"/>
      <c r="L71" s="76"/>
      <c r="M71" s="25"/>
      <c r="N71" s="151"/>
      <c r="O71" s="3"/>
      <c r="P71" s="3"/>
      <c r="Q71" s="3"/>
      <c r="R71" s="3"/>
      <c r="S71" s="3"/>
      <c r="T71" s="3"/>
      <c r="U71" s="3"/>
      <c r="V71" s="3"/>
      <c r="W71" s="3"/>
      <c r="X71" s="18"/>
      <c r="Y71" s="45"/>
      <c r="Z71" s="4" t="s">
        <v>13</v>
      </c>
      <c r="AA71" s="46"/>
      <c r="AB71" s="4" t="s">
        <v>14</v>
      </c>
    </row>
    <row r="72" spans="1:32" ht="15.75" thickTop="1">
      <c r="B72" s="30"/>
      <c r="C72" s="25">
        <v>120</v>
      </c>
      <c r="D72" s="462"/>
      <c r="E72" s="463"/>
      <c r="F72" s="15">
        <v>10</v>
      </c>
      <c r="G72" s="448" t="s">
        <v>33</v>
      </c>
      <c r="H72" s="505"/>
      <c r="I72" s="20">
        <v>6.99</v>
      </c>
      <c r="J72" s="448" t="s">
        <v>21</v>
      </c>
      <c r="K72" s="505"/>
      <c r="L72" s="76"/>
      <c r="M72" s="25"/>
      <c r="N72" s="151"/>
      <c r="O72" s="40">
        <f>P72/31</f>
        <v>-2.965806451612905</v>
      </c>
      <c r="P72" s="38">
        <f>SUM(C70:C73)-SUM(F68:F73)-SUM(I68:I73)-SUM(L68:L73)</f>
        <v>-91.940000000000055</v>
      </c>
      <c r="Q72" s="60">
        <f>Q64+P72</f>
        <v>126.15999999999798</v>
      </c>
      <c r="R72" s="39" t="s">
        <v>12</v>
      </c>
      <c r="S72" s="39"/>
      <c r="T72" s="39"/>
      <c r="U72" s="58">
        <f>Z72+AB72</f>
        <v>127.49</v>
      </c>
      <c r="V72" s="285"/>
      <c r="W72" s="40">
        <f>U72-U64</f>
        <v>-116.94000000000001</v>
      </c>
      <c r="X72" s="38">
        <f>W72/31</f>
        <v>-3.7722580645161292</v>
      </c>
      <c r="Y72" s="43" t="s">
        <v>17</v>
      </c>
      <c r="Z72" s="44">
        <v>44</v>
      </c>
      <c r="AA72" s="11" t="s">
        <v>15</v>
      </c>
      <c r="AB72" s="12">
        <v>83.49</v>
      </c>
    </row>
    <row r="73" spans="1:32" ht="15.75" thickBot="1">
      <c r="B73" s="30">
        <v>44197</v>
      </c>
      <c r="C73" s="25">
        <v>600</v>
      </c>
      <c r="D73" s="448" t="s">
        <v>69</v>
      </c>
      <c r="E73" s="469"/>
      <c r="F73" s="15">
        <v>145</v>
      </c>
      <c r="G73" s="448" t="s">
        <v>6</v>
      </c>
      <c r="H73" s="505"/>
      <c r="I73" s="20">
        <v>19.989999999999998</v>
      </c>
      <c r="J73" s="448" t="s">
        <v>47</v>
      </c>
      <c r="K73" s="505"/>
      <c r="L73" s="76"/>
      <c r="M73" s="25"/>
      <c r="N73" s="151"/>
      <c r="O73" s="41">
        <f>P73/31</f>
        <v>-19.35483870967742</v>
      </c>
      <c r="P73" s="34">
        <f>SUM(L68:L73)</f>
        <v>-600</v>
      </c>
      <c r="Q73" s="36">
        <f>Q65+P73</f>
        <v>1540.96</v>
      </c>
      <c r="R73" s="2" t="s">
        <v>16</v>
      </c>
      <c r="S73" s="2"/>
      <c r="T73" s="2"/>
      <c r="U73" s="56">
        <f>Z73+Z74+AB73</f>
        <v>1477.16</v>
      </c>
      <c r="V73" s="31"/>
      <c r="W73" s="41">
        <f>U73-U65</f>
        <v>-581.97</v>
      </c>
      <c r="X73" s="34">
        <f>W73/31</f>
        <v>-18.773225806451613</v>
      </c>
      <c r="Y73" s="32" t="s">
        <v>18</v>
      </c>
      <c r="Z73" s="13">
        <v>224</v>
      </c>
      <c r="AA73" s="9" t="s">
        <v>16</v>
      </c>
      <c r="AB73" s="10">
        <v>1102.1600000000001</v>
      </c>
    </row>
    <row r="74" spans="1:32" ht="15.75" thickBot="1">
      <c r="B74" s="28"/>
      <c r="C74" s="5"/>
      <c r="D74" s="459"/>
      <c r="E74" s="460"/>
      <c r="F74" s="17"/>
      <c r="G74" s="459"/>
      <c r="H74" s="461"/>
      <c r="I74" s="21"/>
      <c r="J74" s="459"/>
      <c r="K74" s="461"/>
      <c r="L74" s="42"/>
      <c r="M74" s="5"/>
      <c r="N74" s="54"/>
      <c r="O74" s="42">
        <f>P74/31</f>
        <v>-22.320645161290326</v>
      </c>
      <c r="P74" s="19">
        <f>SUM(C70:C73)-SUM(F68:F73)-SUM(I67:I74)</f>
        <v>-691.94</v>
      </c>
      <c r="Q74" s="57">
        <f>Q72+Q73</f>
        <v>1667.1199999999981</v>
      </c>
      <c r="R74" s="35" t="s">
        <v>5</v>
      </c>
      <c r="S74" s="35"/>
      <c r="T74" s="35"/>
      <c r="U74" s="59">
        <f>U73+U72</f>
        <v>1604.65</v>
      </c>
      <c r="V74" s="284"/>
      <c r="W74" s="42">
        <f>U74-U66</f>
        <v>-698.90999999999985</v>
      </c>
      <c r="X74" s="19">
        <f>W74/31</f>
        <v>-22.545483870967736</v>
      </c>
      <c r="Y74" s="33" t="s">
        <v>19</v>
      </c>
      <c r="Z74" s="24">
        <v>151</v>
      </c>
      <c r="AA74" s="8"/>
    </row>
    <row r="75" spans="1:32" ht="16.5" thickTop="1" thickBot="1">
      <c r="A75" s="14" t="s">
        <v>31</v>
      </c>
      <c r="B75" s="61" t="s">
        <v>48</v>
      </c>
      <c r="C75" s="25"/>
      <c r="D75" s="494"/>
      <c r="E75" s="495"/>
      <c r="F75" s="15"/>
      <c r="G75" s="494"/>
      <c r="H75" s="515"/>
      <c r="I75" s="20"/>
      <c r="J75" s="494"/>
      <c r="K75" s="515"/>
      <c r="L75" s="76"/>
      <c r="M75" s="25"/>
      <c r="N75" s="151"/>
      <c r="O75" s="25"/>
      <c r="P75" s="25"/>
      <c r="X75" s="16"/>
      <c r="AA75" s="8"/>
    </row>
    <row r="76" spans="1:32">
      <c r="B76" s="26"/>
      <c r="C76" s="25"/>
      <c r="D76" s="462"/>
      <c r="E76" s="463"/>
      <c r="F76" s="15">
        <f>16+27+9+6.75+4+9.65+10+9+11+9.65+9+10+8+21.51+8.08+8+9+8+7.38+9+8</f>
        <v>218.02</v>
      </c>
      <c r="G76" s="448" t="s">
        <v>8</v>
      </c>
      <c r="H76" s="505"/>
      <c r="I76" s="20">
        <f>60+120+120+180+120</f>
        <v>600</v>
      </c>
      <c r="J76" s="448" t="s">
        <v>10</v>
      </c>
      <c r="K76" s="505"/>
      <c r="L76" s="76">
        <v>-500</v>
      </c>
      <c r="M76" s="25"/>
      <c r="N76" s="151"/>
      <c r="O76" s="25"/>
      <c r="P76" s="25"/>
      <c r="X76" s="16"/>
      <c r="AA76" s="8"/>
    </row>
    <row r="77" spans="1:32">
      <c r="B77" s="26"/>
      <c r="C77" s="25"/>
      <c r="D77" s="462"/>
      <c r="E77" s="463"/>
      <c r="F77" s="15">
        <f>30.44+25.54</f>
        <v>55.980000000000004</v>
      </c>
      <c r="G77" s="448" t="s">
        <v>9</v>
      </c>
      <c r="H77" s="505"/>
      <c r="I77" s="20">
        <v>9.99</v>
      </c>
      <c r="J77" s="448" t="s">
        <v>72</v>
      </c>
      <c r="K77" s="505"/>
      <c r="L77" s="76">
        <v>-400</v>
      </c>
      <c r="M77" s="25"/>
      <c r="N77" s="151"/>
      <c r="O77" s="25"/>
      <c r="P77" s="25"/>
      <c r="X77" s="16"/>
      <c r="AA77" s="8"/>
    </row>
    <row r="78" spans="1:32" ht="15.75" thickBot="1">
      <c r="B78" s="26"/>
      <c r="C78" s="25"/>
      <c r="D78" s="462"/>
      <c r="E78" s="463"/>
      <c r="F78" s="15">
        <v>7.95</v>
      </c>
      <c r="G78" s="448" t="s">
        <v>74</v>
      </c>
      <c r="H78" s="505"/>
      <c r="I78" s="20">
        <v>9.99</v>
      </c>
      <c r="J78" s="448" t="s">
        <v>22</v>
      </c>
      <c r="K78" s="505"/>
      <c r="L78" s="76"/>
      <c r="M78" s="25"/>
      <c r="N78" s="151"/>
      <c r="O78" s="25"/>
      <c r="P78" s="25"/>
      <c r="X78" s="16"/>
      <c r="AA78" s="8"/>
    </row>
    <row r="79" spans="1:32" ht="15.75" thickBot="1">
      <c r="B79" s="26"/>
      <c r="C79" s="25"/>
      <c r="D79" s="462"/>
      <c r="E79" s="463"/>
      <c r="F79" s="15">
        <v>10</v>
      </c>
      <c r="G79" s="448" t="s">
        <v>33</v>
      </c>
      <c r="H79" s="505"/>
      <c r="I79" s="20">
        <v>6.99</v>
      </c>
      <c r="J79" s="448" t="s">
        <v>21</v>
      </c>
      <c r="K79" s="505"/>
      <c r="L79" s="76"/>
      <c r="M79" s="25"/>
      <c r="N79" s="151"/>
      <c r="O79" s="3"/>
      <c r="P79" s="3"/>
      <c r="Q79" s="3"/>
      <c r="R79" s="3"/>
      <c r="S79" s="3"/>
      <c r="T79" s="3"/>
      <c r="U79" s="3"/>
      <c r="V79" s="3"/>
      <c r="W79" s="3"/>
      <c r="X79" s="18"/>
      <c r="Y79" s="45"/>
      <c r="Z79" s="4" t="s">
        <v>13</v>
      </c>
      <c r="AA79" s="46"/>
      <c r="AB79" s="4" t="s">
        <v>14</v>
      </c>
    </row>
    <row r="80" spans="1:32" ht="15.75" thickTop="1">
      <c r="B80" s="30"/>
      <c r="C80" s="25"/>
      <c r="D80" s="462"/>
      <c r="E80" s="463"/>
      <c r="F80" s="15">
        <v>145</v>
      </c>
      <c r="G80" s="448" t="s">
        <v>6</v>
      </c>
      <c r="H80" s="505"/>
      <c r="I80" s="20">
        <v>5.15</v>
      </c>
      <c r="J80" s="448" t="s">
        <v>75</v>
      </c>
      <c r="K80" s="505"/>
      <c r="L80" s="76"/>
      <c r="M80" s="25"/>
      <c r="N80" s="151"/>
      <c r="O80" s="40">
        <f>P80/28</f>
        <v>-2.4664285714285694</v>
      </c>
      <c r="P80" s="38">
        <f>SUM(C78:C82)-SUM(F76:F81)-SUM(I76:I81)-SUM(L76:L81)</f>
        <v>-69.059999999999945</v>
      </c>
      <c r="Q80" s="60">
        <f>Q72+P80</f>
        <v>57.099999999998033</v>
      </c>
      <c r="R80" s="39" t="s">
        <v>12</v>
      </c>
      <c r="S80" s="39"/>
      <c r="T80" s="39"/>
      <c r="U80" s="58">
        <f>Z80+AB80</f>
        <v>64.22999999999999</v>
      </c>
      <c r="V80" s="285"/>
      <c r="W80" s="40">
        <f>U80-U72</f>
        <v>-63.260000000000005</v>
      </c>
      <c r="X80" s="38">
        <f>W80/28</f>
        <v>-2.2592857142857143</v>
      </c>
      <c r="Y80" s="43" t="s">
        <v>17</v>
      </c>
      <c r="Z80" s="44">
        <v>6</v>
      </c>
      <c r="AA80" s="11" t="s">
        <v>15</v>
      </c>
      <c r="AB80" s="12">
        <v>58.23</v>
      </c>
    </row>
    <row r="81" spans="1:28" ht="15.75" thickBot="1">
      <c r="B81" s="30"/>
      <c r="C81" s="25">
        <v>120</v>
      </c>
      <c r="D81" s="462"/>
      <c r="E81" s="463"/>
      <c r="F81" s="15"/>
      <c r="G81" s="462"/>
      <c r="H81" s="464"/>
      <c r="I81" s="20">
        <v>19.989999999999998</v>
      </c>
      <c r="J81" s="448" t="s">
        <v>47</v>
      </c>
      <c r="K81" s="505"/>
      <c r="L81" s="76"/>
      <c r="M81" s="25"/>
      <c r="N81" s="151"/>
      <c r="O81" s="41">
        <f>P81/28</f>
        <v>-32.142857142857146</v>
      </c>
      <c r="P81" s="34">
        <f>SUM(L76:L81)</f>
        <v>-900</v>
      </c>
      <c r="Q81" s="36">
        <f>Q73+P81</f>
        <v>640.96</v>
      </c>
      <c r="R81" s="2" t="s">
        <v>16</v>
      </c>
      <c r="S81" s="2"/>
      <c r="T81" s="2"/>
      <c r="U81" s="56">
        <f>Z81+AB81+Z82</f>
        <v>585.16999999999996</v>
      </c>
      <c r="V81" s="31"/>
      <c r="W81" s="41">
        <f>U81-U73</f>
        <v>-891.99000000000012</v>
      </c>
      <c r="X81" s="34">
        <f>W81/28</f>
        <v>-31.856785714285717</v>
      </c>
      <c r="Y81" s="32" t="s">
        <v>18</v>
      </c>
      <c r="Z81" s="13">
        <v>224</v>
      </c>
      <c r="AA81" s="9" t="s">
        <v>16</v>
      </c>
      <c r="AB81" s="10">
        <v>202.17</v>
      </c>
    </row>
    <row r="82" spans="1:28" ht="15.75" thickBot="1">
      <c r="B82" s="28"/>
      <c r="C82" s="5"/>
      <c r="D82" s="459"/>
      <c r="E82" s="460"/>
      <c r="F82" s="17"/>
      <c r="G82" s="459"/>
      <c r="H82" s="461"/>
      <c r="I82" s="21"/>
      <c r="J82" s="459"/>
      <c r="K82" s="461"/>
      <c r="L82" s="42"/>
      <c r="M82" s="5"/>
      <c r="N82" s="54"/>
      <c r="O82" s="42">
        <f>P82/28</f>
        <v>-34.609285714285711</v>
      </c>
      <c r="P82" s="19">
        <f>SUM(C78:C81)-SUM(F76:F81)-SUM(I75:I82)</f>
        <v>-969.06</v>
      </c>
      <c r="Q82" s="57">
        <f>Q80+Q81</f>
        <v>698.05999999999813</v>
      </c>
      <c r="R82" s="35" t="s">
        <v>5</v>
      </c>
      <c r="S82" s="35"/>
      <c r="T82" s="35"/>
      <c r="U82" s="59">
        <f>U81+U80</f>
        <v>649.4</v>
      </c>
      <c r="V82" s="284"/>
      <c r="W82" s="42">
        <f>U82-U74</f>
        <v>-955.25000000000011</v>
      </c>
      <c r="X82" s="19">
        <f>W82/28</f>
        <v>-34.116071428571431</v>
      </c>
      <c r="Y82" s="33" t="s">
        <v>19</v>
      </c>
      <c r="Z82" s="24">
        <v>159</v>
      </c>
      <c r="AA82" s="8"/>
    </row>
    <row r="83" spans="1:28" ht="16.5" thickTop="1" thickBot="1">
      <c r="A83" s="14" t="s">
        <v>31</v>
      </c>
      <c r="B83" s="61" t="s">
        <v>49</v>
      </c>
      <c r="C83" s="25"/>
      <c r="D83" s="494"/>
      <c r="E83" s="495"/>
      <c r="F83" s="15"/>
      <c r="G83" s="494"/>
      <c r="H83" s="515"/>
      <c r="I83" s="20"/>
      <c r="J83" s="494"/>
      <c r="K83" s="515"/>
      <c r="L83" s="76"/>
      <c r="M83" s="25"/>
      <c r="N83" s="151"/>
      <c r="O83" s="25"/>
      <c r="P83" s="25"/>
      <c r="X83" s="16"/>
      <c r="AA83" s="8"/>
    </row>
    <row r="84" spans="1:28">
      <c r="A84" s="14"/>
      <c r="B84" s="26"/>
      <c r="C84" s="25"/>
      <c r="D84" s="462"/>
      <c r="E84" s="463"/>
      <c r="F84" s="15">
        <f>15.08+43.41+8.68+9.65+5.96+9+9+8.78+8+7.59+9+9+10+10+7+6+10+9</f>
        <v>195.14999999999998</v>
      </c>
      <c r="G84" s="448" t="s">
        <v>8</v>
      </c>
      <c r="H84" s="505"/>
      <c r="I84" s="20">
        <v>6.87</v>
      </c>
      <c r="J84" s="448" t="s">
        <v>70</v>
      </c>
      <c r="K84" s="505"/>
      <c r="L84" s="76">
        <v>-100</v>
      </c>
      <c r="M84" s="25"/>
      <c r="N84" s="151"/>
      <c r="O84" s="25"/>
      <c r="P84" s="25"/>
      <c r="X84" s="16"/>
      <c r="AA84" s="8"/>
    </row>
    <row r="85" spans="1:28">
      <c r="A85" s="14"/>
      <c r="B85" s="26"/>
      <c r="C85" s="25"/>
      <c r="D85" s="462"/>
      <c r="E85" s="463"/>
      <c r="F85" s="15">
        <f>35.63+17.95</f>
        <v>53.58</v>
      </c>
      <c r="G85" s="448" t="s">
        <v>9</v>
      </c>
      <c r="H85" s="505"/>
      <c r="I85" s="20">
        <f>120+180</f>
        <v>300</v>
      </c>
      <c r="J85" s="448" t="s">
        <v>10</v>
      </c>
      <c r="K85" s="505"/>
      <c r="L85" s="76">
        <v>-100</v>
      </c>
      <c r="M85" s="25"/>
      <c r="N85" s="151"/>
      <c r="O85" s="25"/>
      <c r="P85" s="25"/>
      <c r="X85" s="16"/>
      <c r="AA85" s="8"/>
    </row>
    <row r="86" spans="1:28">
      <c r="B86" s="26"/>
      <c r="C86" s="25"/>
      <c r="D86" s="462"/>
      <c r="E86" s="463"/>
      <c r="F86" s="15">
        <v>10</v>
      </c>
      <c r="G86" s="448" t="s">
        <v>33</v>
      </c>
      <c r="H86" s="505"/>
      <c r="I86" s="20">
        <v>9.99</v>
      </c>
      <c r="J86" s="448" t="s">
        <v>22</v>
      </c>
      <c r="K86" s="505"/>
      <c r="L86" s="76">
        <v>50</v>
      </c>
      <c r="M86" s="25"/>
      <c r="N86" s="151"/>
      <c r="O86" s="25"/>
      <c r="P86" s="25"/>
      <c r="X86" s="16"/>
      <c r="AA86" s="8"/>
    </row>
    <row r="87" spans="1:28" ht="15.75" thickBot="1">
      <c r="B87" s="26"/>
      <c r="C87" s="25"/>
      <c r="D87" s="462"/>
      <c r="E87" s="463"/>
      <c r="F87" s="15">
        <v>145</v>
      </c>
      <c r="G87" s="448" t="s">
        <v>6</v>
      </c>
      <c r="H87" s="505"/>
      <c r="I87" s="20">
        <v>9.99</v>
      </c>
      <c r="J87" s="448" t="s">
        <v>72</v>
      </c>
      <c r="K87" s="505"/>
      <c r="L87" s="76">
        <v>100</v>
      </c>
      <c r="M87" s="25"/>
      <c r="N87" s="151"/>
      <c r="O87" s="25"/>
      <c r="P87" s="25"/>
      <c r="X87" s="16"/>
      <c r="AA87" s="8"/>
    </row>
    <row r="88" spans="1:28" ht="15.75" thickBot="1">
      <c r="B88" s="26"/>
      <c r="C88" s="25">
        <v>1400</v>
      </c>
      <c r="D88" s="448" t="s">
        <v>69</v>
      </c>
      <c r="E88" s="469"/>
      <c r="F88" s="15"/>
      <c r="G88" s="462"/>
      <c r="H88" s="464"/>
      <c r="I88" s="20">
        <v>5.15</v>
      </c>
      <c r="J88" s="448" t="s">
        <v>75</v>
      </c>
      <c r="K88" s="505"/>
      <c r="L88" s="76"/>
      <c r="M88" s="25"/>
      <c r="N88" s="151"/>
      <c r="O88" s="3"/>
      <c r="P88" s="3"/>
      <c r="Q88" s="3"/>
      <c r="R88" s="3"/>
      <c r="S88" s="3"/>
      <c r="T88" s="3"/>
      <c r="U88" s="3"/>
      <c r="V88" s="3"/>
      <c r="W88" s="3"/>
      <c r="X88" s="18"/>
      <c r="Y88" s="45"/>
      <c r="Z88" s="4" t="s">
        <v>13</v>
      </c>
      <c r="AA88" s="46"/>
      <c r="AB88" s="4" t="s">
        <v>14</v>
      </c>
    </row>
    <row r="89" spans="1:28" ht="15.75" thickTop="1">
      <c r="B89" s="30"/>
      <c r="C89" s="25">
        <v>7.95</v>
      </c>
      <c r="D89" s="448" t="s">
        <v>76</v>
      </c>
      <c r="E89" s="469"/>
      <c r="F89" s="15"/>
      <c r="G89" s="462"/>
      <c r="H89" s="464"/>
      <c r="I89" s="20">
        <v>401.77</v>
      </c>
      <c r="J89" s="448" t="s">
        <v>79</v>
      </c>
      <c r="K89" s="505"/>
      <c r="L89" s="76"/>
      <c r="M89" s="25"/>
      <c r="N89" s="151"/>
      <c r="O89" s="40">
        <f>P89/31</f>
        <v>12.918064516129034</v>
      </c>
      <c r="P89" s="38">
        <f>SUM(C87:C90)-SUM(F84:F90)-SUM(I84:I90)-SUM(L84:L90)</f>
        <v>400.46000000000004</v>
      </c>
      <c r="Q89" s="60">
        <f>Q80+P89</f>
        <v>457.55999999999807</v>
      </c>
      <c r="R89" s="39" t="s">
        <v>12</v>
      </c>
      <c r="S89" s="39"/>
      <c r="T89" s="39"/>
      <c r="U89" s="58">
        <f>Z89+AB89</f>
        <v>459.71000000000004</v>
      </c>
      <c r="V89" s="285"/>
      <c r="W89" s="40">
        <f>U89-U80</f>
        <v>395.48</v>
      </c>
      <c r="X89" s="38">
        <f>W89/31</f>
        <v>12.75741935483871</v>
      </c>
      <c r="Y89" s="43" t="s">
        <v>17</v>
      </c>
      <c r="Z89" s="44">
        <v>256</v>
      </c>
      <c r="AA89" s="11" t="s">
        <v>15</v>
      </c>
      <c r="AB89" s="12">
        <v>203.71</v>
      </c>
    </row>
    <row r="90" spans="1:28" ht="15.75" thickBot="1">
      <c r="B90" s="30"/>
      <c r="C90" s="25">
        <v>100</v>
      </c>
      <c r="D90" s="448" t="s">
        <v>50</v>
      </c>
      <c r="E90" s="469"/>
      <c r="F90" s="15"/>
      <c r="G90" s="462"/>
      <c r="H90" s="464"/>
      <c r="I90" s="20">
        <v>19.989999999999998</v>
      </c>
      <c r="J90" s="448" t="s">
        <v>47</v>
      </c>
      <c r="K90" s="505"/>
      <c r="L90" s="76"/>
      <c r="M90" s="25"/>
      <c r="N90" s="151"/>
      <c r="O90" s="41">
        <f>P90/31</f>
        <v>-1.6129032258064515</v>
      </c>
      <c r="P90" s="34">
        <f>SUM(L84:L90)</f>
        <v>-50</v>
      </c>
      <c r="Q90" s="36">
        <f>Q81+P90</f>
        <v>590.96</v>
      </c>
      <c r="R90" s="2" t="s">
        <v>16</v>
      </c>
      <c r="S90" s="2"/>
      <c r="T90" s="2"/>
      <c r="U90" s="56">
        <f>Z91+Z90+AB90</f>
        <v>539.16999999999996</v>
      </c>
      <c r="V90" s="31"/>
      <c r="W90" s="41">
        <f>U90-U81</f>
        <v>-46</v>
      </c>
      <c r="X90" s="34">
        <f>W90/31</f>
        <v>-1.4838709677419355</v>
      </c>
      <c r="Y90" s="32" t="s">
        <v>18</v>
      </c>
      <c r="Z90" s="13">
        <v>174</v>
      </c>
      <c r="AA90" s="9" t="s">
        <v>16</v>
      </c>
      <c r="AB90" s="10">
        <v>202.17</v>
      </c>
    </row>
    <row r="91" spans="1:28" ht="15.75" thickBot="1">
      <c r="B91" s="28"/>
      <c r="C91" s="5"/>
      <c r="D91" s="459"/>
      <c r="E91" s="460"/>
      <c r="F91" s="17"/>
      <c r="G91" s="459"/>
      <c r="H91" s="461"/>
      <c r="I91" s="21"/>
      <c r="J91" s="459"/>
      <c r="K91" s="461"/>
      <c r="L91" s="42"/>
      <c r="M91" s="5"/>
      <c r="N91" s="54"/>
      <c r="O91" s="42">
        <f>P91/31</f>
        <v>11.305161290322582</v>
      </c>
      <c r="P91" s="19">
        <f>SUM(C87:C90)-SUM(F84:F90)-SUM(I83:I91)</f>
        <v>350.46000000000004</v>
      </c>
      <c r="Q91" s="57">
        <f>Q89+Q90</f>
        <v>1048.5199999999982</v>
      </c>
      <c r="R91" s="35" t="s">
        <v>5</v>
      </c>
      <c r="S91" s="35"/>
      <c r="T91" s="35"/>
      <c r="U91" s="59">
        <f>U90+U89</f>
        <v>998.88</v>
      </c>
      <c r="V91" s="284"/>
      <c r="W91" s="42">
        <f>U91-U82</f>
        <v>349.48</v>
      </c>
      <c r="X91" s="19">
        <f>W91/31</f>
        <v>11.273548387096774</v>
      </c>
      <c r="Y91" s="33" t="s">
        <v>19</v>
      </c>
      <c r="Z91" s="24">
        <v>163</v>
      </c>
      <c r="AA91" s="8"/>
    </row>
    <row r="92" spans="1:28" ht="16.5" thickTop="1" thickBot="1">
      <c r="A92" s="14" t="s">
        <v>31</v>
      </c>
      <c r="B92" s="61" t="s">
        <v>52</v>
      </c>
      <c r="C92" s="25"/>
      <c r="D92" s="494"/>
      <c r="E92" s="495"/>
      <c r="F92" s="15"/>
      <c r="G92" s="494"/>
      <c r="H92" s="515"/>
      <c r="I92" s="20"/>
      <c r="J92" s="494"/>
      <c r="K92" s="515"/>
      <c r="L92" s="76"/>
      <c r="M92" s="25"/>
      <c r="N92" s="151"/>
      <c r="O92" s="25"/>
      <c r="P92" s="25"/>
      <c r="X92" s="16"/>
      <c r="AA92" s="8"/>
    </row>
    <row r="93" spans="1:28">
      <c r="B93" s="26"/>
      <c r="C93" s="25"/>
      <c r="D93" s="462"/>
      <c r="E93" s="463"/>
      <c r="F93" s="15">
        <f>8+8.78+32.55+9+9+8.32+10+9+10+8.41+10+10+8.68+10+9.82+8.68+9+9+7.89+8.9+9.65+9+8.68+8.28+9.65</f>
        <v>250.29000000000002</v>
      </c>
      <c r="G93" s="448" t="s">
        <v>8</v>
      </c>
      <c r="H93" s="505"/>
      <c r="I93" s="20">
        <v>305</v>
      </c>
      <c r="J93" s="448" t="s">
        <v>10</v>
      </c>
      <c r="K93" s="505"/>
      <c r="L93" s="76">
        <v>-50</v>
      </c>
      <c r="M93" s="25"/>
      <c r="N93" s="151"/>
      <c r="O93" s="25"/>
      <c r="P93" s="25"/>
      <c r="X93" s="16"/>
      <c r="AA93" s="8"/>
    </row>
    <row r="94" spans="1:28">
      <c r="B94" s="26"/>
      <c r="C94" s="25"/>
      <c r="D94" s="462"/>
      <c r="E94" s="463"/>
      <c r="F94" s="15">
        <f>34.78+36.15</f>
        <v>70.930000000000007</v>
      </c>
      <c r="G94" s="448" t="s">
        <v>9</v>
      </c>
      <c r="H94" s="505"/>
      <c r="I94" s="20">
        <v>9.99</v>
      </c>
      <c r="J94" s="448" t="s">
        <v>72</v>
      </c>
      <c r="K94" s="505"/>
      <c r="L94" s="76">
        <v>-100</v>
      </c>
      <c r="M94" s="25"/>
      <c r="N94" s="151"/>
      <c r="O94" s="25"/>
      <c r="P94" s="25"/>
      <c r="X94" s="16"/>
      <c r="AA94" s="8"/>
    </row>
    <row r="95" spans="1:28">
      <c r="B95" s="26"/>
      <c r="D95" s="448"/>
      <c r="E95" s="469"/>
      <c r="F95" s="15">
        <v>42</v>
      </c>
      <c r="G95" s="448" t="s">
        <v>80</v>
      </c>
      <c r="H95" s="505"/>
      <c r="I95" s="20">
        <v>9.99</v>
      </c>
      <c r="J95" s="448" t="s">
        <v>22</v>
      </c>
      <c r="K95" s="505"/>
      <c r="L95" s="76">
        <v>-171</v>
      </c>
      <c r="M95" s="25"/>
      <c r="N95" s="151"/>
      <c r="O95" s="25"/>
      <c r="P95" s="25"/>
      <c r="X95" s="16"/>
      <c r="AA95" s="8"/>
    </row>
    <row r="96" spans="1:28" ht="15.75" thickBot="1">
      <c r="B96" s="26"/>
      <c r="C96" s="25">
        <v>20</v>
      </c>
      <c r="D96" s="448" t="s">
        <v>88</v>
      </c>
      <c r="E96" s="469"/>
      <c r="F96" s="15">
        <v>6</v>
      </c>
      <c r="G96" s="448" t="s">
        <v>82</v>
      </c>
      <c r="H96" s="505"/>
      <c r="I96" s="20">
        <v>39.979999999999997</v>
      </c>
      <c r="J96" s="448" t="s">
        <v>83</v>
      </c>
      <c r="K96" s="505"/>
      <c r="L96" s="76"/>
      <c r="M96" s="25"/>
      <c r="N96" s="151"/>
      <c r="O96" s="25"/>
      <c r="P96" s="25"/>
      <c r="X96" s="16"/>
      <c r="AA96" s="8"/>
    </row>
    <row r="97" spans="1:38" ht="15.75" thickBot="1">
      <c r="B97" s="26"/>
      <c r="C97" s="25">
        <v>20</v>
      </c>
      <c r="D97" s="448" t="s">
        <v>85</v>
      </c>
      <c r="E97" s="469"/>
      <c r="F97" s="15">
        <v>10</v>
      </c>
      <c r="G97" s="448" t="s">
        <v>33</v>
      </c>
      <c r="H97" s="505"/>
      <c r="I97" s="20">
        <v>6</v>
      </c>
      <c r="J97" s="448" t="s">
        <v>86</v>
      </c>
      <c r="K97" s="505"/>
      <c r="L97" s="76"/>
      <c r="M97" s="25"/>
      <c r="N97" s="151"/>
      <c r="O97" s="3"/>
      <c r="P97" s="3"/>
      <c r="Q97" s="3"/>
      <c r="R97" s="3"/>
      <c r="S97" s="3"/>
      <c r="T97" s="3"/>
      <c r="U97" s="3"/>
      <c r="V97" s="3"/>
      <c r="W97" s="3"/>
      <c r="X97" s="18"/>
      <c r="Y97" s="45"/>
      <c r="Z97" s="4" t="s">
        <v>13</v>
      </c>
      <c r="AA97" s="46"/>
      <c r="AB97" s="4" t="s">
        <v>14</v>
      </c>
      <c r="AC97" s="46"/>
      <c r="AD97" s="4" t="s">
        <v>111</v>
      </c>
      <c r="AF97" s="6"/>
      <c r="AH97" s="63"/>
      <c r="AJ97" s="66"/>
      <c r="AL97" s="6"/>
    </row>
    <row r="98" spans="1:38" ht="15.75" thickTop="1">
      <c r="B98" s="30"/>
      <c r="C98" s="63">
        <v>70</v>
      </c>
      <c r="D98" s="448" t="s">
        <v>50</v>
      </c>
      <c r="E98" s="469"/>
      <c r="F98" s="15">
        <v>145</v>
      </c>
      <c r="G98" s="448" t="s">
        <v>6</v>
      </c>
      <c r="H98" s="505"/>
      <c r="I98" s="63">
        <f>19.12+0.5+2</f>
        <v>21.62</v>
      </c>
      <c r="J98" s="448" t="s">
        <v>87</v>
      </c>
      <c r="K98" s="505"/>
      <c r="L98" s="77"/>
      <c r="M98" s="25"/>
      <c r="N98" s="151"/>
      <c r="O98" s="40">
        <f>P98/30</f>
        <v>-10.031666666666668</v>
      </c>
      <c r="P98" s="38">
        <f>SUM(C96:C99)-SUM(F93:F99)-SUM(I93:I99)-SUM(L93:L99)</f>
        <v>-300.95000000000005</v>
      </c>
      <c r="Q98" s="60">
        <f>Q89+P100-SUM(L93:L99)</f>
        <v>156.60999999999802</v>
      </c>
      <c r="R98" s="39" t="s">
        <v>12</v>
      </c>
      <c r="S98" s="39"/>
      <c r="T98" s="39"/>
      <c r="U98" s="58">
        <f>Z98+AB98+AD98+AD99</f>
        <v>174.23</v>
      </c>
      <c r="V98" s="285"/>
      <c r="W98" s="40">
        <f>U98-U89</f>
        <v>-285.48</v>
      </c>
      <c r="X98" s="38">
        <f>W98/30</f>
        <v>-9.516</v>
      </c>
      <c r="Y98" s="43" t="s">
        <v>17</v>
      </c>
      <c r="Z98" s="44">
        <v>101</v>
      </c>
      <c r="AA98" s="11" t="s">
        <v>15</v>
      </c>
      <c r="AB98" s="12">
        <v>41.88</v>
      </c>
      <c r="AC98" s="11" t="s">
        <v>17</v>
      </c>
      <c r="AD98" s="12">
        <v>13.35</v>
      </c>
      <c r="AE98" s="6"/>
      <c r="AH98" s="7"/>
      <c r="AJ98" s="66"/>
      <c r="AL98" s="6"/>
    </row>
    <row r="99" spans="1:38" ht="15.75" thickBot="1">
      <c r="B99" s="30"/>
      <c r="C99" s="25">
        <v>190</v>
      </c>
      <c r="D99" s="448" t="s">
        <v>84</v>
      </c>
      <c r="E99" s="469"/>
      <c r="F99" s="15"/>
      <c r="G99" s="462"/>
      <c r="H99" s="464"/>
      <c r="I99" s="20">
        <v>5.15</v>
      </c>
      <c r="J99" s="448" t="s">
        <v>75</v>
      </c>
      <c r="K99" s="505"/>
      <c r="L99" s="76"/>
      <c r="M99" s="25"/>
      <c r="N99" s="151"/>
      <c r="O99" s="41">
        <f>P99/30</f>
        <v>-10.7</v>
      </c>
      <c r="P99" s="34">
        <f>SUM(L93:L99)</f>
        <v>-321</v>
      </c>
      <c r="Q99" s="36">
        <f>Q90+SUM(L93:L99)</f>
        <v>269.96000000000004</v>
      </c>
      <c r="R99" s="2" t="s">
        <v>16</v>
      </c>
      <c r="S99" s="2"/>
      <c r="T99" s="2"/>
      <c r="U99" s="56">
        <f>Z99+Z100+AB99</f>
        <v>226.17000000000002</v>
      </c>
      <c r="V99" s="31"/>
      <c r="W99" s="41">
        <f>U99-U90</f>
        <v>-312.99999999999994</v>
      </c>
      <c r="X99" s="34">
        <f>W99/30</f>
        <v>-10.433333333333332</v>
      </c>
      <c r="Y99" s="32" t="s">
        <v>18</v>
      </c>
      <c r="Z99" s="13">
        <v>124</v>
      </c>
      <c r="AA99" s="9" t="s">
        <v>16</v>
      </c>
      <c r="AB99" s="10">
        <v>102.17</v>
      </c>
      <c r="AC99" s="9" t="s">
        <v>87</v>
      </c>
      <c r="AD99" s="10">
        <v>18</v>
      </c>
    </row>
    <row r="100" spans="1:38" ht="15.75" thickBot="1">
      <c r="B100" s="28"/>
      <c r="C100" s="5"/>
      <c r="D100" s="459"/>
      <c r="E100" s="460"/>
      <c r="F100" s="17"/>
      <c r="G100" s="459"/>
      <c r="H100" s="461"/>
      <c r="I100" s="21"/>
      <c r="J100" s="459"/>
      <c r="K100" s="461"/>
      <c r="L100" s="42"/>
      <c r="M100" s="5"/>
      <c r="N100" s="54"/>
      <c r="O100" s="42">
        <f>P100/30</f>
        <v>-20.731666666666669</v>
      </c>
      <c r="P100" s="19">
        <f>SUM(C96:C99)-SUM(F93:F99)-SUM(I92:I100)</f>
        <v>-621.95000000000005</v>
      </c>
      <c r="Q100" s="57">
        <f>Q98+Q99</f>
        <v>426.56999999999806</v>
      </c>
      <c r="R100" s="35" t="s">
        <v>5</v>
      </c>
      <c r="S100" s="35"/>
      <c r="T100" s="35"/>
      <c r="U100" s="59">
        <f>U99+U98</f>
        <v>400.4</v>
      </c>
      <c r="V100" s="284"/>
      <c r="W100" s="42">
        <f>U100-U91</f>
        <v>-598.48</v>
      </c>
      <c r="X100" s="19">
        <f>W100/30</f>
        <v>-19.949333333333335</v>
      </c>
      <c r="Y100" s="33" t="s">
        <v>19</v>
      </c>
      <c r="Z100" s="24">
        <v>0</v>
      </c>
      <c r="AA100" s="8"/>
    </row>
    <row r="101" spans="1:38" ht="16.5" thickTop="1" thickBot="1">
      <c r="A101" s="14" t="s">
        <v>31</v>
      </c>
      <c r="B101" s="61" t="s">
        <v>0</v>
      </c>
      <c r="C101" s="25"/>
      <c r="D101" s="494"/>
      <c r="E101" s="495"/>
      <c r="F101" s="15"/>
      <c r="G101" s="494"/>
      <c r="H101" s="515"/>
      <c r="I101" s="20"/>
      <c r="J101" s="494"/>
      <c r="K101" s="515"/>
      <c r="L101" s="76"/>
      <c r="M101" s="25"/>
      <c r="N101" s="151"/>
      <c r="O101" s="25"/>
      <c r="P101" s="25"/>
      <c r="X101" s="16"/>
      <c r="AA101" s="8"/>
    </row>
    <row r="102" spans="1:38">
      <c r="B102" s="62">
        <v>44319</v>
      </c>
      <c r="C102" s="63">
        <v>70</v>
      </c>
      <c r="D102" s="448" t="s">
        <v>50</v>
      </c>
      <c r="E102" s="469"/>
      <c r="F102" s="15">
        <f>9.65+21.7+10+9+9.65+9+9+9+10+8.9+9+33+8.71+8.9+9+15.78+9+10+9+9+9+9+9+9</f>
        <v>263.29000000000002</v>
      </c>
      <c r="G102" s="448" t="s">
        <v>8</v>
      </c>
      <c r="H102" s="505"/>
      <c r="I102" s="20">
        <f>70+40+160+50</f>
        <v>320</v>
      </c>
      <c r="J102" s="448" t="s">
        <v>10</v>
      </c>
      <c r="K102" s="505"/>
      <c r="L102" s="76">
        <v>-50</v>
      </c>
      <c r="M102" s="25"/>
      <c r="N102" s="151"/>
      <c r="O102" s="25"/>
      <c r="P102" s="25"/>
      <c r="X102" s="16"/>
      <c r="AA102" s="8"/>
    </row>
    <row r="103" spans="1:38">
      <c r="B103" s="67" t="s">
        <v>92</v>
      </c>
      <c r="C103" s="25">
        <f>450</f>
        <v>450</v>
      </c>
      <c r="D103" s="448" t="s">
        <v>91</v>
      </c>
      <c r="E103" s="469"/>
      <c r="F103" s="15">
        <f>34.84+37.26+35.59+37.86</f>
        <v>145.55000000000001</v>
      </c>
      <c r="G103" s="448" t="s">
        <v>9</v>
      </c>
      <c r="H103" s="505"/>
      <c r="I103" s="20">
        <v>5</v>
      </c>
      <c r="J103" s="448" t="s">
        <v>89</v>
      </c>
      <c r="K103" s="505"/>
      <c r="L103" s="76">
        <v>20</v>
      </c>
      <c r="M103" s="25"/>
      <c r="N103" s="151"/>
      <c r="O103" s="25"/>
      <c r="P103" s="25"/>
      <c r="X103" s="16"/>
      <c r="AA103" s="8"/>
    </row>
    <row r="104" spans="1:38">
      <c r="B104" s="62">
        <v>44328</v>
      </c>
      <c r="C104" s="63">
        <v>90</v>
      </c>
      <c r="D104" s="448" t="s">
        <v>50</v>
      </c>
      <c r="E104" s="469"/>
      <c r="F104" s="15">
        <v>10</v>
      </c>
      <c r="G104" s="448" t="s">
        <v>33</v>
      </c>
      <c r="H104" s="505"/>
      <c r="I104" s="20">
        <v>9.99</v>
      </c>
      <c r="J104" s="448" t="s">
        <v>22</v>
      </c>
      <c r="K104" s="505"/>
      <c r="L104" s="76">
        <v>10</v>
      </c>
      <c r="M104" s="25"/>
      <c r="N104" s="151"/>
      <c r="O104" s="25"/>
      <c r="P104" s="25"/>
      <c r="X104" s="16"/>
      <c r="AA104" s="8"/>
    </row>
    <row r="105" spans="1:38">
      <c r="B105" s="62" t="s">
        <v>96</v>
      </c>
      <c r="C105" s="25">
        <v>550</v>
      </c>
      <c r="D105" s="448" t="s">
        <v>91</v>
      </c>
      <c r="E105" s="469"/>
      <c r="F105" s="15">
        <v>7</v>
      </c>
      <c r="G105" s="448" t="s">
        <v>93</v>
      </c>
      <c r="H105" s="505"/>
      <c r="I105" s="20">
        <v>26.92</v>
      </c>
      <c r="J105" s="448" t="s">
        <v>61</v>
      </c>
      <c r="K105" s="505"/>
      <c r="L105" s="76">
        <v>-10</v>
      </c>
      <c r="M105" s="25"/>
      <c r="N105" s="151"/>
      <c r="O105" s="25"/>
      <c r="P105" s="25"/>
      <c r="X105" s="16"/>
      <c r="AA105" s="8"/>
    </row>
    <row r="106" spans="1:38" ht="15.75" thickBot="1">
      <c r="B106" s="62" t="s">
        <v>94</v>
      </c>
      <c r="C106" s="25">
        <v>600</v>
      </c>
      <c r="D106" s="448" t="s">
        <v>91</v>
      </c>
      <c r="E106" s="469"/>
      <c r="F106" s="15">
        <f>163-160</f>
        <v>3</v>
      </c>
      <c r="G106" s="448" t="s">
        <v>99</v>
      </c>
      <c r="H106" s="505"/>
      <c r="I106" s="20">
        <v>20</v>
      </c>
      <c r="J106" s="448" t="s">
        <v>98</v>
      </c>
      <c r="K106" s="505"/>
      <c r="L106" s="76">
        <v>50</v>
      </c>
      <c r="M106" s="25"/>
      <c r="N106" s="151"/>
      <c r="O106" s="25"/>
      <c r="P106" s="25"/>
      <c r="X106" s="16"/>
      <c r="AA106" s="8"/>
    </row>
    <row r="107" spans="1:38" ht="15.75" thickBot="1">
      <c r="B107" s="62">
        <v>44341</v>
      </c>
      <c r="C107" s="25">
        <v>160</v>
      </c>
      <c r="D107" s="448" t="s">
        <v>100</v>
      </c>
      <c r="E107" s="469"/>
      <c r="F107" s="15">
        <v>145</v>
      </c>
      <c r="G107" s="448" t="s">
        <v>6</v>
      </c>
      <c r="H107" s="505"/>
      <c r="I107" s="20">
        <v>20</v>
      </c>
      <c r="J107" s="448" t="s">
        <v>87</v>
      </c>
      <c r="K107" s="505"/>
      <c r="L107" s="76">
        <v>200</v>
      </c>
      <c r="M107" s="25"/>
      <c r="N107" s="151"/>
      <c r="O107" s="3"/>
      <c r="P107" s="3"/>
      <c r="Q107" s="3"/>
      <c r="R107" s="3"/>
      <c r="S107" s="3"/>
      <c r="T107" s="3"/>
      <c r="U107" s="3"/>
      <c r="V107" s="3"/>
      <c r="W107" s="3"/>
      <c r="X107" s="18"/>
      <c r="Y107" s="45"/>
      <c r="Z107" s="4" t="s">
        <v>13</v>
      </c>
      <c r="AA107" s="46"/>
      <c r="AB107" s="4" t="s">
        <v>14</v>
      </c>
      <c r="AC107" s="46"/>
      <c r="AD107" s="4" t="s">
        <v>111</v>
      </c>
    </row>
    <row r="108" spans="1:38" ht="15.75" thickTop="1">
      <c r="B108" s="62">
        <v>44342</v>
      </c>
      <c r="C108" s="25">
        <v>993.28</v>
      </c>
      <c r="D108" s="448" t="s">
        <v>101</v>
      </c>
      <c r="E108" s="469"/>
      <c r="F108" s="15"/>
      <c r="G108" s="462"/>
      <c r="H108" s="464"/>
      <c r="I108" s="20">
        <v>5.15</v>
      </c>
      <c r="J108" s="448" t="s">
        <v>75</v>
      </c>
      <c r="K108" s="505"/>
      <c r="L108" s="76">
        <v>1000</v>
      </c>
      <c r="M108" s="25"/>
      <c r="N108" s="151"/>
      <c r="O108" s="40">
        <f>P108/31</f>
        <v>22.97999999999999</v>
      </c>
      <c r="P108" s="38">
        <f>SUM(C102:C109)-SUM(F102:F109)-SUM(I102:I109)-SUM(L102:L109)</f>
        <v>712.37999999999965</v>
      </c>
      <c r="Q108" s="60">
        <f>Q98+P110-SUM(L102:L109)</f>
        <v>868.98999999999751</v>
      </c>
      <c r="R108" s="39" t="s">
        <v>12</v>
      </c>
      <c r="S108" s="39"/>
      <c r="T108" s="39"/>
      <c r="U108" s="58">
        <f>Z108+AB108+AD108+AD109</f>
        <v>889.55</v>
      </c>
      <c r="V108" s="285"/>
      <c r="W108" s="40">
        <f>U108-U98</f>
        <v>715.31999999999994</v>
      </c>
      <c r="X108" s="38">
        <f>W108/31</f>
        <v>23.074838709677419</v>
      </c>
      <c r="Y108" s="43" t="s">
        <v>17</v>
      </c>
      <c r="Z108" s="44">
        <v>335</v>
      </c>
      <c r="AA108" s="11" t="s">
        <v>15</v>
      </c>
      <c r="AB108" s="12">
        <v>511.26</v>
      </c>
      <c r="AC108" s="11" t="s">
        <v>17</v>
      </c>
      <c r="AD108" s="12">
        <v>6.6</v>
      </c>
      <c r="AE108" s="6"/>
    </row>
    <row r="109" spans="1:38" ht="15.75" thickBot="1">
      <c r="B109" s="62" t="s">
        <v>95</v>
      </c>
      <c r="C109" s="25">
        <v>600</v>
      </c>
      <c r="D109" s="448" t="s">
        <v>91</v>
      </c>
      <c r="E109" s="469"/>
      <c r="F109" s="15"/>
      <c r="G109" s="462"/>
      <c r="H109" s="464"/>
      <c r="I109" s="20"/>
      <c r="J109" s="462"/>
      <c r="K109" s="464"/>
      <c r="L109" s="76">
        <v>600</v>
      </c>
      <c r="M109" s="25"/>
      <c r="N109" s="151"/>
      <c r="O109" s="41">
        <f>P109/31</f>
        <v>58.70967741935484</v>
      </c>
      <c r="P109" s="34">
        <f>SUM(L102:L109)</f>
        <v>1820</v>
      </c>
      <c r="Q109" s="36">
        <f>Q99+SUM(L102:L109)</f>
        <v>2089.96</v>
      </c>
      <c r="R109" s="2" t="s">
        <v>16</v>
      </c>
      <c r="S109" s="2"/>
      <c r="T109" s="2"/>
      <c r="U109" s="56">
        <f>Z109+AB109+Z110</f>
        <v>2052.1800000000003</v>
      </c>
      <c r="V109" s="31"/>
      <c r="W109" s="41">
        <f>U109-U99</f>
        <v>1826.0100000000002</v>
      </c>
      <c r="X109" s="34">
        <f>W109/31</f>
        <v>58.903548387096784</v>
      </c>
      <c r="Y109" s="32" t="s">
        <v>18</v>
      </c>
      <c r="Z109" s="13">
        <v>144</v>
      </c>
      <c r="AA109" s="9" t="s">
        <v>16</v>
      </c>
      <c r="AB109" s="10">
        <v>1902.18</v>
      </c>
      <c r="AC109" s="9" t="s">
        <v>87</v>
      </c>
      <c r="AD109" s="10">
        <v>36.69</v>
      </c>
    </row>
    <row r="110" spans="1:38" ht="15.75" thickBot="1">
      <c r="B110" s="28"/>
      <c r="C110" s="5"/>
      <c r="D110" s="459"/>
      <c r="E110" s="460"/>
      <c r="F110" s="17"/>
      <c r="G110" s="459"/>
      <c r="H110" s="461"/>
      <c r="I110" s="21"/>
      <c r="J110" s="459"/>
      <c r="K110" s="461"/>
      <c r="L110" s="42"/>
      <c r="M110" s="5"/>
      <c r="N110" s="54"/>
      <c r="O110" s="42">
        <f>P110/31</f>
        <v>81.689677419354823</v>
      </c>
      <c r="P110" s="19">
        <f>SUM(C102:C109)-SUM(F102:F109)-SUM(I102:I109)</f>
        <v>2532.3799999999997</v>
      </c>
      <c r="Q110" s="57">
        <f>Q108+Q109</f>
        <v>2958.9499999999975</v>
      </c>
      <c r="R110" s="35" t="s">
        <v>5</v>
      </c>
      <c r="S110" s="35"/>
      <c r="T110" s="35"/>
      <c r="U110" s="59">
        <f>U109+U108</f>
        <v>2941.7300000000005</v>
      </c>
      <c r="V110" s="284"/>
      <c r="W110" s="42">
        <f>U110-U100</f>
        <v>2541.3300000000004</v>
      </c>
      <c r="X110" s="19">
        <f>W110/31</f>
        <v>81.978387096774199</v>
      </c>
      <c r="Y110" s="33" t="s">
        <v>19</v>
      </c>
      <c r="Z110" s="24">
        <v>6</v>
      </c>
      <c r="AA110" s="8"/>
    </row>
    <row r="111" spans="1:38" ht="16.5" thickTop="1" thickBot="1">
      <c r="A111" s="14" t="s">
        <v>31</v>
      </c>
      <c r="B111" s="61" t="s">
        <v>1</v>
      </c>
      <c r="C111" s="25"/>
      <c r="D111" s="494"/>
      <c r="E111" s="495"/>
      <c r="F111" s="15"/>
      <c r="G111" s="494"/>
      <c r="H111" s="515"/>
      <c r="I111" s="20"/>
      <c r="J111" s="494"/>
      <c r="K111" s="515"/>
      <c r="L111" s="76"/>
      <c r="M111" s="25"/>
      <c r="N111" s="151"/>
      <c r="O111" s="25"/>
      <c r="P111" s="25"/>
      <c r="X111" s="16"/>
      <c r="AA111" s="8"/>
    </row>
    <row r="112" spans="1:38">
      <c r="B112" s="26"/>
      <c r="C112" s="25"/>
      <c r="D112" s="462"/>
      <c r="E112" s="463"/>
      <c r="F112" s="15">
        <f>22+9+9+9+9+9+9+9+9+9.82+16+33+9+9+8.28+8.9+10+9+8.31+9.65+15+19+9.65+22+8.31+9</f>
        <v>307.92</v>
      </c>
      <c r="G112" s="448" t="s">
        <v>8</v>
      </c>
      <c r="H112" s="505"/>
      <c r="I112" s="20">
        <f>100+120+80+210</f>
        <v>510</v>
      </c>
      <c r="J112" s="448" t="s">
        <v>10</v>
      </c>
      <c r="K112" s="505"/>
      <c r="L112" s="76">
        <v>600</v>
      </c>
      <c r="M112" s="25"/>
      <c r="N112" s="151"/>
      <c r="O112" s="25"/>
      <c r="P112" s="25"/>
      <c r="X112" s="16"/>
      <c r="AA112" s="8"/>
    </row>
    <row r="113" spans="1:31">
      <c r="B113" s="26"/>
      <c r="C113" s="25">
        <v>150</v>
      </c>
      <c r="D113" s="448" t="s">
        <v>104</v>
      </c>
      <c r="E113" s="469"/>
      <c r="F113" s="15">
        <f>16.81+32.76+34.97+36.61+39.29</f>
        <v>160.44</v>
      </c>
      <c r="G113" s="448" t="s">
        <v>9</v>
      </c>
      <c r="H113" s="505"/>
      <c r="I113" s="20">
        <v>9.99</v>
      </c>
      <c r="J113" s="448" t="s">
        <v>22</v>
      </c>
      <c r="K113" s="505"/>
      <c r="L113" s="76">
        <v>200</v>
      </c>
      <c r="M113" s="25"/>
      <c r="N113" s="151"/>
      <c r="O113" s="25"/>
      <c r="P113" s="25"/>
      <c r="X113" s="16"/>
      <c r="AA113" s="8"/>
    </row>
    <row r="114" spans="1:31">
      <c r="B114" s="26" t="s">
        <v>103</v>
      </c>
      <c r="C114" s="25">
        <v>600</v>
      </c>
      <c r="D114" s="448" t="s">
        <v>91</v>
      </c>
      <c r="E114" s="469"/>
      <c r="F114" s="15">
        <f>20+20</f>
        <v>40</v>
      </c>
      <c r="G114" s="448" t="s">
        <v>81</v>
      </c>
      <c r="H114" s="505"/>
      <c r="I114" s="20">
        <v>88</v>
      </c>
      <c r="J114" s="448" t="s">
        <v>105</v>
      </c>
      <c r="K114" s="505"/>
      <c r="L114" s="76">
        <v>20</v>
      </c>
      <c r="M114" s="25"/>
      <c r="N114" s="151"/>
      <c r="O114" s="25"/>
      <c r="P114" s="25"/>
      <c r="X114" s="16"/>
      <c r="AA114" s="8"/>
    </row>
    <row r="115" spans="1:31" ht="15.75" thickBot="1">
      <c r="B115" s="27" t="s">
        <v>106</v>
      </c>
      <c r="C115" s="25">
        <v>600</v>
      </c>
      <c r="D115" s="448" t="s">
        <v>91</v>
      </c>
      <c r="E115" s="469"/>
      <c r="F115" s="15">
        <v>84.23</v>
      </c>
      <c r="G115" s="448" t="s">
        <v>90</v>
      </c>
      <c r="H115" s="505"/>
      <c r="I115" s="20">
        <v>6.81</v>
      </c>
      <c r="J115" s="448" t="s">
        <v>107</v>
      </c>
      <c r="K115" s="505"/>
      <c r="L115" s="76"/>
      <c r="M115" s="25"/>
      <c r="N115" s="151"/>
      <c r="O115" s="25"/>
      <c r="P115" s="25"/>
      <c r="Q115" s="6"/>
      <c r="X115" s="16"/>
      <c r="AA115" s="8"/>
    </row>
    <row r="116" spans="1:31" ht="15.75" thickBot="1">
      <c r="B116" s="26" t="s">
        <v>109</v>
      </c>
      <c r="C116" s="25">
        <v>600</v>
      </c>
      <c r="D116" s="448" t="s">
        <v>91</v>
      </c>
      <c r="E116" s="469"/>
      <c r="F116" s="15">
        <v>442</v>
      </c>
      <c r="G116" s="448" t="s">
        <v>97</v>
      </c>
      <c r="H116" s="505"/>
      <c r="I116" s="20">
        <v>43.44</v>
      </c>
      <c r="J116" s="448" t="s">
        <v>108</v>
      </c>
      <c r="K116" s="505"/>
      <c r="L116" s="76"/>
      <c r="M116" s="25"/>
      <c r="N116" s="151"/>
      <c r="O116" s="3"/>
      <c r="P116" s="3"/>
      <c r="Q116" s="101"/>
      <c r="R116" s="101"/>
      <c r="S116" s="101"/>
      <c r="T116" s="101"/>
      <c r="U116" s="3"/>
      <c r="V116" s="3"/>
      <c r="W116" s="3"/>
      <c r="X116" s="18"/>
      <c r="Y116" s="45"/>
      <c r="Z116" s="4" t="s">
        <v>13</v>
      </c>
      <c r="AA116" s="46"/>
      <c r="AB116" s="4" t="s">
        <v>14</v>
      </c>
      <c r="AC116" s="46"/>
      <c r="AD116" s="4" t="s">
        <v>111</v>
      </c>
    </row>
    <row r="117" spans="1:31" ht="15.75" thickTop="1">
      <c r="B117" s="26" t="s">
        <v>110</v>
      </c>
      <c r="C117" s="25">
        <v>600</v>
      </c>
      <c r="D117" s="448" t="s">
        <v>91</v>
      </c>
      <c r="E117" s="469"/>
      <c r="F117" s="15">
        <v>145</v>
      </c>
      <c r="G117" s="448" t="s">
        <v>6</v>
      </c>
      <c r="H117" s="505"/>
      <c r="I117" s="20">
        <f>25.4+16.28</f>
        <v>41.68</v>
      </c>
      <c r="J117" s="448" t="s">
        <v>105</v>
      </c>
      <c r="K117" s="505"/>
      <c r="L117" s="76"/>
      <c r="M117" s="25"/>
      <c r="N117" s="151"/>
      <c r="O117" s="40">
        <f>P117/30</f>
        <v>7.3446666666666642</v>
      </c>
      <c r="P117" s="38">
        <f>SUM(C112:C118)-SUM(F112:F118)-SUM(I112:I118)-SUM(L112:L118)</f>
        <v>220.33999999999992</v>
      </c>
      <c r="Q117" s="60">
        <f>Q108+P119-SUM(L112:L118)</f>
        <v>1089.3299999999974</v>
      </c>
      <c r="R117" s="39" t="s">
        <v>12</v>
      </c>
      <c r="S117" s="39"/>
      <c r="T117" s="39"/>
      <c r="U117" s="58">
        <f>Z117+AB117+AD117+AD118</f>
        <v>1100.0900000000001</v>
      </c>
      <c r="V117" s="285"/>
      <c r="W117" s="40">
        <f>U117-U108</f>
        <v>210.54000000000019</v>
      </c>
      <c r="X117" s="38">
        <f>W117/30</f>
        <v>7.018000000000006</v>
      </c>
      <c r="Y117" s="43" t="s">
        <v>17</v>
      </c>
      <c r="Z117" s="44">
        <v>326</v>
      </c>
      <c r="AA117" s="11" t="s">
        <v>15</v>
      </c>
      <c r="AB117" s="12">
        <v>716.4</v>
      </c>
      <c r="AC117" s="11" t="s">
        <v>17</v>
      </c>
      <c r="AD117" s="12">
        <v>11.3</v>
      </c>
    </row>
    <row r="118" spans="1:31" ht="15.75" thickBot="1">
      <c r="B118" s="26"/>
      <c r="C118" s="25">
        <v>375</v>
      </c>
      <c r="D118" s="448" t="s">
        <v>84</v>
      </c>
      <c r="E118" s="469"/>
      <c r="F118" s="15"/>
      <c r="G118" s="462"/>
      <c r="H118" s="464"/>
      <c r="I118" s="20">
        <v>5.15</v>
      </c>
      <c r="J118" s="448" t="s">
        <v>75</v>
      </c>
      <c r="K118" s="505"/>
      <c r="L118" s="76"/>
      <c r="M118" s="25"/>
      <c r="N118" s="151"/>
      <c r="O118" s="41">
        <f>P118/30</f>
        <v>27.333333333333332</v>
      </c>
      <c r="P118" s="34">
        <f>SUM(L112:L118)</f>
        <v>820</v>
      </c>
      <c r="Q118" s="36">
        <f>Q109+SUM(L112:L118)</f>
        <v>2909.96</v>
      </c>
      <c r="R118" s="2" t="s">
        <v>16</v>
      </c>
      <c r="S118" s="2"/>
      <c r="T118" s="2"/>
      <c r="U118" s="56">
        <f>Z118+AB118+Z119</f>
        <v>2878.22</v>
      </c>
      <c r="V118" s="31"/>
      <c r="W118" s="41">
        <f>U118-U109</f>
        <v>826.03999999999951</v>
      </c>
      <c r="X118" s="34">
        <f>W118/30</f>
        <v>27.534666666666649</v>
      </c>
      <c r="Y118" s="32" t="s">
        <v>18</v>
      </c>
      <c r="Z118" s="13">
        <v>164</v>
      </c>
      <c r="AA118" s="9" t="s">
        <v>16</v>
      </c>
      <c r="AB118" s="10">
        <v>2702.22</v>
      </c>
      <c r="AC118" s="9" t="s">
        <v>87</v>
      </c>
      <c r="AD118" s="10">
        <v>46.39</v>
      </c>
    </row>
    <row r="119" spans="1:31" ht="15.75" thickBot="1">
      <c r="B119" s="28"/>
      <c r="C119" s="5"/>
      <c r="D119" s="459"/>
      <c r="E119" s="460"/>
      <c r="F119" s="17"/>
      <c r="G119" s="459"/>
      <c r="H119" s="461"/>
      <c r="I119" s="21"/>
      <c r="J119" s="459"/>
      <c r="K119" s="461"/>
      <c r="L119" s="42"/>
      <c r="M119" s="5"/>
      <c r="N119" s="54"/>
      <c r="O119" s="89">
        <f>P119/30</f>
        <v>34.677999999999997</v>
      </c>
      <c r="P119" s="90">
        <f>SUM(C112:C118)-SUM(F112:F118)-SUM(I112:I118)</f>
        <v>1040.3399999999999</v>
      </c>
      <c r="Q119" s="91">
        <f>Q117+Q118</f>
        <v>3999.2899999999972</v>
      </c>
      <c r="R119" s="4" t="s">
        <v>5</v>
      </c>
      <c r="S119" s="4"/>
      <c r="T119" s="4"/>
      <c r="U119" s="92">
        <f>U118+U117</f>
        <v>3978.31</v>
      </c>
      <c r="V119" s="286"/>
      <c r="W119" s="93">
        <f>U119-U110</f>
        <v>1036.5799999999995</v>
      </c>
      <c r="X119" s="90">
        <f>W119/30</f>
        <v>34.552666666666646</v>
      </c>
      <c r="Y119" s="33" t="s">
        <v>19</v>
      </c>
      <c r="Z119" s="24">
        <v>12</v>
      </c>
      <c r="AA119" s="8"/>
    </row>
    <row r="120" spans="1:31" ht="16.5" thickTop="1" thickBot="1">
      <c r="A120" s="14" t="s">
        <v>31</v>
      </c>
      <c r="B120" s="107">
        <v>44378</v>
      </c>
      <c r="C120" s="25"/>
      <c r="D120" s="494"/>
      <c r="E120" s="495"/>
      <c r="F120" s="15"/>
      <c r="G120" s="494"/>
      <c r="H120" s="515"/>
      <c r="I120" s="20"/>
      <c r="J120" s="494"/>
      <c r="K120" s="515"/>
      <c r="L120" s="76"/>
      <c r="M120" s="25"/>
      <c r="N120" s="151"/>
      <c r="O120" s="15"/>
      <c r="P120" s="25"/>
      <c r="X120" s="16"/>
      <c r="AA120" s="8"/>
    </row>
    <row r="121" spans="1:31" ht="15.75" thickBot="1">
      <c r="B121" s="26"/>
      <c r="C121" s="25"/>
      <c r="D121" s="462"/>
      <c r="E121" s="463"/>
      <c r="F121" s="15">
        <f>9+7+9+10+8.9+10+8.31+16+9+10+14.91+9+10+10+2+8.31+8.9+10+10+8.31+7+8.9+8.31+8+33+9+9+8+11</f>
        <v>290.85000000000002</v>
      </c>
      <c r="G121" s="448" t="s">
        <v>8</v>
      </c>
      <c r="H121" s="505"/>
      <c r="I121" s="20">
        <f>120+80+42+30+65+73+40</f>
        <v>450</v>
      </c>
      <c r="J121" s="448" t="s">
        <v>10</v>
      </c>
      <c r="K121" s="505"/>
      <c r="L121" s="76">
        <v>300</v>
      </c>
      <c r="M121" s="25">
        <v>1100</v>
      </c>
      <c r="N121" s="151"/>
      <c r="O121" s="15"/>
      <c r="P121" s="25"/>
      <c r="X121" s="16"/>
      <c r="AA121" s="8"/>
    </row>
    <row r="122" spans="1:31" ht="15.75" thickBot="1">
      <c r="B122" s="26" t="s">
        <v>114</v>
      </c>
      <c r="C122" s="25">
        <v>900</v>
      </c>
      <c r="D122" s="448" t="s">
        <v>91</v>
      </c>
      <c r="E122" s="469"/>
      <c r="F122" s="15">
        <f>39.15+37.03+34.54+36.58</f>
        <v>147.30000000000001</v>
      </c>
      <c r="G122" s="448" t="s">
        <v>9</v>
      </c>
      <c r="H122" s="505"/>
      <c r="I122" s="20">
        <v>9.99</v>
      </c>
      <c r="J122" s="448" t="s">
        <v>22</v>
      </c>
      <c r="K122" s="505"/>
      <c r="L122" s="76">
        <v>500</v>
      </c>
      <c r="M122" s="25"/>
      <c r="N122" s="151"/>
      <c r="O122" s="15"/>
      <c r="P122" s="25"/>
      <c r="X122" s="16"/>
      <c r="Y122" s="45"/>
      <c r="Z122" s="4" t="s">
        <v>13</v>
      </c>
      <c r="AA122" s="46"/>
      <c r="AB122" s="4" t="s">
        <v>14</v>
      </c>
      <c r="AC122" s="46"/>
      <c r="AD122" s="4" t="s">
        <v>111</v>
      </c>
    </row>
    <row r="123" spans="1:31" ht="15.75" thickTop="1">
      <c r="B123" s="27">
        <v>44357</v>
      </c>
      <c r="C123" s="25">
        <v>65</v>
      </c>
      <c r="D123" s="448" t="s">
        <v>50</v>
      </c>
      <c r="E123" s="469"/>
      <c r="F123" s="15">
        <f>500+200</f>
        <v>700</v>
      </c>
      <c r="G123" s="448" t="s">
        <v>97</v>
      </c>
      <c r="H123" s="505"/>
      <c r="I123" s="20">
        <f>106.08+10.53+21.59+17.37+12.99</f>
        <v>168.56</v>
      </c>
      <c r="J123" s="448" t="s">
        <v>105</v>
      </c>
      <c r="K123" s="505"/>
      <c r="L123" s="76">
        <v>100</v>
      </c>
      <c r="M123" s="25"/>
      <c r="N123" s="151"/>
      <c r="O123" s="80">
        <f>P123/31</f>
        <v>0.21419354838709267</v>
      </c>
      <c r="P123" s="81">
        <f>SUM(C121:C125)-SUM(F121:F125)-SUM(I121:I125)-SUM(L121:L125)-SUM(M121:M125)</f>
        <v>6.6399999999998727</v>
      </c>
      <c r="Q123" s="82">
        <f>Q117+P126-SUM(L121:L125)-SUM(M121:M125)</f>
        <v>1095.9699999999975</v>
      </c>
      <c r="R123" s="98" t="s">
        <v>12</v>
      </c>
      <c r="S123" s="98"/>
      <c r="T123" s="98"/>
      <c r="U123" s="87">
        <f>Z123+AB123+AD123+AD124</f>
        <v>1102.3399999999999</v>
      </c>
      <c r="V123" s="287"/>
      <c r="W123" s="99">
        <f>U123-U117</f>
        <v>2.2499999999997726</v>
      </c>
      <c r="X123" s="81">
        <f>W123/31</f>
        <v>7.2580645161282986E-2</v>
      </c>
      <c r="Y123" s="43" t="s">
        <v>17</v>
      </c>
      <c r="Z123" s="44">
        <v>82</v>
      </c>
      <c r="AA123" s="11" t="s">
        <v>15</v>
      </c>
      <c r="AB123" s="12">
        <v>954.04</v>
      </c>
      <c r="AC123" s="11" t="s">
        <v>17</v>
      </c>
      <c r="AD123" s="12">
        <v>7.06</v>
      </c>
    </row>
    <row r="124" spans="1:31" ht="15.75" thickBot="1">
      <c r="B124" s="26" t="s">
        <v>113</v>
      </c>
      <c r="C124" s="25">
        <v>1500</v>
      </c>
      <c r="D124" s="448" t="s">
        <v>91</v>
      </c>
      <c r="E124" s="469"/>
      <c r="F124" s="15">
        <v>20</v>
      </c>
      <c r="G124" s="448" t="s">
        <v>33</v>
      </c>
      <c r="H124" s="505"/>
      <c r="I124" s="20">
        <v>5.15</v>
      </c>
      <c r="J124" s="448" t="s">
        <v>75</v>
      </c>
      <c r="K124" s="505"/>
      <c r="L124" s="76"/>
      <c r="M124" s="25"/>
      <c r="N124" s="151"/>
      <c r="O124" s="79">
        <f>P124/31</f>
        <v>29.032258064516128</v>
      </c>
      <c r="P124" s="72">
        <f>SUM(L121:L125)</f>
        <v>900</v>
      </c>
      <c r="Q124" s="83">
        <f>Q118+SUM(L121:L125)</f>
        <v>3809.96</v>
      </c>
      <c r="R124" s="85" t="s">
        <v>16</v>
      </c>
      <c r="S124" s="85"/>
      <c r="T124" s="85"/>
      <c r="U124" s="88">
        <f>Z124+AB124+Z125</f>
        <v>3782.27</v>
      </c>
      <c r="V124" s="288"/>
      <c r="W124" s="86">
        <f>U124-U118</f>
        <v>904.05000000000018</v>
      </c>
      <c r="X124" s="72">
        <f>W124/31</f>
        <v>29.162903225806456</v>
      </c>
      <c r="Y124" s="32" t="s">
        <v>18</v>
      </c>
      <c r="Z124" s="13">
        <v>164</v>
      </c>
      <c r="AA124" s="71" t="s">
        <v>16</v>
      </c>
      <c r="AB124" s="72">
        <v>3602.27</v>
      </c>
      <c r="AC124" s="69" t="s">
        <v>87</v>
      </c>
      <c r="AD124" s="10">
        <v>59.24</v>
      </c>
      <c r="AE124" s="8"/>
    </row>
    <row r="125" spans="1:31" ht="15.75" thickBot="1">
      <c r="B125" s="26" t="s">
        <v>117</v>
      </c>
      <c r="C125" s="25">
        <v>1500</v>
      </c>
      <c r="D125" s="448" t="s">
        <v>91</v>
      </c>
      <c r="E125" s="469"/>
      <c r="F125" s="15">
        <v>145</v>
      </c>
      <c r="G125" s="448" t="s">
        <v>6</v>
      </c>
      <c r="H125" s="505"/>
      <c r="I125" s="20">
        <v>21.51</v>
      </c>
      <c r="J125" s="448" t="s">
        <v>61</v>
      </c>
      <c r="K125" s="505"/>
      <c r="L125" s="76"/>
      <c r="M125" s="25"/>
      <c r="N125" s="151"/>
      <c r="O125" s="78">
        <f>P125/31</f>
        <v>35.483870967741936</v>
      </c>
      <c r="P125" s="12">
        <f>SUM(M121:M125)</f>
        <v>1100</v>
      </c>
      <c r="Q125" s="96">
        <f>P125</f>
        <v>1100</v>
      </c>
      <c r="R125" s="84" t="s">
        <v>112</v>
      </c>
      <c r="S125" s="84"/>
      <c r="T125" s="84"/>
      <c r="U125" s="97">
        <f>AB125</f>
        <v>1100</v>
      </c>
      <c r="V125" s="37"/>
      <c r="W125" s="47">
        <f>U125</f>
        <v>1100</v>
      </c>
      <c r="X125" s="12">
        <f>W125/31</f>
        <v>35.483870967741936</v>
      </c>
      <c r="Y125" s="33" t="s">
        <v>19</v>
      </c>
      <c r="Z125" s="70">
        <v>16</v>
      </c>
      <c r="AA125" s="73" t="s">
        <v>112</v>
      </c>
      <c r="AB125" s="100">
        <v>1100</v>
      </c>
    </row>
    <row r="126" spans="1:31" ht="16.5" thickTop="1" thickBot="1">
      <c r="B126" s="28"/>
      <c r="C126" s="5"/>
      <c r="D126" s="459"/>
      <c r="E126" s="460"/>
      <c r="F126" s="17"/>
      <c r="G126" s="459"/>
      <c r="H126" s="461"/>
      <c r="I126" s="21"/>
      <c r="J126" s="459"/>
      <c r="K126" s="461"/>
      <c r="L126" s="42"/>
      <c r="M126" s="5"/>
      <c r="N126" s="54"/>
      <c r="O126" s="89">
        <f>P126/31</f>
        <v>64.730322580645151</v>
      </c>
      <c r="P126" s="90">
        <f>SUM(C121:C125)-SUM(F121:F125)-SUM(I121:I125)</f>
        <v>2006.6399999999999</v>
      </c>
      <c r="Q126" s="94">
        <f>Q123+Q124+Q125</f>
        <v>6005.9299999999976</v>
      </c>
      <c r="R126" s="95" t="s">
        <v>5</v>
      </c>
      <c r="S126" s="95"/>
      <c r="T126" s="95"/>
      <c r="U126" s="92">
        <f>U124+U123+U125</f>
        <v>5984.61</v>
      </c>
      <c r="V126" s="286"/>
      <c r="W126" s="93">
        <f>U126-U119</f>
        <v>2006.2999999999997</v>
      </c>
      <c r="X126" s="90">
        <f>W126/31</f>
        <v>64.719354838709663</v>
      </c>
      <c r="AA126" s="8"/>
    </row>
    <row r="127" spans="1:31" ht="16.5" thickTop="1" thickBot="1">
      <c r="A127" s="14" t="s">
        <v>31</v>
      </c>
      <c r="B127" s="61" t="s">
        <v>2</v>
      </c>
      <c r="C127" s="25"/>
      <c r="D127" s="494"/>
      <c r="E127" s="495"/>
      <c r="F127" s="15"/>
      <c r="G127" s="494"/>
      <c r="H127" s="515"/>
      <c r="I127" s="20"/>
      <c r="J127" s="494"/>
      <c r="K127" s="515"/>
      <c r="L127" s="76"/>
      <c r="M127" s="25"/>
      <c r="N127" s="151"/>
      <c r="O127" s="25"/>
      <c r="P127" s="25"/>
      <c r="X127" s="16"/>
      <c r="AA127" s="8"/>
    </row>
    <row r="128" spans="1:31">
      <c r="B128" s="26"/>
      <c r="C128" s="25"/>
      <c r="D128" s="462"/>
      <c r="E128" s="463"/>
      <c r="F128" s="15">
        <f>16+9+9+9+8.31+9+8.9+9+16.33+9+9+8.9+11+32.55+9+9.8+9+10+10+9+8+9+9+10+9+13+8.9+8.31+8.31</f>
        <v>305.31</v>
      </c>
      <c r="G128" s="448" t="s">
        <v>8</v>
      </c>
      <c r="H128" s="505"/>
      <c r="I128" s="20">
        <f>120+150+60+60</f>
        <v>390</v>
      </c>
      <c r="J128" s="448" t="s">
        <v>10</v>
      </c>
      <c r="K128" s="505"/>
      <c r="L128" s="76">
        <v>400</v>
      </c>
      <c r="M128" s="25">
        <v>900</v>
      </c>
      <c r="N128" s="151"/>
      <c r="O128" s="25"/>
      <c r="P128" s="25"/>
      <c r="X128" s="16"/>
      <c r="AA128" s="8"/>
    </row>
    <row r="129" spans="1:30">
      <c r="B129" s="26" t="s">
        <v>122</v>
      </c>
      <c r="C129" s="25">
        <v>1500</v>
      </c>
      <c r="D129" s="448" t="s">
        <v>91</v>
      </c>
      <c r="E129" s="469"/>
      <c r="F129" s="15">
        <f>36.5+39.47+37.48+39.82+35.57</f>
        <v>188.83999999999997</v>
      </c>
      <c r="G129" s="448" t="s">
        <v>9</v>
      </c>
      <c r="H129" s="505"/>
      <c r="I129" s="20">
        <f>52.12+12.99+73.89+13.02</f>
        <v>152.02000000000001</v>
      </c>
      <c r="J129" s="448" t="s">
        <v>105</v>
      </c>
      <c r="K129" s="505"/>
      <c r="L129" s="76">
        <v>20</v>
      </c>
      <c r="M129" s="25"/>
      <c r="N129" s="151"/>
      <c r="X129" s="16"/>
      <c r="AA129" s="8"/>
    </row>
    <row r="130" spans="1:30" ht="15.75" thickBot="1">
      <c r="B130" s="27">
        <v>44422</v>
      </c>
      <c r="C130" s="25">
        <v>65</v>
      </c>
      <c r="D130" s="448" t="s">
        <v>50</v>
      </c>
      <c r="E130" s="469"/>
      <c r="F130" s="15">
        <f>3.25+65.16</f>
        <v>68.41</v>
      </c>
      <c r="G130" s="448" t="s">
        <v>43</v>
      </c>
      <c r="H130" s="505"/>
      <c r="I130" s="20">
        <v>9.99</v>
      </c>
      <c r="J130" s="448" t="s">
        <v>22</v>
      </c>
      <c r="K130" s="505"/>
      <c r="L130" s="76"/>
      <c r="M130" s="25"/>
      <c r="N130" s="151"/>
      <c r="O130" s="25"/>
      <c r="P130" s="25"/>
      <c r="X130" s="16"/>
      <c r="AA130" s="8"/>
    </row>
    <row r="131" spans="1:30" ht="15.75" thickBot="1">
      <c r="B131" s="26" t="s">
        <v>126</v>
      </c>
      <c r="C131" s="25">
        <v>1500</v>
      </c>
      <c r="D131" s="448" t="s">
        <v>91</v>
      </c>
      <c r="E131" s="469"/>
      <c r="F131" s="15">
        <v>860</v>
      </c>
      <c r="G131" s="448" t="s">
        <v>97</v>
      </c>
      <c r="H131" s="505"/>
      <c r="I131" s="20">
        <v>56.88</v>
      </c>
      <c r="J131" s="448" t="s">
        <v>61</v>
      </c>
      <c r="K131" s="505"/>
      <c r="L131" s="76"/>
      <c r="M131" s="25"/>
      <c r="N131" s="151"/>
      <c r="O131" s="25"/>
      <c r="P131" s="25"/>
      <c r="X131" s="16"/>
      <c r="Y131" s="45"/>
      <c r="Z131" s="4" t="s">
        <v>13</v>
      </c>
      <c r="AA131" s="46"/>
      <c r="AB131" s="4" t="s">
        <v>14</v>
      </c>
      <c r="AC131" s="46"/>
      <c r="AD131" s="4" t="s">
        <v>111</v>
      </c>
    </row>
    <row r="132" spans="1:30" ht="15.75" thickTop="1">
      <c r="B132" s="26"/>
      <c r="C132" s="25"/>
      <c r="D132" s="462"/>
      <c r="E132" s="463"/>
      <c r="F132" s="15">
        <v>145</v>
      </c>
      <c r="G132" s="448" t="s">
        <v>6</v>
      </c>
      <c r="H132" s="505"/>
      <c r="I132" s="20">
        <v>56.17</v>
      </c>
      <c r="J132" s="448" t="s">
        <v>123</v>
      </c>
      <c r="K132" s="505"/>
      <c r="L132" s="76"/>
      <c r="M132" s="25"/>
      <c r="N132" s="151"/>
      <c r="O132" s="80">
        <f>P132/31</f>
        <v>-17.186129032258059</v>
      </c>
      <c r="P132" s="81">
        <f>SUM(C128:C134)-SUM(F128:F134)-SUM(I128:I134)-SUM(L128:L134)-SUM(M128:M134)</f>
        <v>-532.76999999999987</v>
      </c>
      <c r="Q132" s="82">
        <f>Q123+P135-SUM(L128:L134)-SUM(M128:M134)</f>
        <v>563.19999999999754</v>
      </c>
      <c r="R132" s="98" t="s">
        <v>12</v>
      </c>
      <c r="S132" s="98"/>
      <c r="T132" s="98"/>
      <c r="U132" s="87">
        <f>Z132+AB132+AD132+AD133</f>
        <v>587.19000000000005</v>
      </c>
      <c r="V132" s="287"/>
      <c r="W132" s="99">
        <f>U132-U123</f>
        <v>-515.14999999999986</v>
      </c>
      <c r="X132" s="81">
        <f>W132/31</f>
        <v>-16.617741935483867</v>
      </c>
      <c r="Y132" s="43" t="s">
        <v>17</v>
      </c>
      <c r="Z132" s="44">
        <v>106</v>
      </c>
      <c r="AA132" s="11" t="s">
        <v>15</v>
      </c>
      <c r="AB132" s="12">
        <v>407.17</v>
      </c>
      <c r="AC132" s="11" t="s">
        <v>17</v>
      </c>
      <c r="AD132" s="12">
        <v>6.29</v>
      </c>
    </row>
    <row r="133" spans="1:30" ht="15.75" thickBot="1">
      <c r="B133" s="26"/>
      <c r="C133" s="25"/>
      <c r="D133" s="462"/>
      <c r="E133" s="463"/>
      <c r="F133" s="15">
        <v>20</v>
      </c>
      <c r="G133" s="448" t="s">
        <v>81</v>
      </c>
      <c r="H133" s="505"/>
      <c r="I133" s="20">
        <v>5.15</v>
      </c>
      <c r="J133" s="448" t="s">
        <v>75</v>
      </c>
      <c r="K133" s="505"/>
      <c r="L133" s="76"/>
      <c r="M133" s="25"/>
      <c r="N133" s="151"/>
      <c r="O133" s="79">
        <f>P133/31</f>
        <v>13.548387096774194</v>
      </c>
      <c r="P133" s="72">
        <f>SUM(L128:L134)</f>
        <v>420</v>
      </c>
      <c r="Q133" s="83">
        <f>Q124+SUM(L128:L134)</f>
        <v>4229.96</v>
      </c>
      <c r="R133" s="85" t="s">
        <v>16</v>
      </c>
      <c r="S133" s="85"/>
      <c r="T133" s="85"/>
      <c r="U133" s="88">
        <f>Z133+Z134+AB133</f>
        <v>4210.33</v>
      </c>
      <c r="V133" s="288"/>
      <c r="W133" s="86">
        <f>U133-U124</f>
        <v>428.05999999999995</v>
      </c>
      <c r="X133" s="72">
        <f>W133/31</f>
        <v>13.808387096774192</v>
      </c>
      <c r="Y133" s="32" t="s">
        <v>18</v>
      </c>
      <c r="Z133" s="13">
        <v>184</v>
      </c>
      <c r="AA133" s="71" t="s">
        <v>16</v>
      </c>
      <c r="AB133" s="72">
        <v>4002.33</v>
      </c>
      <c r="AC133" s="69" t="s">
        <v>87</v>
      </c>
      <c r="AD133" s="10">
        <v>67.73</v>
      </c>
    </row>
    <row r="134" spans="1:30" ht="15.75" thickBot="1">
      <c r="B134" s="26"/>
      <c r="C134" s="25"/>
      <c r="D134" s="462"/>
      <c r="E134" s="463"/>
      <c r="F134" s="15">
        <v>20</v>
      </c>
      <c r="G134" s="448" t="s">
        <v>132</v>
      </c>
      <c r="H134" s="505"/>
      <c r="I134" s="20"/>
      <c r="J134" s="462"/>
      <c r="K134" s="464"/>
      <c r="L134" s="76"/>
      <c r="M134" s="25"/>
      <c r="N134" s="151"/>
      <c r="O134" s="78">
        <f>P134/31</f>
        <v>29.032258064516128</v>
      </c>
      <c r="P134" s="12">
        <f>SUM(M128:M134)</f>
        <v>900</v>
      </c>
      <c r="Q134" s="96">
        <f>Q125+SUM(M128:M134)</f>
        <v>2000</v>
      </c>
      <c r="R134" s="84" t="s">
        <v>112</v>
      </c>
      <c r="S134" s="84"/>
      <c r="T134" s="84"/>
      <c r="U134" s="97">
        <f>AB134</f>
        <v>2000</v>
      </c>
      <c r="V134" s="37"/>
      <c r="W134" s="47">
        <f>U134-U125</f>
        <v>900</v>
      </c>
      <c r="X134" s="12">
        <f>W134/31</f>
        <v>29.032258064516128</v>
      </c>
      <c r="Y134" s="33" t="s">
        <v>19</v>
      </c>
      <c r="Z134" s="70">
        <v>24</v>
      </c>
      <c r="AA134" s="73" t="s">
        <v>112</v>
      </c>
      <c r="AB134" s="100">
        <v>2000</v>
      </c>
    </row>
    <row r="135" spans="1:30" ht="16.5" thickTop="1" thickBot="1">
      <c r="B135" s="28"/>
      <c r="C135" s="5"/>
      <c r="D135" s="459"/>
      <c r="E135" s="460"/>
      <c r="F135" s="17"/>
      <c r="G135" s="459"/>
      <c r="H135" s="461"/>
      <c r="I135" s="21"/>
      <c r="J135" s="459"/>
      <c r="K135" s="461"/>
      <c r="L135" s="42"/>
      <c r="M135" s="5"/>
      <c r="N135" s="54"/>
      <c r="O135" s="89">
        <f>P135/31</f>
        <v>25.394516129032262</v>
      </c>
      <c r="P135" s="90">
        <f>SUM(C128:C134)-SUM(F128:F134)-SUM(I128:I134)</f>
        <v>787.23000000000013</v>
      </c>
      <c r="Q135" s="94">
        <f>Q132+Q133+Q134</f>
        <v>6793.159999999998</v>
      </c>
      <c r="R135" s="95" t="s">
        <v>5</v>
      </c>
      <c r="S135" s="95"/>
      <c r="T135" s="95"/>
      <c r="U135" s="92">
        <f>U132+U133+U134</f>
        <v>6797.52</v>
      </c>
      <c r="V135" s="286"/>
      <c r="W135" s="93">
        <f>U135-U126</f>
        <v>812.91000000000076</v>
      </c>
      <c r="X135" s="90">
        <f>W135/31</f>
        <v>26.222903225806476</v>
      </c>
      <c r="AA135" s="8"/>
    </row>
    <row r="136" spans="1:30" ht="16.5" thickTop="1" thickBot="1">
      <c r="A136" s="14" t="s">
        <v>31</v>
      </c>
      <c r="B136" s="61" t="s">
        <v>23</v>
      </c>
      <c r="C136" s="25"/>
      <c r="D136" s="494"/>
      <c r="E136" s="495"/>
      <c r="F136" s="15"/>
      <c r="G136" s="494"/>
      <c r="H136" s="515"/>
      <c r="I136" s="20"/>
      <c r="J136" s="494"/>
      <c r="K136" s="515"/>
      <c r="L136" s="76"/>
      <c r="M136" s="25"/>
      <c r="N136" s="151"/>
      <c r="O136" s="25"/>
      <c r="P136" s="25"/>
      <c r="X136" s="16"/>
      <c r="AA136" s="8"/>
    </row>
    <row r="137" spans="1:30" ht="15.75" thickBot="1">
      <c r="B137" s="26"/>
      <c r="C137" s="25"/>
      <c r="D137" s="462"/>
      <c r="E137" s="463"/>
      <c r="F137" s="15">
        <f>8.28+7.13+10.21+20+16.33+9.86+8.9+24.74+8+9+9+9+10+9.86+9+8.28+10+9+9+9.98+32.55+17.53+9+8+8+8.28+8.28+7.67+11+9+8+9+4+9+5+8+10+8.28</f>
        <v>396.15999999999991</v>
      </c>
      <c r="G137" s="448" t="s">
        <v>8</v>
      </c>
      <c r="H137" s="505"/>
      <c r="I137" s="20">
        <f>100+80+58+100</f>
        <v>338</v>
      </c>
      <c r="J137" s="448" t="s">
        <v>10</v>
      </c>
      <c r="K137" s="505"/>
      <c r="L137" s="76">
        <v>500</v>
      </c>
      <c r="M137" s="25">
        <v>500</v>
      </c>
      <c r="N137" s="151"/>
      <c r="O137" s="25"/>
      <c r="P137" s="25"/>
      <c r="X137" s="16"/>
      <c r="AA137" s="8"/>
    </row>
    <row r="138" spans="1:30" ht="15.75" thickBot="1">
      <c r="B138" s="26" t="s">
        <v>133</v>
      </c>
      <c r="C138" s="25">
        <v>1500</v>
      </c>
      <c r="D138" s="448" t="s">
        <v>91</v>
      </c>
      <c r="E138" s="469"/>
      <c r="F138" s="15">
        <f>37.39+39.83+38.4+39.99</f>
        <v>155.61000000000001</v>
      </c>
      <c r="G138" s="448" t="s">
        <v>9</v>
      </c>
      <c r="H138" s="505"/>
      <c r="I138" s="20">
        <v>9.99</v>
      </c>
      <c r="J138" s="448" t="s">
        <v>22</v>
      </c>
      <c r="K138" s="505"/>
      <c r="L138" s="76"/>
      <c r="M138" s="25"/>
      <c r="N138" s="151"/>
      <c r="O138" s="25"/>
      <c r="P138" s="25"/>
      <c r="X138" s="16"/>
      <c r="Y138" s="45"/>
      <c r="Z138" s="4" t="s">
        <v>13</v>
      </c>
      <c r="AA138" s="46"/>
      <c r="AB138" s="4" t="s">
        <v>14</v>
      </c>
      <c r="AC138" s="46"/>
      <c r="AD138" s="4" t="s">
        <v>111</v>
      </c>
    </row>
    <row r="139" spans="1:30" ht="15.75" thickTop="1">
      <c r="B139" s="26" t="s">
        <v>134</v>
      </c>
      <c r="C139" s="25">
        <v>1500</v>
      </c>
      <c r="D139" s="448" t="s">
        <v>91</v>
      </c>
      <c r="E139" s="469"/>
      <c r="F139" s="15">
        <v>840</v>
      </c>
      <c r="G139" s="448" t="s">
        <v>97</v>
      </c>
      <c r="H139" s="505"/>
      <c r="I139" s="20">
        <v>5.15</v>
      </c>
      <c r="J139" s="448" t="s">
        <v>75</v>
      </c>
      <c r="K139" s="505"/>
      <c r="L139" s="76"/>
      <c r="M139" s="25"/>
      <c r="N139" s="151"/>
      <c r="O139" s="80">
        <f>P139/30</f>
        <v>2.5033333333333303</v>
      </c>
      <c r="P139" s="81">
        <f>SUM(C137:C141)-SUM(F137:F141)-SUM(I137:I141)-SUM(L137:L141)-SUM(M137:M141)</f>
        <v>75.099999999999909</v>
      </c>
      <c r="Q139" s="82">
        <f>Q132+P142-SUM(L137:L141)-SUM(M137:M141)</f>
        <v>638.29999999999745</v>
      </c>
      <c r="R139" s="98" t="s">
        <v>12</v>
      </c>
      <c r="S139" s="98"/>
      <c r="T139" s="98"/>
      <c r="U139" s="87">
        <f>Z139+AB139+AD139+AD140</f>
        <v>643.74</v>
      </c>
      <c r="V139" s="287"/>
      <c r="W139" s="99">
        <f>U139-U132</f>
        <v>56.549999999999955</v>
      </c>
      <c r="X139" s="81">
        <f>W139/30</f>
        <v>1.8849999999999985</v>
      </c>
      <c r="Y139" s="43" t="s">
        <v>17</v>
      </c>
      <c r="Z139" s="44">
        <v>248</v>
      </c>
      <c r="AA139" s="11" t="s">
        <v>15</v>
      </c>
      <c r="AB139" s="12">
        <v>293.14999999999998</v>
      </c>
      <c r="AC139" s="11" t="s">
        <v>17</v>
      </c>
      <c r="AD139" s="12">
        <v>0</v>
      </c>
    </row>
    <row r="140" spans="1:30" ht="15.75" thickBot="1">
      <c r="B140" s="26"/>
      <c r="C140" s="25"/>
      <c r="D140" s="462"/>
      <c r="E140" s="463"/>
      <c r="F140" s="15">
        <v>20</v>
      </c>
      <c r="G140" s="448" t="s">
        <v>81</v>
      </c>
      <c r="H140" s="505"/>
      <c r="I140" s="20">
        <v>14.99</v>
      </c>
      <c r="J140" s="448" t="s">
        <v>135</v>
      </c>
      <c r="K140" s="505"/>
      <c r="L140" s="76"/>
      <c r="M140" s="25"/>
      <c r="N140" s="151"/>
      <c r="O140" s="79">
        <f>P140/30</f>
        <v>16.666666666666668</v>
      </c>
      <c r="P140" s="72">
        <f>SUM(L137:L141)</f>
        <v>500</v>
      </c>
      <c r="Q140" s="83">
        <f>Q133+SUM(L137:L141)</f>
        <v>4729.96</v>
      </c>
      <c r="R140" s="85" t="s">
        <v>16</v>
      </c>
      <c r="S140" s="85"/>
      <c r="T140" s="85"/>
      <c r="U140" s="88">
        <f>Z141+Z140+AB140</f>
        <v>4718.3899999999994</v>
      </c>
      <c r="V140" s="288"/>
      <c r="W140" s="86">
        <f>U140-U133</f>
        <v>508.05999999999949</v>
      </c>
      <c r="X140" s="72">
        <f>W140/30</f>
        <v>16.935333333333315</v>
      </c>
      <c r="Y140" s="32" t="s">
        <v>18</v>
      </c>
      <c r="Z140" s="13">
        <v>184</v>
      </c>
      <c r="AA140" s="71" t="s">
        <v>16</v>
      </c>
      <c r="AB140" s="72">
        <f>3002.39+1500</f>
        <v>4502.3899999999994</v>
      </c>
      <c r="AC140" s="69" t="s">
        <v>87</v>
      </c>
      <c r="AD140" s="10">
        <v>102.59</v>
      </c>
    </row>
    <row r="141" spans="1:30" ht="15.75" thickBot="1">
      <c r="B141" s="26"/>
      <c r="C141" s="25"/>
      <c r="D141" s="462"/>
      <c r="E141" s="463"/>
      <c r="F141" s="15">
        <v>145</v>
      </c>
      <c r="G141" s="448" t="s">
        <v>6</v>
      </c>
      <c r="H141" s="505"/>
      <c r="I141" s="20"/>
      <c r="J141" s="462"/>
      <c r="K141" s="464"/>
      <c r="L141" s="76"/>
      <c r="M141" s="25"/>
      <c r="N141" s="151"/>
      <c r="O141" s="78">
        <f>P141/30</f>
        <v>16.666666666666668</v>
      </c>
      <c r="P141" s="12">
        <f>SUM(M137:M141)</f>
        <v>500</v>
      </c>
      <c r="Q141" s="96">
        <f>Q134+SUM(M137:M141)</f>
        <v>2500</v>
      </c>
      <c r="R141" s="84" t="s">
        <v>112</v>
      </c>
      <c r="S141" s="84"/>
      <c r="T141" s="84"/>
      <c r="U141" s="97">
        <f>AB141</f>
        <v>2500</v>
      </c>
      <c r="V141" s="37"/>
      <c r="W141" s="47">
        <f>U141-U134</f>
        <v>500</v>
      </c>
      <c r="X141" s="12">
        <f>W141/30</f>
        <v>16.666666666666668</v>
      </c>
      <c r="Y141" s="33" t="s">
        <v>19</v>
      </c>
      <c r="Z141" s="70">
        <v>32</v>
      </c>
      <c r="AA141" s="73" t="s">
        <v>112</v>
      </c>
      <c r="AB141" s="100">
        <f>2500</f>
        <v>2500</v>
      </c>
    </row>
    <row r="142" spans="1:30" ht="16.5" thickTop="1" thickBot="1">
      <c r="B142" s="28"/>
      <c r="C142" s="5"/>
      <c r="D142" s="459"/>
      <c r="E142" s="460"/>
      <c r="F142" s="17"/>
      <c r="G142" s="459"/>
      <c r="H142" s="461"/>
      <c r="I142" s="21"/>
      <c r="J142" s="459"/>
      <c r="K142" s="461"/>
      <c r="L142" s="42"/>
      <c r="M142" s="5"/>
      <c r="N142" s="54"/>
      <c r="O142" s="89">
        <f>P142/30</f>
        <v>35.836666666666666</v>
      </c>
      <c r="P142" s="90">
        <f>SUM(C137:C141)-SUM(F137:F141)-SUM(I137:I141)</f>
        <v>1075.0999999999999</v>
      </c>
      <c r="Q142" s="94">
        <f>Q139+Q140+Q141</f>
        <v>7868.2599999999975</v>
      </c>
      <c r="R142" s="95" t="s">
        <v>5</v>
      </c>
      <c r="S142" s="95"/>
      <c r="T142" s="95"/>
      <c r="U142" s="92">
        <f>U141+U140+U139</f>
        <v>7862.1299999999992</v>
      </c>
      <c r="V142" s="286"/>
      <c r="W142" s="93">
        <f>U142-U135</f>
        <v>1064.6099999999988</v>
      </c>
      <c r="X142" s="90">
        <f>W142/30</f>
        <v>35.486999999999959</v>
      </c>
      <c r="AA142" s="8"/>
    </row>
    <row r="143" spans="1:30" ht="16.5" thickTop="1" thickBot="1">
      <c r="A143" s="14" t="s">
        <v>31</v>
      </c>
      <c r="B143" s="61" t="s">
        <v>24</v>
      </c>
      <c r="C143" s="25"/>
      <c r="D143" s="494"/>
      <c r="E143" s="495"/>
      <c r="F143" s="15"/>
      <c r="G143" s="494"/>
      <c r="H143" s="515"/>
      <c r="I143" s="20"/>
      <c r="J143" s="494"/>
      <c r="K143" s="515"/>
      <c r="L143" s="76"/>
      <c r="M143" s="25"/>
      <c r="N143" s="151"/>
      <c r="O143" s="25"/>
      <c r="P143" s="25"/>
      <c r="X143" s="16"/>
      <c r="AA143" s="8"/>
    </row>
    <row r="144" spans="1:30">
      <c r="B144" s="26"/>
      <c r="C144" s="25"/>
      <c r="D144" s="462"/>
      <c r="E144" s="463"/>
      <c r="F144" s="15">
        <f>10+4+10+9+9.3+8.28+9.3+8.28+10.57+11+9+15+11+10+10+8.28+7+9+10+9+6+7+9+5+9+10+7.85+9+2+10+11</f>
        <v>273.86</v>
      </c>
      <c r="G144" s="448" t="s">
        <v>8</v>
      </c>
      <c r="H144" s="505"/>
      <c r="I144" s="20">
        <f>140+40+85+35</f>
        <v>300</v>
      </c>
      <c r="J144" s="448" t="s">
        <v>10</v>
      </c>
      <c r="K144" s="505"/>
      <c r="L144" s="76">
        <v>500</v>
      </c>
      <c r="M144" s="25">
        <v>500</v>
      </c>
      <c r="N144" s="151"/>
      <c r="O144" s="25"/>
      <c r="P144" s="25"/>
      <c r="X144" s="16"/>
      <c r="AA144" s="8"/>
    </row>
    <row r="145" spans="1:30">
      <c r="B145" s="26" t="s">
        <v>148</v>
      </c>
      <c r="C145" s="25">
        <v>1600</v>
      </c>
      <c r="D145" s="448" t="s">
        <v>91</v>
      </c>
      <c r="E145" s="469"/>
      <c r="F145" s="15">
        <f>38.77+39.95+42.61+42.5</f>
        <v>163.82999999999998</v>
      </c>
      <c r="G145" s="448" t="s">
        <v>9</v>
      </c>
      <c r="H145" s="505"/>
      <c r="I145" s="20">
        <f>34+29.07</f>
        <v>63.07</v>
      </c>
      <c r="J145" s="448" t="s">
        <v>61</v>
      </c>
      <c r="K145" s="505"/>
      <c r="L145" s="76">
        <v>20</v>
      </c>
      <c r="M145" s="25"/>
      <c r="N145" s="151"/>
      <c r="O145" s="25"/>
      <c r="P145" s="25"/>
      <c r="X145" s="16"/>
      <c r="AA145" s="8"/>
    </row>
    <row r="146" spans="1:30" ht="15.75" thickBot="1">
      <c r="B146" s="27">
        <v>44478</v>
      </c>
      <c r="C146" s="25">
        <v>40</v>
      </c>
      <c r="D146" s="448" t="s">
        <v>50</v>
      </c>
      <c r="E146" s="469"/>
      <c r="F146" s="15">
        <v>20</v>
      </c>
      <c r="G146" s="448" t="s">
        <v>81</v>
      </c>
      <c r="H146" s="505"/>
      <c r="I146" s="20">
        <v>9.99</v>
      </c>
      <c r="J146" s="448" t="s">
        <v>22</v>
      </c>
      <c r="K146" s="505"/>
      <c r="L146" s="76"/>
      <c r="M146" s="25"/>
      <c r="N146" s="151"/>
      <c r="O146" s="25"/>
      <c r="P146" s="25"/>
      <c r="X146" s="16"/>
      <c r="AA146" s="8"/>
    </row>
    <row r="147" spans="1:30" ht="15.75" thickBot="1">
      <c r="B147" s="26" t="s">
        <v>147</v>
      </c>
      <c r="C147" s="25">
        <v>1500</v>
      </c>
      <c r="D147" s="448" t="s">
        <v>91</v>
      </c>
      <c r="E147" s="469"/>
      <c r="F147" s="15">
        <v>820</v>
      </c>
      <c r="G147" s="448" t="s">
        <v>97</v>
      </c>
      <c r="H147" s="505"/>
      <c r="I147" s="20">
        <f>39.99+14.99</f>
        <v>54.980000000000004</v>
      </c>
      <c r="J147" s="448" t="s">
        <v>135</v>
      </c>
      <c r="K147" s="505"/>
      <c r="L147" s="76"/>
      <c r="M147" s="25"/>
      <c r="N147" s="151"/>
      <c r="O147" s="25"/>
      <c r="P147" s="25"/>
      <c r="X147" s="16"/>
      <c r="Y147" s="45"/>
      <c r="Z147" s="4" t="s">
        <v>13</v>
      </c>
      <c r="AA147" s="46"/>
      <c r="AB147" s="4" t="s">
        <v>14</v>
      </c>
      <c r="AC147" s="46"/>
      <c r="AD147" s="4" t="s">
        <v>111</v>
      </c>
    </row>
    <row r="148" spans="1:30" ht="15.75" thickTop="1">
      <c r="B148" s="26"/>
      <c r="C148" s="25"/>
      <c r="D148" s="462"/>
      <c r="E148" s="463"/>
      <c r="F148" s="15">
        <v>145</v>
      </c>
      <c r="G148" s="448" t="s">
        <v>6</v>
      </c>
      <c r="H148" s="505"/>
      <c r="I148" s="20">
        <f>36.39+12.99+7.99+86.89+81.46</f>
        <v>225.71999999999997</v>
      </c>
      <c r="J148" s="448" t="s">
        <v>105</v>
      </c>
      <c r="K148" s="505"/>
      <c r="L148" s="76"/>
      <c r="M148" s="25"/>
      <c r="N148" s="151"/>
      <c r="O148" s="80">
        <f>P148/31</f>
        <v>0.91645161290322108</v>
      </c>
      <c r="P148" s="81">
        <f>SUM(C144:C150)-SUM(F144:F150)-SUM(I144:I150)-SUM(L144:L150)-SUM(M144:M150)</f>
        <v>28.409999999999854</v>
      </c>
      <c r="Q148" s="82">
        <f>Q139+P151-SUM(L144:L150)-SUM(M144:M150)</f>
        <v>666.70999999999731</v>
      </c>
      <c r="R148" s="98" t="s">
        <v>12</v>
      </c>
      <c r="S148" s="98"/>
      <c r="T148" s="98"/>
      <c r="U148" s="87">
        <f>Z148+AB148+AD148+AD149</f>
        <v>697.44999999999993</v>
      </c>
      <c r="V148" s="287"/>
      <c r="W148" s="99">
        <f>U148-U139</f>
        <v>53.709999999999923</v>
      </c>
      <c r="X148" s="81">
        <f>W148/31</f>
        <v>1.7325806451612877</v>
      </c>
      <c r="Y148" s="43" t="s">
        <v>17</v>
      </c>
      <c r="Z148" s="44">
        <v>262</v>
      </c>
      <c r="AA148" s="11" t="s">
        <v>15</v>
      </c>
      <c r="AB148" s="12">
        <v>307.56</v>
      </c>
      <c r="AC148" s="11" t="s">
        <v>17</v>
      </c>
      <c r="AD148" s="12">
        <v>122</v>
      </c>
    </row>
    <row r="149" spans="1:30" ht="15.75" thickBot="1">
      <c r="B149" s="26"/>
      <c r="C149" s="25"/>
      <c r="D149" s="462"/>
      <c r="E149" s="463"/>
      <c r="F149" s="15"/>
      <c r="G149" s="462"/>
      <c r="H149" s="464"/>
      <c r="I149" s="20">
        <v>5.15</v>
      </c>
      <c r="J149" s="448" t="s">
        <v>75</v>
      </c>
      <c r="K149" s="505"/>
      <c r="L149" s="76"/>
      <c r="M149" s="25"/>
      <c r="N149" s="151"/>
      <c r="O149" s="79">
        <f>P149/31</f>
        <v>16.774193548387096</v>
      </c>
      <c r="P149" s="72">
        <f>SUM(L144:L150)</f>
        <v>520</v>
      </c>
      <c r="Q149" s="83">
        <f>Q140+SUM(L144:L150)</f>
        <v>5249.96</v>
      </c>
      <c r="R149" s="85" t="s">
        <v>16</v>
      </c>
      <c r="S149" s="85"/>
      <c r="T149" s="85"/>
      <c r="U149" s="88">
        <f>Z149+AB149+Z150</f>
        <v>5249.46</v>
      </c>
      <c r="V149" s="288"/>
      <c r="W149" s="86">
        <f>U149-U140</f>
        <v>531.07000000000062</v>
      </c>
      <c r="X149" s="72">
        <f>W149/31</f>
        <v>17.131290322580664</v>
      </c>
      <c r="Y149" s="32" t="s">
        <v>18</v>
      </c>
      <c r="Z149" s="13">
        <v>204</v>
      </c>
      <c r="AA149" s="71" t="s">
        <v>16</v>
      </c>
      <c r="AB149" s="72">
        <f>5002.46</f>
        <v>5002.46</v>
      </c>
      <c r="AC149" s="69" t="s">
        <v>87</v>
      </c>
      <c r="AD149" s="10">
        <v>5.89</v>
      </c>
    </row>
    <row r="150" spans="1:30" ht="15.75" thickBot="1">
      <c r="B150" s="30"/>
      <c r="C150" s="68"/>
      <c r="D150" s="523"/>
      <c r="E150" s="524"/>
      <c r="F150" s="15"/>
      <c r="G150" s="462"/>
      <c r="H150" s="464"/>
      <c r="I150" s="20">
        <v>9.99</v>
      </c>
      <c r="J150" s="448" t="s">
        <v>163</v>
      </c>
      <c r="K150" s="505"/>
      <c r="L150" s="76"/>
      <c r="M150" s="25"/>
      <c r="N150" s="151"/>
      <c r="O150" s="78">
        <f>P150/31</f>
        <v>16.129032258064516</v>
      </c>
      <c r="P150" s="12">
        <f>SUM(M144:M150)</f>
        <v>500</v>
      </c>
      <c r="Q150" s="96">
        <f>Q141+SUM(M144:M150)</f>
        <v>3000</v>
      </c>
      <c r="R150" s="84" t="s">
        <v>16</v>
      </c>
      <c r="S150" s="84"/>
      <c r="T150" s="84"/>
      <c r="U150" s="97">
        <f>AB150</f>
        <v>3000</v>
      </c>
      <c r="V150" s="37"/>
      <c r="W150" s="47">
        <f>U150-U141</f>
        <v>500</v>
      </c>
      <c r="X150" s="12">
        <f>W150/31</f>
        <v>16.129032258064516</v>
      </c>
      <c r="Y150" s="33" t="s">
        <v>19</v>
      </c>
      <c r="Z150" s="70">
        <v>43</v>
      </c>
      <c r="AA150" s="73" t="s">
        <v>112</v>
      </c>
      <c r="AB150" s="100">
        <f>3000</f>
        <v>3000</v>
      </c>
    </row>
    <row r="151" spans="1:30" ht="16.5" thickTop="1" thickBot="1">
      <c r="B151" s="28"/>
      <c r="C151" s="5"/>
      <c r="D151" s="459"/>
      <c r="E151" s="460"/>
      <c r="F151" s="17"/>
      <c r="G151" s="459"/>
      <c r="H151" s="461"/>
      <c r="I151" s="21"/>
      <c r="J151" s="459"/>
      <c r="K151" s="461"/>
      <c r="L151" s="42"/>
      <c r="M151" s="5"/>
      <c r="N151" s="54"/>
      <c r="O151" s="89">
        <f>P151/31</f>
        <v>33.819677419354832</v>
      </c>
      <c r="P151" s="90">
        <f>SUM(C144:C150)-SUM(F144:F150)-SUM(I144:I150)</f>
        <v>1048.4099999999999</v>
      </c>
      <c r="Q151" s="94">
        <f>Q148+Q149+Q150</f>
        <v>8916.6699999999983</v>
      </c>
      <c r="R151" s="95" t="s">
        <v>5</v>
      </c>
      <c r="S151" s="95"/>
      <c r="T151" s="95"/>
      <c r="U151" s="92">
        <f>U150+U149+U148</f>
        <v>8946.91</v>
      </c>
      <c r="V151" s="286"/>
      <c r="W151" s="93">
        <f>U151-U142</f>
        <v>1084.7800000000007</v>
      </c>
      <c r="X151" s="90">
        <f>W151/31</f>
        <v>34.992903225806472</v>
      </c>
      <c r="AA151" s="8"/>
    </row>
    <row r="152" spans="1:30" ht="16.5" thickTop="1" thickBot="1">
      <c r="A152" s="14" t="s">
        <v>31</v>
      </c>
      <c r="B152" s="107">
        <v>44501</v>
      </c>
      <c r="C152" s="25"/>
      <c r="D152" s="494"/>
      <c r="E152" s="495"/>
      <c r="F152" s="15"/>
      <c r="G152" s="494"/>
      <c r="H152" s="515"/>
      <c r="I152" s="20"/>
      <c r="J152" s="494"/>
      <c r="K152" s="515"/>
      <c r="L152" s="76"/>
      <c r="M152" s="25"/>
      <c r="N152" s="151"/>
      <c r="O152" s="25"/>
      <c r="P152" s="25"/>
      <c r="X152" s="16"/>
      <c r="AA152" s="8"/>
    </row>
    <row r="153" spans="1:30">
      <c r="B153" s="26"/>
      <c r="C153" s="25"/>
      <c r="D153" s="462"/>
      <c r="E153" s="463"/>
      <c r="F153" s="15">
        <f>9+10+9+9+7+9+36.9+10+19+20+9+8.65+10+9+9+11+11+10+8.65+9.52+6.34+9.08+8.65+15.12+8.68+10+7+6+9+8.65+9+8.65+11.03+10+10+9+11+10+4</f>
        <v>405.91999999999996</v>
      </c>
      <c r="G153" s="448" t="s">
        <v>8</v>
      </c>
      <c r="H153" s="505"/>
      <c r="I153" s="20">
        <f>140+120</f>
        <v>260</v>
      </c>
      <c r="J153" s="448" t="s">
        <v>10</v>
      </c>
      <c r="K153" s="505"/>
      <c r="L153" s="76">
        <v>500</v>
      </c>
      <c r="M153" s="25">
        <v>500</v>
      </c>
      <c r="N153" s="151"/>
      <c r="O153" s="25"/>
      <c r="P153" s="25"/>
      <c r="X153" s="16"/>
      <c r="AA153" s="8"/>
    </row>
    <row r="154" spans="1:30">
      <c r="B154" s="26" t="s">
        <v>149</v>
      </c>
      <c r="C154" s="25">
        <v>1500</v>
      </c>
      <c r="D154" s="448" t="s">
        <v>91</v>
      </c>
      <c r="E154" s="469"/>
      <c r="F154" s="15">
        <f>39.82+37.7+36.77+39.18</f>
        <v>153.47000000000003</v>
      </c>
      <c r="G154" s="448" t="s">
        <v>9</v>
      </c>
      <c r="H154" s="505"/>
      <c r="I154" s="20">
        <f>135.7</f>
        <v>135.69999999999999</v>
      </c>
      <c r="J154" s="448" t="s">
        <v>164</v>
      </c>
      <c r="K154" s="505"/>
      <c r="L154" s="76"/>
      <c r="M154" s="25"/>
      <c r="N154" s="151"/>
      <c r="O154" s="25"/>
      <c r="P154" s="25"/>
      <c r="X154" s="16"/>
      <c r="AA154" s="8"/>
    </row>
    <row r="155" spans="1:30">
      <c r="B155" s="26" t="s">
        <v>150</v>
      </c>
      <c r="C155" s="25">
        <v>1500</v>
      </c>
      <c r="D155" s="448" t="s">
        <v>91</v>
      </c>
      <c r="E155" s="469"/>
      <c r="F155" s="15">
        <f>70</f>
        <v>70</v>
      </c>
      <c r="G155" s="448" t="s">
        <v>170</v>
      </c>
      <c r="H155" s="505"/>
      <c r="I155" s="20">
        <v>9.99</v>
      </c>
      <c r="J155" s="448" t="s">
        <v>22</v>
      </c>
      <c r="K155" s="505"/>
      <c r="L155" s="76"/>
      <c r="M155" s="25"/>
      <c r="N155" s="151"/>
      <c r="O155" s="25"/>
      <c r="P155" s="25"/>
      <c r="X155" s="16"/>
      <c r="AA155" s="8"/>
    </row>
    <row r="156" spans="1:30" ht="15.75" thickBot="1">
      <c r="B156" s="26"/>
      <c r="C156" s="25"/>
      <c r="D156" s="462"/>
      <c r="E156" s="463"/>
      <c r="F156" s="15">
        <f>'Student Loans'!I24</f>
        <v>800</v>
      </c>
      <c r="G156" s="448" t="s">
        <v>97</v>
      </c>
      <c r="H156" s="505"/>
      <c r="I156" s="20">
        <f>267.74-280</f>
        <v>-12.259999999999991</v>
      </c>
      <c r="J156" s="448" t="s">
        <v>171</v>
      </c>
      <c r="K156" s="505"/>
      <c r="L156" s="76"/>
      <c r="M156" s="25"/>
      <c r="N156" s="151"/>
      <c r="O156" s="25"/>
      <c r="P156" s="25"/>
      <c r="X156" s="16"/>
      <c r="AA156" s="8"/>
    </row>
    <row r="157" spans="1:30" ht="15.75" thickBot="1">
      <c r="B157" s="26"/>
      <c r="C157" s="25"/>
      <c r="D157" s="462"/>
      <c r="E157" s="463"/>
      <c r="F157" s="15">
        <v>145</v>
      </c>
      <c r="G157" s="448" t="s">
        <v>6</v>
      </c>
      <c r="H157" s="505"/>
      <c r="I157" s="20">
        <f>12.99</f>
        <v>12.99</v>
      </c>
      <c r="J157" s="448" t="s">
        <v>105</v>
      </c>
      <c r="K157" s="505"/>
      <c r="L157" s="76"/>
      <c r="M157" s="25"/>
      <c r="N157" s="151"/>
      <c r="O157" s="25"/>
      <c r="P157" s="25"/>
      <c r="X157" s="16"/>
      <c r="Y157" s="45"/>
      <c r="Z157" s="4" t="s">
        <v>13</v>
      </c>
      <c r="AA157" s="46"/>
      <c r="AB157" s="4" t="s">
        <v>14</v>
      </c>
      <c r="AC157" s="46"/>
      <c r="AD157" s="4" t="s">
        <v>111</v>
      </c>
    </row>
    <row r="158" spans="1:30" ht="15.75" thickTop="1">
      <c r="B158" s="26"/>
      <c r="C158" s="25"/>
      <c r="D158" s="462"/>
      <c r="E158" s="463"/>
      <c r="F158" s="15">
        <v>261</v>
      </c>
      <c r="G158" s="448" t="s">
        <v>99</v>
      </c>
      <c r="H158" s="505"/>
      <c r="I158" s="20">
        <v>5.15</v>
      </c>
      <c r="J158" s="448" t="s">
        <v>75</v>
      </c>
      <c r="K158" s="505"/>
      <c r="L158" s="76"/>
      <c r="M158" s="25"/>
      <c r="N158" s="151"/>
      <c r="O158" s="80">
        <f>P158/30</f>
        <v>-9.5646666666666604</v>
      </c>
      <c r="P158" s="81">
        <f>SUM(C153:C160)-SUM(F153:F160)-SUM(I153:I160)-SUM(L153:L160)-SUM(M153:M160)</f>
        <v>-286.93999999999983</v>
      </c>
      <c r="Q158" s="82">
        <f>Q148+P161-SUM(L153:L160)-SUM(M153:M160)</f>
        <v>379.76999999999748</v>
      </c>
      <c r="R158" s="98" t="s">
        <v>12</v>
      </c>
      <c r="S158" s="98"/>
      <c r="T158" s="98"/>
      <c r="U158" s="87">
        <f>Z158+AB158+AD158+AD159</f>
        <v>409.73</v>
      </c>
      <c r="V158" s="287"/>
      <c r="W158" s="99">
        <f>U158-U148</f>
        <v>-287.71999999999991</v>
      </c>
      <c r="X158" s="81">
        <f>W158/30</f>
        <v>-9.5906666666666638</v>
      </c>
      <c r="Y158" s="43" t="s">
        <v>17</v>
      </c>
      <c r="Z158" s="44">
        <v>66</v>
      </c>
      <c r="AA158" s="11" t="s">
        <v>15</v>
      </c>
      <c r="AB158" s="12">
        <v>236.62</v>
      </c>
      <c r="AC158" s="11" t="s">
        <v>17</v>
      </c>
      <c r="AD158" s="12">
        <v>75.22</v>
      </c>
    </row>
    <row r="159" spans="1:30" ht="15.75" thickBot="1">
      <c r="B159" s="26"/>
      <c r="C159" s="25"/>
      <c r="D159" s="462"/>
      <c r="E159" s="463"/>
      <c r="F159" s="15">
        <v>20</v>
      </c>
      <c r="G159" s="448" t="s">
        <v>81</v>
      </c>
      <c r="H159" s="505"/>
      <c r="I159" s="20">
        <v>9.99</v>
      </c>
      <c r="J159" s="448" t="s">
        <v>163</v>
      </c>
      <c r="K159" s="505"/>
      <c r="L159" s="76"/>
      <c r="M159" s="25"/>
      <c r="N159" s="151"/>
      <c r="O159" s="79">
        <f>P159/30</f>
        <v>16.666666666666668</v>
      </c>
      <c r="P159" s="72">
        <f>SUM(L153:L160)</f>
        <v>500</v>
      </c>
      <c r="Q159" s="83">
        <f>Q149+SUM(L153:L160)</f>
        <v>5749.96</v>
      </c>
      <c r="R159" s="85" t="s">
        <v>16</v>
      </c>
      <c r="S159" s="85"/>
      <c r="T159" s="85"/>
      <c r="U159" s="88">
        <f>Z159+Z160+AB159</f>
        <v>5757.54</v>
      </c>
      <c r="V159" s="288"/>
      <c r="W159" s="86">
        <f>U159-U149</f>
        <v>508.07999999999993</v>
      </c>
      <c r="X159" s="72">
        <f>W159/30</f>
        <v>16.935999999999996</v>
      </c>
      <c r="Y159" s="32" t="s">
        <v>18</v>
      </c>
      <c r="Z159" s="13">
        <v>204</v>
      </c>
      <c r="AA159" s="71" t="s">
        <v>16</v>
      </c>
      <c r="AB159" s="72">
        <v>5502.54</v>
      </c>
      <c r="AC159" s="9" t="s">
        <v>87</v>
      </c>
      <c r="AD159" s="10">
        <v>31.89</v>
      </c>
    </row>
    <row r="160" spans="1:30" ht="15.75" thickBot="1">
      <c r="B160" s="26"/>
      <c r="C160" s="25"/>
      <c r="D160" s="462"/>
      <c r="E160" s="463"/>
      <c r="F160" s="15"/>
      <c r="G160" s="462"/>
      <c r="H160" s="464"/>
      <c r="I160" s="20">
        <v>9.99</v>
      </c>
      <c r="J160" s="448" t="s">
        <v>175</v>
      </c>
      <c r="K160" s="505"/>
      <c r="L160" s="76"/>
      <c r="M160" s="25"/>
      <c r="N160" s="151"/>
      <c r="O160" s="78">
        <f>P160/30</f>
        <v>16.666666666666668</v>
      </c>
      <c r="P160" s="12">
        <f>SUM(M153:M160)</f>
        <v>500</v>
      </c>
      <c r="Q160" s="96">
        <f>Q150+SUM(M153:M160)</f>
        <v>3500</v>
      </c>
      <c r="R160" s="84" t="s">
        <v>16</v>
      </c>
      <c r="S160" s="84"/>
      <c r="T160" s="84"/>
      <c r="U160" s="97">
        <f>AB160</f>
        <v>3500</v>
      </c>
      <c r="V160" s="37"/>
      <c r="W160" s="47">
        <f>U160-U150</f>
        <v>500</v>
      </c>
      <c r="X160" s="12">
        <f>W160/30</f>
        <v>16.666666666666668</v>
      </c>
      <c r="Y160" s="33" t="s">
        <v>19</v>
      </c>
      <c r="Z160" s="70">
        <v>51</v>
      </c>
      <c r="AA160" s="73" t="s">
        <v>112</v>
      </c>
      <c r="AB160" s="100">
        <v>3500</v>
      </c>
    </row>
    <row r="161" spans="1:30" ht="16.5" thickTop="1" thickBot="1">
      <c r="B161" s="28"/>
      <c r="C161" s="5"/>
      <c r="D161" s="459"/>
      <c r="E161" s="460"/>
      <c r="F161" s="17"/>
      <c r="G161" s="459"/>
      <c r="H161" s="461"/>
      <c r="I161" s="21"/>
      <c r="J161" s="459"/>
      <c r="K161" s="461"/>
      <c r="L161" s="42"/>
      <c r="M161" s="5"/>
      <c r="N161" s="54"/>
      <c r="O161" s="89">
        <f>P161/30</f>
        <v>23.768666666666672</v>
      </c>
      <c r="P161" s="90">
        <f>SUM(C153:C160)-SUM(F153:F160)-SUM(I153:I160)</f>
        <v>713.06000000000017</v>
      </c>
      <c r="Q161" s="94">
        <f>Q158+Q159+Q160</f>
        <v>9629.7299999999977</v>
      </c>
      <c r="R161" s="95" t="s">
        <v>5</v>
      </c>
      <c r="S161" s="95"/>
      <c r="T161" s="95"/>
      <c r="U161" s="92">
        <f>U160+U159+U158</f>
        <v>9667.27</v>
      </c>
      <c r="V161" s="286"/>
      <c r="W161" s="93">
        <f>U161-U151</f>
        <v>720.36000000000058</v>
      </c>
      <c r="X161" s="90">
        <f>W161/30</f>
        <v>24.012000000000018</v>
      </c>
      <c r="AA161" s="8"/>
    </row>
    <row r="162" spans="1:30" ht="16.5" thickTop="1" thickBot="1">
      <c r="A162" s="14" t="s">
        <v>31</v>
      </c>
      <c r="B162" s="107">
        <v>44531</v>
      </c>
      <c r="C162" s="25"/>
      <c r="D162" s="494"/>
      <c r="E162" s="495"/>
      <c r="F162" s="15"/>
      <c r="G162" s="494"/>
      <c r="H162" s="515"/>
      <c r="I162" s="20"/>
      <c r="J162" s="494"/>
      <c r="K162" s="515"/>
      <c r="L162" s="76"/>
      <c r="M162" s="25"/>
      <c r="N162" s="151"/>
      <c r="O162" s="25"/>
      <c r="P162" s="25"/>
      <c r="X162" s="16"/>
      <c r="AA162" s="8"/>
    </row>
    <row r="163" spans="1:30">
      <c r="B163" s="26"/>
      <c r="C163" s="25"/>
      <c r="D163" s="462"/>
      <c r="E163" s="463"/>
      <c r="F163" s="15">
        <f>9+16+9+10+8.25+21.7+10+11.38+10+8.65+10.8+8.65+16.03+9.3+8.68+17+20+10+8.65+8.65+7+8.65+4+9+8.68+10.4+10.42+10.25+11.92+8.65+17.11+8.65+11.44+8.65+8.68+9.33+9.33+10.08+8.68+10+8.68+10.63+9.54</f>
        <v>451.51</v>
      </c>
      <c r="G163" s="448" t="s">
        <v>8</v>
      </c>
      <c r="H163" s="505"/>
      <c r="I163" s="20">
        <f>60+80</f>
        <v>140</v>
      </c>
      <c r="J163" s="448" t="s">
        <v>10</v>
      </c>
      <c r="K163" s="505"/>
      <c r="L163" s="76">
        <v>1000</v>
      </c>
      <c r="M163" s="25">
        <v>1000</v>
      </c>
      <c r="N163" s="151"/>
      <c r="O163" s="25"/>
      <c r="P163" s="25"/>
      <c r="X163" s="16"/>
      <c r="AA163" s="8"/>
    </row>
    <row r="164" spans="1:30">
      <c r="B164" s="26" t="s">
        <v>151</v>
      </c>
      <c r="C164" s="25">
        <v>1500</v>
      </c>
      <c r="D164" s="448" t="s">
        <v>91</v>
      </c>
      <c r="E164" s="469"/>
      <c r="F164" s="15">
        <f>35.25+37.54+35.57+35.98+36.68</f>
        <v>181.01999999999998</v>
      </c>
      <c r="G164" s="448" t="s">
        <v>9</v>
      </c>
      <c r="H164" s="505"/>
      <c r="I164" s="20">
        <v>9.99</v>
      </c>
      <c r="J164" s="448" t="s">
        <v>22</v>
      </c>
      <c r="K164" s="505"/>
      <c r="L164" s="76"/>
      <c r="M164" s="25"/>
      <c r="N164" s="151"/>
      <c r="O164" s="25"/>
      <c r="P164" s="25"/>
      <c r="X164" s="16"/>
      <c r="AA164" s="8"/>
    </row>
    <row r="165" spans="1:30">
      <c r="B165" s="26" t="s">
        <v>152</v>
      </c>
      <c r="C165" s="25">
        <v>1500</v>
      </c>
      <c r="D165" s="448" t="s">
        <v>91</v>
      </c>
      <c r="E165" s="469"/>
      <c r="F165" s="15">
        <f>82.56+132.52</f>
        <v>215.08</v>
      </c>
      <c r="G165" s="448" t="s">
        <v>176</v>
      </c>
      <c r="H165" s="505"/>
      <c r="I165" s="20">
        <f>25.21+33</f>
        <v>58.21</v>
      </c>
      <c r="J165" s="448" t="s">
        <v>61</v>
      </c>
      <c r="K165" s="505"/>
      <c r="L165" s="76"/>
      <c r="M165" s="25"/>
      <c r="N165" s="151"/>
      <c r="O165" s="25"/>
      <c r="P165" s="25"/>
      <c r="X165" s="16"/>
      <c r="AA165" s="8"/>
    </row>
    <row r="166" spans="1:30">
      <c r="B166" s="26" t="s">
        <v>153</v>
      </c>
      <c r="C166" s="25">
        <v>1500</v>
      </c>
      <c r="D166" s="448" t="s">
        <v>91</v>
      </c>
      <c r="E166" s="469"/>
      <c r="F166" s="15">
        <f>'Student Loans'!Q25</f>
        <v>782</v>
      </c>
      <c r="G166" s="448" t="s">
        <v>97</v>
      </c>
      <c r="H166" s="505"/>
      <c r="I166" s="20">
        <f>12.99</f>
        <v>12.99</v>
      </c>
      <c r="J166" s="448" t="s">
        <v>105</v>
      </c>
      <c r="K166" s="505"/>
      <c r="L166" s="76"/>
      <c r="M166" s="25"/>
      <c r="N166" s="151"/>
      <c r="O166" s="25"/>
      <c r="P166" s="25"/>
      <c r="X166" s="16"/>
      <c r="AA166" s="8"/>
    </row>
    <row r="167" spans="1:30" ht="15.75" thickBot="1">
      <c r="B167" s="26"/>
      <c r="C167" s="25">
        <v>100</v>
      </c>
      <c r="D167" s="448" t="s">
        <v>91</v>
      </c>
      <c r="E167" s="469"/>
      <c r="F167" s="15">
        <v>150</v>
      </c>
      <c r="G167" s="448" t="s">
        <v>170</v>
      </c>
      <c r="H167" s="505"/>
      <c r="I167" s="20">
        <v>5.15</v>
      </c>
      <c r="J167" s="448" t="s">
        <v>75</v>
      </c>
      <c r="K167" s="505"/>
      <c r="L167" s="76"/>
      <c r="M167" s="25"/>
      <c r="N167" s="151"/>
      <c r="O167" s="25"/>
      <c r="P167" s="25"/>
      <c r="X167" s="16"/>
      <c r="AA167" s="8"/>
    </row>
    <row r="168" spans="1:30" ht="15.75" thickBot="1">
      <c r="B168" s="26"/>
      <c r="C168" s="25">
        <v>200</v>
      </c>
      <c r="D168" s="448" t="s">
        <v>185</v>
      </c>
      <c r="E168" s="469"/>
      <c r="F168" s="15">
        <v>40</v>
      </c>
      <c r="G168" s="448" t="s">
        <v>81</v>
      </c>
      <c r="H168" s="505"/>
      <c r="I168" s="20"/>
      <c r="J168" s="462"/>
      <c r="K168" s="464"/>
      <c r="L168" s="76"/>
      <c r="M168" s="25"/>
      <c r="N168" s="151"/>
      <c r="O168" s="25"/>
      <c r="P168" s="25"/>
      <c r="X168" s="16"/>
      <c r="Y168" s="45"/>
      <c r="Z168" s="4" t="s">
        <v>13</v>
      </c>
      <c r="AA168" s="46"/>
      <c r="AB168" s="4" t="s">
        <v>14</v>
      </c>
      <c r="AC168" s="46"/>
      <c r="AD168" s="4" t="s">
        <v>111</v>
      </c>
    </row>
    <row r="169" spans="1:30" ht="15.75" thickTop="1">
      <c r="B169" s="26"/>
      <c r="C169" s="25">
        <v>70</v>
      </c>
      <c r="D169" s="448" t="s">
        <v>185</v>
      </c>
      <c r="E169" s="469"/>
      <c r="F169" s="15">
        <v>177.4</v>
      </c>
      <c r="G169" s="448" t="s">
        <v>184</v>
      </c>
      <c r="H169" s="505"/>
      <c r="I169" s="20"/>
      <c r="J169" s="462"/>
      <c r="K169" s="464"/>
      <c r="L169" s="76"/>
      <c r="M169" s="25"/>
      <c r="N169" s="151"/>
      <c r="O169" s="80">
        <f>P169/31</f>
        <v>3.6809677419354734</v>
      </c>
      <c r="P169" s="81">
        <f>SUM(C163:C171)-SUM(F163:F171)-SUM(I163:I171)-SUM(L163:L171)-SUM(M163:M171)</f>
        <v>114.10999999999967</v>
      </c>
      <c r="Q169" s="82">
        <f>Q158+P172-SUM(L163:L171)-SUM(M163:M171)</f>
        <v>493.87999999999738</v>
      </c>
      <c r="R169" s="98" t="s">
        <v>12</v>
      </c>
      <c r="S169" s="98"/>
      <c r="T169" s="98"/>
      <c r="U169" s="87">
        <f>Z169+AB169+AD169+AD170</f>
        <v>519.91</v>
      </c>
      <c r="V169" s="287"/>
      <c r="W169" s="99">
        <f>U169-U158</f>
        <v>110.17999999999995</v>
      </c>
      <c r="X169" s="81">
        <f>W169/31</f>
        <v>3.554193548387095</v>
      </c>
      <c r="Y169" s="43" t="s">
        <v>17</v>
      </c>
      <c r="Z169" s="44">
        <v>182</v>
      </c>
      <c r="AA169" s="11" t="s">
        <v>15</v>
      </c>
      <c r="AB169" s="12">
        <v>234.73</v>
      </c>
      <c r="AC169" s="11" t="s">
        <v>17</v>
      </c>
      <c r="AD169" s="12">
        <v>54.76</v>
      </c>
    </row>
    <row r="170" spans="1:30" ht="15.75" thickBot="1">
      <c r="B170" s="26"/>
      <c r="C170" s="25"/>
      <c r="D170" s="462"/>
      <c r="E170" s="463"/>
      <c r="F170" s="15">
        <f>18.46+51.57+29.93+101.75+50+60+60+15.83</f>
        <v>387.54</v>
      </c>
      <c r="G170" s="448" t="s">
        <v>68</v>
      </c>
      <c r="H170" s="505"/>
      <c r="I170" s="20"/>
      <c r="J170" s="462"/>
      <c r="K170" s="464"/>
      <c r="L170" s="76"/>
      <c r="M170" s="25"/>
      <c r="N170" s="151"/>
      <c r="O170" s="79">
        <f>P170/31</f>
        <v>32.258064516129032</v>
      </c>
      <c r="P170" s="72">
        <f>SUM(L163:L171)</f>
        <v>1000</v>
      </c>
      <c r="Q170" s="83">
        <f>Q159+SUM(L163:L171)</f>
        <v>6749.96</v>
      </c>
      <c r="R170" s="85" t="s">
        <v>16</v>
      </c>
      <c r="S170" s="85"/>
      <c r="T170" s="85"/>
      <c r="U170" s="88">
        <f>Z170+Z171+AB170</f>
        <v>6761.63</v>
      </c>
      <c r="V170" s="288"/>
      <c r="W170" s="86">
        <f>U170-U159</f>
        <v>1004.0900000000001</v>
      </c>
      <c r="X170" s="72">
        <f>W170/31</f>
        <v>32.390000000000008</v>
      </c>
      <c r="Y170" s="32" t="s">
        <v>18</v>
      </c>
      <c r="Z170" s="13">
        <v>204</v>
      </c>
      <c r="AA170" s="71" t="s">
        <v>16</v>
      </c>
      <c r="AB170" s="72">
        <v>6502.63</v>
      </c>
      <c r="AC170" s="9" t="s">
        <v>87</v>
      </c>
      <c r="AD170" s="10">
        <v>48.42</v>
      </c>
    </row>
    <row r="171" spans="1:30" ht="15.75" thickBot="1">
      <c r="B171" s="26"/>
      <c r="C171" s="25"/>
      <c r="D171" s="462"/>
      <c r="E171" s="463"/>
      <c r="F171" s="15">
        <v>145</v>
      </c>
      <c r="G171" s="448" t="s">
        <v>6</v>
      </c>
      <c r="H171" s="505"/>
      <c r="I171" s="20"/>
      <c r="J171" s="462"/>
      <c r="K171" s="464"/>
      <c r="L171" s="76"/>
      <c r="M171" s="25"/>
      <c r="N171" s="151"/>
      <c r="O171" s="78">
        <f>P171/31</f>
        <v>32.258064516129032</v>
      </c>
      <c r="P171" s="12">
        <f>SUM(M163:M171)</f>
        <v>1000</v>
      </c>
      <c r="Q171" s="96">
        <f>Q160+SUM(M163:M171)</f>
        <v>4500</v>
      </c>
      <c r="R171" s="84" t="s">
        <v>16</v>
      </c>
      <c r="S171" s="84"/>
      <c r="T171" s="84"/>
      <c r="U171" s="97">
        <f>AB171</f>
        <v>4500</v>
      </c>
      <c r="V171" s="37"/>
      <c r="W171" s="47">
        <f>U171-U160</f>
        <v>1000</v>
      </c>
      <c r="X171" s="12">
        <f>W171/31</f>
        <v>32.258064516129032</v>
      </c>
      <c r="Y171" s="33" t="s">
        <v>19</v>
      </c>
      <c r="Z171" s="70">
        <v>55</v>
      </c>
      <c r="AA171" s="73" t="s">
        <v>112</v>
      </c>
      <c r="AB171" s="100">
        <v>4500</v>
      </c>
    </row>
    <row r="172" spans="1:30" ht="16.5" thickTop="1" thickBot="1">
      <c r="B172" s="28"/>
      <c r="C172" s="5"/>
      <c r="D172" s="459"/>
      <c r="E172" s="460"/>
      <c r="F172" s="17"/>
      <c r="G172" s="459"/>
      <c r="H172" s="461"/>
      <c r="I172" s="21"/>
      <c r="J172" s="459"/>
      <c r="K172" s="461"/>
      <c r="L172" s="42"/>
      <c r="M172" s="5"/>
      <c r="N172" s="54"/>
      <c r="O172" s="89">
        <f>P172/31</f>
        <v>68.19709677419354</v>
      </c>
      <c r="P172" s="90">
        <f>SUM(C163:C171)-SUM(F163:F171)-SUM(I163:I171)</f>
        <v>2114.1099999999997</v>
      </c>
      <c r="Q172" s="94">
        <f>Q169+Q170+Q171</f>
        <v>11743.839999999997</v>
      </c>
      <c r="R172" s="95" t="s">
        <v>5</v>
      </c>
      <c r="S172" s="95"/>
      <c r="T172" s="95"/>
      <c r="U172" s="92">
        <f>U169+U170+U171</f>
        <v>11781.54</v>
      </c>
      <c r="V172" s="286"/>
      <c r="W172" s="93">
        <f>U172-U161</f>
        <v>2114.2700000000004</v>
      </c>
      <c r="X172" s="90">
        <f>W172/31</f>
        <v>68.202258064516144</v>
      </c>
    </row>
    <row r="173" spans="1:30" ht="16.5" thickTop="1" thickBot="1">
      <c r="A173" s="14" t="s">
        <v>31</v>
      </c>
      <c r="B173" s="107">
        <v>44562</v>
      </c>
      <c r="C173" s="25"/>
      <c r="D173" s="494"/>
      <c r="E173" s="495"/>
      <c r="F173" s="15"/>
      <c r="G173" s="494"/>
      <c r="H173" s="515"/>
      <c r="I173" s="20"/>
      <c r="J173" s="494"/>
      <c r="K173" s="515"/>
      <c r="L173" s="76"/>
      <c r="M173" s="25"/>
      <c r="N173" s="151"/>
      <c r="O173" s="25"/>
      <c r="P173" s="25"/>
      <c r="X173" s="16"/>
      <c r="AA173" s="8"/>
    </row>
    <row r="174" spans="1:30">
      <c r="B174" s="26"/>
      <c r="C174" s="25"/>
      <c r="D174" s="462"/>
      <c r="E174" s="463"/>
      <c r="F174" s="15">
        <f>11+8.68+9.19+8.68+10+11+12+8.68+9.11+9.77+9+8.68+10.63+8.67+34+13+9+11+8.68+12.77+12.96+8.67+8.64+8.68+8.64+3+8.64+9+9+8.67+8.67+9.55+8.64+3.55+8.67</f>
        <v>348.52000000000004</v>
      </c>
      <c r="G174" s="448" t="s">
        <v>8</v>
      </c>
      <c r="H174" s="505"/>
      <c r="I174" s="20">
        <v>110</v>
      </c>
      <c r="J174" s="448" t="s">
        <v>10</v>
      </c>
      <c r="K174" s="505"/>
      <c r="L174" s="76">
        <v>400</v>
      </c>
      <c r="M174" s="25">
        <v>400</v>
      </c>
      <c r="N174" s="151"/>
      <c r="O174" s="25"/>
      <c r="P174" s="25"/>
      <c r="X174" s="16"/>
      <c r="AA174" s="8"/>
    </row>
    <row r="175" spans="1:30">
      <c r="B175" s="26" t="s">
        <v>166</v>
      </c>
      <c r="C175" s="25">
        <v>1500</v>
      </c>
      <c r="D175" s="448" t="s">
        <v>91</v>
      </c>
      <c r="E175" s="469"/>
      <c r="F175" s="15">
        <f>39.17+38.45+41.04+30+10.1+42.01</f>
        <v>200.76999999999998</v>
      </c>
      <c r="G175" s="448" t="s">
        <v>9</v>
      </c>
      <c r="H175" s="505"/>
      <c r="I175" s="20">
        <v>9.99</v>
      </c>
      <c r="J175" s="448" t="s">
        <v>22</v>
      </c>
      <c r="K175" s="505"/>
      <c r="L175" s="76"/>
      <c r="M175" s="25"/>
      <c r="N175" s="151"/>
      <c r="O175" s="25"/>
      <c r="P175" s="25"/>
      <c r="X175" s="16"/>
      <c r="AA175" s="8"/>
    </row>
    <row r="176" spans="1:30">
      <c r="B176" s="26" t="s">
        <v>167</v>
      </c>
      <c r="C176" s="25">
        <v>1500</v>
      </c>
      <c r="D176" s="448" t="s">
        <v>91</v>
      </c>
      <c r="E176" s="469"/>
      <c r="F176" s="15">
        <v>150</v>
      </c>
      <c r="G176" s="448" t="s">
        <v>170</v>
      </c>
      <c r="H176" s="505"/>
      <c r="I176" s="20">
        <f>16+16.86+40.97</f>
        <v>73.83</v>
      </c>
      <c r="J176" s="448" t="s">
        <v>61</v>
      </c>
      <c r="K176" s="505"/>
      <c r="L176" s="76"/>
      <c r="M176" s="25"/>
      <c r="N176" s="151"/>
      <c r="O176" s="25"/>
      <c r="P176" s="25"/>
      <c r="X176" s="16"/>
      <c r="AA176" s="8"/>
    </row>
    <row r="177" spans="1:30">
      <c r="B177" s="26"/>
      <c r="C177" s="25"/>
      <c r="D177" s="462"/>
      <c r="E177" s="463"/>
      <c r="F177" s="15">
        <f>'Student Loans'!Q26</f>
        <v>764</v>
      </c>
      <c r="G177" s="448" t="s">
        <v>97</v>
      </c>
      <c r="H177" s="505"/>
      <c r="I177" s="20">
        <v>54.3</v>
      </c>
      <c r="J177" s="448" t="s">
        <v>107</v>
      </c>
      <c r="K177" s="505"/>
      <c r="L177" s="76"/>
      <c r="M177" s="25"/>
      <c r="N177" s="151"/>
      <c r="O177" s="25"/>
      <c r="P177" s="25"/>
      <c r="X177" s="16"/>
      <c r="AA177" s="8"/>
    </row>
    <row r="178" spans="1:30" ht="15.75" thickBot="1">
      <c r="B178" s="26"/>
      <c r="C178" s="25"/>
      <c r="D178" s="462"/>
      <c r="E178" s="463"/>
      <c r="F178" s="15">
        <v>145</v>
      </c>
      <c r="G178" s="448" t="s">
        <v>6</v>
      </c>
      <c r="H178" s="505"/>
      <c r="I178" s="20">
        <v>19.29</v>
      </c>
      <c r="J178" s="448" t="s">
        <v>187</v>
      </c>
      <c r="K178" s="505"/>
      <c r="L178" s="76"/>
      <c r="M178" s="25"/>
      <c r="N178" s="151"/>
      <c r="O178" s="25"/>
      <c r="P178" s="25"/>
      <c r="X178" s="16"/>
      <c r="AA178" s="8"/>
    </row>
    <row r="179" spans="1:30" ht="15.75" thickBot="1">
      <c r="B179" s="26"/>
      <c r="C179" s="25"/>
      <c r="D179" s="462"/>
      <c r="E179" s="463"/>
      <c r="F179" s="15">
        <v>154.25</v>
      </c>
      <c r="G179" s="448" t="s">
        <v>176</v>
      </c>
      <c r="H179" s="505"/>
      <c r="I179" s="20">
        <v>7.99</v>
      </c>
      <c r="J179" s="448" t="s">
        <v>21</v>
      </c>
      <c r="K179" s="505"/>
      <c r="L179" s="76"/>
      <c r="M179" s="25"/>
      <c r="N179" s="151"/>
      <c r="O179" s="25"/>
      <c r="P179" s="25"/>
      <c r="X179" s="16"/>
      <c r="Y179" s="45"/>
      <c r="Z179" s="4" t="s">
        <v>13</v>
      </c>
      <c r="AA179" s="46"/>
      <c r="AB179" s="4" t="s">
        <v>14</v>
      </c>
      <c r="AC179" s="46"/>
      <c r="AD179" s="4" t="s">
        <v>111</v>
      </c>
    </row>
    <row r="180" spans="1:30" ht="15.75" thickTop="1">
      <c r="B180" s="26"/>
      <c r="C180" s="25"/>
      <c r="D180" s="462"/>
      <c r="E180" s="463"/>
      <c r="F180" s="15"/>
      <c r="G180" s="462"/>
      <c r="H180" s="464"/>
      <c r="I180" s="20">
        <v>79.989999999999995</v>
      </c>
      <c r="J180" s="448" t="s">
        <v>163</v>
      </c>
      <c r="K180" s="505"/>
      <c r="L180" s="76"/>
      <c r="M180" s="25"/>
      <c r="N180" s="151"/>
      <c r="O180" s="80">
        <f>P180/31</f>
        <v>2.2558064516129055</v>
      </c>
      <c r="P180" s="81">
        <f>SUM(C174:C182)-SUM(F174:F182)-SUM(I174:I182)-SUM(L174:L182)-SUM(M174:M182)</f>
        <v>69.930000000000064</v>
      </c>
      <c r="Q180" s="82">
        <f>Q169+P183-SUM(L174:L182)-SUM(M174:M182)</f>
        <v>563.80999999999744</v>
      </c>
      <c r="R180" s="98" t="s">
        <v>12</v>
      </c>
      <c r="S180" s="98"/>
      <c r="T180" s="98"/>
      <c r="U180" s="87">
        <f>Z180+AB180+AD180+AD181</f>
        <v>568.53000000000009</v>
      </c>
      <c r="V180" s="287"/>
      <c r="W180" s="99">
        <f>U180-U169</f>
        <v>48.620000000000118</v>
      </c>
      <c r="X180" s="81">
        <f>W180/31</f>
        <v>1.5683870967741973</v>
      </c>
      <c r="Y180" s="43" t="s">
        <v>17</v>
      </c>
      <c r="Z180" s="44">
        <v>36</v>
      </c>
      <c r="AA180" s="11" t="s">
        <v>15</v>
      </c>
      <c r="AB180" s="12">
        <f>441.66</f>
        <v>441.66</v>
      </c>
      <c r="AC180" s="11" t="s">
        <v>17</v>
      </c>
      <c r="AD180" s="12">
        <v>34.299999999999997</v>
      </c>
    </row>
    <row r="181" spans="1:30" ht="15.75" thickBot="1">
      <c r="B181" s="26"/>
      <c r="C181" s="25"/>
      <c r="D181" s="462"/>
      <c r="E181" s="463"/>
      <c r="F181" s="15"/>
      <c r="G181" s="462"/>
      <c r="H181" s="464"/>
      <c r="I181" s="20">
        <v>6.99</v>
      </c>
      <c r="J181" s="448" t="s">
        <v>188</v>
      </c>
      <c r="K181" s="505"/>
      <c r="L181" s="76"/>
      <c r="M181" s="25"/>
      <c r="N181" s="151"/>
      <c r="O181" s="79">
        <f>P181/31</f>
        <v>12.903225806451612</v>
      </c>
      <c r="P181" s="72">
        <f>SUM(L174:L182)</f>
        <v>400</v>
      </c>
      <c r="Q181" s="83">
        <f>Q170+SUM(L174:L182)</f>
        <v>7149.96</v>
      </c>
      <c r="R181" s="85" t="s">
        <v>16</v>
      </c>
      <c r="S181" s="85"/>
      <c r="T181" s="85"/>
      <c r="U181" s="88">
        <f>Z181+Z182+AB181</f>
        <v>7167.69</v>
      </c>
      <c r="V181" s="288"/>
      <c r="W181" s="86">
        <f>U181-U170</f>
        <v>406.05999999999949</v>
      </c>
      <c r="X181" s="72">
        <f>W181/31</f>
        <v>13.098709677419338</v>
      </c>
      <c r="Y181" s="32" t="s">
        <v>18</v>
      </c>
      <c r="Z181" s="13">
        <v>204</v>
      </c>
      <c r="AA181" s="71" t="s">
        <v>16</v>
      </c>
      <c r="AB181" s="72">
        <f>6902.69</f>
        <v>6902.69</v>
      </c>
      <c r="AC181" s="9" t="s">
        <v>87</v>
      </c>
      <c r="AD181" s="10">
        <v>56.57</v>
      </c>
    </row>
    <row r="182" spans="1:30" ht="15.75" thickBot="1">
      <c r="B182" s="26"/>
      <c r="C182" s="25"/>
      <c r="D182" s="462"/>
      <c r="E182" s="463"/>
      <c r="F182" s="15"/>
      <c r="G182" s="462"/>
      <c r="H182" s="464"/>
      <c r="I182" s="20">
        <v>5.15</v>
      </c>
      <c r="J182" s="448" t="s">
        <v>75</v>
      </c>
      <c r="K182" s="505"/>
      <c r="L182" s="76"/>
      <c r="M182" s="25"/>
      <c r="N182" s="151"/>
      <c r="O182" s="78">
        <f>P182/31</f>
        <v>12.903225806451612</v>
      </c>
      <c r="P182" s="12">
        <f>SUM(M174:M182)</f>
        <v>400</v>
      </c>
      <c r="Q182" s="96">
        <f>Q171+SUM(M174:M182)</f>
        <v>4900</v>
      </c>
      <c r="R182" s="84" t="s">
        <v>16</v>
      </c>
      <c r="S182" s="84"/>
      <c r="T182" s="84"/>
      <c r="U182" s="97">
        <f>AB182</f>
        <v>4900</v>
      </c>
      <c r="V182" s="37"/>
      <c r="W182" s="47">
        <f>U182-U171</f>
        <v>400</v>
      </c>
      <c r="X182" s="110">
        <f>W182/31</f>
        <v>12.903225806451612</v>
      </c>
      <c r="Y182" s="33" t="s">
        <v>19</v>
      </c>
      <c r="Z182" s="70">
        <v>61</v>
      </c>
      <c r="AA182" s="73" t="s">
        <v>112</v>
      </c>
      <c r="AB182" s="100">
        <f>4900</f>
        <v>4900</v>
      </c>
    </row>
    <row r="183" spans="1:30" ht="16.5" thickTop="1" thickBot="1">
      <c r="B183" s="28"/>
      <c r="C183" s="5"/>
      <c r="D183" s="459"/>
      <c r="E183" s="460"/>
      <c r="F183" s="17"/>
      <c r="G183" s="459"/>
      <c r="H183" s="461"/>
      <c r="I183" s="21"/>
      <c r="J183" s="459"/>
      <c r="K183" s="461"/>
      <c r="L183" s="42"/>
      <c r="M183" s="5"/>
      <c r="N183" s="54"/>
      <c r="O183" s="89">
        <f>P183/31</f>
        <v>28.062258064516133</v>
      </c>
      <c r="P183" s="90">
        <f>SUM(C174:C182)-SUM(F174:F182)-SUM(I174:I182)</f>
        <v>869.93000000000006</v>
      </c>
      <c r="Q183" s="94">
        <f>Q180+Q181+Q182</f>
        <v>12613.769999999997</v>
      </c>
      <c r="R183" s="95" t="s">
        <v>5</v>
      </c>
      <c r="S183" s="95"/>
      <c r="T183" s="95"/>
      <c r="U183" s="92">
        <f>U182+U181+U180</f>
        <v>12636.22</v>
      </c>
      <c r="V183" s="286"/>
      <c r="W183" s="93">
        <f>U183-U172</f>
        <v>854.67999999999847</v>
      </c>
      <c r="X183" s="90">
        <f>W183/31</f>
        <v>27.570322580645112</v>
      </c>
      <c r="AA183" s="8"/>
    </row>
    <row r="184" spans="1:30" ht="16.5" thickTop="1" thickBot="1">
      <c r="A184" s="14" t="s">
        <v>31</v>
      </c>
      <c r="B184" s="107">
        <v>44593</v>
      </c>
      <c r="C184" s="25"/>
      <c r="D184" s="494"/>
      <c r="E184" s="495"/>
      <c r="F184" s="15"/>
      <c r="G184" s="494"/>
      <c r="H184" s="515"/>
      <c r="I184" s="20"/>
      <c r="J184" s="494"/>
      <c r="K184" s="515"/>
      <c r="L184" s="76"/>
      <c r="M184" s="25"/>
      <c r="N184" s="151"/>
      <c r="O184" s="25"/>
      <c r="P184" s="25"/>
      <c r="X184" s="16"/>
      <c r="AA184" s="8"/>
    </row>
    <row r="185" spans="1:30">
      <c r="B185" s="26"/>
      <c r="C185" s="25"/>
      <c r="D185" s="462"/>
      <c r="E185" s="463"/>
      <c r="F185" s="15">
        <f>6.77+9+13+4+8.68+10+9+13+9+11.99+9+8+6+13+8.64+18.29+9+9+5.74+8.64+7.14+11.99+4.33+12+9+13+8.67+13+9+11+9.55+8.67</f>
        <v>307.10000000000002</v>
      </c>
      <c r="G185" s="448" t="s">
        <v>8</v>
      </c>
      <c r="H185" s="505"/>
      <c r="I185" s="20">
        <f>25+70+80</f>
        <v>175</v>
      </c>
      <c r="J185" s="448" t="s">
        <v>10</v>
      </c>
      <c r="K185" s="505"/>
      <c r="L185" s="76">
        <v>300</v>
      </c>
      <c r="M185" s="25">
        <v>400</v>
      </c>
      <c r="N185" s="151"/>
      <c r="O185" s="25"/>
      <c r="P185" s="25"/>
      <c r="X185" s="16"/>
      <c r="AA185" s="8"/>
    </row>
    <row r="186" spans="1:30">
      <c r="B186" s="26" t="s">
        <v>168</v>
      </c>
      <c r="C186" s="25">
        <v>1500</v>
      </c>
      <c r="D186" s="448" t="s">
        <v>91</v>
      </c>
      <c r="E186" s="469"/>
      <c r="F186" s="15">
        <f>37.35+40.23+42.66+40.65+30.14</f>
        <v>191.02999999999997</v>
      </c>
      <c r="G186" s="448" t="s">
        <v>9</v>
      </c>
      <c r="H186" s="505"/>
      <c r="I186" s="20">
        <v>9.99</v>
      </c>
      <c r="J186" s="448" t="s">
        <v>22</v>
      </c>
      <c r="K186" s="505"/>
      <c r="L186" s="76"/>
      <c r="M186" s="25"/>
      <c r="N186" s="151"/>
      <c r="O186" s="25"/>
      <c r="P186" s="25"/>
      <c r="X186" s="16"/>
      <c r="AA186" s="8"/>
    </row>
    <row r="187" spans="1:30" ht="15.75" thickBot="1">
      <c r="B187" s="26" t="s">
        <v>169</v>
      </c>
      <c r="C187" s="25">
        <v>1500</v>
      </c>
      <c r="D187" s="448" t="s">
        <v>91</v>
      </c>
      <c r="E187" s="469"/>
      <c r="F187" s="15">
        <v>746</v>
      </c>
      <c r="G187" s="448" t="s">
        <v>97</v>
      </c>
      <c r="H187" s="505"/>
      <c r="I187" s="20">
        <v>41.22</v>
      </c>
      <c r="J187" s="448" t="s">
        <v>200</v>
      </c>
      <c r="K187" s="505"/>
      <c r="L187" s="76"/>
      <c r="M187" s="25"/>
      <c r="N187" s="151"/>
      <c r="O187" s="25"/>
      <c r="P187" s="25"/>
      <c r="X187" s="16"/>
      <c r="AA187" s="8"/>
    </row>
    <row r="188" spans="1:30" ht="15.75" thickBot="1">
      <c r="B188" s="26"/>
      <c r="C188" s="25"/>
      <c r="D188" s="462"/>
      <c r="E188" s="463"/>
      <c r="F188" s="15">
        <v>200</v>
      </c>
      <c r="G188" s="448" t="s">
        <v>170</v>
      </c>
      <c r="H188" s="505"/>
      <c r="I188" s="20">
        <v>6.99</v>
      </c>
      <c r="J188" s="448" t="s">
        <v>188</v>
      </c>
      <c r="K188" s="505"/>
      <c r="L188" s="76"/>
      <c r="M188" s="25"/>
      <c r="N188" s="151"/>
      <c r="O188" s="25"/>
      <c r="P188" s="25"/>
      <c r="X188" s="16"/>
      <c r="Y188" s="45"/>
      <c r="Z188" s="4" t="s">
        <v>13</v>
      </c>
      <c r="AA188" s="46"/>
      <c r="AB188" s="4" t="s">
        <v>14</v>
      </c>
      <c r="AC188" s="46"/>
      <c r="AD188" s="4" t="s">
        <v>111</v>
      </c>
    </row>
    <row r="189" spans="1:30" ht="15.75" thickTop="1">
      <c r="B189" s="26"/>
      <c r="C189" s="25"/>
      <c r="D189" s="462"/>
      <c r="E189" s="463"/>
      <c r="F189" s="15">
        <v>145</v>
      </c>
      <c r="G189" s="448" t="s">
        <v>6</v>
      </c>
      <c r="H189" s="505"/>
      <c r="I189" s="20">
        <f>29.92+0.98</f>
        <v>30.900000000000002</v>
      </c>
      <c r="J189" s="448" t="s">
        <v>203</v>
      </c>
      <c r="K189" s="505"/>
      <c r="L189" s="76"/>
      <c r="M189" s="25"/>
      <c r="N189" s="151"/>
      <c r="O189" s="80">
        <f>P189/28</f>
        <v>14.343571428571424</v>
      </c>
      <c r="P189" s="81">
        <f>SUM(C185:C191)-SUM(F185:F191)-SUM(I185:I191)-SUM(L185:L191)-SUM(M185:M191)</f>
        <v>401.61999999999989</v>
      </c>
      <c r="Q189" s="82">
        <f>Q180+P192-SUM(L185:L191)-SUM(M185:M191)</f>
        <v>965.42999999999734</v>
      </c>
      <c r="R189" s="98" t="s">
        <v>12</v>
      </c>
      <c r="S189" s="98"/>
      <c r="T189" s="98"/>
      <c r="U189" s="87">
        <f>Z189+AB189+AD189+AD190</f>
        <v>975.63999999999987</v>
      </c>
      <c r="V189" s="287"/>
      <c r="W189" s="99">
        <f>U189-U180</f>
        <v>407.10999999999979</v>
      </c>
      <c r="X189" s="81">
        <f>W189/28</f>
        <v>14.53964285714285</v>
      </c>
      <c r="Y189" s="43" t="s">
        <v>17</v>
      </c>
      <c r="Z189" s="44">
        <v>13</v>
      </c>
      <c r="AA189" s="11" t="s">
        <v>15</v>
      </c>
      <c r="AB189" s="12">
        <f>66.28+1500-300-400</f>
        <v>866.28</v>
      </c>
      <c r="AC189" s="11" t="s">
        <v>17</v>
      </c>
      <c r="AD189" s="12">
        <v>34.299999999999997</v>
      </c>
    </row>
    <row r="190" spans="1:30" ht="15.75" thickBot="1">
      <c r="B190" s="26"/>
      <c r="C190" s="25"/>
      <c r="D190" s="462"/>
      <c r="E190" s="463"/>
      <c r="F190" s="15">
        <v>20</v>
      </c>
      <c r="G190" s="448" t="s">
        <v>81</v>
      </c>
      <c r="H190" s="505"/>
      <c r="I190" s="20">
        <v>20</v>
      </c>
      <c r="J190" s="448" t="s">
        <v>201</v>
      </c>
      <c r="K190" s="505"/>
      <c r="L190" s="76"/>
      <c r="M190" s="25"/>
      <c r="N190" s="151"/>
      <c r="O190" s="79">
        <f>P190/28</f>
        <v>10.714285714285714</v>
      </c>
      <c r="P190" s="72">
        <f>SUM(L185:L191)</f>
        <v>300</v>
      </c>
      <c r="Q190" s="83">
        <f>Q181+SUM(L185:L191)</f>
        <v>7449.96</v>
      </c>
      <c r="R190" s="85" t="s">
        <v>16</v>
      </c>
      <c r="S190" s="85"/>
      <c r="T190" s="85"/>
      <c r="U190" s="88">
        <f>Z190+Z191+AB190</f>
        <v>7475.74</v>
      </c>
      <c r="V190" s="288"/>
      <c r="W190" s="86">
        <f>U190-U181</f>
        <v>308.05000000000018</v>
      </c>
      <c r="X190" s="72">
        <f>W190/28</f>
        <v>11.00178571428572</v>
      </c>
      <c r="Y190" s="32" t="s">
        <v>18</v>
      </c>
      <c r="Z190" s="13">
        <v>204</v>
      </c>
      <c r="AA190" s="71" t="s">
        <v>16</v>
      </c>
      <c r="AB190" s="72">
        <f>6902.74+300</f>
        <v>7202.74</v>
      </c>
      <c r="AC190" s="9" t="s">
        <v>87</v>
      </c>
      <c r="AD190" s="10">
        <v>62.06</v>
      </c>
    </row>
    <row r="191" spans="1:30" ht="15.75" thickBot="1">
      <c r="B191" s="26"/>
      <c r="C191" s="25"/>
      <c r="D191" s="462"/>
      <c r="E191" s="463"/>
      <c r="F191" s="15"/>
      <c r="G191" s="462"/>
      <c r="H191" s="464"/>
      <c r="I191" s="20">
        <v>5.15</v>
      </c>
      <c r="J191" s="448" t="s">
        <v>75</v>
      </c>
      <c r="K191" s="505"/>
      <c r="L191" s="76"/>
      <c r="M191" s="25"/>
      <c r="N191" s="151"/>
      <c r="O191" s="78">
        <f>P191/28</f>
        <v>14.285714285714286</v>
      </c>
      <c r="P191" s="12">
        <f>SUM(M185:M191)</f>
        <v>400</v>
      </c>
      <c r="Q191" s="96">
        <f>Q182+SUM(M185:M191)</f>
        <v>5300</v>
      </c>
      <c r="R191" s="84" t="s">
        <v>16</v>
      </c>
      <c r="S191" s="84"/>
      <c r="T191" s="84"/>
      <c r="U191" s="97">
        <f>AB191</f>
        <v>5300</v>
      </c>
      <c r="V191" s="37"/>
      <c r="W191" s="47">
        <f>U191-U182</f>
        <v>400</v>
      </c>
      <c r="X191" s="12">
        <f>W191/28</f>
        <v>14.285714285714286</v>
      </c>
      <c r="Y191" s="33" t="s">
        <v>19</v>
      </c>
      <c r="Z191" s="70">
        <v>69</v>
      </c>
      <c r="AA191" s="73" t="s">
        <v>112</v>
      </c>
      <c r="AB191" s="100">
        <f>4500+400+400</f>
        <v>5300</v>
      </c>
    </row>
    <row r="192" spans="1:30" ht="16.5" thickTop="1" thickBot="1">
      <c r="B192" s="28"/>
      <c r="C192" s="5"/>
      <c r="D192" s="459"/>
      <c r="E192" s="460"/>
      <c r="F192" s="17"/>
      <c r="G192" s="459"/>
      <c r="H192" s="461"/>
      <c r="I192" s="21"/>
      <c r="J192" s="459"/>
      <c r="K192" s="461"/>
      <c r="L192" s="42"/>
      <c r="M192" s="5"/>
      <c r="N192" s="54"/>
      <c r="O192" s="89">
        <f>P192/28</f>
        <v>39.343571428571423</v>
      </c>
      <c r="P192" s="90">
        <f>SUM(C185:C191)-SUM(F185:F191)-SUM(I185:I191)</f>
        <v>1101.6199999999999</v>
      </c>
      <c r="Q192" s="94">
        <f>Q189+Q190+Q191</f>
        <v>13715.389999999998</v>
      </c>
      <c r="R192" s="95" t="s">
        <v>5</v>
      </c>
      <c r="S192" s="95"/>
      <c r="T192" s="95"/>
      <c r="U192" s="92">
        <f>U191+U190+U189</f>
        <v>13751.38</v>
      </c>
      <c r="V192" s="286"/>
      <c r="W192" s="93">
        <f>U192-U183</f>
        <v>1115.1599999999999</v>
      </c>
      <c r="X192" s="90">
        <f>W192/28</f>
        <v>39.827142857142853</v>
      </c>
      <c r="AA192" s="8"/>
    </row>
    <row r="193" spans="1:30" ht="16.5" thickTop="1" thickBot="1">
      <c r="A193" s="14" t="s">
        <v>31</v>
      </c>
      <c r="B193" s="107">
        <v>44621</v>
      </c>
      <c r="C193" s="25"/>
      <c r="D193" s="494"/>
      <c r="E193" s="495"/>
      <c r="F193" s="15"/>
      <c r="G193" s="494"/>
      <c r="H193" s="515"/>
      <c r="I193" s="20"/>
      <c r="J193" s="494"/>
      <c r="K193" s="515"/>
      <c r="L193" s="76"/>
      <c r="M193" s="25"/>
      <c r="N193" s="151"/>
      <c r="O193" s="25"/>
      <c r="P193" s="25"/>
      <c r="X193" s="16"/>
      <c r="AA193" s="8"/>
    </row>
    <row r="194" spans="1:30">
      <c r="B194" s="26"/>
      <c r="C194" s="25"/>
      <c r="D194" s="462"/>
      <c r="E194" s="463"/>
      <c r="F194" s="15">
        <f>4.32+25+8.67+4.34+9+30+4+6.51+20+8.67+13+11+11+7+10+8.99+11+7+12+9+8.64+7.27+8.64+7.68+9.55+8.64+8.99+8.68+11.6+9.55+12.47+22.62+3.24+8.64+30+5+10+9+11+7+9.72+13+9+11.6+4.66+10+11+7.92+10+9+11+5+9.54+9.72+5</f>
        <v>564.87000000000012</v>
      </c>
      <c r="G194" s="448" t="s">
        <v>8</v>
      </c>
      <c r="H194" s="505"/>
      <c r="I194" s="20">
        <f>80+50+40</f>
        <v>170</v>
      </c>
      <c r="J194" s="448" t="s">
        <v>10</v>
      </c>
      <c r="K194" s="505"/>
      <c r="L194" s="76">
        <v>300</v>
      </c>
      <c r="M194" s="25">
        <v>400</v>
      </c>
      <c r="N194" s="151"/>
      <c r="O194" s="25"/>
      <c r="P194" s="25"/>
      <c r="X194" s="16"/>
      <c r="AA194" s="8"/>
    </row>
    <row r="195" spans="1:30">
      <c r="B195" s="26" t="s">
        <v>195</v>
      </c>
      <c r="C195" s="25">
        <v>1500</v>
      </c>
      <c r="D195" s="448" t="s">
        <v>91</v>
      </c>
      <c r="E195" s="469"/>
      <c r="F195" s="15">
        <f>45.31+31.01+14.7+30+46.95+50.22</f>
        <v>218.19000000000003</v>
      </c>
      <c r="G195" s="448" t="s">
        <v>9</v>
      </c>
      <c r="H195" s="505"/>
      <c r="I195" s="20">
        <v>9.99</v>
      </c>
      <c r="J195" s="448" t="s">
        <v>22</v>
      </c>
      <c r="K195" s="505"/>
      <c r="L195" s="76"/>
      <c r="M195" s="25"/>
      <c r="N195" s="151"/>
      <c r="O195" s="25"/>
      <c r="P195" s="25"/>
      <c r="X195" s="16"/>
      <c r="AA195" s="8"/>
    </row>
    <row r="196" spans="1:30">
      <c r="B196" s="26" t="s">
        <v>196</v>
      </c>
      <c r="C196" s="25">
        <v>1500</v>
      </c>
      <c r="D196" s="448" t="s">
        <v>91</v>
      </c>
      <c r="E196" s="469"/>
      <c r="F196" s="15">
        <f>'Student Loans'!Q28</f>
        <v>730</v>
      </c>
      <c r="G196" s="448" t="s">
        <v>97</v>
      </c>
      <c r="H196" s="505"/>
      <c r="I196" s="20">
        <f>44.09+8.81</f>
        <v>52.900000000000006</v>
      </c>
      <c r="J196" s="448" t="s">
        <v>202</v>
      </c>
      <c r="K196" s="505"/>
      <c r="L196" s="76"/>
      <c r="M196" s="25"/>
      <c r="N196" s="151"/>
      <c r="O196" s="25"/>
      <c r="P196" s="25"/>
      <c r="X196" s="16"/>
      <c r="AA196" s="8"/>
    </row>
    <row r="197" spans="1:30" ht="15.75" thickBot="1">
      <c r="B197" s="27">
        <v>44647</v>
      </c>
      <c r="C197" s="25">
        <v>200</v>
      </c>
      <c r="D197" s="448" t="s">
        <v>215</v>
      </c>
      <c r="E197" s="469"/>
      <c r="F197" s="15">
        <v>200</v>
      </c>
      <c r="G197" s="448" t="s">
        <v>170</v>
      </c>
      <c r="H197" s="505"/>
      <c r="I197" s="20">
        <v>6.99</v>
      </c>
      <c r="J197" s="448" t="s">
        <v>188</v>
      </c>
      <c r="K197" s="505"/>
      <c r="L197" s="76"/>
      <c r="M197" s="25"/>
      <c r="N197" s="151"/>
      <c r="O197" s="25"/>
      <c r="P197" s="25"/>
      <c r="X197" s="16"/>
      <c r="AA197" s="8"/>
    </row>
    <row r="198" spans="1:30" ht="15.75" thickBot="1">
      <c r="B198" s="26"/>
      <c r="C198" s="25"/>
      <c r="D198" s="462"/>
      <c r="E198" s="463"/>
      <c r="F198" s="15">
        <v>145</v>
      </c>
      <c r="G198" s="448" t="s">
        <v>6</v>
      </c>
      <c r="H198" s="505"/>
      <c r="I198" s="20">
        <f>12.99</f>
        <v>12.99</v>
      </c>
      <c r="J198" s="448" t="s">
        <v>105</v>
      </c>
      <c r="K198" s="505"/>
      <c r="L198" s="76"/>
      <c r="M198" s="25"/>
      <c r="N198" s="151"/>
      <c r="O198" s="25"/>
      <c r="P198" s="25"/>
      <c r="X198" s="16"/>
      <c r="Y198" s="45"/>
      <c r="Z198" s="4" t="s">
        <v>13</v>
      </c>
      <c r="AA198" s="46"/>
      <c r="AB198" s="4" t="s">
        <v>14</v>
      </c>
      <c r="AC198" s="46"/>
      <c r="AD198" s="4" t="s">
        <v>111</v>
      </c>
    </row>
    <row r="199" spans="1:30" ht="15.75" thickTop="1">
      <c r="B199" s="26"/>
      <c r="C199" s="25"/>
      <c r="D199" s="462"/>
      <c r="E199" s="463"/>
      <c r="F199" s="15">
        <v>20</v>
      </c>
      <c r="G199" s="448" t="s">
        <v>81</v>
      </c>
      <c r="H199" s="505"/>
      <c r="I199" s="20">
        <v>5.15</v>
      </c>
      <c r="J199" s="448" t="s">
        <v>75</v>
      </c>
      <c r="K199" s="505"/>
      <c r="L199" s="76"/>
      <c r="M199" s="25"/>
      <c r="N199" s="151"/>
      <c r="O199" s="80">
        <f>P199/30</f>
        <v>-7.3183333333333396</v>
      </c>
      <c r="P199" s="81">
        <f>SUM(C194:C201)-SUM(F194:F201)-SUM(I194:I201)-SUM(L194:L200)-SUM(M194:M200)</f>
        <v>-219.55000000000018</v>
      </c>
      <c r="Q199" s="82">
        <f>Q189+P202-SUM(L194:L200)-SUM(M194:M200)</f>
        <v>745.87999999999715</v>
      </c>
      <c r="R199" s="98" t="s">
        <v>12</v>
      </c>
      <c r="S199" s="98"/>
      <c r="T199" s="98"/>
      <c r="U199" s="87">
        <f>Z199+AB199+AD199+AD200</f>
        <v>754.06999999999994</v>
      </c>
      <c r="V199" s="287"/>
      <c r="W199" s="99">
        <f>U199-U189</f>
        <v>-221.56999999999994</v>
      </c>
      <c r="X199" s="81">
        <f>W199/30</f>
        <v>-7.3856666666666646</v>
      </c>
      <c r="Y199" s="43" t="s">
        <v>17</v>
      </c>
      <c r="Z199" s="44">
        <f>20+40</f>
        <v>60</v>
      </c>
      <c r="AA199" s="11" t="s">
        <v>15</v>
      </c>
      <c r="AB199" s="12">
        <v>595.73</v>
      </c>
      <c r="AC199" s="11" t="s">
        <v>17</v>
      </c>
      <c r="AD199" s="12">
        <v>34.299999999999997</v>
      </c>
    </row>
    <row r="200" spans="1:30" ht="15.75" thickBot="1">
      <c r="B200" s="26"/>
      <c r="C200" s="25"/>
      <c r="D200" s="462"/>
      <c r="E200" s="463"/>
      <c r="F200" s="15"/>
      <c r="G200" s="462"/>
      <c r="H200" s="464"/>
      <c r="I200" s="20">
        <f>350+9.99</f>
        <v>359.99</v>
      </c>
      <c r="J200" s="448" t="s">
        <v>204</v>
      </c>
      <c r="K200" s="505"/>
      <c r="L200" s="76"/>
      <c r="M200" s="25"/>
      <c r="N200" s="151"/>
      <c r="O200" s="79">
        <f>P200/30</f>
        <v>10</v>
      </c>
      <c r="P200" s="72">
        <f>SUM(L194:L200)</f>
        <v>300</v>
      </c>
      <c r="Q200" s="83">
        <f>Q190+SUM(L194:L200)</f>
        <v>7749.96</v>
      </c>
      <c r="R200" s="85" t="s">
        <v>16</v>
      </c>
      <c r="S200" s="85"/>
      <c r="T200" s="85"/>
      <c r="U200" s="88">
        <f>Z200+Z201+AB200</f>
        <v>7784.8</v>
      </c>
      <c r="V200" s="288"/>
      <c r="W200" s="86">
        <f>U200-U190</f>
        <v>309.0600000000004</v>
      </c>
      <c r="X200" s="72">
        <f>W200/30</f>
        <v>10.302000000000014</v>
      </c>
      <c r="Y200" s="32" t="s">
        <v>18</v>
      </c>
      <c r="Z200" s="13">
        <v>204</v>
      </c>
      <c r="AA200" s="71" t="s">
        <v>16</v>
      </c>
      <c r="AB200" s="72">
        <v>7502.8</v>
      </c>
      <c r="AC200" s="9" t="s">
        <v>87</v>
      </c>
      <c r="AD200" s="10">
        <v>64.040000000000006</v>
      </c>
    </row>
    <row r="201" spans="1:30" ht="15.75" thickBot="1">
      <c r="B201" s="26"/>
      <c r="C201" s="25"/>
      <c r="D201" s="462"/>
      <c r="E201" s="463"/>
      <c r="F201" s="15"/>
      <c r="G201" s="462"/>
      <c r="H201" s="464"/>
      <c r="I201" s="20">
        <f>223.48</f>
        <v>223.48</v>
      </c>
      <c r="J201" s="448" t="s">
        <v>205</v>
      </c>
      <c r="K201" s="505"/>
      <c r="L201" s="76"/>
      <c r="M201" s="25"/>
      <c r="N201" s="151"/>
      <c r="O201" s="78">
        <f>P201/30</f>
        <v>13.333333333333334</v>
      </c>
      <c r="P201" s="12">
        <f>SUM(M194:M200)</f>
        <v>400</v>
      </c>
      <c r="Q201" s="96">
        <f>Q191+SUM(M194:M200)</f>
        <v>5700</v>
      </c>
      <c r="R201" s="84" t="s">
        <v>16</v>
      </c>
      <c r="S201" s="84"/>
      <c r="T201" s="84"/>
      <c r="U201" s="97">
        <f>AB201</f>
        <v>5700</v>
      </c>
      <c r="V201" s="37"/>
      <c r="W201" s="47">
        <f>U201-U191</f>
        <v>400</v>
      </c>
      <c r="X201" s="12">
        <f>W201/30</f>
        <v>13.333333333333334</v>
      </c>
      <c r="Y201" s="33" t="s">
        <v>19</v>
      </c>
      <c r="Z201" s="70">
        <v>78</v>
      </c>
      <c r="AA201" s="73" t="s">
        <v>112</v>
      </c>
      <c r="AB201" s="100">
        <v>5700</v>
      </c>
    </row>
    <row r="202" spans="1:30" ht="16.5" thickTop="1" thickBot="1">
      <c r="B202" s="28"/>
      <c r="C202" s="5"/>
      <c r="D202" s="459"/>
      <c r="E202" s="460"/>
      <c r="F202" s="17"/>
      <c r="G202" s="459"/>
      <c r="H202" s="461"/>
      <c r="I202" s="21"/>
      <c r="J202" s="459"/>
      <c r="K202" s="461"/>
      <c r="L202" s="42"/>
      <c r="M202" s="5"/>
      <c r="N202" s="54"/>
      <c r="O202" s="89">
        <f>P202/30</f>
        <v>16.014999999999993</v>
      </c>
      <c r="P202" s="90">
        <f>SUM(C194:C201)-SUM(F194:F201)-SUM(I194:I201)</f>
        <v>480.44999999999982</v>
      </c>
      <c r="Q202" s="94">
        <f>Q199+Q200+Q201</f>
        <v>14195.839999999997</v>
      </c>
      <c r="R202" s="95" t="s">
        <v>5</v>
      </c>
      <c r="S202" s="95"/>
      <c r="T202" s="95"/>
      <c r="U202" s="92">
        <f>U201+U200+U199</f>
        <v>14238.869999999999</v>
      </c>
      <c r="V202" s="286"/>
      <c r="W202" s="93">
        <f>U202-U192</f>
        <v>487.48999999999978</v>
      </c>
      <c r="X202" s="90">
        <f>W202/30</f>
        <v>16.249666666666659</v>
      </c>
      <c r="AA202" s="8"/>
    </row>
    <row r="203" spans="1:30" ht="16.5" thickTop="1" thickBot="1">
      <c r="A203" s="14" t="s">
        <v>31</v>
      </c>
      <c r="B203" s="107">
        <v>44652</v>
      </c>
      <c r="C203" s="25"/>
      <c r="D203" s="494"/>
      <c r="E203" s="495"/>
      <c r="F203" s="15"/>
      <c r="G203" s="494"/>
      <c r="H203" s="515"/>
      <c r="I203" s="20"/>
      <c r="J203" s="494"/>
      <c r="K203" s="515"/>
      <c r="L203" s="76"/>
      <c r="M203" s="25"/>
      <c r="N203" s="151"/>
      <c r="O203" s="25"/>
      <c r="P203" s="25"/>
      <c r="X203" s="16"/>
      <c r="AA203" s="8"/>
    </row>
    <row r="204" spans="1:30">
      <c r="B204" s="26"/>
      <c r="C204" s="25"/>
      <c r="D204" s="462"/>
      <c r="E204" s="463"/>
      <c r="F204" s="15">
        <f>13+10+9.72+5+9.77+12.46+10+18+10+3.67+4.34+6.51+10+13+4+4+10.51+9.54+13.12+11+9.54+8+10+10+5+11+13+9.1+13+20+9+9.72+4.88+12+4.88+9.54+10.51+10+5+12.09</f>
        <v>383.9</v>
      </c>
      <c r="G204" s="448" t="s">
        <v>8</v>
      </c>
      <c r="H204" s="505"/>
      <c r="I204" s="20">
        <f>40+80</f>
        <v>120</v>
      </c>
      <c r="J204" s="448" t="s">
        <v>10</v>
      </c>
      <c r="K204" s="505"/>
      <c r="L204" s="76">
        <v>-4000</v>
      </c>
      <c r="M204" s="25">
        <v>300</v>
      </c>
      <c r="N204" s="151"/>
      <c r="O204" s="25"/>
      <c r="P204" s="25"/>
      <c r="X204" s="16"/>
      <c r="AA204" s="8"/>
    </row>
    <row r="205" spans="1:30">
      <c r="B205" s="26" t="s">
        <v>197</v>
      </c>
      <c r="C205" s="25">
        <v>1500</v>
      </c>
      <c r="D205" s="448" t="s">
        <v>91</v>
      </c>
      <c r="E205" s="469"/>
      <c r="F205" s="15">
        <f>45.58+45.09+44.96+47.04+49.26+49.81</f>
        <v>281.74</v>
      </c>
      <c r="G205" s="448" t="s">
        <v>9</v>
      </c>
      <c r="H205" s="505"/>
      <c r="I205" s="20">
        <f>185.78+9.99</f>
        <v>195.77</v>
      </c>
      <c r="J205" s="448" t="s">
        <v>206</v>
      </c>
      <c r="K205" s="505"/>
      <c r="L205" s="76"/>
      <c r="M205" s="25"/>
      <c r="N205" s="151"/>
      <c r="O205" s="25"/>
      <c r="P205" s="25"/>
      <c r="X205" s="16"/>
      <c r="AA205" s="8"/>
    </row>
    <row r="206" spans="1:30">
      <c r="B206" s="26" t="s">
        <v>198</v>
      </c>
      <c r="C206" s="25">
        <v>1500</v>
      </c>
      <c r="D206" s="448" t="s">
        <v>91</v>
      </c>
      <c r="E206" s="469"/>
      <c r="F206" s="15">
        <f>'Student Loans'!Q29</f>
        <v>716</v>
      </c>
      <c r="G206" s="448" t="s">
        <v>97</v>
      </c>
      <c r="H206" s="505"/>
      <c r="I206" s="20">
        <f>31.83+35.29</f>
        <v>67.12</v>
      </c>
      <c r="J206" s="448" t="s">
        <v>61</v>
      </c>
      <c r="K206" s="505"/>
      <c r="L206" s="76"/>
      <c r="M206" s="25"/>
      <c r="N206" s="151"/>
      <c r="O206" s="25"/>
      <c r="P206" s="25"/>
      <c r="X206" s="16"/>
      <c r="AA206" s="8"/>
    </row>
    <row r="207" spans="1:30">
      <c r="B207" s="26"/>
      <c r="C207" s="25"/>
      <c r="D207" s="462"/>
      <c r="E207" s="463"/>
      <c r="F207" s="15">
        <v>145</v>
      </c>
      <c r="G207" s="448" t="s">
        <v>6</v>
      </c>
      <c r="H207" s="505"/>
      <c r="I207" s="20">
        <v>9.99</v>
      </c>
      <c r="J207" s="448" t="s">
        <v>22</v>
      </c>
      <c r="K207" s="505"/>
      <c r="L207" s="76"/>
      <c r="M207" s="25"/>
      <c r="N207" s="151"/>
      <c r="O207" s="25"/>
      <c r="P207" s="25"/>
      <c r="X207" s="16"/>
      <c r="AA207" s="8"/>
    </row>
    <row r="208" spans="1:30" ht="15.75" thickBot="1">
      <c r="B208" s="26"/>
      <c r="C208" s="25"/>
      <c r="D208" s="462"/>
      <c r="E208" s="463"/>
      <c r="F208" s="15">
        <f>50+61.49</f>
        <v>111.49000000000001</v>
      </c>
      <c r="G208" s="448" t="s">
        <v>207</v>
      </c>
      <c r="H208" s="505"/>
      <c r="I208" s="20">
        <v>6.99</v>
      </c>
      <c r="J208" s="448" t="s">
        <v>188</v>
      </c>
      <c r="K208" s="505"/>
      <c r="L208" s="76"/>
      <c r="M208" s="25"/>
      <c r="N208" s="151"/>
      <c r="O208" s="25"/>
      <c r="P208" s="25"/>
      <c r="X208" s="16"/>
      <c r="AA208" s="8"/>
    </row>
    <row r="209" spans="1:30" ht="15.75" thickBot="1">
      <c r="B209" s="26"/>
      <c r="C209" s="25"/>
      <c r="D209" s="462"/>
      <c r="E209" s="463"/>
      <c r="F209" s="15">
        <v>20</v>
      </c>
      <c r="G209" s="448" t="s">
        <v>81</v>
      </c>
      <c r="H209" s="505"/>
      <c r="I209" s="20">
        <v>14.99</v>
      </c>
      <c r="J209" s="448" t="s">
        <v>105</v>
      </c>
      <c r="K209" s="505"/>
      <c r="L209" s="76"/>
      <c r="M209" s="25"/>
      <c r="N209" s="151"/>
      <c r="O209" s="25"/>
      <c r="P209" s="25"/>
      <c r="X209" s="16"/>
      <c r="Y209" s="45"/>
      <c r="Z209" s="4" t="s">
        <v>13</v>
      </c>
      <c r="AA209" s="46"/>
      <c r="AB209" s="4" t="s">
        <v>14</v>
      </c>
      <c r="AC209" s="46"/>
      <c r="AD209" s="4" t="s">
        <v>111</v>
      </c>
    </row>
    <row r="210" spans="1:30" ht="15.75" thickTop="1">
      <c r="B210" s="26"/>
      <c r="C210" s="25"/>
      <c r="D210" s="462"/>
      <c r="E210" s="463"/>
      <c r="F210" s="15">
        <v>168</v>
      </c>
      <c r="G210" s="448" t="s">
        <v>208</v>
      </c>
      <c r="H210" s="505"/>
      <c r="I210" s="20">
        <v>5.15</v>
      </c>
      <c r="J210" s="448" t="s">
        <v>75</v>
      </c>
      <c r="K210" s="505"/>
      <c r="L210" s="76"/>
      <c r="M210" s="25"/>
      <c r="N210" s="151"/>
      <c r="O210" s="80">
        <f>P210/30</f>
        <v>-8.0713333333333441</v>
      </c>
      <c r="P210" s="81">
        <f>SUM(C204:C212)-SUM(F204:F212)-SUM(I204:I212)-SUM(L204:L212)-SUM(M204:M212)</f>
        <v>-242.14000000000033</v>
      </c>
      <c r="Q210" s="82">
        <f>Q199+P213-SUM(L204:L212)-SUM(M204:M212)</f>
        <v>503.73999999999705</v>
      </c>
      <c r="R210" s="98" t="s">
        <v>12</v>
      </c>
      <c r="S210" s="98"/>
      <c r="T210" s="98"/>
      <c r="U210" s="87">
        <f>Z210+AB210+AD210+AD211</f>
        <v>457.08000000000004</v>
      </c>
      <c r="V210" s="287"/>
      <c r="W210" s="99">
        <f>U210-U199</f>
        <v>-296.9899999999999</v>
      </c>
      <c r="X210" s="81">
        <f>W210/30</f>
        <v>-9.8996666666666631</v>
      </c>
      <c r="Y210" s="43" t="s">
        <v>17</v>
      </c>
      <c r="Z210" s="44">
        <v>151</v>
      </c>
      <c r="AA210" s="11" t="s">
        <v>15</v>
      </c>
      <c r="AB210" s="12">
        <v>217.31</v>
      </c>
      <c r="AC210" s="11" t="s">
        <v>17</v>
      </c>
      <c r="AD210" s="12">
        <v>34.299999999999997</v>
      </c>
    </row>
    <row r="211" spans="1:30" ht="15.75" thickBot="1">
      <c r="B211" s="26"/>
      <c r="C211" s="25"/>
      <c r="D211" s="462"/>
      <c r="E211" s="463"/>
      <c r="F211" s="15">
        <v>488</v>
      </c>
      <c r="G211" s="448" t="s">
        <v>209</v>
      </c>
      <c r="H211" s="505"/>
      <c r="I211" s="20"/>
      <c r="J211" s="462"/>
      <c r="K211" s="464"/>
      <c r="L211" s="76"/>
      <c r="M211" s="25"/>
      <c r="N211" s="151"/>
      <c r="O211" s="79">
        <f>P211/30</f>
        <v>-133.33333333333334</v>
      </c>
      <c r="P211" s="72">
        <f>SUM(L204:L212)</f>
        <v>-4000</v>
      </c>
      <c r="Q211" s="83">
        <f>Q200+SUM(L204:L212)</f>
        <v>3749.96</v>
      </c>
      <c r="R211" s="85" t="s">
        <v>16</v>
      </c>
      <c r="S211" s="85"/>
      <c r="T211" s="85"/>
      <c r="U211" s="88">
        <f>Z211+Z212+AB211</f>
        <v>3794.84</v>
      </c>
      <c r="V211" s="288"/>
      <c r="W211" s="86">
        <f>U211-U200</f>
        <v>-3989.96</v>
      </c>
      <c r="X211" s="72">
        <f>W211/30</f>
        <v>-132.99866666666668</v>
      </c>
      <c r="Y211" s="32" t="s">
        <v>18</v>
      </c>
      <c r="Z211" s="13">
        <v>204</v>
      </c>
      <c r="AA211" s="71" t="s">
        <v>16</v>
      </c>
      <c r="AB211" s="72">
        <v>3502.84</v>
      </c>
      <c r="AC211" s="9" t="s">
        <v>87</v>
      </c>
      <c r="AD211" s="10">
        <v>54.47</v>
      </c>
    </row>
    <row r="212" spans="1:30" ht="15.75" thickBot="1">
      <c r="B212" s="26"/>
      <c r="C212" s="25"/>
      <c r="D212" s="462"/>
      <c r="E212" s="463"/>
      <c r="F212" s="15">
        <v>4208</v>
      </c>
      <c r="G212" s="448" t="s">
        <v>210</v>
      </c>
      <c r="H212" s="505"/>
      <c r="I212" s="20"/>
      <c r="J212" s="462"/>
      <c r="K212" s="464"/>
      <c r="L212" s="76"/>
      <c r="M212" s="25"/>
      <c r="N212" s="151"/>
      <c r="O212" s="78">
        <f>P212/30</f>
        <v>10</v>
      </c>
      <c r="P212" s="12">
        <f>SUM(M204:M212)</f>
        <v>300</v>
      </c>
      <c r="Q212" s="96">
        <f>Q201+SUM(M204:M212)</f>
        <v>6000</v>
      </c>
      <c r="R212" s="84" t="s">
        <v>16</v>
      </c>
      <c r="S212" s="84"/>
      <c r="T212" s="84"/>
      <c r="U212" s="97">
        <f>AB212</f>
        <v>6000</v>
      </c>
      <c r="V212" s="37"/>
      <c r="W212" s="47">
        <f>U212-U201</f>
        <v>300</v>
      </c>
      <c r="X212" s="12">
        <f>W212/30</f>
        <v>10</v>
      </c>
      <c r="Y212" s="33" t="s">
        <v>19</v>
      </c>
      <c r="Z212" s="70">
        <v>88</v>
      </c>
      <c r="AA212" s="73" t="s">
        <v>112</v>
      </c>
      <c r="AB212" s="100">
        <v>6000</v>
      </c>
    </row>
    <row r="213" spans="1:30" ht="16.5" thickTop="1" thickBot="1">
      <c r="B213" s="28"/>
      <c r="C213" s="5"/>
      <c r="D213" s="459"/>
      <c r="E213" s="460"/>
      <c r="F213" s="17"/>
      <c r="G213" s="459"/>
      <c r="H213" s="461"/>
      <c r="I213" s="21"/>
      <c r="J213" s="459"/>
      <c r="K213" s="461"/>
      <c r="L213" s="42"/>
      <c r="M213" s="5"/>
      <c r="N213" s="54"/>
      <c r="O213" s="89">
        <f>P213/30</f>
        <v>-131.40466666666669</v>
      </c>
      <c r="P213" s="90">
        <f>SUM(C204:C212)-SUM(F204:F212)-SUM(I204:I212)</f>
        <v>-3942.1400000000003</v>
      </c>
      <c r="Q213" s="94">
        <f>Q210+Q211+Q212</f>
        <v>10253.699999999997</v>
      </c>
      <c r="R213" s="95" t="s">
        <v>5</v>
      </c>
      <c r="S213" s="95"/>
      <c r="T213" s="95"/>
      <c r="U213" s="92">
        <f>U212+U211+U210</f>
        <v>10251.92</v>
      </c>
      <c r="V213" s="286"/>
      <c r="W213" s="93">
        <f>U213-U202</f>
        <v>-3986.9499999999989</v>
      </c>
      <c r="X213" s="90">
        <f>W213/30</f>
        <v>-132.89833333333328</v>
      </c>
      <c r="AA213" s="8"/>
    </row>
    <row r="214" spans="1:30" ht="16.5" thickTop="1" thickBot="1">
      <c r="A214" s="14" t="s">
        <v>31</v>
      </c>
      <c r="B214" s="107">
        <v>44682</v>
      </c>
      <c r="C214" s="25"/>
      <c r="D214" s="494"/>
      <c r="E214" s="495"/>
      <c r="F214" s="15"/>
      <c r="G214" s="494"/>
      <c r="H214" s="515"/>
      <c r="I214" s="20"/>
      <c r="J214" s="494"/>
      <c r="K214" s="515"/>
      <c r="L214" s="76"/>
      <c r="M214" s="25"/>
      <c r="N214" s="151"/>
      <c r="O214" s="25"/>
      <c r="P214" s="25"/>
      <c r="X214" s="16"/>
      <c r="AA214" s="8"/>
    </row>
    <row r="215" spans="1:30">
      <c r="B215" s="26"/>
      <c r="C215" s="25"/>
      <c r="D215" s="462"/>
      <c r="E215" s="463"/>
      <c r="F215" s="15">
        <f>16+10.53+10+4.88+11.26+10.51+13+12+5+10.51+9.72+9.11+5+4+9.98+9.11+5+13.01+11+3+13+11.28+3+9.98+11.28+30+11.28+10.62+9.98+19+5+10.84+5+13+9.54+9.1+5+8.9+11+9.1+9.98+9.11+9.78+10.62+11.71+5+11.28+10.84+11.26+5+12.01+9.54+11.26+11.28+10.62+9.98+4.88+11.26+7.81</f>
        <v>581.73999999999978</v>
      </c>
      <c r="G215" s="448" t="s">
        <v>8</v>
      </c>
      <c r="H215" s="505"/>
      <c r="I215" s="20">
        <f>40+100</f>
        <v>140</v>
      </c>
      <c r="J215" s="448" t="s">
        <v>10</v>
      </c>
      <c r="K215" s="505"/>
      <c r="L215" s="76">
        <v>-1000</v>
      </c>
      <c r="M215" s="25"/>
      <c r="N215" s="151"/>
      <c r="O215" s="25"/>
      <c r="P215" s="25"/>
      <c r="X215" s="16"/>
      <c r="AA215" s="8"/>
    </row>
    <row r="216" spans="1:30">
      <c r="B216" s="26" t="s">
        <v>199</v>
      </c>
      <c r="C216" s="25">
        <v>1500</v>
      </c>
      <c r="D216" s="448" t="s">
        <v>91</v>
      </c>
      <c r="E216" s="469"/>
      <c r="F216" s="15">
        <f>47.98+49.14+50.17+40.06+52.1</f>
        <v>239.45000000000002</v>
      </c>
      <c r="G216" s="448" t="s">
        <v>9</v>
      </c>
      <c r="H216" s="505"/>
      <c r="I216" s="20">
        <f>35.37+9.99</f>
        <v>45.36</v>
      </c>
      <c r="J216" s="448" t="s">
        <v>206</v>
      </c>
      <c r="K216" s="505"/>
      <c r="L216" s="76">
        <v>-500</v>
      </c>
      <c r="M216" s="25"/>
      <c r="N216" s="151"/>
      <c r="O216" s="25"/>
      <c r="P216" s="25"/>
      <c r="X216" s="16"/>
      <c r="AA216" s="8"/>
    </row>
    <row r="217" spans="1:30">
      <c r="B217" s="26"/>
      <c r="C217" s="25">
        <v>540</v>
      </c>
      <c r="D217" s="448" t="s">
        <v>216</v>
      </c>
      <c r="E217" s="469"/>
      <c r="F217" s="15">
        <v>145</v>
      </c>
      <c r="G217" s="448" t="s">
        <v>6</v>
      </c>
      <c r="H217" s="505"/>
      <c r="I217" s="20">
        <v>9.99</v>
      </c>
      <c r="J217" s="448" t="s">
        <v>22</v>
      </c>
      <c r="K217" s="505"/>
      <c r="L217" s="76"/>
      <c r="M217" s="25"/>
      <c r="N217" s="151"/>
      <c r="O217" s="25"/>
      <c r="P217" s="25"/>
      <c r="X217" s="16"/>
      <c r="AA217" s="8"/>
    </row>
    <row r="218" spans="1:30">
      <c r="B218" s="27">
        <v>44694</v>
      </c>
      <c r="C218" s="25">
        <v>54</v>
      </c>
      <c r="D218" s="448" t="s">
        <v>217</v>
      </c>
      <c r="E218" s="469"/>
      <c r="F218" s="15">
        <f>'Student Loans'!Q30</f>
        <v>700</v>
      </c>
      <c r="G218" s="448" t="s">
        <v>97</v>
      </c>
      <c r="H218" s="505"/>
      <c r="I218" s="20">
        <f>83.79+14.99</f>
        <v>98.78</v>
      </c>
      <c r="J218" s="448" t="s">
        <v>105</v>
      </c>
      <c r="K218" s="505"/>
      <c r="L218" s="76"/>
      <c r="M218" s="25"/>
      <c r="N218" s="151"/>
      <c r="O218" s="25"/>
      <c r="P218" s="25"/>
      <c r="X218" s="16"/>
      <c r="AA218" s="8"/>
    </row>
    <row r="219" spans="1:30">
      <c r="B219" s="27">
        <v>44697</v>
      </c>
      <c r="C219" s="25">
        <v>75</v>
      </c>
      <c r="D219" s="448" t="s">
        <v>218</v>
      </c>
      <c r="E219" s="469"/>
      <c r="F219" s="15">
        <v>79.03</v>
      </c>
      <c r="G219" s="448" t="s">
        <v>90</v>
      </c>
      <c r="H219" s="505"/>
      <c r="I219" s="20">
        <v>59.99</v>
      </c>
      <c r="J219" s="448" t="s">
        <v>213</v>
      </c>
      <c r="K219" s="505"/>
      <c r="L219" s="76"/>
      <c r="M219" s="25"/>
      <c r="N219" s="151"/>
      <c r="O219" s="25"/>
      <c r="P219" s="25"/>
      <c r="X219" s="16"/>
      <c r="AA219" s="8"/>
    </row>
    <row r="220" spans="1:30" ht="15.75" thickBot="1">
      <c r="B220" s="26"/>
      <c r="C220" s="25"/>
      <c r="D220" s="462"/>
      <c r="E220" s="463"/>
      <c r="F220" s="15">
        <f>35.79+4</f>
        <v>39.79</v>
      </c>
      <c r="G220" s="448" t="s">
        <v>212</v>
      </c>
      <c r="H220" s="505"/>
      <c r="I220" s="20">
        <v>15</v>
      </c>
      <c r="J220" s="448" t="s">
        <v>214</v>
      </c>
      <c r="K220" s="505"/>
      <c r="L220" s="76"/>
      <c r="M220" s="25"/>
      <c r="N220" s="151"/>
      <c r="O220" s="25"/>
      <c r="P220" s="25"/>
      <c r="X220" s="16"/>
      <c r="AA220" s="8"/>
    </row>
    <row r="221" spans="1:30" ht="15.75" thickBot="1">
      <c r="B221" s="26"/>
      <c r="C221" s="25"/>
      <c r="D221" s="462"/>
      <c r="E221" s="463"/>
      <c r="F221" s="15">
        <v>20</v>
      </c>
      <c r="G221" s="448" t="s">
        <v>81</v>
      </c>
      <c r="H221" s="505"/>
      <c r="I221" s="20">
        <v>6.99</v>
      </c>
      <c r="J221" s="448" t="s">
        <v>188</v>
      </c>
      <c r="K221" s="505"/>
      <c r="L221" s="76"/>
      <c r="M221" s="25"/>
      <c r="N221" s="151"/>
      <c r="O221" s="25"/>
      <c r="P221" s="25"/>
      <c r="X221" s="16"/>
      <c r="Y221" s="45"/>
      <c r="Z221" s="4" t="s">
        <v>13</v>
      </c>
      <c r="AA221" s="46"/>
      <c r="AB221" s="4" t="s">
        <v>14</v>
      </c>
      <c r="AC221" s="46"/>
      <c r="AD221" s="4" t="s">
        <v>111</v>
      </c>
    </row>
    <row r="222" spans="1:30" ht="15.75" thickTop="1">
      <c r="B222" s="26"/>
      <c r="C222" s="25"/>
      <c r="D222" s="462"/>
      <c r="E222" s="463"/>
      <c r="F222" s="15">
        <v>192</v>
      </c>
      <c r="G222" s="448" t="s">
        <v>219</v>
      </c>
      <c r="H222" s="505"/>
      <c r="I222" s="20">
        <v>27</v>
      </c>
      <c r="J222" s="448" t="s">
        <v>61</v>
      </c>
      <c r="K222" s="505"/>
      <c r="L222" s="76"/>
      <c r="M222" s="25"/>
      <c r="N222" s="151"/>
      <c r="O222" s="80">
        <f>P222/30</f>
        <v>34.83133333333334</v>
      </c>
      <c r="P222" s="81">
        <f>SUM(C215:C224)-SUM(F215:F224)-SUM(I215:I224)-SUM(L215:L224)-SUM(M215:M224)</f>
        <v>1044.9400000000003</v>
      </c>
      <c r="Q222" s="82">
        <f>Q210+P225-SUM(L215:L224)-SUM(M215:M224)</f>
        <v>1548.6799999999973</v>
      </c>
      <c r="R222" s="98" t="s">
        <v>12</v>
      </c>
      <c r="S222" s="98"/>
      <c r="T222" s="98"/>
      <c r="U222" s="87">
        <f>Z222+AB222+AD222+AD223</f>
        <v>1455.98</v>
      </c>
      <c r="V222" s="287"/>
      <c r="W222" s="99">
        <f>U222-U210</f>
        <v>998.9</v>
      </c>
      <c r="X222" s="81">
        <f>W222/30</f>
        <v>33.296666666666667</v>
      </c>
      <c r="Y222" s="43" t="s">
        <v>17</v>
      </c>
      <c r="Z222" s="44">
        <v>65</v>
      </c>
      <c r="AA222" s="11" t="s">
        <v>15</v>
      </c>
      <c r="AB222" s="12">
        <v>1287.25</v>
      </c>
      <c r="AC222" s="11" t="s">
        <v>17</v>
      </c>
      <c r="AD222" s="12">
        <v>8.15</v>
      </c>
    </row>
    <row r="223" spans="1:30" ht="15.75" thickBot="1">
      <c r="B223" s="26"/>
      <c r="C223" s="25"/>
      <c r="D223" s="462"/>
      <c r="E223" s="463"/>
      <c r="F223" s="15">
        <v>20</v>
      </c>
      <c r="G223" s="448" t="s">
        <v>220</v>
      </c>
      <c r="H223" s="505"/>
      <c r="I223" s="20">
        <f>6.52*2</f>
        <v>13.04</v>
      </c>
      <c r="J223" s="448" t="s">
        <v>221</v>
      </c>
      <c r="K223" s="505"/>
      <c r="L223" s="76"/>
      <c r="M223" s="25"/>
      <c r="N223" s="151"/>
      <c r="O223" s="79">
        <f>P223/30</f>
        <v>-50</v>
      </c>
      <c r="P223" s="72">
        <f>SUM(L215:L224)</f>
        <v>-1500</v>
      </c>
      <c r="Q223" s="83">
        <f>Q211+SUM(L215:L224)</f>
        <v>2249.96</v>
      </c>
      <c r="R223" s="85" t="s">
        <v>16</v>
      </c>
      <c r="S223" s="85"/>
      <c r="T223" s="85"/>
      <c r="U223" s="88">
        <f>Z223+Z224+AB223</f>
        <v>2296.8599999999997</v>
      </c>
      <c r="V223" s="288"/>
      <c r="W223" s="86">
        <f>U223-U211</f>
        <v>-1497.9800000000005</v>
      </c>
      <c r="X223" s="72">
        <f>W223/30</f>
        <v>-49.932666666666684</v>
      </c>
      <c r="Y223" s="32" t="s">
        <v>18</v>
      </c>
      <c r="Z223" s="13">
        <v>204</v>
      </c>
      <c r="AA223" s="71" t="s">
        <v>16</v>
      </c>
      <c r="AB223" s="72">
        <v>2002.86</v>
      </c>
      <c r="AC223" s="9" t="s">
        <v>87</v>
      </c>
      <c r="AD223" s="10">
        <v>95.58</v>
      </c>
    </row>
    <row r="224" spans="1:30" ht="15.75" thickBot="1">
      <c r="B224" s="26"/>
      <c r="C224" s="25"/>
      <c r="D224" s="462"/>
      <c r="E224" s="463"/>
      <c r="F224" s="15">
        <v>185.75</v>
      </c>
      <c r="G224" s="448" t="s">
        <v>222</v>
      </c>
      <c r="H224" s="505"/>
      <c r="I224" s="20">
        <v>5.15</v>
      </c>
      <c r="J224" s="448" t="s">
        <v>75</v>
      </c>
      <c r="K224" s="505"/>
      <c r="L224" s="76"/>
      <c r="M224" s="25"/>
      <c r="N224" s="151"/>
      <c r="O224" s="78">
        <f>P224/30</f>
        <v>0</v>
      </c>
      <c r="P224" s="12">
        <f>SUM(M215:M224)</f>
        <v>0</v>
      </c>
      <c r="Q224" s="96">
        <f>Q212+SUM(M215:M224)</f>
        <v>6000</v>
      </c>
      <c r="R224" s="84" t="s">
        <v>16</v>
      </c>
      <c r="S224" s="84"/>
      <c r="T224" s="84"/>
      <c r="U224" s="97">
        <f>AB224</f>
        <v>6000</v>
      </c>
      <c r="V224" s="37"/>
      <c r="W224" s="47">
        <f>U224-U212</f>
        <v>0</v>
      </c>
      <c r="X224" s="12">
        <f>W224/30</f>
        <v>0</v>
      </c>
      <c r="Y224" s="33" t="s">
        <v>19</v>
      </c>
      <c r="Z224" s="70">
        <v>90</v>
      </c>
      <c r="AA224" s="73" t="s">
        <v>112</v>
      </c>
      <c r="AB224" s="100">
        <v>6000</v>
      </c>
    </row>
    <row r="225" spans="1:30" ht="16.5" thickTop="1" thickBot="1">
      <c r="B225" s="28"/>
      <c r="C225" s="5"/>
      <c r="D225" s="459"/>
      <c r="E225" s="460"/>
      <c r="F225" s="17"/>
      <c r="G225" s="459"/>
      <c r="H225" s="461"/>
      <c r="I225" s="21"/>
      <c r="J225" s="459"/>
      <c r="K225" s="461"/>
      <c r="L225" s="42"/>
      <c r="M225" s="5"/>
      <c r="N225" s="54"/>
      <c r="O225" s="89">
        <f>P225/30</f>
        <v>-15.16866666666666</v>
      </c>
      <c r="P225" s="90">
        <f>SUM(C215:C224)-SUM(F215:F224)-SUM(I215:I224)</f>
        <v>-455.05999999999977</v>
      </c>
      <c r="Q225" s="94">
        <f>Q222+Q223+Q224</f>
        <v>9798.6399999999976</v>
      </c>
      <c r="R225" s="95" t="s">
        <v>5</v>
      </c>
      <c r="S225" s="95"/>
      <c r="T225" s="95"/>
      <c r="U225" s="92">
        <f>U224+U223+U222</f>
        <v>9752.84</v>
      </c>
      <c r="V225" s="286"/>
      <c r="W225" s="93">
        <f>U225-U213</f>
        <v>-499.07999999999993</v>
      </c>
      <c r="X225" s="90">
        <f>W225/30</f>
        <v>-16.635999999999999</v>
      </c>
      <c r="AA225" s="8"/>
    </row>
    <row r="226" spans="1:30" ht="16.5" thickTop="1" thickBot="1">
      <c r="A226" s="14" t="s">
        <v>31</v>
      </c>
      <c r="B226" s="107">
        <v>44713</v>
      </c>
      <c r="C226" s="25"/>
      <c r="D226" s="494"/>
      <c r="E226" s="495"/>
      <c r="F226" s="15"/>
      <c r="G226" s="494"/>
      <c r="H226" s="515"/>
      <c r="I226" s="20"/>
      <c r="J226" s="494"/>
      <c r="K226" s="515"/>
      <c r="L226" s="76"/>
      <c r="M226" s="25"/>
      <c r="N226" s="151"/>
      <c r="O226" s="25"/>
      <c r="P226" s="25"/>
      <c r="X226" s="16"/>
      <c r="AA226" s="8"/>
    </row>
    <row r="227" spans="1:30">
      <c r="B227" s="26"/>
      <c r="C227" s="25"/>
      <c r="D227" s="462"/>
      <c r="E227" s="463"/>
      <c r="F227" s="15">
        <f>7.03+9.1+9.72+4.88+13.27+9.98+14.32+9.78+10.84+4+2.1+20+11.26+4.88+6.51+13+9.78+15+8+10+9.55+18.55+14.32+2.92+5.83+5+9.55+13+10.84+9.78+12.25+6+10.83+7+14.3+6.51+15+6.61+10.09+20+9.11+9.55+14.3+6.69+5.83+12.58+1.75+4.88+12.58+9.54+6.61+9.78+21+10+9.1+12.9+12.16+10.09+4.88+10.84+9.54+14.3+10.84+6.46+12.58+5+9.78+10.53</f>
        <v>674.57999999999993</v>
      </c>
      <c r="G227" s="448" t="s">
        <v>223</v>
      </c>
      <c r="H227" s="505"/>
      <c r="I227" s="20">
        <f>60+60+40</f>
        <v>160</v>
      </c>
      <c r="J227" s="448" t="s">
        <v>10</v>
      </c>
      <c r="K227" s="505"/>
      <c r="L227" s="76">
        <v>-1000</v>
      </c>
      <c r="M227" s="25"/>
      <c r="N227" s="151"/>
      <c r="O227" s="25"/>
      <c r="P227" s="25"/>
      <c r="X227" s="16"/>
      <c r="AA227" s="8"/>
    </row>
    <row r="228" spans="1:30" ht="15.75" thickBot="1">
      <c r="B228" s="27">
        <v>44723</v>
      </c>
      <c r="C228" s="25">
        <v>75</v>
      </c>
      <c r="D228" s="448" t="s">
        <v>218</v>
      </c>
      <c r="E228" s="469"/>
      <c r="F228" s="15">
        <f>56.72+57.82+59.9+58.44+60.2</f>
        <v>293.08</v>
      </c>
      <c r="G228" s="448" t="s">
        <v>9</v>
      </c>
      <c r="H228" s="505"/>
      <c r="I228" s="20">
        <f>35.37+9.99</f>
        <v>45.36</v>
      </c>
      <c r="J228" s="448" t="s">
        <v>206</v>
      </c>
      <c r="K228" s="505"/>
      <c r="L228" s="76"/>
      <c r="M228" s="25"/>
      <c r="N228" s="151"/>
      <c r="O228" s="25"/>
      <c r="P228" s="25"/>
      <c r="X228" s="16"/>
      <c r="AA228" s="8"/>
    </row>
    <row r="229" spans="1:30" ht="15.75" thickBot="1">
      <c r="B229" s="27">
        <v>44742</v>
      </c>
      <c r="C229" s="25">
        <v>1507.04</v>
      </c>
      <c r="D229" s="448" t="s">
        <v>11</v>
      </c>
      <c r="E229" s="469"/>
      <c r="F229" s="15">
        <f>'Student Loans'!Q31</f>
        <v>686</v>
      </c>
      <c r="G229" s="448" t="s">
        <v>97</v>
      </c>
      <c r="H229" s="505"/>
      <c r="I229" s="20">
        <v>9.99</v>
      </c>
      <c r="J229" s="448" t="s">
        <v>22</v>
      </c>
      <c r="K229" s="505"/>
      <c r="L229" s="76"/>
      <c r="M229" s="25"/>
      <c r="N229" s="151"/>
      <c r="O229" s="25"/>
      <c r="P229" s="25"/>
      <c r="X229" s="16"/>
      <c r="Y229" s="45"/>
      <c r="Z229" s="4" t="s">
        <v>13</v>
      </c>
      <c r="AA229" s="46"/>
      <c r="AB229" s="4" t="s">
        <v>14</v>
      </c>
      <c r="AC229" s="46"/>
      <c r="AD229" s="4" t="s">
        <v>111</v>
      </c>
    </row>
    <row r="230" spans="1:30" ht="15.75" thickTop="1">
      <c r="B230" s="26"/>
      <c r="C230" s="25"/>
      <c r="D230" s="462"/>
      <c r="E230" s="463"/>
      <c r="F230" s="15">
        <v>145</v>
      </c>
      <c r="G230" s="448" t="s">
        <v>6</v>
      </c>
      <c r="H230" s="505"/>
      <c r="I230" s="20">
        <v>6.99</v>
      </c>
      <c r="J230" s="448" t="s">
        <v>188</v>
      </c>
      <c r="K230" s="505"/>
      <c r="L230" s="76"/>
      <c r="M230" s="25"/>
      <c r="N230" s="151"/>
      <c r="O230" s="80">
        <f>P230/30</f>
        <v>17.363333333333337</v>
      </c>
      <c r="P230" s="81">
        <f>SUM(C227:C232)-SUM(F227:F232)-SUM(I227:I232)-SUM(L227:L232)-SUM(M227:M232)</f>
        <v>520.90000000000009</v>
      </c>
      <c r="Q230" s="82">
        <f>Q222+P233-SUM(L227:L232)-SUM(M227:M232)</f>
        <v>2069.5799999999972</v>
      </c>
      <c r="R230" s="98" t="s">
        <v>12</v>
      </c>
      <c r="S230" s="98"/>
      <c r="T230" s="98"/>
      <c r="U230" s="87">
        <f>Z230+AB230+AD230+AD231</f>
        <v>1947.8000000000002</v>
      </c>
      <c r="V230" s="287"/>
      <c r="W230" s="99">
        <f>U230-U222</f>
        <v>491.82000000000016</v>
      </c>
      <c r="X230" s="81">
        <f>W230/30</f>
        <v>16.394000000000005</v>
      </c>
      <c r="Y230" s="43" t="s">
        <v>17</v>
      </c>
      <c r="Z230" s="44">
        <f>6+40+20</f>
        <v>66</v>
      </c>
      <c r="AA230" s="11" t="s">
        <v>15</v>
      </c>
      <c r="AB230" s="12">
        <v>1771.66</v>
      </c>
      <c r="AC230" s="11" t="s">
        <v>17</v>
      </c>
      <c r="AD230" s="12">
        <v>12.21</v>
      </c>
    </row>
    <row r="231" spans="1:30" ht="15.75" thickBot="1">
      <c r="B231" s="26"/>
      <c r="C231" s="25"/>
      <c r="D231" s="462"/>
      <c r="E231" s="463"/>
      <c r="F231" s="15">
        <v>20</v>
      </c>
      <c r="G231" s="448" t="s">
        <v>81</v>
      </c>
      <c r="H231" s="505"/>
      <c r="I231" s="20">
        <v>14.99</v>
      </c>
      <c r="J231" s="448" t="s">
        <v>105</v>
      </c>
      <c r="K231" s="505"/>
      <c r="L231" s="76"/>
      <c r="M231" s="25"/>
      <c r="N231" s="151"/>
      <c r="O231" s="79">
        <f>P231/30</f>
        <v>-33.333333333333336</v>
      </c>
      <c r="P231" s="72">
        <f>SUM(L227:L232)</f>
        <v>-1000</v>
      </c>
      <c r="Q231" s="83">
        <f>Q223+SUM(L227:L232)</f>
        <v>1249.96</v>
      </c>
      <c r="R231" s="85" t="s">
        <v>16</v>
      </c>
      <c r="S231" s="85"/>
      <c r="T231" s="85"/>
      <c r="U231" s="88">
        <f>Z231+Z232+AB231</f>
        <v>1299.8699999999999</v>
      </c>
      <c r="V231" s="288"/>
      <c r="W231" s="86">
        <f>U231-U223</f>
        <v>-996.98999999999978</v>
      </c>
      <c r="X231" s="72">
        <f>W231/30</f>
        <v>-33.23299999999999</v>
      </c>
      <c r="Y231" s="32" t="s">
        <v>18</v>
      </c>
      <c r="Z231" s="13">
        <v>204</v>
      </c>
      <c r="AA231" s="71" t="s">
        <v>16</v>
      </c>
      <c r="AB231" s="72">
        <v>1002.87</v>
      </c>
      <c r="AC231" s="9" t="s">
        <v>87</v>
      </c>
      <c r="AD231" s="10">
        <v>97.93</v>
      </c>
    </row>
    <row r="232" spans="1:30" ht="15.75" thickBot="1">
      <c r="B232" s="26"/>
      <c r="C232" s="25"/>
      <c r="D232" s="462"/>
      <c r="E232" s="463"/>
      <c r="F232" s="15"/>
      <c r="G232" s="462"/>
      <c r="H232" s="464"/>
      <c r="I232" s="20">
        <v>5.15</v>
      </c>
      <c r="J232" s="448" t="s">
        <v>75</v>
      </c>
      <c r="K232" s="505"/>
      <c r="L232" s="76"/>
      <c r="M232" s="25"/>
      <c r="N232" s="151"/>
      <c r="O232" s="78">
        <f>P232/30</f>
        <v>0</v>
      </c>
      <c r="P232" s="12">
        <f>SUM(M227:M232)</f>
        <v>0</v>
      </c>
      <c r="Q232" s="96">
        <f>Q224+SUM(M227:M232)</f>
        <v>6000</v>
      </c>
      <c r="R232" s="84" t="s">
        <v>16</v>
      </c>
      <c r="S232" s="84"/>
      <c r="T232" s="84"/>
      <c r="U232" s="97">
        <f>AB232</f>
        <v>6000</v>
      </c>
      <c r="V232" s="37"/>
      <c r="W232" s="47">
        <f>U232-U224</f>
        <v>0</v>
      </c>
      <c r="X232" s="12">
        <f>W232/30</f>
        <v>0</v>
      </c>
      <c r="Y232" s="33" t="s">
        <v>19</v>
      </c>
      <c r="Z232" s="70">
        <v>93</v>
      </c>
      <c r="AA232" s="73" t="s">
        <v>112</v>
      </c>
      <c r="AB232" s="100">
        <v>6000</v>
      </c>
    </row>
    <row r="233" spans="1:30" ht="16.5" thickTop="1" thickBot="1">
      <c r="B233" s="28"/>
      <c r="C233" s="5"/>
      <c r="D233" s="459"/>
      <c r="E233" s="460"/>
      <c r="F233" s="17"/>
      <c r="G233" s="459"/>
      <c r="H233" s="461"/>
      <c r="I233" s="21"/>
      <c r="J233" s="459"/>
      <c r="K233" s="461"/>
      <c r="L233" s="42"/>
      <c r="M233" s="5"/>
      <c r="N233" s="54"/>
      <c r="O233" s="89">
        <f>P233/30</f>
        <v>-15.969999999999997</v>
      </c>
      <c r="P233" s="90">
        <f>SUM(C227:C232)-SUM(F227:F232)-SUM(I227:I232)</f>
        <v>-479.09999999999991</v>
      </c>
      <c r="Q233" s="94">
        <f>Q230+Q231+Q232</f>
        <v>9319.5399999999972</v>
      </c>
      <c r="R233" s="95" t="s">
        <v>5</v>
      </c>
      <c r="S233" s="95"/>
      <c r="T233" s="95"/>
      <c r="U233" s="92">
        <f>U232+U231+U230</f>
        <v>9247.67</v>
      </c>
      <c r="V233" s="286"/>
      <c r="W233" s="93">
        <f>U233-U225</f>
        <v>-505.17000000000007</v>
      </c>
      <c r="X233" s="90">
        <f>W233/30</f>
        <v>-16.839000000000002</v>
      </c>
      <c r="AA233" s="8"/>
    </row>
    <row r="234" spans="1:30" ht="16.5" thickTop="1" thickBot="1">
      <c r="A234" s="14" t="s">
        <v>31</v>
      </c>
      <c r="B234" s="107">
        <v>44743</v>
      </c>
      <c r="C234" s="25"/>
      <c r="D234" s="494"/>
      <c r="E234" s="495"/>
      <c r="F234" s="15"/>
      <c r="G234" s="494"/>
      <c r="H234" s="515"/>
      <c r="I234" s="20"/>
      <c r="J234" s="494"/>
      <c r="K234" s="515"/>
      <c r="L234" s="76"/>
      <c r="M234" s="25"/>
      <c r="N234" s="151"/>
      <c r="O234" s="25"/>
      <c r="P234" s="25"/>
      <c r="X234" s="16"/>
      <c r="AA234" s="8"/>
    </row>
    <row r="235" spans="1:30">
      <c r="B235" s="26"/>
      <c r="C235" s="25"/>
      <c r="D235" s="462"/>
      <c r="E235" s="463"/>
      <c r="F235" s="15">
        <f>4+8.67+9.54+9.98+10.84+11.36+4.34+9+10+7+12.58+8+10.84+7.79+3+9.54+10.62+9.98+9.54+9.54+4.34+13+14.73+10.84+5+3.27+9.1+7+10+4+12+9.98+9.54+5+9.78+11+7+14.97+8+2+11+14+10+10.84+10.84+13.44+8.46+14.31+8.37+4.34+6.07+8.46+7.58+9.98+14.53+8.35+13.88+13.89+8.67</f>
        <v>543.71999999999991</v>
      </c>
      <c r="G235" s="448" t="s">
        <v>223</v>
      </c>
      <c r="H235" s="505"/>
      <c r="I235" s="20">
        <f>40+20+80</f>
        <v>140</v>
      </c>
      <c r="J235" s="448" t="s">
        <v>10</v>
      </c>
      <c r="K235" s="505"/>
      <c r="L235" s="76">
        <v>-400</v>
      </c>
      <c r="M235" s="25"/>
      <c r="N235" s="151"/>
      <c r="O235" s="25"/>
      <c r="P235" s="25"/>
      <c r="X235" s="16"/>
      <c r="AA235" s="8"/>
    </row>
    <row r="236" spans="1:30">
      <c r="B236" s="26"/>
      <c r="C236" s="25">
        <v>60</v>
      </c>
      <c r="D236" s="448" t="s">
        <v>50</v>
      </c>
      <c r="E236" s="469"/>
      <c r="F236" s="15">
        <f>62.44+57.84+57.16+51.5</f>
        <v>228.94</v>
      </c>
      <c r="G236" s="448" t="s">
        <v>9</v>
      </c>
      <c r="H236" s="505"/>
      <c r="I236" s="20">
        <v>9.99</v>
      </c>
      <c r="J236" s="448" t="s">
        <v>22</v>
      </c>
      <c r="K236" s="505"/>
      <c r="L236" s="76"/>
      <c r="M236" s="25"/>
      <c r="N236" s="151"/>
      <c r="O236" s="25"/>
      <c r="P236" s="25"/>
      <c r="X236" s="16"/>
      <c r="AA236" s="8"/>
    </row>
    <row r="237" spans="1:30">
      <c r="B237" s="26"/>
      <c r="C237" s="25">
        <v>1507.04</v>
      </c>
      <c r="D237" s="448" t="s">
        <v>11</v>
      </c>
      <c r="E237" s="469"/>
      <c r="F237" s="15">
        <v>20</v>
      </c>
      <c r="G237" s="448" t="s">
        <v>81</v>
      </c>
      <c r="H237" s="505"/>
      <c r="I237" s="20">
        <f>35.37+9.99+45.9</f>
        <v>91.259999999999991</v>
      </c>
      <c r="J237" s="448" t="s">
        <v>206</v>
      </c>
      <c r="K237" s="505"/>
      <c r="L237" s="76"/>
      <c r="M237" s="25"/>
      <c r="N237" s="151"/>
      <c r="O237" s="25"/>
      <c r="P237" s="25"/>
      <c r="X237" s="16"/>
      <c r="AA237" s="8"/>
    </row>
    <row r="238" spans="1:30">
      <c r="B238" s="26"/>
      <c r="C238" s="25"/>
      <c r="D238" s="462"/>
      <c r="E238" s="463"/>
      <c r="F238" s="15">
        <f>'Student Loans'!Q32</f>
        <v>672</v>
      </c>
      <c r="G238" s="448" t="s">
        <v>97</v>
      </c>
      <c r="H238" s="505"/>
      <c r="I238" s="20">
        <v>114.06</v>
      </c>
      <c r="J238" s="448" t="s">
        <v>224</v>
      </c>
      <c r="K238" s="505"/>
      <c r="L238" s="76"/>
      <c r="M238" s="25"/>
      <c r="N238" s="151"/>
      <c r="O238" s="25"/>
      <c r="P238" s="25"/>
      <c r="X238" s="16"/>
      <c r="AA238" s="8"/>
    </row>
    <row r="239" spans="1:30">
      <c r="B239" s="26"/>
      <c r="C239" s="25"/>
      <c r="D239" s="462"/>
      <c r="E239" s="463"/>
      <c r="F239" s="15">
        <v>145</v>
      </c>
      <c r="G239" s="448" t="s">
        <v>6</v>
      </c>
      <c r="H239" s="505"/>
      <c r="I239" s="20">
        <v>22</v>
      </c>
      <c r="J239" s="448" t="s">
        <v>225</v>
      </c>
      <c r="K239" s="505"/>
      <c r="L239" s="76"/>
      <c r="M239" s="25"/>
      <c r="N239" s="151"/>
      <c r="O239" s="25"/>
      <c r="P239" s="25"/>
      <c r="X239" s="16"/>
      <c r="AA239" s="8"/>
    </row>
    <row r="240" spans="1:30" ht="15.75" thickBot="1">
      <c r="B240" s="26"/>
      <c r="C240" s="25"/>
      <c r="D240" s="462"/>
      <c r="E240" s="463"/>
      <c r="F240" s="15">
        <v>126.01</v>
      </c>
      <c r="G240" s="448" t="s">
        <v>176</v>
      </c>
      <c r="H240" s="505"/>
      <c r="I240" s="20">
        <v>92.06</v>
      </c>
      <c r="J240" s="448" t="s">
        <v>226</v>
      </c>
      <c r="K240" s="505"/>
      <c r="L240" s="76"/>
      <c r="M240" s="25"/>
      <c r="N240" s="151"/>
      <c r="O240" s="25"/>
      <c r="P240" s="25"/>
      <c r="X240" s="16"/>
      <c r="AA240" s="8"/>
    </row>
    <row r="241" spans="1:30" ht="15.75" thickBot="1">
      <c r="B241" s="26"/>
      <c r="C241" s="25"/>
      <c r="D241" s="462"/>
      <c r="E241" s="463"/>
      <c r="F241" s="15"/>
      <c r="G241" s="462"/>
      <c r="H241" s="464"/>
      <c r="I241" s="20">
        <v>6.99</v>
      </c>
      <c r="J241" s="448" t="s">
        <v>188</v>
      </c>
      <c r="K241" s="505"/>
      <c r="L241" s="76"/>
      <c r="M241" s="25"/>
      <c r="N241" s="151"/>
      <c r="O241" s="25"/>
      <c r="P241" s="25"/>
      <c r="X241" s="16"/>
      <c r="Y241" s="45"/>
      <c r="Z241" s="4" t="s">
        <v>13</v>
      </c>
      <c r="AA241" s="46"/>
      <c r="AB241" s="4" t="s">
        <v>14</v>
      </c>
      <c r="AC241" s="46"/>
      <c r="AD241" s="4" t="s">
        <v>111</v>
      </c>
    </row>
    <row r="242" spans="1:30" ht="15.75" thickTop="1">
      <c r="B242" s="26"/>
      <c r="C242" s="25"/>
      <c r="D242" s="462"/>
      <c r="E242" s="463"/>
      <c r="F242" s="15"/>
      <c r="G242" s="462"/>
      <c r="H242" s="464"/>
      <c r="I242" s="20">
        <v>14.99</v>
      </c>
      <c r="J242" s="448" t="s">
        <v>227</v>
      </c>
      <c r="K242" s="505"/>
      <c r="L242" s="76"/>
      <c r="M242" s="25"/>
      <c r="N242" s="151"/>
      <c r="O242" s="80">
        <f>P242/30</f>
        <v>-9.1989999999999927</v>
      </c>
      <c r="P242" s="81">
        <f>SUM(C235:C244)-SUM(F235:F244)-SUM(I235:I244)-SUM(L235:L244)-SUM(M235:M244)</f>
        <v>-275.9699999999998</v>
      </c>
      <c r="Q242" s="82">
        <f>Q230+P245-SUM(L235:L244)-SUM(M235:M244)</f>
        <v>1793.6099999999974</v>
      </c>
      <c r="R242" s="98" t="s">
        <v>12</v>
      </c>
      <c r="S242" s="98"/>
      <c r="T242" s="98"/>
      <c r="U242" s="87">
        <f>Z242+AB242+AD242+AD243</f>
        <v>1688.45</v>
      </c>
      <c r="V242" s="287"/>
      <c r="W242" s="99">
        <f>U242-U230</f>
        <v>-259.35000000000014</v>
      </c>
      <c r="X242" s="81">
        <f>W242/30</f>
        <v>-8.6450000000000049</v>
      </c>
      <c r="Y242" s="43" t="s">
        <v>17</v>
      </c>
      <c r="Z242" s="44">
        <v>1</v>
      </c>
      <c r="AA242" s="11" t="s">
        <v>15</v>
      </c>
      <c r="AB242" s="12">
        <v>1561.75</v>
      </c>
      <c r="AC242" s="11" t="s">
        <v>17</v>
      </c>
      <c r="AD242" s="12">
        <v>12.21</v>
      </c>
    </row>
    <row r="243" spans="1:30" ht="15.75" thickBot="1">
      <c r="B243" s="26"/>
      <c r="C243" s="25"/>
      <c r="D243" s="462"/>
      <c r="E243" s="463"/>
      <c r="F243" s="15"/>
      <c r="G243" s="462"/>
      <c r="H243" s="464"/>
      <c r="I243" s="20">
        <v>5.15</v>
      </c>
      <c r="J243" s="448" t="s">
        <v>75</v>
      </c>
      <c r="K243" s="505"/>
      <c r="L243" s="76"/>
      <c r="M243" s="25"/>
      <c r="N243" s="151"/>
      <c r="O243" s="79">
        <f>P243/30</f>
        <v>-13.333333333333334</v>
      </c>
      <c r="P243" s="72">
        <f>SUM(L235:L244)</f>
        <v>-400</v>
      </c>
      <c r="Q243" s="83">
        <f>Q231+SUM(L235:L244)</f>
        <v>849.96</v>
      </c>
      <c r="R243" s="85" t="s">
        <v>16</v>
      </c>
      <c r="S243" s="85"/>
      <c r="T243" s="85"/>
      <c r="U243" s="88">
        <f>Z243+Z244+AB243</f>
        <v>908.88</v>
      </c>
      <c r="V243" s="288"/>
      <c r="W243" s="86">
        <f>U243-U231</f>
        <v>-390.9899999999999</v>
      </c>
      <c r="X243" s="72">
        <f>W243/30</f>
        <v>-13.032999999999996</v>
      </c>
      <c r="Y243" s="32" t="s">
        <v>18</v>
      </c>
      <c r="Z243" s="13">
        <v>204</v>
      </c>
      <c r="AA243" s="71" t="s">
        <v>16</v>
      </c>
      <c r="AB243" s="72">
        <v>602.88</v>
      </c>
      <c r="AC243" s="9" t="s">
        <v>87</v>
      </c>
      <c r="AD243" s="10">
        <v>113.49</v>
      </c>
    </row>
    <row r="244" spans="1:30" ht="15.75" thickBot="1">
      <c r="B244" s="26"/>
      <c r="C244" s="25"/>
      <c r="D244" s="462"/>
      <c r="E244" s="463"/>
      <c r="F244" s="15"/>
      <c r="G244" s="462"/>
      <c r="H244" s="464"/>
      <c r="I244" s="20">
        <v>10.84</v>
      </c>
      <c r="J244" s="448" t="s">
        <v>228</v>
      </c>
      <c r="K244" s="505"/>
      <c r="L244" s="76"/>
      <c r="M244" s="25"/>
      <c r="N244" s="151"/>
      <c r="O244" s="78">
        <f>P244/30</f>
        <v>0</v>
      </c>
      <c r="P244" s="12">
        <f>SUM(M235:M244)</f>
        <v>0</v>
      </c>
      <c r="Q244" s="96">
        <f>Q232+SUM(M241:M244)</f>
        <v>6000</v>
      </c>
      <c r="R244" s="84" t="s">
        <v>16</v>
      </c>
      <c r="S244" s="84"/>
      <c r="T244" s="84"/>
      <c r="U244" s="97">
        <f>AB244</f>
        <v>6000</v>
      </c>
      <c r="V244" s="37"/>
      <c r="W244" s="47">
        <f>U244-U232</f>
        <v>0</v>
      </c>
      <c r="X244" s="12">
        <f>W244/30</f>
        <v>0</v>
      </c>
      <c r="Y244" s="33" t="s">
        <v>19</v>
      </c>
      <c r="Z244" s="70">
        <v>102</v>
      </c>
      <c r="AA244" s="73" t="s">
        <v>112</v>
      </c>
      <c r="AB244" s="100">
        <v>6000</v>
      </c>
    </row>
    <row r="245" spans="1:30" ht="16.5" thickTop="1" thickBot="1">
      <c r="B245" s="28"/>
      <c r="C245" s="5"/>
      <c r="D245" s="459"/>
      <c r="E245" s="460"/>
      <c r="F245" s="17"/>
      <c r="G245" s="459"/>
      <c r="H245" s="461"/>
      <c r="I245" s="21"/>
      <c r="J245" s="459"/>
      <c r="K245" s="461"/>
      <c r="L245" s="42"/>
      <c r="M245" s="5"/>
      <c r="N245" s="54"/>
      <c r="O245" s="89">
        <f>P245/30</f>
        <v>-22.532333333333327</v>
      </c>
      <c r="P245" s="90">
        <f>SUM(C235:C244)-SUM(F235:F244)-SUM(I235:I244)</f>
        <v>-675.9699999999998</v>
      </c>
      <c r="Q245" s="94">
        <f>Q242+Q243+Q244</f>
        <v>8643.5699999999979</v>
      </c>
      <c r="R245" s="95" t="s">
        <v>5</v>
      </c>
      <c r="S245" s="95"/>
      <c r="T245" s="95"/>
      <c r="U245" s="92">
        <f>U244+U243+U242</f>
        <v>8597.33</v>
      </c>
      <c r="V245" s="286"/>
      <c r="W245" s="93">
        <f>U245-U233</f>
        <v>-650.34000000000015</v>
      </c>
      <c r="X245" s="90">
        <f>W245/30</f>
        <v>-21.678000000000004</v>
      </c>
      <c r="AA245" s="8"/>
    </row>
    <row r="246" spans="1:30" ht="16.5" thickTop="1" thickBot="1">
      <c r="A246" s="14" t="s">
        <v>31</v>
      </c>
      <c r="B246" s="107">
        <v>44774</v>
      </c>
      <c r="C246" s="25"/>
      <c r="D246" s="494"/>
      <c r="E246" s="495"/>
      <c r="F246" s="15"/>
      <c r="G246" s="494"/>
      <c r="H246" s="515"/>
      <c r="I246" s="20"/>
      <c r="J246" s="494"/>
      <c r="K246" s="515"/>
      <c r="L246" s="76"/>
      <c r="M246" s="25"/>
      <c r="N246" s="151"/>
      <c r="O246" s="25"/>
      <c r="P246" s="25"/>
      <c r="X246" s="16"/>
      <c r="AA246" s="8"/>
    </row>
    <row r="247" spans="1:30">
      <c r="B247" s="26"/>
      <c r="C247" s="25"/>
      <c r="D247" s="462"/>
      <c r="E247" s="463"/>
      <c r="F247" s="15">
        <f>7.58+6.65+4.88+10.84+20+9.98+10+9+17.16+9.1+7+7+13.88+13.88+7+10.85+15+17.24+10.95+13.88+8.9+9.1+7.91+2+13.88+4.78+6.07+13.89+9.72+9.75+9.98+10.84+2+13.88+14.31+7.26+10.54+13.14+9.75+9.72+20+16+10+9.75+9.72+10+14</f>
        <v>498.76</v>
      </c>
      <c r="G247" s="448" t="s">
        <v>223</v>
      </c>
      <c r="H247" s="505"/>
      <c r="I247" s="20">
        <v>100</v>
      </c>
      <c r="J247" s="448" t="s">
        <v>10</v>
      </c>
      <c r="K247" s="505"/>
      <c r="L247" s="76">
        <v>-560</v>
      </c>
      <c r="M247" s="25">
        <v>-300</v>
      </c>
      <c r="N247" s="151"/>
      <c r="O247" s="25"/>
      <c r="P247" s="25"/>
      <c r="X247" s="16"/>
      <c r="AA247" s="8"/>
    </row>
    <row r="248" spans="1:30">
      <c r="B248" s="26"/>
      <c r="C248" s="25"/>
      <c r="D248" s="462"/>
      <c r="E248" s="463"/>
      <c r="F248" s="15">
        <f>47.24+44.58+48.55+46.8+29.77</f>
        <v>216.94000000000003</v>
      </c>
      <c r="G248" s="448" t="s">
        <v>9</v>
      </c>
      <c r="H248" s="505"/>
      <c r="I248" s="20">
        <v>9.99</v>
      </c>
      <c r="J248" s="448" t="s">
        <v>22</v>
      </c>
      <c r="K248" s="505"/>
      <c r="L248" s="76"/>
      <c r="M248" s="25"/>
      <c r="N248" s="151"/>
      <c r="O248" s="25"/>
      <c r="P248" s="25"/>
      <c r="X248" s="16"/>
      <c r="AA248" s="8"/>
    </row>
    <row r="249" spans="1:30">
      <c r="B249" s="26"/>
      <c r="C249" s="25"/>
      <c r="D249" s="462"/>
      <c r="E249" s="463"/>
      <c r="F249" s="15">
        <f>330.89+327.11</f>
        <v>658</v>
      </c>
      <c r="G249" s="448" t="s">
        <v>97</v>
      </c>
      <c r="H249" s="505"/>
      <c r="I249" s="20">
        <v>6.52</v>
      </c>
      <c r="J249" s="448" t="s">
        <v>229</v>
      </c>
      <c r="K249" s="505"/>
      <c r="L249" s="76"/>
      <c r="M249" s="25"/>
      <c r="N249" s="151"/>
      <c r="O249" s="25"/>
      <c r="P249" s="25"/>
      <c r="X249" s="16"/>
      <c r="AA249" s="8"/>
    </row>
    <row r="250" spans="1:30">
      <c r="B250" s="26"/>
      <c r="C250" s="25"/>
      <c r="D250" s="462"/>
      <c r="E250" s="463"/>
      <c r="F250" s="15">
        <v>145</v>
      </c>
      <c r="G250" s="448" t="s">
        <v>6</v>
      </c>
      <c r="H250" s="505"/>
      <c r="I250" s="20">
        <f>56.4+57.49</f>
        <v>113.89</v>
      </c>
      <c r="J250" s="448" t="s">
        <v>230</v>
      </c>
      <c r="K250" s="505"/>
      <c r="L250" s="76"/>
      <c r="M250" s="25"/>
      <c r="N250" s="151"/>
      <c r="O250" s="25"/>
      <c r="P250" s="25"/>
      <c r="X250" s="16"/>
      <c r="AA250" s="8"/>
    </row>
    <row r="251" spans="1:30">
      <c r="B251" s="26"/>
      <c r="C251" s="25"/>
      <c r="D251" s="462"/>
      <c r="E251" s="463"/>
      <c r="F251" s="15">
        <v>20</v>
      </c>
      <c r="G251" s="448" t="s">
        <v>81</v>
      </c>
      <c r="H251" s="505"/>
      <c r="I251" s="20">
        <f>127.87-60</f>
        <v>67.87</v>
      </c>
      <c r="J251" s="448" t="s">
        <v>105</v>
      </c>
      <c r="K251" s="505"/>
      <c r="L251" s="76"/>
      <c r="M251" s="25"/>
      <c r="N251" s="151"/>
      <c r="O251" s="25"/>
      <c r="P251" s="25"/>
      <c r="X251" s="16"/>
      <c r="AA251" s="8"/>
    </row>
    <row r="252" spans="1:30" ht="15.75" thickBot="1">
      <c r="B252" s="26"/>
      <c r="C252" s="25"/>
      <c r="D252" s="462"/>
      <c r="E252" s="463"/>
      <c r="F252" s="15">
        <v>64.33</v>
      </c>
      <c r="G252" s="448" t="s">
        <v>43</v>
      </c>
      <c r="H252" s="505"/>
      <c r="I252" s="20">
        <v>203.95</v>
      </c>
      <c r="J252" s="448" t="s">
        <v>231</v>
      </c>
      <c r="K252" s="505"/>
      <c r="L252" s="76"/>
      <c r="M252" s="25"/>
      <c r="N252" s="151"/>
      <c r="O252" s="25"/>
      <c r="P252" s="25"/>
      <c r="X252" s="16"/>
      <c r="AA252" s="8"/>
    </row>
    <row r="253" spans="1:30" ht="15.75" thickBot="1">
      <c r="B253" s="26"/>
      <c r="C253" s="25"/>
      <c r="D253" s="462"/>
      <c r="E253" s="463"/>
      <c r="F253" s="15">
        <v>59.75</v>
      </c>
      <c r="G253" s="448" t="s">
        <v>176</v>
      </c>
      <c r="H253" s="505"/>
      <c r="I253" s="20">
        <v>6.99</v>
      </c>
      <c r="J253" s="448" t="s">
        <v>188</v>
      </c>
      <c r="K253" s="505"/>
      <c r="L253" s="76"/>
      <c r="M253" s="25"/>
      <c r="N253" s="151"/>
      <c r="O253" s="25"/>
      <c r="P253" s="25"/>
      <c r="X253" s="16"/>
      <c r="Y253" s="45"/>
      <c r="Z253" s="4" t="s">
        <v>13</v>
      </c>
      <c r="AA253" s="46"/>
      <c r="AB253" s="4" t="s">
        <v>14</v>
      </c>
      <c r="AC253" s="46"/>
      <c r="AD253" s="4" t="s">
        <v>111</v>
      </c>
    </row>
    <row r="254" spans="1:30" ht="15.75" thickTop="1">
      <c r="B254" s="26"/>
      <c r="C254" s="25"/>
      <c r="D254" s="462"/>
      <c r="E254" s="463"/>
      <c r="F254" s="15">
        <f>40+25</f>
        <v>65</v>
      </c>
      <c r="G254" s="448" t="s">
        <v>232</v>
      </c>
      <c r="H254" s="505"/>
      <c r="I254" s="20">
        <v>26.11</v>
      </c>
      <c r="J254" s="448" t="s">
        <v>61</v>
      </c>
      <c r="K254" s="505"/>
      <c r="L254" s="76"/>
      <c r="M254" s="25"/>
      <c r="N254" s="151"/>
      <c r="O254" s="80">
        <f>P254/30</f>
        <v>-52.274666666666661</v>
      </c>
      <c r="P254" s="81">
        <f>SUM(C247:C256)-SUM(F247:F256)-SUM(I247:I256)-SUM(L247:L256)-SUM(M247:M256)</f>
        <v>-1568.2399999999998</v>
      </c>
      <c r="Q254" s="82">
        <f>Q242+P257-SUM(L247:L256)-SUM(M247:M256)</f>
        <v>225.36999999999762</v>
      </c>
      <c r="R254" s="98" t="s">
        <v>12</v>
      </c>
      <c r="S254" s="98"/>
      <c r="T254" s="98"/>
      <c r="U254" s="87">
        <f>Z254+AB254+AD254+AD255</f>
        <v>149.32999999999998</v>
      </c>
      <c r="V254" s="287"/>
      <c r="W254" s="99">
        <f>U254-U242</f>
        <v>-1539.1200000000001</v>
      </c>
      <c r="X254" s="81">
        <f>W254/30</f>
        <v>-51.304000000000002</v>
      </c>
      <c r="Y254" s="43" t="s">
        <v>17</v>
      </c>
      <c r="Z254" s="44">
        <v>41</v>
      </c>
      <c r="AA254" s="11" t="s">
        <v>15</v>
      </c>
      <c r="AB254" s="12">
        <v>0.56999999999999995</v>
      </c>
      <c r="AC254" s="11" t="s">
        <v>17</v>
      </c>
      <c r="AD254" s="12">
        <v>2.21</v>
      </c>
    </row>
    <row r="255" spans="1:30" ht="15.75" thickBot="1">
      <c r="B255" s="26"/>
      <c r="C255" s="25"/>
      <c r="D255" s="462"/>
      <c r="E255" s="463"/>
      <c r="F255" s="15"/>
      <c r="G255" s="462"/>
      <c r="H255" s="464"/>
      <c r="I255" s="20">
        <v>5.15</v>
      </c>
      <c r="J255" s="448" t="s">
        <v>75</v>
      </c>
      <c r="K255" s="505"/>
      <c r="L255" s="76"/>
      <c r="M255" s="25"/>
      <c r="N255" s="151"/>
      <c r="O255" s="79">
        <f>P255/30</f>
        <v>-18.666666666666668</v>
      </c>
      <c r="P255" s="72">
        <f>SUM(L247:L256)</f>
        <v>-560</v>
      </c>
      <c r="Q255" s="83">
        <f>Q243+SUM(L247:L256)</f>
        <v>289.96000000000004</v>
      </c>
      <c r="R255" s="85" t="s">
        <v>16</v>
      </c>
      <c r="S255" s="85"/>
      <c r="T255" s="85"/>
      <c r="U255" s="88">
        <f>Z255+Z256+AB255</f>
        <v>312.89</v>
      </c>
      <c r="V255" s="288"/>
      <c r="W255" s="86">
        <f>U255-U243</f>
        <v>-595.99</v>
      </c>
      <c r="X255" s="72">
        <f>W255/30</f>
        <v>-19.866333333333333</v>
      </c>
      <c r="Y255" s="32" t="s">
        <v>18</v>
      </c>
      <c r="Z255" s="13">
        <v>204</v>
      </c>
      <c r="AA255" s="71" t="s">
        <v>16</v>
      </c>
      <c r="AB255" s="72">
        <v>2.89</v>
      </c>
      <c r="AC255" s="9" t="s">
        <v>87</v>
      </c>
      <c r="AD255" s="10">
        <v>105.55</v>
      </c>
    </row>
    <row r="256" spans="1:30" ht="15.75" thickBot="1">
      <c r="B256" s="26"/>
      <c r="C256" s="25"/>
      <c r="D256" s="462"/>
      <c r="E256" s="463"/>
      <c r="F256" s="15"/>
      <c r="G256" s="462"/>
      <c r="H256" s="464"/>
      <c r="I256" s="20">
        <f>150+9.99</f>
        <v>159.99</v>
      </c>
      <c r="J256" s="448" t="s">
        <v>206</v>
      </c>
      <c r="K256" s="505"/>
      <c r="L256" s="76"/>
      <c r="M256" s="25"/>
      <c r="N256" s="151"/>
      <c r="O256" s="78">
        <f>P256/30</f>
        <v>-10</v>
      </c>
      <c r="P256" s="12">
        <f>SUM(M247:M256)</f>
        <v>-300</v>
      </c>
      <c r="Q256" s="96">
        <f>Q244+SUM(M247:M256)</f>
        <v>5700</v>
      </c>
      <c r="R256" s="84" t="s">
        <v>16</v>
      </c>
      <c r="S256" s="84"/>
      <c r="T256" s="84"/>
      <c r="U256" s="97">
        <f>AB256</f>
        <v>5700</v>
      </c>
      <c r="V256" s="37"/>
      <c r="W256" s="47">
        <f>U256-U244</f>
        <v>-300</v>
      </c>
      <c r="X256" s="12">
        <f>W256/30</f>
        <v>-10</v>
      </c>
      <c r="Y256" s="33" t="s">
        <v>19</v>
      </c>
      <c r="Z256" s="70">
        <v>106</v>
      </c>
      <c r="AA256" s="73" t="s">
        <v>112</v>
      </c>
      <c r="AB256" s="100">
        <v>5700</v>
      </c>
    </row>
    <row r="257" spans="1:30" ht="16.5" thickTop="1" thickBot="1">
      <c r="B257" s="28"/>
      <c r="C257" s="5"/>
      <c r="D257" s="459"/>
      <c r="E257" s="460"/>
      <c r="F257" s="17"/>
      <c r="G257" s="459"/>
      <c r="H257" s="461"/>
      <c r="I257" s="21"/>
      <c r="J257" s="459"/>
      <c r="K257" s="461"/>
      <c r="L257" s="42"/>
      <c r="M257" s="5"/>
      <c r="N257" s="54"/>
      <c r="O257" s="89">
        <f>P257/30</f>
        <v>-80.941333333333333</v>
      </c>
      <c r="P257" s="90">
        <f>SUM(C247:C256)-SUM(F247:F256)-SUM(I247:I256)</f>
        <v>-2428.2399999999998</v>
      </c>
      <c r="Q257" s="94">
        <f>Q254+Q255+Q256</f>
        <v>6215.3299999999981</v>
      </c>
      <c r="R257" s="95" t="s">
        <v>5</v>
      </c>
      <c r="S257" s="95"/>
      <c r="T257" s="95"/>
      <c r="U257" s="92">
        <f>U256+U255+U254</f>
        <v>6162.22</v>
      </c>
      <c r="V257" s="286"/>
      <c r="W257" s="93">
        <f>U257-U245</f>
        <v>-2435.1099999999997</v>
      </c>
      <c r="X257" s="90">
        <f>W257/30</f>
        <v>-81.170333333333318</v>
      </c>
      <c r="AA257" s="8"/>
    </row>
    <row r="258" spans="1:30" ht="16.5" thickTop="1" thickBot="1">
      <c r="A258" s="14" t="s">
        <v>31</v>
      </c>
      <c r="B258" s="107">
        <v>44805</v>
      </c>
      <c r="C258" s="25"/>
      <c r="D258" s="494"/>
      <c r="E258" s="495"/>
      <c r="F258" s="15"/>
      <c r="G258" s="494"/>
      <c r="H258" s="515"/>
      <c r="I258" s="20"/>
      <c r="J258" s="494"/>
      <c r="K258" s="515"/>
      <c r="L258" s="76"/>
      <c r="M258" s="25"/>
      <c r="N258" s="151"/>
      <c r="O258" s="25"/>
      <c r="P258" s="25"/>
      <c r="X258" s="16"/>
      <c r="AA258" s="8"/>
    </row>
    <row r="259" spans="1:30">
      <c r="B259" s="26"/>
      <c r="D259" s="448"/>
      <c r="E259" s="469"/>
      <c r="F259" s="15">
        <f>13.88+7+13.88+10+13.44+9.98+12+10+13.46+20+10+10+13.46+15*(0)+33+13.44+5+16+13.44+8.56+2.92+4+13.88+11.06+10+10+13.88+18+13.88+14.86+60+18+4+9.22+2.92+20+15+10+12+11+13+4+15+4+14+2.49+14+2+10+8+20+16.78+12.46+7.04+9.75</f>
        <v>673.68000000000006</v>
      </c>
      <c r="G259" s="448" t="s">
        <v>223</v>
      </c>
      <c r="H259" s="505"/>
      <c r="I259" s="20">
        <f>240+9.99</f>
        <v>249.99</v>
      </c>
      <c r="J259" s="448" t="s">
        <v>206</v>
      </c>
      <c r="K259" s="505"/>
      <c r="L259" s="76">
        <v>-50</v>
      </c>
      <c r="M259" s="25">
        <v>-800</v>
      </c>
      <c r="N259" s="151"/>
      <c r="O259" s="25"/>
      <c r="P259" s="25"/>
      <c r="X259" s="16"/>
      <c r="AA259" s="8"/>
    </row>
    <row r="260" spans="1:30">
      <c r="B260" s="26" t="s">
        <v>238</v>
      </c>
      <c r="C260" s="25">
        <v>1507.04</v>
      </c>
      <c r="D260" s="506" t="s">
        <v>11</v>
      </c>
      <c r="E260" s="507"/>
      <c r="F260" s="15">
        <f>47.78+44.93+45.76+46.47</f>
        <v>184.94</v>
      </c>
      <c r="G260" s="448" t="s">
        <v>9</v>
      </c>
      <c r="H260" s="505"/>
      <c r="I260" s="20">
        <v>9.99</v>
      </c>
      <c r="J260" s="448" t="s">
        <v>22</v>
      </c>
      <c r="K260" s="505"/>
      <c r="L260" s="76">
        <v>-45</v>
      </c>
      <c r="M260" s="25">
        <v>-600</v>
      </c>
      <c r="N260" s="151"/>
      <c r="O260" s="25"/>
      <c r="P260" s="25"/>
      <c r="X260" s="16"/>
      <c r="AA260" s="8"/>
    </row>
    <row r="261" spans="1:30" ht="15.75" thickBot="1">
      <c r="B261" s="26"/>
      <c r="C261" s="25"/>
      <c r="D261" s="462"/>
      <c r="E261" s="463"/>
      <c r="F261" s="15">
        <v>644</v>
      </c>
      <c r="G261" s="448" t="s">
        <v>97</v>
      </c>
      <c r="H261" s="505"/>
      <c r="I261" s="20">
        <v>6.99</v>
      </c>
      <c r="J261" s="448" t="s">
        <v>188</v>
      </c>
      <c r="K261" s="505"/>
      <c r="L261" s="76">
        <v>-4</v>
      </c>
      <c r="M261" s="25">
        <v>-500</v>
      </c>
      <c r="N261" s="151"/>
      <c r="O261" s="25"/>
      <c r="P261" s="25"/>
      <c r="X261" s="16"/>
      <c r="AA261" s="8"/>
    </row>
    <row r="262" spans="1:30" ht="15.75" thickBot="1">
      <c r="B262" s="26"/>
      <c r="C262" s="25"/>
      <c r="D262" s="462"/>
      <c r="E262" s="463"/>
      <c r="F262" s="15">
        <v>145</v>
      </c>
      <c r="G262" s="448" t="s">
        <v>6</v>
      </c>
      <c r="H262" s="505"/>
      <c r="I262" s="20">
        <f>18.28+42.04</f>
        <v>60.32</v>
      </c>
      <c r="J262" s="448" t="s">
        <v>233</v>
      </c>
      <c r="K262" s="505"/>
      <c r="L262" s="76">
        <v>99</v>
      </c>
      <c r="M262" s="25">
        <v>-200</v>
      </c>
      <c r="N262" s="151"/>
      <c r="O262" s="25"/>
      <c r="P262" s="25"/>
      <c r="X262" s="16"/>
      <c r="Y262" s="45"/>
      <c r="Z262" s="4" t="s">
        <v>13</v>
      </c>
      <c r="AA262" s="46"/>
      <c r="AB262" s="4" t="s">
        <v>14</v>
      </c>
      <c r="AC262" s="46"/>
      <c r="AD262" s="4" t="s">
        <v>111</v>
      </c>
    </row>
    <row r="263" spans="1:30" ht="15.75" thickTop="1">
      <c r="B263" s="26"/>
      <c r="C263" s="25"/>
      <c r="D263" s="462"/>
      <c r="E263" s="463"/>
      <c r="F263" s="15">
        <v>96.16</v>
      </c>
      <c r="G263" s="448" t="s">
        <v>115</v>
      </c>
      <c r="H263" s="505"/>
      <c r="I263" s="20">
        <v>5.15</v>
      </c>
      <c r="J263" s="448" t="s">
        <v>75</v>
      </c>
      <c r="K263" s="505"/>
      <c r="L263" s="76">
        <v>200</v>
      </c>
      <c r="M263" s="25"/>
      <c r="N263" s="151"/>
      <c r="O263" s="80">
        <f>P263/30</f>
        <v>42.527333333333324</v>
      </c>
      <c r="P263" s="81">
        <f>SUM(C260:C265)-SUM(F259:F265)-SUM(I259:I265)-SUM(L259:L265)-SUM(M259:M265)</f>
        <v>1275.8199999999997</v>
      </c>
      <c r="Q263" s="82">
        <f>Q254+P266-SUM(L259:L265)-SUM(M259:M265)</f>
        <v>1501.1899999999973</v>
      </c>
      <c r="R263" s="98" t="s">
        <v>12</v>
      </c>
      <c r="S263" s="98"/>
      <c r="T263" s="98"/>
      <c r="U263" s="87">
        <f>Z263+AB263+AD263+AD264</f>
        <v>1521.7500000000002</v>
      </c>
      <c r="V263" s="287"/>
      <c r="W263" s="99">
        <f>U263-U254</f>
        <v>1372.4200000000003</v>
      </c>
      <c r="X263" s="81">
        <f>W263/30</f>
        <v>45.747333333333344</v>
      </c>
      <c r="Y263" s="43" t="s">
        <v>17</v>
      </c>
      <c r="Z263" s="44">
        <v>12</v>
      </c>
      <c r="AA263" s="11" t="s">
        <v>15</v>
      </c>
      <c r="AB263" s="12">
        <v>1403.88</v>
      </c>
      <c r="AC263" s="11" t="s">
        <v>17</v>
      </c>
      <c r="AD263" s="12">
        <v>2.21</v>
      </c>
    </row>
    <row r="264" spans="1:30" ht="15.75" thickBot="1">
      <c r="B264" s="26"/>
      <c r="C264" s="25"/>
      <c r="D264" s="462"/>
      <c r="E264" s="463"/>
      <c r="F264" s="15">
        <v>35</v>
      </c>
      <c r="G264" s="448" t="s">
        <v>116</v>
      </c>
      <c r="H264" s="505"/>
      <c r="I264" s="20"/>
      <c r="J264" s="462"/>
      <c r="K264" s="464"/>
      <c r="L264" s="76"/>
      <c r="M264" s="25"/>
      <c r="N264" s="151"/>
      <c r="O264" s="79">
        <f>P264/30</f>
        <v>6.666666666666667</v>
      </c>
      <c r="P264" s="72">
        <f>SUM(L259:L265)</f>
        <v>200</v>
      </c>
      <c r="Q264" s="83">
        <f>Q255+SUM(L259:L265)</f>
        <v>489.96000000000004</v>
      </c>
      <c r="R264" s="85" t="s">
        <v>16</v>
      </c>
      <c r="S264" s="85"/>
      <c r="T264" s="85"/>
      <c r="U264" s="88">
        <f>Z264+Z265+AB264</f>
        <v>420.89</v>
      </c>
      <c r="V264" s="288"/>
      <c r="W264" s="86">
        <f>U264-U255</f>
        <v>108</v>
      </c>
      <c r="X264" s="72">
        <f>W264/30</f>
        <v>3.6</v>
      </c>
      <c r="Y264" s="32" t="s">
        <v>18</v>
      </c>
      <c r="Z264" s="13">
        <v>204</v>
      </c>
      <c r="AA264" s="71" t="s">
        <v>16</v>
      </c>
      <c r="AB264" s="72">
        <v>102.89</v>
      </c>
      <c r="AC264" s="9" t="s">
        <v>87</v>
      </c>
      <c r="AD264" s="10">
        <v>103.66</v>
      </c>
    </row>
    <row r="265" spans="1:30" ht="15.75" thickBot="1">
      <c r="B265" s="26"/>
      <c r="C265" s="25"/>
      <c r="D265" s="462"/>
      <c r="E265" s="463"/>
      <c r="F265" s="15">
        <v>20</v>
      </c>
      <c r="G265" s="448" t="s">
        <v>81</v>
      </c>
      <c r="H265" s="505"/>
      <c r="I265" s="20"/>
      <c r="J265" s="462"/>
      <c r="K265" s="464"/>
      <c r="L265" s="76"/>
      <c r="M265" s="25"/>
      <c r="N265" s="151"/>
      <c r="O265" s="78">
        <f>P265/30</f>
        <v>-70</v>
      </c>
      <c r="P265" s="12">
        <f>SUM(M259:M265)</f>
        <v>-2100</v>
      </c>
      <c r="Q265" s="96">
        <f>Q256+SUM(M259:M265)</f>
        <v>3600</v>
      </c>
      <c r="R265" s="84" t="s">
        <v>16</v>
      </c>
      <c r="S265" s="84"/>
      <c r="T265" s="84"/>
      <c r="U265" s="97">
        <f>AB265</f>
        <v>3600</v>
      </c>
      <c r="V265" s="37"/>
      <c r="W265" s="47">
        <f>U265-U256</f>
        <v>-2100</v>
      </c>
      <c r="X265" s="12">
        <f>W265/30</f>
        <v>-70</v>
      </c>
      <c r="Y265" s="33" t="s">
        <v>19</v>
      </c>
      <c r="Z265" s="70">
        <v>114</v>
      </c>
      <c r="AA265" s="73" t="s">
        <v>112</v>
      </c>
      <c r="AB265" s="100">
        <v>3600</v>
      </c>
    </row>
    <row r="266" spans="1:30" ht="16.5" thickTop="1" thickBot="1">
      <c r="B266" s="28"/>
      <c r="C266" s="5"/>
      <c r="D266" s="459"/>
      <c r="E266" s="460"/>
      <c r="F266" s="17"/>
      <c r="G266" s="459"/>
      <c r="H266" s="461"/>
      <c r="I266" s="21"/>
      <c r="J266" s="459"/>
      <c r="K266" s="461"/>
      <c r="L266" s="42"/>
      <c r="M266" s="5"/>
      <c r="N266" s="54"/>
      <c r="O266" s="89">
        <f>P266/30</f>
        <v>-20.806000000000008</v>
      </c>
      <c r="P266" s="90">
        <f>SUM(C260:C265)-SUM(F259:F265)-SUM(I259:I265)</f>
        <v>-624.18000000000029</v>
      </c>
      <c r="Q266" s="94">
        <f>Q263+Q264+Q265</f>
        <v>5591.1499999999978</v>
      </c>
      <c r="R266" s="95" t="s">
        <v>5</v>
      </c>
      <c r="S266" s="95"/>
      <c r="T266" s="95"/>
      <c r="U266" s="92">
        <f>U265+U264+U263</f>
        <v>5542.64</v>
      </c>
      <c r="V266" s="286"/>
      <c r="W266" s="93">
        <f>U266-U257</f>
        <v>-619.57999999999993</v>
      </c>
      <c r="X266" s="90">
        <f>W266/30</f>
        <v>-20.652666666666665</v>
      </c>
      <c r="AA266" s="8"/>
    </row>
    <row r="267" spans="1:30" ht="16.5" thickTop="1" thickBot="1">
      <c r="A267" s="14" t="s">
        <v>31</v>
      </c>
      <c r="B267" s="107">
        <v>44835</v>
      </c>
      <c r="C267" s="25"/>
      <c r="D267" s="494"/>
      <c r="E267" s="495"/>
      <c r="F267" s="15"/>
      <c r="G267" s="494"/>
      <c r="H267" s="515"/>
      <c r="I267" s="20"/>
      <c r="J267" s="494"/>
      <c r="K267" s="515"/>
      <c r="L267" s="76"/>
      <c r="M267" s="25"/>
      <c r="N267" s="151"/>
      <c r="O267" s="25"/>
      <c r="P267" s="25"/>
      <c r="X267" s="16"/>
      <c r="AA267" s="8"/>
    </row>
    <row r="268" spans="1:30">
      <c r="B268" s="26"/>
      <c r="D268" s="448"/>
      <c r="E268" s="469"/>
      <c r="F268" s="15">
        <f>13.44+10.63+2+12+9.09+10+18+14+13.44+9+13+10+13.06+13.88+30+13.88+12+12+14+13.06+9+17.84+8+9+10+14.46+4+18.25+10+4+23+4+14.14+9.75+12+18.72+14.14+14.14+12+12+14.9+14+9+10+15+4.12+8.26+12+10+14+13</f>
        <v>619.19999999999982</v>
      </c>
      <c r="G268" s="448" t="s">
        <v>223</v>
      </c>
      <c r="H268" s="505"/>
      <c r="I268" s="20">
        <v>9.99</v>
      </c>
      <c r="J268" s="448" t="s">
        <v>22</v>
      </c>
      <c r="K268" s="505"/>
      <c r="L268" s="76"/>
      <c r="M268" s="25">
        <v>-200</v>
      </c>
      <c r="N268" s="151"/>
      <c r="O268" s="25"/>
      <c r="P268" s="25"/>
      <c r="X268" s="16"/>
      <c r="AA268" s="8"/>
    </row>
    <row r="269" spans="1:30">
      <c r="B269" s="27">
        <v>44863</v>
      </c>
      <c r="C269" s="25">
        <v>1507.04</v>
      </c>
      <c r="D269" s="506" t="s">
        <v>11</v>
      </c>
      <c r="E269" s="507"/>
      <c r="F269" s="15">
        <f>41.11+44.28+43.98+30.88+44.91</f>
        <v>205.16</v>
      </c>
      <c r="G269" s="448" t="s">
        <v>9</v>
      </c>
      <c r="H269" s="505"/>
      <c r="I269" s="20">
        <v>15.95</v>
      </c>
      <c r="J269" s="448" t="s">
        <v>234</v>
      </c>
      <c r="K269" s="505"/>
      <c r="L269" s="76"/>
      <c r="M269" s="25">
        <v>-900</v>
      </c>
      <c r="N269" s="151"/>
      <c r="O269" s="25"/>
      <c r="P269" s="25"/>
      <c r="X269" s="16"/>
      <c r="AA269" s="8"/>
    </row>
    <row r="270" spans="1:30">
      <c r="B270" s="26"/>
      <c r="C270" s="25"/>
      <c r="D270" s="462"/>
      <c r="E270" s="463"/>
      <c r="F270" s="15">
        <v>630</v>
      </c>
      <c r="G270" s="448" t="s">
        <v>97</v>
      </c>
      <c r="H270" s="505"/>
      <c r="I270" s="20">
        <v>6.99</v>
      </c>
      <c r="J270" s="448" t="s">
        <v>188</v>
      </c>
      <c r="K270" s="505"/>
      <c r="L270" s="76"/>
      <c r="M270" s="25"/>
      <c r="N270" s="151"/>
      <c r="O270" s="25"/>
      <c r="P270" s="25"/>
      <c r="X270" s="16"/>
      <c r="AA270" s="8"/>
    </row>
    <row r="271" spans="1:30">
      <c r="B271" s="26"/>
      <c r="C271" s="25"/>
      <c r="D271" s="462"/>
      <c r="E271" s="463"/>
      <c r="F271" s="15">
        <v>145</v>
      </c>
      <c r="G271" s="448" t="s">
        <v>6</v>
      </c>
      <c r="H271" s="505"/>
      <c r="I271" s="20">
        <v>19.29</v>
      </c>
      <c r="J271" s="448" t="s">
        <v>61</v>
      </c>
      <c r="K271" s="505"/>
      <c r="L271" s="76"/>
      <c r="M271" s="25"/>
      <c r="N271" s="151"/>
      <c r="O271" s="25"/>
      <c r="P271" s="25"/>
      <c r="X271" s="16"/>
      <c r="AA271" s="8"/>
    </row>
    <row r="272" spans="1:30" ht="15.75" thickBot="1">
      <c r="B272" s="26"/>
      <c r="C272" s="25"/>
      <c r="D272" s="462"/>
      <c r="E272" s="463"/>
      <c r="F272" s="15">
        <v>96.16</v>
      </c>
      <c r="G272" s="448" t="s">
        <v>115</v>
      </c>
      <c r="H272" s="505"/>
      <c r="I272" s="20">
        <v>51.04</v>
      </c>
      <c r="J272" s="448" t="s">
        <v>237</v>
      </c>
      <c r="K272" s="505"/>
      <c r="L272" s="76"/>
      <c r="M272" s="25"/>
      <c r="N272" s="151"/>
      <c r="O272" s="25"/>
      <c r="P272" s="25"/>
      <c r="X272" s="16"/>
      <c r="AA272" s="8"/>
    </row>
    <row r="273" spans="1:30" ht="15.75" thickBot="1">
      <c r="B273" s="26"/>
      <c r="C273" s="25"/>
      <c r="D273" s="462"/>
      <c r="E273" s="463"/>
      <c r="F273" s="15">
        <v>35</v>
      </c>
      <c r="G273" s="448" t="s">
        <v>116</v>
      </c>
      <c r="H273" s="505"/>
      <c r="I273" s="20">
        <v>5.15</v>
      </c>
      <c r="J273" s="448" t="s">
        <v>75</v>
      </c>
      <c r="K273" s="505"/>
      <c r="L273" s="76"/>
      <c r="M273" s="25"/>
      <c r="N273" s="151"/>
      <c r="O273" s="25"/>
      <c r="P273" s="25"/>
      <c r="X273" s="16"/>
      <c r="Y273" s="45"/>
      <c r="Z273" s="4" t="s">
        <v>13</v>
      </c>
      <c r="AA273" s="46"/>
      <c r="AB273" s="4" t="s">
        <v>14</v>
      </c>
      <c r="AC273" s="46"/>
      <c r="AD273" s="4" t="s">
        <v>111</v>
      </c>
    </row>
    <row r="274" spans="1:30" ht="15.75" thickTop="1">
      <c r="B274" s="26"/>
      <c r="C274" s="25"/>
      <c r="D274" s="462"/>
      <c r="E274" s="463"/>
      <c r="F274" s="15">
        <v>20</v>
      </c>
      <c r="G274" s="448" t="s">
        <v>81</v>
      </c>
      <c r="H274" s="505"/>
      <c r="I274" s="20">
        <f>9.99+310</f>
        <v>319.99</v>
      </c>
      <c r="J274" s="448" t="s">
        <v>206</v>
      </c>
      <c r="K274" s="505"/>
      <c r="L274" s="76"/>
      <c r="M274" s="25"/>
      <c r="N274" s="151"/>
      <c r="O274" s="80">
        <f>P274/30</f>
        <v>10.727000000000009</v>
      </c>
      <c r="P274" s="81">
        <f>SUM(C268:C276)-SUM(F268:F275)-SUM(I268:I276)-SUM(L268:L276)-SUM(M268:M276)</f>
        <v>321.81000000000029</v>
      </c>
      <c r="Q274" s="82">
        <f>Q263+P277-SUM(L271:L276)-SUM(M268:M276)</f>
        <v>1647.2999999999975</v>
      </c>
      <c r="R274" s="98" t="s">
        <v>12</v>
      </c>
      <c r="S274" s="98"/>
      <c r="T274" s="98"/>
      <c r="U274" s="87">
        <f>Z274+AB274+AD274+AD275</f>
        <v>1604.53</v>
      </c>
      <c r="V274" s="287"/>
      <c r="W274" s="99">
        <f>U274-U263</f>
        <v>82.779999999999745</v>
      </c>
      <c r="X274" s="81">
        <f>W274/30</f>
        <v>2.7593333333333248</v>
      </c>
      <c r="Y274" s="43" t="s">
        <v>17</v>
      </c>
      <c r="Z274" s="44">
        <f>173+(80)</f>
        <v>253</v>
      </c>
      <c r="AA274" s="11" t="s">
        <v>15</v>
      </c>
      <c r="AB274" s="12">
        <v>1240</v>
      </c>
      <c r="AC274" s="11" t="s">
        <v>17</v>
      </c>
      <c r="AD274" s="12">
        <v>2.21</v>
      </c>
    </row>
    <row r="275" spans="1:30" ht="15.75" thickBot="1">
      <c r="B275" s="26"/>
      <c r="C275" s="25"/>
      <c r="D275" s="462"/>
      <c r="E275" s="463"/>
      <c r="F275" s="15">
        <v>106.31</v>
      </c>
      <c r="G275" s="448" t="s">
        <v>235</v>
      </c>
      <c r="H275" s="505"/>
      <c r="I275" s="20"/>
      <c r="J275" s="462"/>
      <c r="K275" s="464"/>
      <c r="L275" s="76"/>
      <c r="M275" s="25"/>
      <c r="N275" s="151"/>
      <c r="O275" s="79">
        <f>P275/30</f>
        <v>0</v>
      </c>
      <c r="P275" s="72">
        <f>SUM(L268:L276)</f>
        <v>0</v>
      </c>
      <c r="Q275" s="83">
        <f>Q264+SUM(L271:L276)</f>
        <v>489.96000000000004</v>
      </c>
      <c r="R275" s="85" t="s">
        <v>16</v>
      </c>
      <c r="S275" s="85"/>
      <c r="T275" s="85"/>
      <c r="U275" s="88">
        <f>Z275+Z276+AB275</f>
        <v>433.89</v>
      </c>
      <c r="V275" s="288"/>
      <c r="W275" s="86">
        <f>U275-U264</f>
        <v>13</v>
      </c>
      <c r="X275" s="72">
        <f>W275/30</f>
        <v>0.43333333333333335</v>
      </c>
      <c r="Y275" s="32" t="s">
        <v>18</v>
      </c>
      <c r="Z275" s="13">
        <v>204</v>
      </c>
      <c r="AA275" s="71" t="s">
        <v>16</v>
      </c>
      <c r="AB275" s="72">
        <v>102.89</v>
      </c>
      <c r="AC275" s="9" t="s">
        <v>87</v>
      </c>
      <c r="AD275" s="10">
        <v>109.32</v>
      </c>
    </row>
    <row r="276" spans="1:30" ht="15.75" thickBot="1">
      <c r="B276" s="26"/>
      <c r="C276" s="25"/>
      <c r="D276" s="462"/>
      <c r="E276" s="463"/>
      <c r="F276" s="15">
        <v>175.7</v>
      </c>
      <c r="G276" s="448" t="s">
        <v>236</v>
      </c>
      <c r="H276" s="505"/>
      <c r="I276" s="20"/>
      <c r="J276" s="462"/>
      <c r="K276" s="464"/>
      <c r="L276" s="76"/>
      <c r="M276" s="25"/>
      <c r="N276" s="151"/>
      <c r="O276" s="78">
        <f>P276/30</f>
        <v>-36.666666666666664</v>
      </c>
      <c r="P276" s="12">
        <f>SUM(M268:M276)</f>
        <v>-1100</v>
      </c>
      <c r="Q276" s="96">
        <f>Q265+SUM(M268:M276)</f>
        <v>2500</v>
      </c>
      <c r="R276" s="84" t="s">
        <v>16</v>
      </c>
      <c r="S276" s="84"/>
      <c r="T276" s="84"/>
      <c r="U276" s="97">
        <f>AB276</f>
        <v>2500</v>
      </c>
      <c r="V276" s="37"/>
      <c r="W276" s="47">
        <f>U276-U265</f>
        <v>-1100</v>
      </c>
      <c r="X276" s="12">
        <f>W276/30</f>
        <v>-36.666666666666664</v>
      </c>
      <c r="Y276" s="33" t="s">
        <v>19</v>
      </c>
      <c r="Z276" s="70">
        <v>127</v>
      </c>
      <c r="AA276" s="73" t="s">
        <v>112</v>
      </c>
      <c r="AB276" s="100">
        <v>2500</v>
      </c>
    </row>
    <row r="277" spans="1:30" ht="16.5" thickTop="1" thickBot="1">
      <c r="B277" s="28"/>
      <c r="C277" s="5"/>
      <c r="D277" s="459"/>
      <c r="E277" s="460"/>
      <c r="F277" s="17"/>
      <c r="G277" s="459"/>
      <c r="H277" s="461"/>
      <c r="I277" s="21"/>
      <c r="J277" s="459"/>
      <c r="K277" s="461"/>
      <c r="L277" s="42"/>
      <c r="M277" s="5"/>
      <c r="N277" s="54"/>
      <c r="O277" s="89">
        <f>P277/30</f>
        <v>-31.796333333333326</v>
      </c>
      <c r="P277" s="90">
        <f>SUM(C268:C276)-SUM(F268:F276)-SUM(I268:I276)</f>
        <v>-953.88999999999976</v>
      </c>
      <c r="Q277" s="94">
        <f>Q274+Q275+Q276</f>
        <v>4637.2599999999975</v>
      </c>
      <c r="R277" s="95" t="s">
        <v>5</v>
      </c>
      <c r="S277" s="95"/>
      <c r="T277" s="95"/>
      <c r="U277" s="92">
        <f>U276+U275+U274</f>
        <v>4538.42</v>
      </c>
      <c r="V277" s="286"/>
      <c r="W277" s="93">
        <f>U277-U266</f>
        <v>-1004.2200000000003</v>
      </c>
      <c r="X277" s="90">
        <f>W277/30</f>
        <v>-33.474000000000011</v>
      </c>
      <c r="AA277" s="8"/>
    </row>
    <row r="278" spans="1:30" ht="16.5" thickTop="1" thickBot="1">
      <c r="A278" s="14" t="s">
        <v>31</v>
      </c>
      <c r="B278" s="107">
        <v>44866</v>
      </c>
      <c r="C278" s="25"/>
      <c r="D278" s="494"/>
      <c r="E278" s="495"/>
      <c r="F278" s="15"/>
      <c r="G278" s="494"/>
      <c r="H278" s="515"/>
      <c r="I278" s="20"/>
      <c r="J278" s="494"/>
      <c r="K278" s="515"/>
      <c r="L278" s="76"/>
      <c r="M278" s="25"/>
      <c r="N278" s="151"/>
      <c r="O278" s="25"/>
      <c r="P278" s="25"/>
      <c r="X278" s="16"/>
      <c r="AA278" s="8"/>
    </row>
    <row r="279" spans="1:30">
      <c r="B279" s="26"/>
      <c r="C279" s="25"/>
      <c r="D279" s="462"/>
      <c r="E279" s="463"/>
      <c r="F279" s="15">
        <f>15.75+10+23+15.75+10+14.14+14.14+14.14+12.48+14+14+12+8+14+10+9.43+9.74+9.75+14.14+13+11.71+9.77+14+8+14+5+18.25+14+12.24+9.43+10.23+13.67+11.06+9.1+34+11.6+7+13+20+20</f>
        <v>523.5200000000001</v>
      </c>
      <c r="G279" s="448" t="s">
        <v>239</v>
      </c>
      <c r="H279" s="505"/>
      <c r="I279" s="20">
        <v>9.99</v>
      </c>
      <c r="J279" s="448" t="s">
        <v>22</v>
      </c>
      <c r="K279" s="505"/>
      <c r="L279" s="76"/>
      <c r="M279" s="25">
        <v>-100</v>
      </c>
      <c r="N279" s="151"/>
      <c r="O279" s="25"/>
      <c r="P279" s="25"/>
      <c r="X279" s="16"/>
      <c r="AA279" s="8"/>
    </row>
    <row r="280" spans="1:30">
      <c r="B280" s="27">
        <v>44895</v>
      </c>
      <c r="C280" s="25">
        <v>1507.04</v>
      </c>
      <c r="D280" s="506" t="s">
        <v>11</v>
      </c>
      <c r="E280" s="507"/>
      <c r="F280" s="15">
        <f>48.47+45.6+45.29+39.59</f>
        <v>178.95</v>
      </c>
      <c r="G280" s="448" t="s">
        <v>9</v>
      </c>
      <c r="H280" s="505"/>
      <c r="I280" s="20">
        <v>15.95</v>
      </c>
      <c r="J280" s="448" t="s">
        <v>234</v>
      </c>
      <c r="K280" s="505"/>
      <c r="L280" s="76"/>
      <c r="M280" s="25">
        <v>-300</v>
      </c>
      <c r="N280" s="151"/>
      <c r="O280" s="25"/>
      <c r="P280" s="25"/>
      <c r="X280" s="16"/>
      <c r="AA280" s="8"/>
    </row>
    <row r="281" spans="1:30">
      <c r="B281" s="26"/>
      <c r="C281" s="25"/>
      <c r="D281" s="462"/>
      <c r="E281" s="463"/>
      <c r="F281" s="15">
        <v>618</v>
      </c>
      <c r="G281" s="448" t="s">
        <v>97</v>
      </c>
      <c r="H281" s="505"/>
      <c r="I281" s="20">
        <f>35.49-30</f>
        <v>5.490000000000002</v>
      </c>
      <c r="J281" s="448" t="s">
        <v>240</v>
      </c>
      <c r="K281" s="505"/>
      <c r="L281" s="76"/>
      <c r="M281" s="25">
        <v>-300</v>
      </c>
      <c r="N281" s="151"/>
      <c r="O281" s="25"/>
      <c r="P281" s="25"/>
      <c r="X281" s="16"/>
      <c r="AA281" s="8"/>
    </row>
    <row r="282" spans="1:30">
      <c r="B282" s="26"/>
      <c r="C282" s="25"/>
      <c r="D282" s="462"/>
      <c r="E282" s="463"/>
      <c r="F282" s="15">
        <v>145</v>
      </c>
      <c r="G282" s="448" t="s">
        <v>6</v>
      </c>
      <c r="H282" s="505"/>
      <c r="I282" s="20">
        <v>6.99</v>
      </c>
      <c r="J282" s="448" t="s">
        <v>188</v>
      </c>
      <c r="K282" s="505"/>
      <c r="L282" s="76"/>
      <c r="M282" s="25"/>
      <c r="N282" s="151"/>
      <c r="O282" s="25"/>
      <c r="P282" s="25"/>
      <c r="X282" s="16"/>
      <c r="AA282" s="8"/>
    </row>
    <row r="283" spans="1:30">
      <c r="B283" s="26"/>
      <c r="C283" s="25"/>
      <c r="D283" s="462"/>
      <c r="E283" s="463"/>
      <c r="F283" s="15">
        <v>96.16</v>
      </c>
      <c r="G283" s="448" t="s">
        <v>115</v>
      </c>
      <c r="H283" s="505"/>
      <c r="I283" s="20">
        <f>14.99+28+11.51</f>
        <v>54.5</v>
      </c>
      <c r="J283" s="448" t="s">
        <v>105</v>
      </c>
      <c r="K283" s="505"/>
      <c r="L283" s="76"/>
      <c r="M283" s="25"/>
      <c r="N283" s="151"/>
      <c r="O283" s="25"/>
      <c r="P283" s="25"/>
      <c r="X283" s="16"/>
      <c r="AA283" s="8"/>
    </row>
    <row r="284" spans="1:30" ht="15.75" thickBot="1">
      <c r="B284" s="26"/>
      <c r="C284" s="25"/>
      <c r="D284" s="462"/>
      <c r="E284" s="463"/>
      <c r="F284" s="15">
        <v>35</v>
      </c>
      <c r="G284" s="448" t="s">
        <v>116</v>
      </c>
      <c r="H284" s="505"/>
      <c r="I284" s="20">
        <v>7.99</v>
      </c>
      <c r="J284" s="448" t="s">
        <v>21</v>
      </c>
      <c r="K284" s="505"/>
      <c r="L284" s="76"/>
      <c r="M284" s="25"/>
      <c r="N284" s="151"/>
      <c r="O284" s="25"/>
      <c r="P284" s="25"/>
      <c r="X284" s="16"/>
      <c r="AA284" s="8"/>
    </row>
    <row r="285" spans="1:30" ht="15.75" thickBot="1">
      <c r="B285" s="26"/>
      <c r="C285" s="25"/>
      <c r="D285" s="462"/>
      <c r="E285" s="463"/>
      <c r="F285" s="15">
        <f>I281-I281+30</f>
        <v>30</v>
      </c>
      <c r="G285" s="448" t="s">
        <v>240</v>
      </c>
      <c r="H285" s="505"/>
      <c r="I285" s="20">
        <v>5.15</v>
      </c>
      <c r="J285" s="448" t="s">
        <v>75</v>
      </c>
      <c r="K285" s="505"/>
      <c r="L285" s="76"/>
      <c r="M285" s="25"/>
      <c r="N285" s="151"/>
      <c r="O285" s="25"/>
      <c r="P285" s="25"/>
      <c r="X285" s="16"/>
      <c r="Y285" s="45"/>
      <c r="Z285" s="4" t="s">
        <v>13</v>
      </c>
      <c r="AA285" s="46"/>
      <c r="AB285" s="4" t="s">
        <v>14</v>
      </c>
      <c r="AC285" s="46"/>
      <c r="AD285" s="4" t="s">
        <v>111</v>
      </c>
    </row>
    <row r="286" spans="1:30" ht="15.75" thickTop="1">
      <c r="B286" s="26"/>
      <c r="C286" s="25"/>
      <c r="D286" s="462"/>
      <c r="E286" s="463"/>
      <c r="F286" s="15">
        <v>20</v>
      </c>
      <c r="G286" s="448" t="s">
        <v>81</v>
      </c>
      <c r="H286" s="505"/>
      <c r="I286" s="20">
        <f>9.99+0.99+150</f>
        <v>160.97999999999999</v>
      </c>
      <c r="J286" s="448" t="s">
        <v>206</v>
      </c>
      <c r="K286" s="505"/>
      <c r="L286" s="76"/>
      <c r="M286" s="25"/>
      <c r="N286" s="151"/>
      <c r="O286" s="80">
        <f>P286/30</f>
        <v>9.3126666666666633</v>
      </c>
      <c r="P286" s="81">
        <f>SUM(C279:C288)-SUM(F279:F286)-SUM(I279:I288)-SUM(L279:L288)-SUM(M279:M288)</f>
        <v>279.37999999999988</v>
      </c>
      <c r="Q286" s="82">
        <f>Q274+P289-SUM(L279:L288)-SUM(M279:M288)</f>
        <v>1519.6799999999973</v>
      </c>
      <c r="R286" s="98" t="s">
        <v>12</v>
      </c>
      <c r="S286" s="98"/>
      <c r="T286" s="98"/>
      <c r="U286" s="87">
        <f>Z286+AB286+AD286+AD287</f>
        <v>1443.6599999999999</v>
      </c>
      <c r="V286" s="287"/>
      <c r="W286" s="99">
        <f>U286-U274</f>
        <v>-160.87000000000012</v>
      </c>
      <c r="X286" s="81">
        <f>W286/30</f>
        <v>-5.3623333333333374</v>
      </c>
      <c r="Y286" s="43" t="s">
        <v>17</v>
      </c>
      <c r="Z286" s="44">
        <f>17+(80)</f>
        <v>97</v>
      </c>
      <c r="AA286" s="11" t="s">
        <v>15</v>
      </c>
      <c r="AB286" s="12">
        <v>1253.08</v>
      </c>
      <c r="AC286" s="11" t="s">
        <v>17</v>
      </c>
      <c r="AD286" s="12">
        <v>2.21</v>
      </c>
    </row>
    <row r="287" spans="1:30" ht="15.75" thickBot="1">
      <c r="B287" s="26"/>
      <c r="C287" s="25"/>
      <c r="D287" s="462"/>
      <c r="E287" s="463"/>
      <c r="F287" s="15">
        <v>107</v>
      </c>
      <c r="G287" s="448" t="s">
        <v>242</v>
      </c>
      <c r="H287" s="505"/>
      <c r="I287" s="20">
        <v>13.99</v>
      </c>
      <c r="J287" s="448" t="s">
        <v>244</v>
      </c>
      <c r="K287" s="505"/>
      <c r="L287" s="76"/>
      <c r="M287" s="25"/>
      <c r="N287" s="151"/>
      <c r="O287" s="79">
        <f>P287/30</f>
        <v>0</v>
      </c>
      <c r="P287" s="72">
        <f>SUM(L279:L288)</f>
        <v>0</v>
      </c>
      <c r="Q287" s="83">
        <f>Q275+SUM(L283:L288)</f>
        <v>489.96000000000004</v>
      </c>
      <c r="R287" s="85" t="s">
        <v>16</v>
      </c>
      <c r="S287" s="85"/>
      <c r="T287" s="85"/>
      <c r="U287" s="88">
        <f>Z287+Z288+AB287</f>
        <v>439.89</v>
      </c>
      <c r="V287" s="288"/>
      <c r="W287" s="86">
        <f>U287-U275</f>
        <v>6</v>
      </c>
      <c r="X287" s="72">
        <f>W287/30</f>
        <v>0.2</v>
      </c>
      <c r="Y287" s="32" t="s">
        <v>18</v>
      </c>
      <c r="Z287" s="13">
        <v>204</v>
      </c>
      <c r="AA287" s="71" t="s">
        <v>16</v>
      </c>
      <c r="AB287" s="72">
        <v>102.89</v>
      </c>
      <c r="AC287" s="9" t="s">
        <v>87</v>
      </c>
      <c r="AD287" s="10">
        <v>91.37</v>
      </c>
    </row>
    <row r="288" spans="1:30" ht="15.75" thickBot="1">
      <c r="B288" s="26"/>
      <c r="C288" s="25"/>
      <c r="D288" s="462"/>
      <c r="E288" s="463"/>
      <c r="F288" s="15">
        <v>300</v>
      </c>
      <c r="G288" s="448" t="s">
        <v>243</v>
      </c>
      <c r="H288" s="505"/>
      <c r="I288" s="20"/>
      <c r="J288" s="462"/>
      <c r="K288" s="464"/>
      <c r="L288" s="76"/>
      <c r="M288" s="25"/>
      <c r="N288" s="151"/>
      <c r="O288" s="78">
        <f>P288/30</f>
        <v>-23.333333333333332</v>
      </c>
      <c r="P288" s="12">
        <f>SUM(M279:M288)</f>
        <v>-700</v>
      </c>
      <c r="Q288" s="96">
        <f>Q276+SUM(M279:M288)</f>
        <v>1800</v>
      </c>
      <c r="R288" s="84" t="s">
        <v>16</v>
      </c>
      <c r="S288" s="84"/>
      <c r="T288" s="84"/>
      <c r="U288" s="97">
        <f>AB288</f>
        <v>1800</v>
      </c>
      <c r="V288" s="37"/>
      <c r="W288" s="47">
        <f>U288-U276</f>
        <v>-700</v>
      </c>
      <c r="X288" s="12">
        <f>W288/30</f>
        <v>-23.333333333333332</v>
      </c>
      <c r="Y288" s="33" t="s">
        <v>19</v>
      </c>
      <c r="Z288" s="70">
        <v>133</v>
      </c>
      <c r="AA288" s="73" t="s">
        <v>112</v>
      </c>
      <c r="AB288" s="100">
        <v>1800</v>
      </c>
    </row>
    <row r="289" spans="1:30" ht="16.5" thickTop="1" thickBot="1">
      <c r="B289" s="28"/>
      <c r="C289" s="5"/>
      <c r="D289" s="459"/>
      <c r="E289" s="460"/>
      <c r="F289" s="17"/>
      <c r="G289" s="459"/>
      <c r="H289" s="461"/>
      <c r="I289" s="21"/>
      <c r="J289" s="459"/>
      <c r="K289" s="461"/>
      <c r="L289" s="42"/>
      <c r="M289" s="5"/>
      <c r="N289" s="54"/>
      <c r="O289" s="89">
        <f>P289/30</f>
        <v>-27.587333333333337</v>
      </c>
      <c r="P289" s="90">
        <f>SUM(C279:C288)-SUM(F279:F288)-SUM(I279:I288)</f>
        <v>-827.62000000000012</v>
      </c>
      <c r="Q289" s="94">
        <f>Q286+Q287+Q288</f>
        <v>3809.6399999999976</v>
      </c>
      <c r="R289" s="95" t="s">
        <v>5</v>
      </c>
      <c r="S289" s="95"/>
      <c r="T289" s="95"/>
      <c r="U289" s="92">
        <f>U288+U287+U286</f>
        <v>3683.5499999999997</v>
      </c>
      <c r="V289" s="286"/>
      <c r="W289" s="93">
        <f>U289-U277</f>
        <v>-854.87000000000035</v>
      </c>
      <c r="X289" s="90">
        <f>W289/30</f>
        <v>-28.495666666666679</v>
      </c>
      <c r="AA289" s="8"/>
    </row>
    <row r="290" spans="1:30" ht="16.5" thickTop="1" thickBot="1">
      <c r="A290" s="14" t="s">
        <v>31</v>
      </c>
      <c r="B290" s="107">
        <v>44896</v>
      </c>
      <c r="C290" s="25"/>
      <c r="D290" s="494"/>
      <c r="E290" s="495"/>
      <c r="F290" s="15"/>
      <c r="G290" s="494"/>
      <c r="H290" s="515"/>
      <c r="I290" s="20"/>
      <c r="J290" s="494"/>
      <c r="K290" s="515"/>
      <c r="L290" s="76"/>
      <c r="M290" s="25"/>
      <c r="N290" s="151"/>
      <c r="O290" s="25"/>
      <c r="P290" s="25"/>
      <c r="X290" s="16"/>
      <c r="AA290" s="8"/>
    </row>
    <row r="291" spans="1:30">
      <c r="B291" s="26"/>
      <c r="C291" s="25"/>
      <c r="D291" s="462"/>
      <c r="E291" s="463"/>
      <c r="F291" s="15">
        <f>11+11+14.14+14+3+9.54+3+9+14.14+5.4+14+15.67+13.22+11+14.14+9.1+6+14+10+14.91+11+10+14.91+12+9.1+4+23.38+5.4+10.63+10+30+14.14+3.24+12+11.5</f>
        <v>397.55999999999995</v>
      </c>
      <c r="G291" s="448" t="s">
        <v>8</v>
      </c>
      <c r="H291" s="505"/>
      <c r="I291" s="20">
        <v>9.99</v>
      </c>
      <c r="J291" s="448" t="s">
        <v>22</v>
      </c>
      <c r="K291" s="505"/>
      <c r="L291" s="76">
        <v>-5</v>
      </c>
      <c r="M291" s="25">
        <v>-300</v>
      </c>
      <c r="N291" s="151"/>
      <c r="O291" s="25"/>
      <c r="P291" s="25"/>
      <c r="X291" s="16"/>
      <c r="AA291" s="8"/>
    </row>
    <row r="292" spans="1:30">
      <c r="B292" s="26"/>
      <c r="C292" s="25">
        <v>1507.04</v>
      </c>
      <c r="D292" s="506" t="s">
        <v>11</v>
      </c>
      <c r="E292" s="507"/>
      <c r="F292" s="15">
        <f>42.7+38.77+38.04+37.49</f>
        <v>157</v>
      </c>
      <c r="G292" s="448" t="s">
        <v>9</v>
      </c>
      <c r="H292" s="505"/>
      <c r="I292" s="20">
        <v>6.99</v>
      </c>
      <c r="J292" s="448" t="s">
        <v>188</v>
      </c>
      <c r="K292" s="505"/>
      <c r="L292" s="76"/>
      <c r="M292" s="25"/>
      <c r="N292" s="151"/>
      <c r="O292" s="25"/>
      <c r="P292" s="25"/>
      <c r="X292" s="16"/>
      <c r="AA292" s="8"/>
    </row>
    <row r="293" spans="1:30">
      <c r="B293" s="26"/>
      <c r="C293" s="25">
        <v>50</v>
      </c>
      <c r="D293" s="448" t="s">
        <v>252</v>
      </c>
      <c r="E293" s="469"/>
      <c r="F293" s="15">
        <v>604</v>
      </c>
      <c r="G293" s="448" t="s">
        <v>97</v>
      </c>
      <c r="H293" s="505"/>
      <c r="I293" s="20">
        <f>12+69.95</f>
        <v>81.95</v>
      </c>
      <c r="J293" s="448" t="s">
        <v>61</v>
      </c>
      <c r="K293" s="505"/>
      <c r="L293" s="76"/>
      <c r="M293" s="25"/>
      <c r="N293" s="151"/>
      <c r="O293" s="25"/>
      <c r="P293" s="25"/>
      <c r="X293" s="16"/>
      <c r="AA293" s="8"/>
    </row>
    <row r="294" spans="1:30">
      <c r="B294" s="26"/>
      <c r="C294" s="25"/>
      <c r="D294" s="462"/>
      <c r="E294" s="463"/>
      <c r="F294" s="15">
        <v>145</v>
      </c>
      <c r="G294" s="448" t="s">
        <v>6</v>
      </c>
      <c r="H294" s="505"/>
      <c r="I294" s="20">
        <f>14.99+15.97</f>
        <v>30.96</v>
      </c>
      <c r="J294" s="448" t="s">
        <v>105</v>
      </c>
      <c r="K294" s="505"/>
      <c r="L294" s="76"/>
      <c r="M294" s="25"/>
      <c r="N294" s="151"/>
      <c r="O294" s="25"/>
      <c r="P294" s="25"/>
      <c r="X294" s="16"/>
      <c r="AA294" s="8"/>
    </row>
    <row r="295" spans="1:30">
      <c r="B295" s="26"/>
      <c r="C295" s="25"/>
      <c r="D295" s="462"/>
      <c r="E295" s="463"/>
      <c r="F295" s="15">
        <v>96.16</v>
      </c>
      <c r="G295" s="448" t="s">
        <v>115</v>
      </c>
      <c r="H295" s="505"/>
      <c r="I295" s="20">
        <v>10.99</v>
      </c>
      <c r="J295" s="448" t="s">
        <v>21</v>
      </c>
      <c r="K295" s="505"/>
      <c r="L295" s="76"/>
      <c r="M295" s="25"/>
      <c r="N295" s="151"/>
      <c r="O295" s="25"/>
      <c r="P295" s="25"/>
      <c r="X295" s="16"/>
      <c r="AA295" s="8"/>
    </row>
    <row r="296" spans="1:30" ht="15.75" thickBot="1">
      <c r="B296" s="26"/>
      <c r="C296" s="25"/>
      <c r="D296" s="462"/>
      <c r="E296" s="463"/>
      <c r="F296" s="15">
        <v>35</v>
      </c>
      <c r="G296" s="448" t="s">
        <v>116</v>
      </c>
      <c r="H296" s="505"/>
      <c r="I296" s="20">
        <f>84.98-60</f>
        <v>24.980000000000004</v>
      </c>
      <c r="J296" s="448" t="s">
        <v>176</v>
      </c>
      <c r="K296" s="505"/>
      <c r="L296" s="76"/>
      <c r="M296" s="25"/>
      <c r="N296" s="151"/>
      <c r="O296" s="25"/>
      <c r="P296" s="25"/>
      <c r="X296" s="16"/>
      <c r="AA296" s="8"/>
    </row>
    <row r="297" spans="1:30" ht="15.75" thickBot="1">
      <c r="B297" s="26"/>
      <c r="C297" s="25"/>
      <c r="D297" s="462"/>
      <c r="E297" s="463"/>
      <c r="F297" s="15">
        <v>40</v>
      </c>
      <c r="G297" s="448" t="s">
        <v>81</v>
      </c>
      <c r="H297" s="505"/>
      <c r="I297" s="20">
        <v>5.15</v>
      </c>
      <c r="J297" s="448" t="s">
        <v>75</v>
      </c>
      <c r="K297" s="505"/>
      <c r="L297" s="76"/>
      <c r="M297" s="25"/>
      <c r="N297" s="151"/>
      <c r="O297" s="25"/>
      <c r="P297" s="25"/>
      <c r="X297" s="16"/>
      <c r="Y297" s="45"/>
      <c r="Z297" s="4" t="s">
        <v>13</v>
      </c>
      <c r="AA297" s="46"/>
      <c r="AB297" s="4" t="s">
        <v>14</v>
      </c>
      <c r="AC297" s="46"/>
      <c r="AD297" s="4" t="s">
        <v>111</v>
      </c>
    </row>
    <row r="298" spans="1:30" ht="15.75" thickTop="1">
      <c r="B298" s="26"/>
      <c r="C298" s="25"/>
      <c r="D298" s="462"/>
      <c r="E298" s="463"/>
      <c r="F298" s="15">
        <v>249</v>
      </c>
      <c r="G298" s="448" t="s">
        <v>99</v>
      </c>
      <c r="H298" s="505"/>
      <c r="I298" s="20">
        <f>(319.64-49.52-35.37)+35.37+9.99</f>
        <v>280.11</v>
      </c>
      <c r="J298" s="448" t="s">
        <v>206</v>
      </c>
      <c r="K298" s="505"/>
      <c r="L298" s="76"/>
      <c r="M298" s="25"/>
      <c r="N298" s="151"/>
      <c r="O298" s="80">
        <f>P298/30</f>
        <v>-23.570333333333327</v>
      </c>
      <c r="P298" s="81">
        <f>SUM(C291:C300)-SUM(F291:F300)-SUM(I291:I299)-SUM(L291:L300)-SUM(M291:M299)</f>
        <v>-707.10999999999979</v>
      </c>
      <c r="Q298" s="82">
        <f>Q286+P301-SUM(L291:L300)-SUM(M291:M299)</f>
        <v>807.56999999999755</v>
      </c>
      <c r="R298" s="98" t="s">
        <v>12</v>
      </c>
      <c r="S298" s="98"/>
      <c r="T298" s="98"/>
      <c r="U298" s="87">
        <f>Z298+AB298+AD298+AD299</f>
        <v>693.32999999999993</v>
      </c>
      <c r="V298" s="287"/>
      <c r="W298" s="99">
        <f>U298-U286</f>
        <v>-750.32999999999993</v>
      </c>
      <c r="X298" s="81">
        <f>W298/30</f>
        <v>-25.010999999999999</v>
      </c>
      <c r="Y298" s="43" t="s">
        <v>17</v>
      </c>
      <c r="Z298" s="44">
        <f>60+(80)</f>
        <v>140</v>
      </c>
      <c r="AA298" s="11" t="s">
        <v>15</v>
      </c>
      <c r="AB298" s="12">
        <v>462.58</v>
      </c>
      <c r="AC298" s="11" t="s">
        <v>17</v>
      </c>
      <c r="AD298" s="12">
        <v>2.21</v>
      </c>
    </row>
    <row r="299" spans="1:30" ht="15.75" thickBot="1">
      <c r="B299" s="26"/>
      <c r="C299" s="25"/>
      <c r="D299" s="462"/>
      <c r="E299" s="463"/>
      <c r="F299" s="15">
        <v>48.81</v>
      </c>
      <c r="G299" s="448" t="s">
        <v>249</v>
      </c>
      <c r="H299" s="505"/>
      <c r="I299" s="20">
        <v>70</v>
      </c>
      <c r="J299" s="448" t="s">
        <v>10</v>
      </c>
      <c r="K299" s="505"/>
      <c r="L299" s="76"/>
      <c r="M299" s="25"/>
      <c r="N299" s="151"/>
      <c r="O299" s="79">
        <f>P299/30</f>
        <v>-0.16666666666666666</v>
      </c>
      <c r="P299" s="72">
        <f>SUM(L291:L300)</f>
        <v>-5</v>
      </c>
      <c r="Q299" s="83">
        <f>Q287+SUM(L291:L300)</f>
        <v>484.96000000000004</v>
      </c>
      <c r="R299" s="85" t="s">
        <v>16</v>
      </c>
      <c r="S299" s="85"/>
      <c r="T299" s="85"/>
      <c r="U299" s="88">
        <f>Z299+Z300+AB299</f>
        <v>442.9</v>
      </c>
      <c r="V299" s="288"/>
      <c r="W299" s="86">
        <f>U299-U287</f>
        <v>3.0099999999999909</v>
      </c>
      <c r="X299" s="72">
        <f>W299/30</f>
        <v>0.10033333333333302</v>
      </c>
      <c r="Y299" s="32" t="s">
        <v>18</v>
      </c>
      <c r="Z299" s="13">
        <v>204</v>
      </c>
      <c r="AA299" s="71" t="s">
        <v>16</v>
      </c>
      <c r="AB299" s="72">
        <v>97.9</v>
      </c>
      <c r="AC299" s="9" t="s">
        <v>87</v>
      </c>
      <c r="AD299" s="10">
        <v>88.54</v>
      </c>
    </row>
    <row r="300" spans="1:30" ht="15.75" thickBot="1">
      <c r="B300" s="26"/>
      <c r="C300" s="25"/>
      <c r="D300" s="462"/>
      <c r="E300" s="463"/>
      <c r="F300" s="15">
        <f>125.5+60+60+30</f>
        <v>275.5</v>
      </c>
      <c r="G300" s="448" t="s">
        <v>250</v>
      </c>
      <c r="H300" s="505"/>
      <c r="I300" s="20">
        <v>5</v>
      </c>
      <c r="J300" s="448" t="s">
        <v>253</v>
      </c>
      <c r="K300" s="505"/>
      <c r="L300" s="76"/>
      <c r="M300" s="25"/>
      <c r="N300" s="151"/>
      <c r="O300" s="78">
        <f>P300/30</f>
        <v>-10</v>
      </c>
      <c r="P300" s="12">
        <f>SUM(M291:M299)</f>
        <v>-300</v>
      </c>
      <c r="Q300" s="96">
        <f>Q288+SUM(M291:M299)</f>
        <v>1500</v>
      </c>
      <c r="R300" s="84" t="s">
        <v>16</v>
      </c>
      <c r="S300" s="84"/>
      <c r="T300" s="84"/>
      <c r="U300" s="97">
        <f>AB300</f>
        <v>1500</v>
      </c>
      <c r="V300" s="37"/>
      <c r="W300" s="47">
        <f>U300-U288</f>
        <v>-300</v>
      </c>
      <c r="X300" s="12">
        <f>W300/30</f>
        <v>-10</v>
      </c>
      <c r="Y300" s="33" t="s">
        <v>19</v>
      </c>
      <c r="Z300" s="70">
        <v>141</v>
      </c>
      <c r="AA300" s="73" t="s">
        <v>112</v>
      </c>
      <c r="AB300" s="100">
        <v>1500</v>
      </c>
    </row>
    <row r="301" spans="1:30" ht="16.5" thickTop="1" thickBot="1">
      <c r="B301" s="28"/>
      <c r="C301" s="5"/>
      <c r="D301" s="459"/>
      <c r="E301" s="460"/>
      <c r="F301" s="17"/>
      <c r="G301" s="459"/>
      <c r="H301" s="461"/>
      <c r="I301" s="21"/>
      <c r="J301" s="459"/>
      <c r="K301" s="461"/>
      <c r="L301" s="42"/>
      <c r="M301" s="5"/>
      <c r="N301" s="54"/>
      <c r="O301" s="89">
        <f>P301/30</f>
        <v>-33.903666666666659</v>
      </c>
      <c r="P301" s="90">
        <f>SUM(C291:C300)-SUM(F291:F300)-SUM(I291:I300)</f>
        <v>-1017.1099999999998</v>
      </c>
      <c r="Q301" s="94">
        <f>Q298+Q299+Q300</f>
        <v>2792.5299999999975</v>
      </c>
      <c r="R301" s="95" t="s">
        <v>5</v>
      </c>
      <c r="S301" s="95"/>
      <c r="T301" s="95"/>
      <c r="U301" s="92">
        <f>U300+U299+U298</f>
        <v>2636.23</v>
      </c>
      <c r="V301" s="286"/>
      <c r="W301" s="93">
        <f>U301-U289</f>
        <v>-1047.3199999999997</v>
      </c>
      <c r="X301" s="90">
        <f>W301/30</f>
        <v>-34.910666666666657</v>
      </c>
      <c r="AA301" s="8"/>
    </row>
    <row r="302" spans="1:30" ht="16.5" thickTop="1" thickBot="1">
      <c r="A302" s="14" t="s">
        <v>31</v>
      </c>
      <c r="B302" s="107">
        <v>44948</v>
      </c>
      <c r="C302" s="25"/>
      <c r="D302" s="494"/>
      <c r="E302" s="495"/>
      <c r="F302" s="15"/>
      <c r="G302" s="494"/>
      <c r="H302" s="515"/>
      <c r="I302" s="20"/>
      <c r="J302" s="494"/>
      <c r="K302" s="515"/>
      <c r="L302" s="76"/>
      <c r="M302" s="25"/>
      <c r="N302" s="151"/>
      <c r="O302" s="25"/>
      <c r="P302" s="25"/>
      <c r="X302" s="16"/>
      <c r="AA302" s="8"/>
    </row>
    <row r="303" spans="1:30">
      <c r="B303" s="26"/>
      <c r="C303" s="25"/>
      <c r="D303" s="462"/>
      <c r="E303" s="463"/>
      <c r="F303" s="15">
        <f>10+14.54+5.21+14.91+10+9.52+12+6+13+6+14.86+10+14.1+5.4+12+5.21+11.5+14.91+11+6+9.84+14.07+6.6+11.37+10.96+11.37+11+15+20+12+6+11+20+12+20+11</f>
        <v>408.37</v>
      </c>
      <c r="G303" s="448" t="s">
        <v>8</v>
      </c>
      <c r="H303" s="505"/>
      <c r="I303" s="20">
        <v>9.99</v>
      </c>
      <c r="J303" s="448" t="s">
        <v>22</v>
      </c>
      <c r="K303" s="505"/>
      <c r="L303" s="76">
        <v>-50</v>
      </c>
      <c r="M303" s="25">
        <v>-500</v>
      </c>
      <c r="N303" s="151"/>
      <c r="O303" s="25"/>
      <c r="P303" s="25"/>
      <c r="X303" s="16"/>
      <c r="AA303" s="8"/>
    </row>
    <row r="304" spans="1:30">
      <c r="B304" s="26"/>
      <c r="C304" s="25"/>
      <c r="D304" s="462"/>
      <c r="E304" s="463"/>
      <c r="F304" s="15">
        <f>40.94+42.37+41.7+44</f>
        <v>169.01</v>
      </c>
      <c r="G304" s="448" t="s">
        <v>9</v>
      </c>
      <c r="H304" s="505"/>
      <c r="I304" s="20">
        <v>15.95</v>
      </c>
      <c r="J304" s="448" t="s">
        <v>234</v>
      </c>
      <c r="K304" s="505"/>
      <c r="L304" s="76"/>
      <c r="M304" s="25">
        <v>-500</v>
      </c>
      <c r="N304" s="151"/>
      <c r="O304" s="25"/>
      <c r="P304" s="25"/>
      <c r="X304" s="16"/>
      <c r="AA304" s="8"/>
    </row>
    <row r="305" spans="1:30">
      <c r="B305" s="26"/>
      <c r="C305" s="25"/>
      <c r="D305" s="462"/>
      <c r="E305" s="463"/>
      <c r="F305" s="15">
        <v>592</v>
      </c>
      <c r="G305" s="448" t="s">
        <v>97</v>
      </c>
      <c r="H305" s="505"/>
      <c r="I305" s="20">
        <v>79.989999999999995</v>
      </c>
      <c r="J305" s="448" t="s">
        <v>163</v>
      </c>
      <c r="K305" s="505"/>
      <c r="L305" s="76"/>
      <c r="M305" s="25">
        <v>-300</v>
      </c>
      <c r="N305" s="151"/>
      <c r="O305" s="25"/>
      <c r="P305" s="25"/>
      <c r="X305" s="16"/>
      <c r="AA305" s="8"/>
    </row>
    <row r="306" spans="1:30">
      <c r="B306" s="26"/>
      <c r="C306" s="25"/>
      <c r="D306" s="462"/>
      <c r="E306" s="463"/>
      <c r="F306" s="15">
        <v>145</v>
      </c>
      <c r="G306" s="448" t="s">
        <v>6</v>
      </c>
      <c r="H306" s="505"/>
      <c r="I306" s="20">
        <v>6.99</v>
      </c>
      <c r="J306" s="448" t="s">
        <v>188</v>
      </c>
      <c r="K306" s="505"/>
      <c r="L306" s="76"/>
      <c r="M306" s="25"/>
      <c r="N306" s="151"/>
      <c r="O306" s="25"/>
      <c r="P306" s="25"/>
      <c r="X306" s="16"/>
      <c r="AA306" s="8"/>
    </row>
    <row r="307" spans="1:30" ht="15.75" thickBot="1">
      <c r="B307" s="26"/>
      <c r="C307" s="25"/>
      <c r="D307" s="462"/>
      <c r="E307" s="463"/>
      <c r="F307" s="15">
        <v>96.16</v>
      </c>
      <c r="G307" s="448" t="s">
        <v>115</v>
      </c>
      <c r="H307" s="505"/>
      <c r="I307" s="20">
        <v>58</v>
      </c>
      <c r="J307" s="448" t="s">
        <v>262</v>
      </c>
      <c r="K307" s="505"/>
      <c r="L307" s="76"/>
      <c r="M307" s="25"/>
      <c r="N307" s="151"/>
      <c r="O307" s="25"/>
      <c r="P307" s="25"/>
      <c r="X307" s="16"/>
      <c r="AA307" s="8"/>
    </row>
    <row r="308" spans="1:30" ht="15.75" thickBot="1">
      <c r="B308" s="26"/>
      <c r="C308" s="25"/>
      <c r="D308" s="462"/>
      <c r="E308" s="463"/>
      <c r="F308" s="15">
        <v>35</v>
      </c>
      <c r="G308" s="448" t="s">
        <v>116</v>
      </c>
      <c r="H308" s="505"/>
      <c r="I308" s="20">
        <v>17.309999999999999</v>
      </c>
      <c r="J308" s="448" t="s">
        <v>249</v>
      </c>
      <c r="K308" s="505"/>
      <c r="L308" s="76"/>
      <c r="M308" s="25"/>
      <c r="N308" s="151"/>
      <c r="O308" s="25"/>
      <c r="P308" s="25"/>
      <c r="X308" s="16"/>
      <c r="Y308" s="45"/>
      <c r="Z308" s="4" t="s">
        <v>13</v>
      </c>
      <c r="AA308" s="46"/>
      <c r="AB308" s="4" t="s">
        <v>14</v>
      </c>
      <c r="AC308" s="46"/>
      <c r="AD308" s="4" t="s">
        <v>111</v>
      </c>
    </row>
    <row r="309" spans="1:30" ht="15.75" thickTop="1">
      <c r="B309" s="26"/>
      <c r="C309" s="25"/>
      <c r="D309" s="462"/>
      <c r="E309" s="463"/>
      <c r="F309" s="15">
        <v>20</v>
      </c>
      <c r="G309" s="448" t="s">
        <v>81</v>
      </c>
      <c r="H309" s="505"/>
      <c r="I309" s="20">
        <v>10.99</v>
      </c>
      <c r="J309" s="448" t="s">
        <v>21</v>
      </c>
      <c r="K309" s="505"/>
      <c r="L309" s="76"/>
      <c r="M309" s="25"/>
      <c r="N309" s="151"/>
      <c r="O309" s="80">
        <f>P309/30</f>
        <v>-15.124666666666675</v>
      </c>
      <c r="P309" s="81">
        <f>SUM(C303:C311)-SUM(F303:F311)-SUM(I303:I311)-SUM(L303:L311)-SUM(M303:M311)</f>
        <v>-453.74000000000024</v>
      </c>
      <c r="Q309" s="82">
        <f>Q298+P312-SUM(L303:L311)-SUM(M303:M311)</f>
        <v>353.82999999999731</v>
      </c>
      <c r="R309" s="98" t="s">
        <v>12</v>
      </c>
      <c r="S309" s="98"/>
      <c r="T309" s="98"/>
      <c r="U309" s="87">
        <f>Z309+AB309+AD309+AD310</f>
        <v>274.34000000000003</v>
      </c>
      <c r="V309" s="287"/>
      <c r="W309" s="99">
        <f>U309-U298</f>
        <v>-418.9899999999999</v>
      </c>
      <c r="X309" s="81">
        <f>W309/30</f>
        <v>-13.966333333333329</v>
      </c>
      <c r="Y309" s="43" t="s">
        <v>17</v>
      </c>
      <c r="Z309" s="44">
        <f>28+(100)</f>
        <v>128</v>
      </c>
      <c r="AA309" s="11" t="s">
        <v>15</v>
      </c>
      <c r="AB309" s="12">
        <v>20.85</v>
      </c>
      <c r="AC309" s="11" t="s">
        <v>17</v>
      </c>
      <c r="AD309" s="12">
        <v>2.21</v>
      </c>
    </row>
    <row r="310" spans="1:30" ht="15.75" thickBot="1">
      <c r="B310" s="26"/>
      <c r="C310" s="25"/>
      <c r="D310" s="462"/>
      <c r="E310" s="463"/>
      <c r="F310" s="15"/>
      <c r="G310" s="462"/>
      <c r="H310" s="464"/>
      <c r="I310" s="20">
        <f>123.84+9.99</f>
        <v>133.83000000000001</v>
      </c>
      <c r="J310" s="448" t="s">
        <v>206</v>
      </c>
      <c r="K310" s="505"/>
      <c r="L310" s="76"/>
      <c r="M310" s="25"/>
      <c r="N310" s="151"/>
      <c r="O310" s="79">
        <f>P310/30</f>
        <v>-1.6666666666666667</v>
      </c>
      <c r="P310" s="72">
        <f>SUM(L303:L311)</f>
        <v>-50</v>
      </c>
      <c r="Q310" s="83">
        <f>Q299+SUM(L303:L311)</f>
        <v>434.96000000000004</v>
      </c>
      <c r="R310" s="85" t="s">
        <v>16</v>
      </c>
      <c r="S310" s="85"/>
      <c r="T310" s="85"/>
      <c r="U310" s="88">
        <f>Z310+Z311+AB310</f>
        <v>397.9</v>
      </c>
      <c r="V310" s="288"/>
      <c r="W310" s="86">
        <f>U310-U299</f>
        <v>-45</v>
      </c>
      <c r="X310" s="72">
        <f>W310/30</f>
        <v>-1.5</v>
      </c>
      <c r="Y310" s="32" t="s">
        <v>18</v>
      </c>
      <c r="Z310" s="13">
        <v>204</v>
      </c>
      <c r="AA310" s="71" t="s">
        <v>16</v>
      </c>
      <c r="AB310" s="72">
        <f>97.9-50</f>
        <v>47.900000000000006</v>
      </c>
      <c r="AC310" s="9" t="s">
        <v>87</v>
      </c>
      <c r="AD310" s="10">
        <v>123.28</v>
      </c>
    </row>
    <row r="311" spans="1:30" ht="15.75" thickBot="1">
      <c r="B311" s="26"/>
      <c r="C311" s="25"/>
      <c r="D311" s="462"/>
      <c r="E311" s="463"/>
      <c r="F311" s="15"/>
      <c r="G311" s="462"/>
      <c r="H311" s="464"/>
      <c r="I311" s="20">
        <v>5.15</v>
      </c>
      <c r="J311" s="448" t="s">
        <v>75</v>
      </c>
      <c r="K311" s="505"/>
      <c r="L311" s="76"/>
      <c r="M311" s="25"/>
      <c r="N311" s="151"/>
      <c r="O311" s="78">
        <f>P311/30</f>
        <v>-43.333333333333336</v>
      </c>
      <c r="P311" s="12">
        <f>SUM(M303:M311)</f>
        <v>-1300</v>
      </c>
      <c r="Q311" s="96">
        <f>Q300+SUM(M303:M311)</f>
        <v>200</v>
      </c>
      <c r="R311" s="84" t="s">
        <v>16</v>
      </c>
      <c r="S311" s="84"/>
      <c r="T311" s="84"/>
      <c r="U311" s="97">
        <f>AB311</f>
        <v>200</v>
      </c>
      <c r="V311" s="37"/>
      <c r="W311" s="47">
        <f>U311-U300</f>
        <v>-1300</v>
      </c>
      <c r="X311" s="12">
        <f>W311/30</f>
        <v>-43.333333333333336</v>
      </c>
      <c r="Y311" s="33" t="s">
        <v>19</v>
      </c>
      <c r="Z311" s="70">
        <v>146</v>
      </c>
      <c r="AA311" s="73" t="s">
        <v>112</v>
      </c>
      <c r="AB311" s="100">
        <v>200</v>
      </c>
    </row>
    <row r="312" spans="1:30" ht="16.5" thickTop="1" thickBot="1">
      <c r="B312" s="28"/>
      <c r="C312" s="5"/>
      <c r="D312" s="459"/>
      <c r="E312" s="460"/>
      <c r="F312" s="17"/>
      <c r="G312" s="459"/>
      <c r="H312" s="461"/>
      <c r="I312" s="21"/>
      <c r="J312" s="459"/>
      <c r="K312" s="461"/>
      <c r="L312" s="42"/>
      <c r="M312" s="5"/>
      <c r="N312" s="54"/>
      <c r="O312" s="89">
        <f>P312/30</f>
        <v>-60.124666666666677</v>
      </c>
      <c r="P312" s="90">
        <f>SUM(C303:C311)-SUM(F303:F311)-SUM(I303:I311)</f>
        <v>-1803.7400000000002</v>
      </c>
      <c r="Q312" s="94">
        <f>Q309+Q310+Q311</f>
        <v>988.78999999999735</v>
      </c>
      <c r="R312" s="95" t="s">
        <v>5</v>
      </c>
      <c r="S312" s="95"/>
      <c r="T312" s="95"/>
      <c r="U312" s="92">
        <f>U311+U310+U309</f>
        <v>872.24</v>
      </c>
      <c r="V312" s="286"/>
      <c r="W312" s="93">
        <f>U312-U301</f>
        <v>-1763.99</v>
      </c>
      <c r="X312" s="90">
        <f>W312/30</f>
        <v>-58.799666666666667</v>
      </c>
      <c r="AA312" s="8"/>
    </row>
    <row r="313" spans="1:30" ht="16.5" thickTop="1" thickBot="1">
      <c r="A313" s="14" t="s">
        <v>31</v>
      </c>
      <c r="B313" s="107">
        <v>44979</v>
      </c>
      <c r="C313" s="25"/>
      <c r="D313" s="494"/>
      <c r="E313" s="495"/>
      <c r="F313" s="15"/>
      <c r="G313" s="494"/>
      <c r="H313" s="515"/>
      <c r="I313" s="20"/>
      <c r="J313" s="494"/>
      <c r="K313" s="515"/>
      <c r="L313" s="76"/>
      <c r="M313" s="25"/>
      <c r="N313" s="151"/>
      <c r="O313" s="25"/>
      <c r="P313" s="25"/>
      <c r="X313" s="16"/>
      <c r="AA313" s="8"/>
    </row>
    <row r="314" spans="1:30">
      <c r="B314" s="26"/>
      <c r="C314" s="25"/>
      <c r="D314" s="462"/>
      <c r="E314" s="463"/>
      <c r="F314" s="15">
        <f>9+13+13+15+20+20+11.7+15+11+12+60+12+6+15</f>
        <v>232.7</v>
      </c>
      <c r="G314" s="448" t="s">
        <v>239</v>
      </c>
      <c r="H314" s="505"/>
      <c r="I314" s="20">
        <v>9.99</v>
      </c>
      <c r="J314" s="448" t="s">
        <v>22</v>
      </c>
      <c r="K314" s="505"/>
      <c r="L314" s="76">
        <v>-2</v>
      </c>
      <c r="M314" s="25">
        <v>-160</v>
      </c>
      <c r="N314" s="151"/>
      <c r="O314" s="25"/>
      <c r="P314" s="25"/>
      <c r="X314" s="16"/>
      <c r="AA314" s="8"/>
    </row>
    <row r="315" spans="1:30" ht="15.75" thickBot="1">
      <c r="B315" s="26"/>
      <c r="C315" s="25">
        <v>1917.79</v>
      </c>
      <c r="D315" s="506" t="s">
        <v>11</v>
      </c>
      <c r="E315" s="507"/>
      <c r="F315" s="15">
        <f>44.01+29.9+21.27+45.24+20+9.96</f>
        <v>170.38</v>
      </c>
      <c r="G315" s="448" t="s">
        <v>9</v>
      </c>
      <c r="H315" s="505"/>
      <c r="I315" s="20">
        <v>5</v>
      </c>
      <c r="J315" s="448" t="s">
        <v>253</v>
      </c>
      <c r="K315" s="505"/>
      <c r="L315" s="76">
        <v>-100</v>
      </c>
      <c r="M315" s="25">
        <v>-40</v>
      </c>
      <c r="N315" s="151"/>
      <c r="O315" s="25"/>
      <c r="P315" s="25"/>
      <c r="X315" s="16"/>
      <c r="AA315" s="8"/>
    </row>
    <row r="316" spans="1:30" ht="15.75" thickBot="1">
      <c r="B316" s="26"/>
      <c r="C316" s="25"/>
      <c r="D316" s="462"/>
      <c r="E316" s="463"/>
      <c r="F316" s="15">
        <v>20</v>
      </c>
      <c r="G316" s="448" t="s">
        <v>81</v>
      </c>
      <c r="H316" s="505"/>
      <c r="I316" s="20">
        <f>54.11+17.31</f>
        <v>71.42</v>
      </c>
      <c r="J316" s="448" t="s">
        <v>249</v>
      </c>
      <c r="K316" s="505"/>
      <c r="L316" s="76">
        <v>-20</v>
      </c>
      <c r="M316" s="25"/>
      <c r="N316" s="151"/>
      <c r="O316" s="25"/>
      <c r="P316" s="25"/>
      <c r="X316" s="16"/>
      <c r="Y316" s="45"/>
      <c r="Z316" s="4" t="s">
        <v>13</v>
      </c>
      <c r="AA316" s="46"/>
      <c r="AB316" s="4" t="s">
        <v>14</v>
      </c>
      <c r="AC316" s="46"/>
      <c r="AD316" s="4" t="s">
        <v>111</v>
      </c>
    </row>
    <row r="317" spans="1:30" ht="15.75" thickTop="1">
      <c r="B317" s="26"/>
      <c r="C317" s="25"/>
      <c r="D317" s="462"/>
      <c r="E317" s="463"/>
      <c r="F317" s="15">
        <v>145</v>
      </c>
      <c r="G317" s="448" t="s">
        <v>6</v>
      </c>
      <c r="H317" s="505"/>
      <c r="I317" s="20">
        <v>6.99</v>
      </c>
      <c r="J317" s="448" t="s">
        <v>188</v>
      </c>
      <c r="K317" s="505"/>
      <c r="L317" s="76">
        <v>-10</v>
      </c>
      <c r="M317" s="25"/>
      <c r="N317" s="151"/>
      <c r="O317" s="80">
        <f>P317/30</f>
        <v>26.017999999999997</v>
      </c>
      <c r="P317" s="81">
        <f>SUM(C314:C319)-SUM(F314:F319)-SUM(I314:I319)-SUM(L314:L319)-SUM(M314:M319)</f>
        <v>780.54</v>
      </c>
      <c r="Q317" s="82">
        <f>Q309+P320-SUM(L314:L319)-SUM(M314:M319)</f>
        <v>1134.3699999999974</v>
      </c>
      <c r="R317" s="98" t="s">
        <v>12</v>
      </c>
      <c r="S317" s="98"/>
      <c r="T317" s="98"/>
      <c r="U317" s="87">
        <f>Z317+AB317+AD317+AD318</f>
        <v>1138.78</v>
      </c>
      <c r="V317" s="287"/>
      <c r="W317" s="99">
        <f>U317-U309</f>
        <v>864.43999999999994</v>
      </c>
      <c r="X317" s="81">
        <f>W317/30</f>
        <v>28.814666666666664</v>
      </c>
      <c r="Y317" s="43" t="s">
        <v>17</v>
      </c>
      <c r="Z317" s="44">
        <f>2</f>
        <v>2</v>
      </c>
      <c r="AA317" s="11" t="s">
        <v>15</v>
      </c>
      <c r="AB317" s="12">
        <f>1589.06-580</f>
        <v>1009.06</v>
      </c>
      <c r="AC317" s="11" t="s">
        <v>17</v>
      </c>
      <c r="AD317" s="12">
        <v>2.21</v>
      </c>
    </row>
    <row r="318" spans="1:30" ht="15.75" thickBot="1">
      <c r="B318" s="26"/>
      <c r="C318" s="25"/>
      <c r="D318" s="462"/>
      <c r="E318" s="463"/>
      <c r="F318" s="15">
        <v>580</v>
      </c>
      <c r="G318" s="448" t="s">
        <v>97</v>
      </c>
      <c r="H318" s="505"/>
      <c r="I318" s="20">
        <v>32.5</v>
      </c>
      <c r="J318" s="448" t="s">
        <v>269</v>
      </c>
      <c r="K318" s="505"/>
      <c r="L318" s="76">
        <v>32</v>
      </c>
      <c r="M318" s="25"/>
      <c r="N318" s="151"/>
      <c r="O318" s="79">
        <f>P318/30</f>
        <v>-3.3333333333333335</v>
      </c>
      <c r="P318" s="72">
        <f>SUM(L314:L319)</f>
        <v>-100</v>
      </c>
      <c r="Q318" s="83">
        <f>Q310+SUM(L314:L319)</f>
        <v>334.96000000000004</v>
      </c>
      <c r="R318" s="85" t="s">
        <v>16</v>
      </c>
      <c r="S318" s="85"/>
      <c r="T318" s="85"/>
      <c r="U318" s="88">
        <f>Z318+Z319+AB318</f>
        <v>296.89999999999998</v>
      </c>
      <c r="V318" s="288"/>
      <c r="W318" s="86">
        <f>U318-U310</f>
        <v>-101</v>
      </c>
      <c r="X318" s="72">
        <f>W318/30</f>
        <v>-3.3666666666666667</v>
      </c>
      <c r="Y318" s="32" t="s">
        <v>18</v>
      </c>
      <c r="Z318" s="13">
        <v>104</v>
      </c>
      <c r="AA318" s="71" t="s">
        <v>16</v>
      </c>
      <c r="AB318" s="72">
        <v>42.9</v>
      </c>
      <c r="AC318" s="9" t="s">
        <v>87</v>
      </c>
      <c r="AD318" s="10">
        <v>125.51</v>
      </c>
    </row>
    <row r="319" spans="1:30" ht="15.75" thickBot="1">
      <c r="B319" s="26"/>
      <c r="C319" s="25"/>
      <c r="D319" s="462"/>
      <c r="E319" s="463"/>
      <c r="F319" s="15"/>
      <c r="G319" s="462"/>
      <c r="H319" s="464"/>
      <c r="I319" s="20">
        <f>4.99+(112.92+35.37+9.99)</f>
        <v>163.27000000000001</v>
      </c>
      <c r="J319" s="448" t="s">
        <v>206</v>
      </c>
      <c r="K319" s="505"/>
      <c r="L319" s="76"/>
      <c r="M319" s="25"/>
      <c r="N319" s="151"/>
      <c r="O319" s="78">
        <f>P319/30</f>
        <v>-6.666666666666667</v>
      </c>
      <c r="P319" s="12">
        <f>SUM(M314:M319)</f>
        <v>-200</v>
      </c>
      <c r="Q319" s="96">
        <f>Q311+SUM(M314:M319)</f>
        <v>0</v>
      </c>
      <c r="R319" s="84" t="s">
        <v>16</v>
      </c>
      <c r="S319" s="84"/>
      <c r="T319" s="84"/>
      <c r="U319" s="97">
        <f>AB319</f>
        <v>0</v>
      </c>
      <c r="V319" s="37"/>
      <c r="W319" s="47">
        <f>U319-U311</f>
        <v>-200</v>
      </c>
      <c r="X319" s="12">
        <f>W319/30</f>
        <v>-6.666666666666667</v>
      </c>
      <c r="Y319" s="33" t="s">
        <v>19</v>
      </c>
      <c r="Z319" s="70">
        <v>150</v>
      </c>
      <c r="AA319" s="73" t="s">
        <v>112</v>
      </c>
      <c r="AB319" s="100">
        <v>0</v>
      </c>
    </row>
    <row r="320" spans="1:30" ht="16.5" thickTop="1" thickBot="1">
      <c r="B320" s="28"/>
      <c r="C320" s="5"/>
      <c r="D320" s="459"/>
      <c r="E320" s="460"/>
      <c r="F320" s="17"/>
      <c r="G320" s="459"/>
      <c r="H320" s="461"/>
      <c r="I320" s="21"/>
      <c r="J320" s="459"/>
      <c r="K320" s="461"/>
      <c r="L320" s="42"/>
      <c r="M320" s="5"/>
      <c r="N320" s="54"/>
      <c r="O320" s="89">
        <f>P320/30</f>
        <v>16.018000000000001</v>
      </c>
      <c r="P320" s="90">
        <f>SUM(C314:C319)-SUM(F314:F319)-SUM(I314:I319)</f>
        <v>480.54</v>
      </c>
      <c r="Q320" s="94">
        <f>Q317+Q318+Q319</f>
        <v>1469.3299999999974</v>
      </c>
      <c r="R320" s="95" t="s">
        <v>5</v>
      </c>
      <c r="S320" s="95"/>
      <c r="T320" s="95"/>
      <c r="U320" s="92">
        <f>U319+U318+U317</f>
        <v>1435.6799999999998</v>
      </c>
      <c r="V320" s="286"/>
      <c r="W320" s="93">
        <f>U320-U312</f>
        <v>563.43999999999983</v>
      </c>
      <c r="X320" s="90">
        <f>W320/30</f>
        <v>18.781333333333329</v>
      </c>
      <c r="AA320" s="8"/>
    </row>
    <row r="321" spans="1:30" ht="16.5" thickTop="1" thickBot="1">
      <c r="A321" s="14" t="s">
        <v>31</v>
      </c>
      <c r="B321" s="107">
        <v>45007</v>
      </c>
      <c r="C321" s="25"/>
      <c r="D321" s="494"/>
      <c r="E321" s="495"/>
      <c r="F321" s="15"/>
      <c r="G321" s="494"/>
      <c r="H321" s="515"/>
      <c r="I321" s="20"/>
      <c r="J321" s="494"/>
      <c r="K321" s="515"/>
      <c r="L321" s="76"/>
      <c r="M321" s="25"/>
      <c r="N321" s="151"/>
      <c r="O321" s="25"/>
      <c r="P321" s="25"/>
      <c r="X321" s="16"/>
      <c r="AA321" s="8"/>
    </row>
    <row r="322" spans="1:30">
      <c r="B322" s="26"/>
      <c r="C322" s="25"/>
      <c r="D322" s="462"/>
      <c r="E322" s="463"/>
      <c r="F322" s="15">
        <f>4.12+15.36+5.4+12.14+2+17.11+3.25+11.8+23.75+10.2+14.07+5.43+12+13+5.41+12+18+13+22.01+10.96+11.8+10.76+12+60+13+4.1+12+7.23+12+11+6+12+14+12+6+9+11.8+6+11.68</f>
        <v>473.38000000000011</v>
      </c>
      <c r="G322" s="448" t="s">
        <v>8</v>
      </c>
      <c r="H322" s="505"/>
      <c r="I322" s="20">
        <v>9.99</v>
      </c>
      <c r="J322" s="448" t="s">
        <v>22</v>
      </c>
      <c r="K322" s="505"/>
      <c r="L322" s="76">
        <v>60</v>
      </c>
      <c r="M322" s="25"/>
      <c r="N322" s="151"/>
      <c r="O322" s="25"/>
      <c r="P322" s="25"/>
      <c r="X322" s="16"/>
      <c r="AA322" s="8"/>
    </row>
    <row r="323" spans="1:30">
      <c r="B323" s="26"/>
      <c r="C323" s="25">
        <v>1917.79</v>
      </c>
      <c r="D323" s="506" t="s">
        <v>11</v>
      </c>
      <c r="E323" s="507"/>
      <c r="F323" s="15">
        <f>42.72+37.35+45.16+39.56+41.18+44.63</f>
        <v>250.6</v>
      </c>
      <c r="G323" s="448" t="s">
        <v>9</v>
      </c>
      <c r="H323" s="505"/>
      <c r="I323" s="20">
        <f>9.99+9.99+9.99+19.99+424.61-45.24-20</f>
        <v>409.33</v>
      </c>
      <c r="J323" s="448" t="s">
        <v>206</v>
      </c>
      <c r="K323" s="505"/>
      <c r="L323" s="76">
        <v>-70</v>
      </c>
      <c r="M323" s="25"/>
      <c r="N323" s="151"/>
      <c r="O323" s="25"/>
      <c r="P323" s="25"/>
      <c r="X323" s="16"/>
      <c r="AA323" s="8"/>
    </row>
    <row r="324" spans="1:30" ht="15.75" thickBot="1">
      <c r="B324" s="26"/>
      <c r="C324" s="25"/>
      <c r="D324" s="462"/>
      <c r="E324" s="463"/>
      <c r="F324" s="15">
        <v>20</v>
      </c>
      <c r="G324" s="448" t="s">
        <v>81</v>
      </c>
      <c r="H324" s="505"/>
      <c r="I324" s="20">
        <v>17.309999999999999</v>
      </c>
      <c r="J324" s="448" t="s">
        <v>249</v>
      </c>
      <c r="K324" s="505"/>
      <c r="L324" s="76">
        <v>170</v>
      </c>
      <c r="M324" s="25"/>
      <c r="N324" s="151"/>
      <c r="O324" s="25"/>
      <c r="P324" s="25"/>
      <c r="X324" s="16"/>
      <c r="AA324" s="8"/>
    </row>
    <row r="325" spans="1:30" ht="15.75" thickBot="1">
      <c r="B325" s="26"/>
      <c r="C325" s="25"/>
      <c r="D325" s="462"/>
      <c r="E325" s="463"/>
      <c r="F325" s="15">
        <v>145</v>
      </c>
      <c r="G325" s="448" t="s">
        <v>6</v>
      </c>
      <c r="H325" s="505"/>
      <c r="I325" s="20">
        <v>40</v>
      </c>
      <c r="J325" s="448" t="s">
        <v>98</v>
      </c>
      <c r="K325" s="505"/>
      <c r="L325" s="76"/>
      <c r="M325" s="25"/>
      <c r="N325" s="151"/>
      <c r="O325" s="25"/>
      <c r="P325" s="25"/>
      <c r="X325" s="16"/>
      <c r="Y325" s="45"/>
      <c r="Z325" s="4" t="s">
        <v>13</v>
      </c>
      <c r="AA325" s="46"/>
      <c r="AB325" s="4" t="s">
        <v>14</v>
      </c>
      <c r="AC325" s="46"/>
      <c r="AD325" s="4" t="s">
        <v>111</v>
      </c>
    </row>
    <row r="326" spans="1:30" ht="15.75" thickTop="1">
      <c r="B326" s="26"/>
      <c r="C326" s="25"/>
      <c r="D326" s="462"/>
      <c r="E326" s="463"/>
      <c r="F326" s="15">
        <v>66.2</v>
      </c>
      <c r="G326" s="448" t="s">
        <v>176</v>
      </c>
      <c r="H326" s="505"/>
      <c r="I326" s="20"/>
      <c r="J326" s="462"/>
      <c r="K326" s="464"/>
      <c r="L326" s="76"/>
      <c r="M326" s="25"/>
      <c r="N326" s="151"/>
      <c r="O326" s="80">
        <f>P326/30</f>
        <v>10.736666666666659</v>
      </c>
      <c r="P326" s="81">
        <f>SUM(C322:C328)-SUM(F322:F328)-SUM(I322:I328)-SUM(L322:L328)-SUM(M322:M328)</f>
        <v>322.0999999999998</v>
      </c>
      <c r="Q326" s="82">
        <f>Q317+P329-SUM(L322:L328)-SUM(M322:M328)</f>
        <v>1456.4699999999971</v>
      </c>
      <c r="R326" s="98" t="s">
        <v>12</v>
      </c>
      <c r="S326" s="98"/>
      <c r="T326" s="98"/>
      <c r="U326" s="87">
        <f>Z326+AB326+AD326+AD327</f>
        <v>1373.71</v>
      </c>
      <c r="V326" s="287"/>
      <c r="W326" s="99">
        <f>U326-U317</f>
        <v>234.93000000000006</v>
      </c>
      <c r="X326" s="81">
        <f>W326/30</f>
        <v>7.8310000000000022</v>
      </c>
      <c r="Y326" s="43" t="s">
        <v>17</v>
      </c>
      <c r="Z326" s="44">
        <v>4</v>
      </c>
      <c r="AA326" s="11" t="s">
        <v>15</v>
      </c>
      <c r="AB326" s="12">
        <f>1218.53</f>
        <v>1218.53</v>
      </c>
      <c r="AC326" s="11" t="s">
        <v>17</v>
      </c>
      <c r="AD326" s="12">
        <v>0</v>
      </c>
    </row>
    <row r="327" spans="1:30" ht="15.75" thickBot="1">
      <c r="B327" s="26"/>
      <c r="C327" s="25"/>
      <c r="D327" s="462"/>
      <c r="E327" s="463"/>
      <c r="F327" s="15">
        <v>3.88</v>
      </c>
      <c r="G327" s="448" t="s">
        <v>107</v>
      </c>
      <c r="H327" s="505"/>
      <c r="I327" s="20"/>
      <c r="J327" s="462"/>
      <c r="K327" s="464"/>
      <c r="L327" s="76"/>
      <c r="M327" s="25"/>
      <c r="N327" s="151"/>
      <c r="O327" s="79">
        <f>P327/30</f>
        <v>5.333333333333333</v>
      </c>
      <c r="P327" s="72">
        <f>SUM(L322:L328)</f>
        <v>160</v>
      </c>
      <c r="Q327" s="83">
        <f>Q318+SUM(L322:L328)</f>
        <v>494.96000000000004</v>
      </c>
      <c r="R327" s="85" t="s">
        <v>16</v>
      </c>
      <c r="S327" s="85"/>
      <c r="T327" s="85"/>
      <c r="U327" s="88">
        <f>Z327+Z328+AB327</f>
        <v>464.90999999999997</v>
      </c>
      <c r="V327" s="288"/>
      <c r="W327" s="86">
        <f>U327-U318</f>
        <v>168.01</v>
      </c>
      <c r="X327" s="72">
        <f>W327/30</f>
        <v>5.6003333333333334</v>
      </c>
      <c r="Y327" s="32" t="s">
        <v>18</v>
      </c>
      <c r="Z327" s="13">
        <v>104</v>
      </c>
      <c r="AA327" s="71" t="s">
        <v>16</v>
      </c>
      <c r="AB327" s="72">
        <v>202.91</v>
      </c>
      <c r="AC327" s="9" t="s">
        <v>87</v>
      </c>
      <c r="AD327" s="10">
        <v>151.18</v>
      </c>
    </row>
    <row r="328" spans="1:30" ht="15.75" thickBot="1">
      <c r="B328" s="26"/>
      <c r="C328" s="25"/>
      <c r="D328" s="462"/>
      <c r="E328" s="463"/>
      <c r="F328" s="15"/>
      <c r="G328" s="462"/>
      <c r="H328" s="464"/>
      <c r="I328" s="20"/>
      <c r="J328" s="462"/>
      <c r="K328" s="464"/>
      <c r="L328" s="76"/>
      <c r="M328" s="25"/>
      <c r="N328" s="151"/>
      <c r="O328" s="78">
        <f>P328/30</f>
        <v>0</v>
      </c>
      <c r="P328" s="12">
        <f>SUM(M322:M328)</f>
        <v>0</v>
      </c>
      <c r="Q328" s="96">
        <f>Q319+SUM(M322:M328)</f>
        <v>0</v>
      </c>
      <c r="R328" s="84" t="s">
        <v>16</v>
      </c>
      <c r="S328" s="84"/>
      <c r="T328" s="84"/>
      <c r="U328" s="97">
        <f>AB328</f>
        <v>0</v>
      </c>
      <c r="V328" s="37"/>
      <c r="W328" s="47">
        <f>U328-U319</f>
        <v>0</v>
      </c>
      <c r="X328" s="12">
        <f>W328/30</f>
        <v>0</v>
      </c>
      <c r="Y328" s="33" t="s">
        <v>19</v>
      </c>
      <c r="Z328" s="70">
        <v>158</v>
      </c>
      <c r="AA328" s="73" t="s">
        <v>112</v>
      </c>
      <c r="AB328" s="100">
        <v>0</v>
      </c>
    </row>
    <row r="329" spans="1:30" ht="16.5" thickTop="1" thickBot="1">
      <c r="B329" s="28"/>
      <c r="C329" s="5"/>
      <c r="D329" s="459"/>
      <c r="E329" s="460"/>
      <c r="F329" s="17"/>
      <c r="G329" s="459"/>
      <c r="H329" s="461"/>
      <c r="I329" s="21"/>
      <c r="J329" s="459"/>
      <c r="K329" s="461"/>
      <c r="L329" s="42"/>
      <c r="M329" s="5"/>
      <c r="N329" s="54"/>
      <c r="O329" s="89">
        <f>P329/30</f>
        <v>16.069999999999993</v>
      </c>
      <c r="P329" s="90">
        <f>SUM(C322:C328)-SUM(F322:F328)-SUM(I322:I328)</f>
        <v>482.0999999999998</v>
      </c>
      <c r="Q329" s="94">
        <f>Q326+Q327+Q328</f>
        <v>1951.4299999999971</v>
      </c>
      <c r="R329" s="95" t="s">
        <v>5</v>
      </c>
      <c r="S329" s="95"/>
      <c r="T329" s="95"/>
      <c r="U329" s="92">
        <f>U328+U327+U326</f>
        <v>1838.62</v>
      </c>
      <c r="V329" s="286"/>
      <c r="W329" s="93">
        <f>U329-U320</f>
        <v>402.94000000000005</v>
      </c>
      <c r="X329" s="90">
        <f>W329/30</f>
        <v>13.431333333333335</v>
      </c>
      <c r="AA329" s="8"/>
    </row>
    <row r="330" spans="1:30" ht="16.5" thickTop="1" thickBot="1">
      <c r="A330" s="14" t="s">
        <v>31</v>
      </c>
      <c r="B330" s="107">
        <v>45038</v>
      </c>
      <c r="C330" s="25"/>
      <c r="D330" s="494"/>
      <c r="E330" s="495"/>
      <c r="F330" s="15"/>
      <c r="G330" s="494"/>
      <c r="H330" s="515"/>
      <c r="I330" s="20"/>
      <c r="J330" s="494"/>
      <c r="K330" s="515"/>
      <c r="L330" s="76"/>
      <c r="M330" s="25"/>
      <c r="N330" s="151"/>
      <c r="O330" s="25"/>
      <c r="P330" s="25"/>
      <c r="X330" s="16"/>
      <c r="AA330" s="8"/>
    </row>
    <row r="331" spans="1:30">
      <c r="B331" s="26"/>
      <c r="C331" s="25"/>
      <c r="D331" s="462"/>
      <c r="E331" s="463"/>
      <c r="F331" s="15">
        <f>12+12+20+17.89+12+12+12+20+11+11.41+12+12+21.7+4+12+12+8+12+19+7+14+10.96+4+7.04</f>
        <v>296</v>
      </c>
      <c r="G331" s="448" t="s">
        <v>8</v>
      </c>
      <c r="H331" s="505"/>
      <c r="I331" s="20">
        <v>9.99</v>
      </c>
      <c r="J331" s="448" t="s">
        <v>22</v>
      </c>
      <c r="K331" s="505"/>
      <c r="L331" s="76">
        <v>-160</v>
      </c>
      <c r="M331" s="25"/>
      <c r="N331" s="151"/>
      <c r="O331" s="25"/>
      <c r="P331" s="25"/>
      <c r="X331" s="16"/>
      <c r="AA331" s="8"/>
    </row>
    <row r="332" spans="1:30" ht="15.75" thickBot="1">
      <c r="B332" s="26"/>
      <c r="C332" s="25">
        <v>1917.79</v>
      </c>
      <c r="D332" s="506" t="s">
        <v>11</v>
      </c>
      <c r="E332" s="507"/>
      <c r="F332" s="15">
        <f>44.17+43.3+19.98+45.72</f>
        <v>153.17000000000002</v>
      </c>
      <c r="G332" s="448" t="s">
        <v>9</v>
      </c>
      <c r="H332" s="505"/>
      <c r="I332" s="20">
        <f>19.99+384.06+9.99+9.99</f>
        <v>424.03000000000003</v>
      </c>
      <c r="J332" s="448" t="s">
        <v>206</v>
      </c>
      <c r="K332" s="505"/>
      <c r="L332" s="76">
        <v>-20</v>
      </c>
      <c r="M332" s="25"/>
      <c r="N332" s="151"/>
      <c r="O332" s="25"/>
      <c r="P332" s="25"/>
      <c r="X332" s="16"/>
      <c r="AA332" s="8"/>
    </row>
    <row r="333" spans="1:30" ht="15.75" thickBot="1">
      <c r="B333" s="26"/>
      <c r="C333" s="25"/>
      <c r="D333" s="462"/>
      <c r="E333" s="463"/>
      <c r="F333" s="15">
        <v>15.84</v>
      </c>
      <c r="G333" s="448" t="s">
        <v>207</v>
      </c>
      <c r="H333" s="505"/>
      <c r="I333" s="20">
        <f>40+50</f>
        <v>90</v>
      </c>
      <c r="J333" s="448" t="s">
        <v>98</v>
      </c>
      <c r="K333" s="505"/>
      <c r="L333" s="76">
        <v>180</v>
      </c>
      <c r="M333" s="25"/>
      <c r="N333" s="151"/>
      <c r="O333" s="25"/>
      <c r="P333" s="25"/>
      <c r="X333" s="16"/>
      <c r="Y333" s="45"/>
      <c r="Z333" s="4" t="s">
        <v>13</v>
      </c>
      <c r="AA333" s="46"/>
      <c r="AB333" s="4" t="s">
        <v>14</v>
      </c>
      <c r="AC333" s="46"/>
      <c r="AD333" s="4" t="s">
        <v>111</v>
      </c>
    </row>
    <row r="334" spans="1:30" ht="15.75" thickTop="1">
      <c r="B334" s="26"/>
      <c r="C334" s="25"/>
      <c r="D334" s="462"/>
      <c r="E334" s="463"/>
      <c r="F334" s="15">
        <v>145</v>
      </c>
      <c r="G334" s="448" t="s">
        <v>6</v>
      </c>
      <c r="H334" s="505"/>
      <c r="I334" s="63">
        <v>17.309999999999999</v>
      </c>
      <c r="J334" s="448" t="s">
        <v>249</v>
      </c>
      <c r="K334" s="505"/>
      <c r="L334" s="76">
        <v>5</v>
      </c>
      <c r="M334" s="25"/>
      <c r="N334" s="151"/>
      <c r="O334" s="80">
        <f>P334/30</f>
        <v>19.315000000000001</v>
      </c>
      <c r="P334" s="81">
        <f>SUM(C331:C335)-SUM(F331:F336)-SUM(I331:I336)-SUM(L331:L336)-SUM(M331:M336)</f>
        <v>579.45000000000005</v>
      </c>
      <c r="Q334" s="82">
        <f>Q326+P337-SUM(L331:L336)-SUM(M331:M336)</f>
        <v>2035.9199999999971</v>
      </c>
      <c r="R334" s="98" t="s">
        <v>12</v>
      </c>
      <c r="S334" s="98"/>
      <c r="T334" s="98"/>
      <c r="U334" s="87">
        <f>Z334+AB334+AD334+AD335</f>
        <v>1874.79</v>
      </c>
      <c r="V334" s="287"/>
      <c r="W334" s="99">
        <f>U334-U326</f>
        <v>501.07999999999993</v>
      </c>
      <c r="X334" s="81">
        <f>W334/30</f>
        <v>16.702666666666666</v>
      </c>
      <c r="Y334" s="43" t="s">
        <v>17</v>
      </c>
      <c r="Z334" s="44">
        <v>3</v>
      </c>
      <c r="AA334" s="11" t="s">
        <v>15</v>
      </c>
      <c r="AB334" s="12">
        <v>1719.24</v>
      </c>
      <c r="AC334" s="11" t="s">
        <v>17</v>
      </c>
      <c r="AD334" s="12">
        <v>0</v>
      </c>
    </row>
    <row r="335" spans="1:30" ht="15.75" thickBot="1">
      <c r="B335" s="26"/>
      <c r="C335" s="25"/>
      <c r="D335" s="462"/>
      <c r="E335" s="463"/>
      <c r="F335" s="15">
        <v>20</v>
      </c>
      <c r="G335" s="448" t="s">
        <v>81</v>
      </c>
      <c r="H335" s="505"/>
      <c r="I335" s="20">
        <v>157</v>
      </c>
      <c r="J335" s="448" t="s">
        <v>270</v>
      </c>
      <c r="K335" s="505"/>
      <c r="L335" s="76"/>
      <c r="M335" s="25"/>
      <c r="N335" s="151"/>
      <c r="O335" s="79">
        <f>P335/30</f>
        <v>0.16666666666666666</v>
      </c>
      <c r="P335" s="72">
        <f>SUM(L331:L336)</f>
        <v>5</v>
      </c>
      <c r="Q335" s="83">
        <f>Q327+SUM(L331:L336)</f>
        <v>499.96000000000004</v>
      </c>
      <c r="R335" s="85" t="s">
        <v>16</v>
      </c>
      <c r="S335" s="85"/>
      <c r="T335" s="85"/>
      <c r="U335" s="88">
        <f>Z335+Z336+AB335</f>
        <v>468.93</v>
      </c>
      <c r="V335" s="288"/>
      <c r="W335" s="86">
        <f>U335-U327</f>
        <v>4.0200000000000387</v>
      </c>
      <c r="X335" s="72">
        <f>W335/30</f>
        <v>0.13400000000000128</v>
      </c>
      <c r="Y335" s="32" t="s">
        <v>18</v>
      </c>
      <c r="Z335" s="13">
        <v>104</v>
      </c>
      <c r="AA335" s="71" t="s">
        <v>16</v>
      </c>
      <c r="AB335" s="72">
        <v>202.93</v>
      </c>
      <c r="AC335" s="9" t="s">
        <v>87</v>
      </c>
      <c r="AD335" s="10">
        <v>152.55000000000001</v>
      </c>
    </row>
    <row r="336" spans="1:30" ht="15.75" thickBot="1">
      <c r="B336" s="26"/>
      <c r="C336" s="25"/>
      <c r="D336" s="462"/>
      <c r="E336" s="463"/>
      <c r="F336" s="15"/>
      <c r="G336" s="462"/>
      <c r="H336" s="464"/>
      <c r="I336" s="20">
        <v>5</v>
      </c>
      <c r="J336" s="448" t="s">
        <v>253</v>
      </c>
      <c r="K336" s="505"/>
      <c r="L336" s="76"/>
      <c r="M336" s="25"/>
      <c r="N336" s="151"/>
      <c r="O336" s="78">
        <f>P336/30</f>
        <v>0</v>
      </c>
      <c r="P336" s="12">
        <f>SUM(M331:M336)</f>
        <v>0</v>
      </c>
      <c r="Q336" s="96">
        <f>Q328+SUM(M331:M336)</f>
        <v>0</v>
      </c>
      <c r="R336" s="84" t="s">
        <v>16</v>
      </c>
      <c r="S336" s="84"/>
      <c r="T336" s="84"/>
      <c r="U336" s="97">
        <f>AB336</f>
        <v>0</v>
      </c>
      <c r="V336" s="37"/>
      <c r="W336" s="47">
        <f>U336-U328</f>
        <v>0</v>
      </c>
      <c r="X336" s="12">
        <f>W336/30</f>
        <v>0</v>
      </c>
      <c r="Y336" s="33" t="s">
        <v>19</v>
      </c>
      <c r="Z336" s="70">
        <v>162</v>
      </c>
      <c r="AA336" s="73" t="s">
        <v>112</v>
      </c>
      <c r="AB336" s="100">
        <v>0</v>
      </c>
    </row>
    <row r="337" spans="1:30" ht="16.5" thickTop="1" thickBot="1">
      <c r="B337" s="28"/>
      <c r="C337" s="5"/>
      <c r="D337" s="459"/>
      <c r="E337" s="460"/>
      <c r="F337" s="17"/>
      <c r="G337" s="459"/>
      <c r="H337" s="461"/>
      <c r="I337" s="21"/>
      <c r="J337" s="459"/>
      <c r="K337" s="461"/>
      <c r="L337" s="42"/>
      <c r="M337" s="5"/>
      <c r="N337" s="54"/>
      <c r="O337" s="89">
        <f>P337/30</f>
        <v>19.481666666666669</v>
      </c>
      <c r="P337" s="90">
        <f>SUM(C331:C335)-SUM(F331:F336)-SUM(I331:I336)</f>
        <v>584.45000000000005</v>
      </c>
      <c r="Q337" s="94">
        <f>Q334+Q335+Q336</f>
        <v>2535.8799999999974</v>
      </c>
      <c r="R337" s="95" t="s">
        <v>5</v>
      </c>
      <c r="S337" s="95"/>
      <c r="T337" s="95"/>
      <c r="U337" s="92">
        <f>U336+U335+U334</f>
        <v>2343.7199999999998</v>
      </c>
      <c r="V337" s="286"/>
      <c r="W337" s="93">
        <f>U337-U329</f>
        <v>505.09999999999991</v>
      </c>
      <c r="X337" s="90">
        <f>W337/30</f>
        <v>16.836666666666662</v>
      </c>
      <c r="AA337" s="8"/>
    </row>
    <row r="338" spans="1:30" ht="16.5" thickTop="1" thickBot="1">
      <c r="A338" s="14" t="s">
        <v>31</v>
      </c>
      <c r="B338" s="107">
        <v>45068</v>
      </c>
      <c r="C338" s="25"/>
      <c r="D338" s="494"/>
      <c r="E338" s="495"/>
      <c r="F338" s="15"/>
      <c r="G338" s="494"/>
      <c r="H338" s="515"/>
      <c r="I338" s="20"/>
      <c r="J338" s="494"/>
      <c r="K338" s="515"/>
      <c r="L338" s="76"/>
      <c r="M338" s="25"/>
      <c r="N338" s="151"/>
      <c r="O338" s="25"/>
      <c r="P338" s="25"/>
      <c r="X338" s="16"/>
      <c r="AA338" s="8"/>
    </row>
    <row r="339" spans="1:30" ht="15.75" thickBot="1">
      <c r="B339" s="26"/>
      <c r="C339" s="25"/>
      <c r="D339" s="462"/>
      <c r="E339" s="463"/>
      <c r="F339" s="15">
        <f>11.72+14.86+23+3.25+9.44+12+16+12+2+4+12+8+11+2+8+7.26+11.68+2+2+41+7.26+12+5.43+4+10+5.41+11+9+10+7.15+11+12+20</f>
        <v>337.46</v>
      </c>
      <c r="G339" s="448" t="s">
        <v>8</v>
      </c>
      <c r="H339" s="505"/>
      <c r="I339" s="20">
        <v>9.99</v>
      </c>
      <c r="J339" s="448" t="s">
        <v>22</v>
      </c>
      <c r="K339" s="505"/>
      <c r="L339" s="76"/>
      <c r="M339" s="25"/>
      <c r="N339" s="151"/>
      <c r="O339" s="25"/>
      <c r="P339" s="25"/>
      <c r="X339" s="16"/>
      <c r="AA339" s="8"/>
    </row>
    <row r="340" spans="1:30" ht="15.75" thickBot="1">
      <c r="B340" s="26"/>
      <c r="C340" s="25">
        <v>1917.79</v>
      </c>
      <c r="D340" s="506" t="s">
        <v>11</v>
      </c>
      <c r="E340" s="507"/>
      <c r="F340" s="15">
        <f>40+33.6+42.21+43.3+44.72</f>
        <v>203.83</v>
      </c>
      <c r="G340" s="448" t="s">
        <v>9</v>
      </c>
      <c r="H340" s="505"/>
      <c r="I340" s="20">
        <f>80+60+60</f>
        <v>200</v>
      </c>
      <c r="J340" s="448" t="s">
        <v>98</v>
      </c>
      <c r="K340" s="505"/>
      <c r="L340" s="76"/>
      <c r="M340" s="25"/>
      <c r="N340" s="151"/>
      <c r="O340" s="25"/>
      <c r="P340" s="25"/>
      <c r="X340" s="16"/>
      <c r="Y340" s="45"/>
      <c r="Z340" s="4" t="s">
        <v>13</v>
      </c>
      <c r="AA340" s="46"/>
      <c r="AB340" s="4" t="s">
        <v>14</v>
      </c>
      <c r="AC340" s="46"/>
      <c r="AD340" s="4" t="s">
        <v>111</v>
      </c>
    </row>
    <row r="341" spans="1:30" ht="15.75" thickTop="1">
      <c r="B341" s="26"/>
      <c r="C341" s="25"/>
      <c r="D341" s="462"/>
      <c r="E341" s="463"/>
      <c r="F341" s="15">
        <v>145</v>
      </c>
      <c r="G341" s="448" t="s">
        <v>6</v>
      </c>
      <c r="H341" s="505"/>
      <c r="I341" s="20">
        <f>590+19.99+9.99</f>
        <v>619.98</v>
      </c>
      <c r="J341" s="448" t="s">
        <v>271</v>
      </c>
      <c r="K341" s="505"/>
      <c r="L341" s="76"/>
      <c r="M341" s="25"/>
      <c r="N341" s="151"/>
      <c r="O341" s="80">
        <f>P341/30</f>
        <v>11.907666666666668</v>
      </c>
      <c r="P341" s="81">
        <f>SUM(C339:C343)-SUM(F339:F343)-SUM(I339:I343)-SUM(L339:L343)-SUM(M339:M343)</f>
        <v>357.23</v>
      </c>
      <c r="Q341" s="82">
        <f>Q334+P344-SUM(L339:L343)-SUM(M339:M343)</f>
        <v>2393.1499999999969</v>
      </c>
      <c r="R341" s="98" t="s">
        <v>12</v>
      </c>
      <c r="S341" s="98"/>
      <c r="T341" s="98"/>
      <c r="U341" s="87">
        <f>Z341+AB341+AD341+AD342</f>
        <v>2212.8200000000002</v>
      </c>
      <c r="V341" s="287"/>
      <c r="W341" s="99">
        <f>U341-U334</f>
        <v>338.0300000000002</v>
      </c>
      <c r="X341" s="81">
        <f>W341/30</f>
        <v>11.267666666666674</v>
      </c>
      <c r="Y341" s="43" t="s">
        <v>17</v>
      </c>
      <c r="Z341" s="44">
        <v>6</v>
      </c>
      <c r="AA341" s="11" t="s">
        <v>15</v>
      </c>
      <c r="AB341" s="12">
        <v>2061.5700000000002</v>
      </c>
      <c r="AC341" s="11" t="s">
        <v>17</v>
      </c>
      <c r="AD341" s="12">
        <v>0</v>
      </c>
    </row>
    <row r="342" spans="1:30" ht="15.75" thickBot="1">
      <c r="B342" s="26"/>
      <c r="C342" s="25"/>
      <c r="D342" s="462"/>
      <c r="E342" s="463"/>
      <c r="F342" s="15">
        <v>20</v>
      </c>
      <c r="G342" s="448" t="s">
        <v>81</v>
      </c>
      <c r="H342" s="505"/>
      <c r="I342" s="20">
        <v>6.99</v>
      </c>
      <c r="J342" s="448" t="s">
        <v>188</v>
      </c>
      <c r="K342" s="505"/>
      <c r="L342" s="76"/>
      <c r="M342" s="25"/>
      <c r="N342" s="151"/>
      <c r="O342" s="79">
        <f>P342/30</f>
        <v>0</v>
      </c>
      <c r="P342" s="72">
        <f>SUM(L339:L343)</f>
        <v>0</v>
      </c>
      <c r="Q342" s="83">
        <f>Q335+SUM(L339:L343)</f>
        <v>499.96000000000004</v>
      </c>
      <c r="R342" s="85" t="s">
        <v>16</v>
      </c>
      <c r="S342" s="85"/>
      <c r="T342" s="85"/>
      <c r="U342" s="88">
        <f>Z342+Z343+AB342</f>
        <v>475.97</v>
      </c>
      <c r="V342" s="288"/>
      <c r="W342" s="86">
        <f>U342-U335</f>
        <v>7.0400000000000205</v>
      </c>
      <c r="X342" s="72">
        <f>W342/30</f>
        <v>0.23466666666666736</v>
      </c>
      <c r="Y342" s="32" t="s">
        <v>18</v>
      </c>
      <c r="Z342" s="13">
        <v>104</v>
      </c>
      <c r="AA342" s="71" t="s">
        <v>16</v>
      </c>
      <c r="AB342" s="72">
        <v>202.97</v>
      </c>
      <c r="AC342" s="9" t="s">
        <v>87</v>
      </c>
      <c r="AD342" s="10">
        <v>145.25</v>
      </c>
    </row>
    <row r="343" spans="1:30" ht="15.75" thickBot="1">
      <c r="B343" s="26"/>
      <c r="C343" s="25"/>
      <c r="D343" s="462"/>
      <c r="E343" s="463"/>
      <c r="F343" s="15"/>
      <c r="G343" s="462"/>
      <c r="H343" s="464"/>
      <c r="I343" s="63">
        <v>17.309999999999999</v>
      </c>
      <c r="J343" s="448" t="s">
        <v>249</v>
      </c>
      <c r="K343" s="505"/>
      <c r="L343" s="76"/>
      <c r="M343" s="25"/>
      <c r="N343" s="151"/>
      <c r="O343" s="78">
        <f>P343/30</f>
        <v>0</v>
      </c>
      <c r="P343" s="12">
        <f>SUM(M339:M343)</f>
        <v>0</v>
      </c>
      <c r="Q343" s="96">
        <f>Q336+SUM(M339:M343)</f>
        <v>0</v>
      </c>
      <c r="R343" s="84" t="s">
        <v>16</v>
      </c>
      <c r="S343" s="84"/>
      <c r="T343" s="84"/>
      <c r="U343" s="97">
        <f>AB343</f>
        <v>0</v>
      </c>
      <c r="V343" s="37"/>
      <c r="W343" s="47">
        <f>U343-U336</f>
        <v>0</v>
      </c>
      <c r="X343" s="12">
        <f>W343/30</f>
        <v>0</v>
      </c>
      <c r="Y343" s="33" t="s">
        <v>19</v>
      </c>
      <c r="Z343" s="70">
        <v>169</v>
      </c>
      <c r="AA343" s="73" t="s">
        <v>112</v>
      </c>
      <c r="AB343" s="100">
        <v>0</v>
      </c>
    </row>
    <row r="344" spans="1:30" ht="16.5" thickTop="1" thickBot="1">
      <c r="B344" s="28"/>
      <c r="C344" s="5"/>
      <c r="D344" s="459"/>
      <c r="E344" s="460"/>
      <c r="F344" s="17"/>
      <c r="G344" s="459"/>
      <c r="H344" s="461"/>
      <c r="I344" s="21"/>
      <c r="J344" s="459"/>
      <c r="K344" s="461"/>
      <c r="L344" s="42"/>
      <c r="M344" s="5"/>
      <c r="N344" s="54"/>
      <c r="O344" s="89">
        <f>P344/30</f>
        <v>11.907666666666668</v>
      </c>
      <c r="P344" s="90">
        <f>SUM(C339:C343)-SUM(F339:F343)-SUM(I339:I343)</f>
        <v>357.23</v>
      </c>
      <c r="Q344" s="94">
        <f>Q341+Q342+Q343</f>
        <v>2893.1099999999969</v>
      </c>
      <c r="R344" s="95" t="s">
        <v>5</v>
      </c>
      <c r="S344" s="95"/>
      <c r="T344" s="95"/>
      <c r="U344" s="92">
        <f>U343+U342+U341</f>
        <v>2688.79</v>
      </c>
      <c r="V344" s="286"/>
      <c r="W344" s="93">
        <f>U344-U337</f>
        <v>345.07000000000016</v>
      </c>
      <c r="X344" s="90">
        <f>W344/30</f>
        <v>11.502333333333338</v>
      </c>
      <c r="AA344" s="8"/>
    </row>
    <row r="345" spans="1:30" ht="16.5" thickTop="1" thickBot="1">
      <c r="A345" s="14" t="s">
        <v>31</v>
      </c>
      <c r="B345" s="107">
        <v>45099</v>
      </c>
      <c r="C345" s="25"/>
      <c r="D345" s="494"/>
      <c r="E345" s="495"/>
      <c r="F345" s="15"/>
      <c r="G345" s="494"/>
      <c r="H345" s="515"/>
      <c r="I345" s="20"/>
      <c r="J345" s="494"/>
      <c r="K345" s="515"/>
      <c r="L345" s="76"/>
      <c r="M345" s="25"/>
      <c r="N345" s="151"/>
      <c r="O345" s="25"/>
      <c r="P345" s="25"/>
      <c r="X345" s="16"/>
      <c r="AA345" s="8"/>
    </row>
    <row r="346" spans="1:30" ht="15.75" thickBot="1">
      <c r="B346" s="26"/>
      <c r="C346" s="25"/>
      <c r="D346" s="462"/>
      <c r="E346" s="463"/>
      <c r="F346" s="15">
        <f>10.2+5.41+2+12+5+11+5.41+11.7+11.37+11+10+11+30+12+11+11+5.43+12+7+12+13+40+7.23+18+7+20+7+12+40+3.25+70+12+7+18+27+4+19</f>
        <v>531</v>
      </c>
      <c r="G346" s="448" t="s">
        <v>8</v>
      </c>
      <c r="H346" s="505"/>
      <c r="I346" s="20">
        <v>9.99</v>
      </c>
      <c r="J346" s="448" t="s">
        <v>22</v>
      </c>
      <c r="K346" s="505"/>
      <c r="L346" s="76">
        <v>300</v>
      </c>
      <c r="M346" s="25">
        <v>200</v>
      </c>
      <c r="N346" s="151"/>
      <c r="O346" s="25"/>
      <c r="P346" s="25"/>
      <c r="X346" s="16"/>
      <c r="AA346" s="8"/>
    </row>
    <row r="347" spans="1:30" ht="15.75" thickBot="1">
      <c r="B347" s="26"/>
      <c r="C347" s="25">
        <v>250</v>
      </c>
      <c r="D347" s="506" t="s">
        <v>215</v>
      </c>
      <c r="E347" s="507"/>
      <c r="F347" s="15">
        <f>43.66+45.28+46.12+45.11+42.16+41.19</f>
        <v>263.52</v>
      </c>
      <c r="G347" s="448" t="s">
        <v>9</v>
      </c>
      <c r="H347" s="505"/>
      <c r="I347" s="20">
        <f>372.06+0.99</f>
        <v>373.05</v>
      </c>
      <c r="J347" s="448" t="s">
        <v>206</v>
      </c>
      <c r="K347" s="505"/>
      <c r="L347" s="76">
        <v>183.75</v>
      </c>
      <c r="M347" s="25"/>
      <c r="N347" s="151"/>
      <c r="O347" s="25"/>
      <c r="P347" s="25"/>
      <c r="X347" s="16"/>
      <c r="Y347" s="45"/>
      <c r="Z347" s="4" t="s">
        <v>13</v>
      </c>
      <c r="AA347" s="46"/>
      <c r="AB347" s="4" t="s">
        <v>14</v>
      </c>
      <c r="AC347" s="46"/>
      <c r="AD347" s="4" t="s">
        <v>111</v>
      </c>
    </row>
    <row r="348" spans="1:30" ht="15.75" thickTop="1">
      <c r="B348" s="26"/>
      <c r="C348" s="25">
        <f>100+40+100</f>
        <v>240</v>
      </c>
      <c r="D348" s="448" t="s">
        <v>272</v>
      </c>
      <c r="E348" s="469"/>
      <c r="F348" s="15">
        <v>145</v>
      </c>
      <c r="G348" s="448" t="s">
        <v>6</v>
      </c>
      <c r="H348" s="505"/>
      <c r="I348" s="20">
        <f>12.96+24.4</f>
        <v>37.36</v>
      </c>
      <c r="J348" s="448" t="s">
        <v>61</v>
      </c>
      <c r="K348" s="505"/>
      <c r="L348" s="76">
        <v>250</v>
      </c>
      <c r="M348" s="25"/>
      <c r="N348" s="151"/>
      <c r="O348" s="80">
        <f>P348/30</f>
        <v>-18.913000000000004</v>
      </c>
      <c r="P348" s="81">
        <f>SUM(C346:C350)-SUM(F346:F350)-SUM(I346:I350)-SUM(L346:L350)-SUM(M346:M350)</f>
        <v>-567.3900000000001</v>
      </c>
      <c r="Q348" s="82">
        <f>Q341+P351-SUM(L346:L350)-SUM(M346:M350)</f>
        <v>1825.7599999999966</v>
      </c>
      <c r="R348" s="98" t="s">
        <v>12</v>
      </c>
      <c r="S348" s="98"/>
      <c r="T348" s="98"/>
      <c r="U348" s="87">
        <f>Z348+AB348+AD348+AD349</f>
        <v>1710.85</v>
      </c>
      <c r="V348" s="287"/>
      <c r="W348" s="99">
        <f>U348-U341</f>
        <v>-501.97000000000025</v>
      </c>
      <c r="X348" s="81">
        <f>W348/30</f>
        <v>-16.73233333333334</v>
      </c>
      <c r="Y348" s="43" t="s">
        <v>17</v>
      </c>
      <c r="Z348" s="44">
        <v>293</v>
      </c>
      <c r="AA348" s="11" t="s">
        <v>15</v>
      </c>
      <c r="AB348" s="12">
        <v>1257.52</v>
      </c>
      <c r="AC348" s="11" t="s">
        <v>17</v>
      </c>
      <c r="AD348" s="12">
        <v>0</v>
      </c>
    </row>
    <row r="349" spans="1:30" ht="15.75" thickBot="1">
      <c r="B349" s="26"/>
      <c r="C349" s="25">
        <f>150</f>
        <v>150</v>
      </c>
      <c r="D349" s="448" t="s">
        <v>273</v>
      </c>
      <c r="E349" s="469"/>
      <c r="F349" s="15">
        <v>201</v>
      </c>
      <c r="G349" s="448" t="s">
        <v>99</v>
      </c>
      <c r="H349" s="505"/>
      <c r="I349" s="20">
        <v>6.99</v>
      </c>
      <c r="J349" s="448" t="s">
        <v>188</v>
      </c>
      <c r="K349" s="505"/>
      <c r="L349" s="76"/>
      <c r="M349" s="25"/>
      <c r="N349" s="151"/>
      <c r="O349" s="79">
        <f>P349/30</f>
        <v>24.458333333333332</v>
      </c>
      <c r="P349" s="72">
        <f>SUM(L346:L350)</f>
        <v>733.75</v>
      </c>
      <c r="Q349" s="83">
        <f>Q342+SUM(L346:L350)</f>
        <v>1233.71</v>
      </c>
      <c r="R349" s="85" t="s">
        <v>16</v>
      </c>
      <c r="S349" s="85"/>
      <c r="T349" s="85"/>
      <c r="U349" s="88">
        <f>Z349+Z350+AB349</f>
        <v>1107.1599999999999</v>
      </c>
      <c r="V349" s="288"/>
      <c r="W349" s="86">
        <f>U349-U342</f>
        <v>631.18999999999983</v>
      </c>
      <c r="X349" s="72">
        <f>W349/30</f>
        <v>21.039666666666662</v>
      </c>
      <c r="Y349" s="32" t="s">
        <v>18</v>
      </c>
      <c r="Z349" s="13">
        <v>104</v>
      </c>
      <c r="AA349" s="71" t="s">
        <v>16</v>
      </c>
      <c r="AB349" s="72">
        <v>1003.16</v>
      </c>
      <c r="AC349" s="9" t="s">
        <v>87</v>
      </c>
      <c r="AD349" s="10">
        <v>160.33000000000001</v>
      </c>
    </row>
    <row r="350" spans="1:30" ht="15.75" thickBot="1">
      <c r="B350" s="26"/>
      <c r="C350" s="25">
        <v>1514.54</v>
      </c>
      <c r="D350" s="448" t="s">
        <v>11</v>
      </c>
      <c r="E350" s="469"/>
      <c r="F350" s="15">
        <v>202.96</v>
      </c>
      <c r="G350" s="448" t="s">
        <v>274</v>
      </c>
      <c r="H350" s="505"/>
      <c r="I350" s="63">
        <v>17.309999999999999</v>
      </c>
      <c r="J350" s="448" t="s">
        <v>249</v>
      </c>
      <c r="K350" s="505"/>
      <c r="L350" s="76"/>
      <c r="M350" s="25"/>
      <c r="N350" s="151"/>
      <c r="O350" s="78">
        <f>P350/30</f>
        <v>6.666666666666667</v>
      </c>
      <c r="P350" s="12">
        <f>SUM(M346:M350)</f>
        <v>200</v>
      </c>
      <c r="Q350" s="96">
        <f>Q343+SUM(M346:M350)</f>
        <v>200</v>
      </c>
      <c r="R350" s="84" t="s">
        <v>16</v>
      </c>
      <c r="S350" s="84"/>
      <c r="T350" s="84"/>
      <c r="U350" s="97">
        <f>AB350</f>
        <v>200</v>
      </c>
      <c r="V350" s="37"/>
      <c r="W350" s="47">
        <f>U350-U343</f>
        <v>200</v>
      </c>
      <c r="X350" s="12">
        <f>W350/30</f>
        <v>6.666666666666667</v>
      </c>
      <c r="Y350" s="33" t="s">
        <v>19</v>
      </c>
      <c r="Z350" s="70">
        <v>0</v>
      </c>
      <c r="AA350" s="73" t="s">
        <v>112</v>
      </c>
      <c r="AB350" s="100">
        <v>200</v>
      </c>
    </row>
    <row r="351" spans="1:30" ht="16.5" thickTop="1" thickBot="1">
      <c r="B351" s="28"/>
      <c r="C351" s="5"/>
      <c r="D351" s="459"/>
      <c r="E351" s="460"/>
      <c r="F351" s="17"/>
      <c r="G351" s="459"/>
      <c r="H351" s="461"/>
      <c r="I351" s="21"/>
      <c r="J351" s="459"/>
      <c r="K351" s="461"/>
      <c r="L351" s="42"/>
      <c r="M351" s="5"/>
      <c r="N351" s="54"/>
      <c r="O351" s="89">
        <f>P351/30</f>
        <v>12.211999999999996</v>
      </c>
      <c r="P351" s="90">
        <f>SUM(C346:C350)-SUM(F346:F350)-SUM(I346:I350)</f>
        <v>366.3599999999999</v>
      </c>
      <c r="Q351" s="94">
        <f>Q348+Q349+Q350</f>
        <v>3259.4699999999966</v>
      </c>
      <c r="R351" s="95" t="s">
        <v>5</v>
      </c>
      <c r="S351" s="95"/>
      <c r="T351" s="95"/>
      <c r="U351" s="92">
        <f>U350+U349+U348</f>
        <v>3018.0099999999998</v>
      </c>
      <c r="V351" s="286"/>
      <c r="W351" s="93">
        <f>U351-U344</f>
        <v>329.2199999999998</v>
      </c>
      <c r="X351" s="90">
        <f>W351/30</f>
        <v>10.973999999999993</v>
      </c>
      <c r="AA351" s="8"/>
    </row>
    <row r="352" spans="1:30" ht="16.5" thickTop="1" thickBot="1">
      <c r="A352" s="14" t="s">
        <v>31</v>
      </c>
      <c r="B352" s="107">
        <v>45129</v>
      </c>
      <c r="C352" s="25"/>
      <c r="D352" s="494"/>
      <c r="E352" s="495"/>
      <c r="F352" s="15"/>
      <c r="G352" s="494"/>
      <c r="H352" s="515"/>
      <c r="I352" s="20"/>
      <c r="J352" s="494"/>
      <c r="K352" s="515"/>
      <c r="L352" s="76"/>
      <c r="M352" s="25"/>
      <c r="N352" s="151"/>
      <c r="O352" s="25"/>
      <c r="P352" s="25"/>
      <c r="X352" s="16"/>
      <c r="AA352" s="8"/>
    </row>
    <row r="353" spans="1:30">
      <c r="B353" s="26"/>
      <c r="C353" s="25"/>
      <c r="D353" s="462"/>
      <c r="E353" s="463"/>
      <c r="F353" s="15">
        <f>3.24+12+92+6+23.12+86+5.43+8.68+22+32+4+12+5.43+22+5.45+91+3.24+7.6+11.68+16.68+12+43+11+11+6.5+3.25+3.24+6.83+3.25+5.43+6.5+10.18+12+7.36+73+11.8+7+12+9+9+3.26+12+9+15+11.7+16+21.7+10.45</f>
        <v>832.00000000000011</v>
      </c>
      <c r="G353" s="448" t="s">
        <v>8</v>
      </c>
      <c r="H353" s="505"/>
      <c r="I353" s="20">
        <v>53.44</v>
      </c>
      <c r="J353" s="448" t="s">
        <v>275</v>
      </c>
      <c r="K353" s="505"/>
      <c r="L353" s="76">
        <v>-800</v>
      </c>
      <c r="M353" s="25"/>
      <c r="N353" s="151"/>
      <c r="O353" s="25"/>
      <c r="P353" s="25"/>
      <c r="X353" s="16"/>
      <c r="AA353" s="8"/>
    </row>
    <row r="354" spans="1:30" ht="15.75" thickBot="1">
      <c r="B354" s="26"/>
      <c r="C354" s="25">
        <f>25+40+60</f>
        <v>125</v>
      </c>
      <c r="D354" s="506" t="s">
        <v>272</v>
      </c>
      <c r="E354" s="507"/>
      <c r="F354" s="15">
        <f>42.62+35+27.22+44.03+44.16+41.05+47.63+48.58+50.18</f>
        <v>380.46999999999997</v>
      </c>
      <c r="G354" s="448" t="s">
        <v>9</v>
      </c>
      <c r="H354" s="505"/>
      <c r="I354" s="20">
        <f>49.06-42.62</f>
        <v>6.4400000000000048</v>
      </c>
      <c r="J354" s="448" t="s">
        <v>276</v>
      </c>
      <c r="K354" s="505"/>
      <c r="L354" s="76"/>
      <c r="M354" s="25"/>
      <c r="N354" s="151"/>
      <c r="O354" s="25"/>
      <c r="P354" s="25"/>
      <c r="X354" s="16"/>
      <c r="AA354" s="8"/>
    </row>
    <row r="355" spans="1:30" ht="15.75" thickBot="1">
      <c r="B355" s="26"/>
      <c r="C355" s="25">
        <v>160</v>
      </c>
      <c r="D355" s="448" t="s">
        <v>273</v>
      </c>
      <c r="E355" s="469"/>
      <c r="F355" s="15">
        <v>20</v>
      </c>
      <c r="G355" s="448" t="s">
        <v>81</v>
      </c>
      <c r="H355" s="505"/>
      <c r="I355" s="20">
        <v>9.99</v>
      </c>
      <c r="J355" s="448" t="s">
        <v>22</v>
      </c>
      <c r="K355" s="505"/>
      <c r="L355" s="76"/>
      <c r="M355" s="25"/>
      <c r="N355" s="151"/>
      <c r="O355" s="25"/>
      <c r="P355" s="25"/>
      <c r="X355" s="16"/>
      <c r="Y355" s="45"/>
      <c r="Z355" s="4" t="s">
        <v>13</v>
      </c>
      <c r="AA355" s="46"/>
      <c r="AB355" s="4" t="s">
        <v>14</v>
      </c>
      <c r="AC355" s="46"/>
      <c r="AD355" s="4" t="s">
        <v>111</v>
      </c>
    </row>
    <row r="356" spans="1:30" ht="15.75" thickTop="1">
      <c r="B356" s="26"/>
      <c r="C356" s="25">
        <v>1514.55</v>
      </c>
      <c r="D356" s="448" t="s">
        <v>11</v>
      </c>
      <c r="E356" s="469"/>
      <c r="F356" s="15">
        <v>145</v>
      </c>
      <c r="G356" s="448" t="s">
        <v>6</v>
      </c>
      <c r="H356" s="505"/>
      <c r="I356" s="20">
        <f>400.33+9.99</f>
        <v>410.32</v>
      </c>
      <c r="J356" s="448" t="s">
        <v>206</v>
      </c>
      <c r="K356" s="505"/>
      <c r="L356" s="76"/>
      <c r="M356" s="25"/>
      <c r="N356" s="151"/>
      <c r="O356" s="80">
        <f>P356/30</f>
        <v>-9.4136666666666766</v>
      </c>
      <c r="P356" s="81">
        <f>SUM(C353:C358)-SUM(F353:F358)-SUM(I353:I358)-SUM(L353:L358)-SUM(M353:M358)</f>
        <v>-282.41000000000031</v>
      </c>
      <c r="Q356" s="82">
        <f>Q348+P359-SUM(L353:L358)-SUM(M353:M358)</f>
        <v>1543.3499999999963</v>
      </c>
      <c r="R356" s="98" t="s">
        <v>12</v>
      </c>
      <c r="S356" s="98"/>
      <c r="T356" s="98"/>
      <c r="U356" s="87">
        <f>Z356+AB356+AD356+AD357</f>
        <v>1404.1799999999998</v>
      </c>
      <c r="V356" s="287"/>
      <c r="W356" s="99">
        <f>U356-U348</f>
        <v>-306.67000000000007</v>
      </c>
      <c r="X356" s="81">
        <f>W356/30</f>
        <v>-10.222333333333335</v>
      </c>
      <c r="Y356" s="43" t="s">
        <v>17</v>
      </c>
      <c r="Z356" s="44">
        <v>3</v>
      </c>
      <c r="AA356" s="11" t="s">
        <v>15</v>
      </c>
      <c r="AB356" s="12">
        <v>1247.1099999999999</v>
      </c>
      <c r="AC356" s="11" t="s">
        <v>17</v>
      </c>
      <c r="AD356" s="12">
        <v>0</v>
      </c>
    </row>
    <row r="357" spans="1:30" ht="15.75" thickBot="1">
      <c r="B357" s="26"/>
      <c r="C357" s="25"/>
      <c r="D357" s="462"/>
      <c r="E357" s="463"/>
      <c r="F357" s="15">
        <v>1000</v>
      </c>
      <c r="G357" s="448" t="s">
        <v>283</v>
      </c>
      <c r="H357" s="505"/>
      <c r="I357" s="20">
        <v>6.99</v>
      </c>
      <c r="J357" s="448" t="s">
        <v>188</v>
      </c>
      <c r="K357" s="505"/>
      <c r="L357" s="76"/>
      <c r="M357" s="25"/>
      <c r="N357" s="151"/>
      <c r="O357" s="79">
        <f>P357/30</f>
        <v>-26.666666666666668</v>
      </c>
      <c r="P357" s="72">
        <f>SUM(L353:L358)</f>
        <v>-800</v>
      </c>
      <c r="Q357" s="83">
        <f>Q349+SUM(L353:L358)</f>
        <v>433.71000000000004</v>
      </c>
      <c r="R357" s="85" t="s">
        <v>16</v>
      </c>
      <c r="S357" s="85"/>
      <c r="T357" s="85"/>
      <c r="U357" s="88">
        <f>Z357+Z358+AB357</f>
        <v>314.43</v>
      </c>
      <c r="V357" s="288"/>
      <c r="W357" s="86">
        <f>U357-U349</f>
        <v>-792.72999999999979</v>
      </c>
      <c r="X357" s="72">
        <f>W357/30</f>
        <v>-26.424333333333326</v>
      </c>
      <c r="Y357" s="32" t="s">
        <v>18</v>
      </c>
      <c r="Z357" s="13">
        <v>104</v>
      </c>
      <c r="AA357" s="71" t="s">
        <v>16</v>
      </c>
      <c r="AB357" s="72">
        <v>203.43</v>
      </c>
      <c r="AC357" s="9" t="s">
        <v>87</v>
      </c>
      <c r="AD357" s="10">
        <v>154.07</v>
      </c>
    </row>
    <row r="358" spans="1:30" ht="15.75" thickBot="1">
      <c r="B358" s="26"/>
      <c r="C358" s="25"/>
      <c r="D358" s="462"/>
      <c r="E358" s="463"/>
      <c r="F358" s="15"/>
      <c r="G358" s="462"/>
      <c r="H358" s="464"/>
      <c r="I358" s="63">
        <v>17.309999999999999</v>
      </c>
      <c r="J358" s="448" t="s">
        <v>249</v>
      </c>
      <c r="K358" s="505"/>
      <c r="L358" s="76"/>
      <c r="M358" s="25"/>
      <c r="N358" s="151"/>
      <c r="O358" s="78">
        <f>P358/30</f>
        <v>0</v>
      </c>
      <c r="P358" s="12">
        <f>SUM(M353:M358)</f>
        <v>0</v>
      </c>
      <c r="Q358" s="96">
        <f>Q350+SUM(M353:M358)</f>
        <v>200</v>
      </c>
      <c r="R358" s="84" t="s">
        <v>16</v>
      </c>
      <c r="S358" s="84"/>
      <c r="T358" s="84"/>
      <c r="U358" s="97">
        <f>AB358</f>
        <v>200</v>
      </c>
      <c r="V358" s="37"/>
      <c r="W358" s="47">
        <f>U358-U350</f>
        <v>0</v>
      </c>
      <c r="X358" s="12">
        <f>W358/30</f>
        <v>0</v>
      </c>
      <c r="Y358" s="33" t="s">
        <v>19</v>
      </c>
      <c r="Z358" s="70">
        <v>7</v>
      </c>
      <c r="AA358" s="73" t="s">
        <v>112</v>
      </c>
      <c r="AB358" s="100">
        <v>200</v>
      </c>
    </row>
    <row r="359" spans="1:30" ht="16.5" thickTop="1" thickBot="1">
      <c r="B359" s="28"/>
      <c r="C359" s="5"/>
      <c r="D359" s="459"/>
      <c r="E359" s="460"/>
      <c r="F359" s="17"/>
      <c r="G359" s="459"/>
      <c r="H359" s="461"/>
      <c r="I359" s="21"/>
      <c r="J359" s="459"/>
      <c r="K359" s="461"/>
      <c r="L359" s="42"/>
      <c r="M359" s="5"/>
      <c r="N359" s="54"/>
      <c r="O359" s="89">
        <f>P359/30</f>
        <v>-36.080333333333343</v>
      </c>
      <c r="P359" s="90">
        <f>SUM(C353:C358)-SUM(F353:F358)-SUM(I353:I358)</f>
        <v>-1082.4100000000003</v>
      </c>
      <c r="Q359" s="94">
        <f>Q356+Q357+Q358</f>
        <v>2177.0599999999963</v>
      </c>
      <c r="R359" s="95" t="s">
        <v>5</v>
      </c>
      <c r="S359" s="95"/>
      <c r="T359" s="95"/>
      <c r="U359" s="92">
        <f>U358+U357+U356</f>
        <v>1918.61</v>
      </c>
      <c r="V359" s="286"/>
      <c r="W359" s="93">
        <f>U359-U351</f>
        <v>-1099.3999999999999</v>
      </c>
      <c r="X359" s="90">
        <f>W359/30</f>
        <v>-36.646666666666661</v>
      </c>
      <c r="AA359" s="8"/>
    </row>
    <row r="360" spans="1:30" ht="16.5" thickTop="1" thickBot="1">
      <c r="A360" s="14" t="s">
        <v>31</v>
      </c>
      <c r="B360" s="107">
        <v>45160</v>
      </c>
      <c r="C360" s="25"/>
      <c r="D360" s="494"/>
      <c r="E360" s="495"/>
      <c r="F360" s="15"/>
      <c r="G360" s="494"/>
      <c r="H360" s="515"/>
      <c r="I360" s="20"/>
      <c r="J360" s="494"/>
      <c r="K360" s="515"/>
      <c r="L360" s="76"/>
      <c r="M360" s="25"/>
      <c r="N360" s="151"/>
      <c r="O360" s="25"/>
      <c r="P360" s="25"/>
      <c r="X360" s="16"/>
      <c r="AA360" s="8"/>
    </row>
    <row r="361" spans="1:30" ht="15.75" thickBot="1">
      <c r="B361" s="26"/>
      <c r="C361" s="25"/>
      <c r="D361" s="462"/>
      <c r="E361" s="463"/>
      <c r="F361" s="15">
        <f>3.25+12+7.53+9+12.52+11.79+11.68+11.34+8.57+8.67+12+6.52+18.28+4.12+22+8.57+2+12.52+16+12+7+12+15.15+12+3+12+5.41+22.26+11.68+6.27+14.07+11.29+15.55+3.25+18.73+3.25+11.33+10.55+3.25*3+16+12+3.25+20.63+11.33+3</f>
        <v>481.11</v>
      </c>
      <c r="G361" s="448" t="s">
        <v>8</v>
      </c>
      <c r="H361" s="505"/>
      <c r="I361" s="20">
        <v>9.99</v>
      </c>
      <c r="J361" s="448" t="s">
        <v>22</v>
      </c>
      <c r="K361" s="505"/>
      <c r="L361" s="76"/>
      <c r="M361" s="25"/>
      <c r="N361" s="151"/>
      <c r="O361" s="25"/>
      <c r="P361" s="25"/>
      <c r="X361" s="16"/>
      <c r="AA361" s="8"/>
    </row>
    <row r="362" spans="1:30" ht="15.75" thickBot="1">
      <c r="B362" s="26"/>
      <c r="C362" s="25">
        <v>2668.82</v>
      </c>
      <c r="D362" s="506" t="s">
        <v>11</v>
      </c>
      <c r="E362" s="507"/>
      <c r="F362" s="15">
        <f>45.85+47.19+51.37+48.53+51.12+47.91</f>
        <v>291.97000000000003</v>
      </c>
      <c r="G362" s="448" t="s">
        <v>9</v>
      </c>
      <c r="H362" s="505"/>
      <c r="I362" s="20">
        <f>14.65*3+15</f>
        <v>58.95</v>
      </c>
      <c r="J362" s="448" t="s">
        <v>277</v>
      </c>
      <c r="K362" s="505"/>
      <c r="L362" s="76"/>
      <c r="M362" s="25"/>
      <c r="N362" s="151"/>
      <c r="O362" s="25"/>
      <c r="P362" s="25"/>
      <c r="X362" s="16"/>
      <c r="Y362" s="45"/>
      <c r="Z362" s="4" t="s">
        <v>13</v>
      </c>
      <c r="AA362" s="46"/>
      <c r="AB362" s="4" t="s">
        <v>14</v>
      </c>
      <c r="AC362" s="46"/>
      <c r="AD362" s="4" t="s">
        <v>111</v>
      </c>
    </row>
    <row r="363" spans="1:30" ht="15.75" thickTop="1">
      <c r="B363" s="26"/>
      <c r="C363" s="25"/>
      <c r="D363" s="462"/>
      <c r="E363" s="463"/>
      <c r="F363" s="15">
        <v>7.16</v>
      </c>
      <c r="G363" s="448" t="s">
        <v>43</v>
      </c>
      <c r="H363" s="505"/>
      <c r="I363" s="20">
        <v>6.99</v>
      </c>
      <c r="J363" s="448" t="s">
        <v>188</v>
      </c>
      <c r="K363" s="505"/>
      <c r="L363" s="76"/>
      <c r="M363" s="25"/>
      <c r="N363" s="151"/>
      <c r="O363" s="80">
        <f>P363/30</f>
        <v>38.095333333333336</v>
      </c>
      <c r="P363" s="81">
        <f>SUM(C361:C365)-SUM(F361:F365)-SUM(I361:I365)-SUM(L361:L365)-SUM(M361:M365)</f>
        <v>1142.8600000000001</v>
      </c>
      <c r="Q363" s="82">
        <f>Q356+P366-SUM(L361:L365)-SUM(M361:M365)</f>
        <v>2686.2099999999964</v>
      </c>
      <c r="R363" s="98" t="s">
        <v>12</v>
      </c>
      <c r="S363" s="98"/>
      <c r="T363" s="98"/>
      <c r="U363" s="87">
        <f>Z363+AB363+AD363+AD364</f>
        <v>2593.19</v>
      </c>
      <c r="V363" s="287"/>
      <c r="W363" s="99">
        <f>U363-U356</f>
        <v>1189.0100000000002</v>
      </c>
      <c r="X363" s="81">
        <f>W363/30</f>
        <v>39.633666666666677</v>
      </c>
      <c r="Y363" s="43" t="s">
        <v>17</v>
      </c>
      <c r="Z363" s="44">
        <v>9</v>
      </c>
      <c r="AA363" s="11" t="s">
        <v>15</v>
      </c>
      <c r="AB363" s="12">
        <v>2430.12</v>
      </c>
      <c r="AC363" s="11" t="s">
        <v>17</v>
      </c>
      <c r="AD363" s="12">
        <v>0</v>
      </c>
    </row>
    <row r="364" spans="1:30" ht="15.75" thickBot="1">
      <c r="B364" s="26"/>
      <c r="C364" s="25"/>
      <c r="D364" s="462"/>
      <c r="E364" s="463"/>
      <c r="F364" s="15">
        <v>20</v>
      </c>
      <c r="G364" s="448" t="s">
        <v>81</v>
      </c>
      <c r="H364" s="505"/>
      <c r="I364" s="63">
        <v>17.309999999999999</v>
      </c>
      <c r="J364" s="448" t="s">
        <v>249</v>
      </c>
      <c r="K364" s="505"/>
      <c r="L364" s="76"/>
      <c r="M364" s="25"/>
      <c r="N364" s="151"/>
      <c r="O364" s="79">
        <f>P364/30</f>
        <v>0</v>
      </c>
      <c r="P364" s="72">
        <f>SUM(L361:L365)</f>
        <v>0</v>
      </c>
      <c r="Q364" s="83">
        <f>Q357+SUM(L361:L365)</f>
        <v>433.71000000000004</v>
      </c>
      <c r="R364" s="85" t="s">
        <v>16</v>
      </c>
      <c r="S364" s="85"/>
      <c r="T364" s="85"/>
      <c r="U364" s="88">
        <f>Z364+Z365+AB364</f>
        <v>318.52</v>
      </c>
      <c r="V364" s="288"/>
      <c r="W364" s="86">
        <f>U364-U357</f>
        <v>4.089999999999975</v>
      </c>
      <c r="X364" s="72">
        <f>W364/30</f>
        <v>0.1363333333333325</v>
      </c>
      <c r="Y364" s="32" t="s">
        <v>18</v>
      </c>
      <c r="Z364" s="13">
        <v>104</v>
      </c>
      <c r="AA364" s="71" t="s">
        <v>16</v>
      </c>
      <c r="AB364" s="72">
        <v>203.52</v>
      </c>
      <c r="AC364" s="9" t="s">
        <v>87</v>
      </c>
      <c r="AD364" s="10">
        <v>154.07</v>
      </c>
    </row>
    <row r="365" spans="1:30" ht="15.75" thickBot="1">
      <c r="B365" s="26"/>
      <c r="C365" s="25"/>
      <c r="D365" s="462"/>
      <c r="E365" s="463"/>
      <c r="F365" s="15">
        <v>145</v>
      </c>
      <c r="G365" s="448" t="s">
        <v>6</v>
      </c>
      <c r="H365" s="505"/>
      <c r="I365" s="20">
        <f>487.48</f>
        <v>487.48</v>
      </c>
      <c r="J365" s="448" t="s">
        <v>206</v>
      </c>
      <c r="K365" s="505"/>
      <c r="L365" s="76"/>
      <c r="M365" s="25"/>
      <c r="N365" s="151"/>
      <c r="O365" s="78">
        <f>P365/30</f>
        <v>0</v>
      </c>
      <c r="P365" s="12">
        <f>SUM(M361:M365)</f>
        <v>0</v>
      </c>
      <c r="Q365" s="96">
        <f>Q358+SUM(M361:M365)</f>
        <v>200</v>
      </c>
      <c r="R365" s="84" t="s">
        <v>16</v>
      </c>
      <c r="S365" s="84"/>
      <c r="T365" s="84"/>
      <c r="U365" s="97">
        <f>AB365</f>
        <v>200</v>
      </c>
      <c r="V365" s="37"/>
      <c r="W365" s="47">
        <f>U365-U358</f>
        <v>0</v>
      </c>
      <c r="X365" s="12">
        <f>W365/30</f>
        <v>0</v>
      </c>
      <c r="Y365" s="33" t="s">
        <v>19</v>
      </c>
      <c r="Z365" s="70">
        <v>11</v>
      </c>
      <c r="AA365" s="73" t="s">
        <v>112</v>
      </c>
      <c r="AB365" s="100">
        <v>200</v>
      </c>
    </row>
    <row r="366" spans="1:30" ht="16.5" thickTop="1" thickBot="1">
      <c r="B366" s="28"/>
      <c r="C366" s="5"/>
      <c r="D366" s="459"/>
      <c r="E366" s="460"/>
      <c r="F366" s="17"/>
      <c r="G366" s="459"/>
      <c r="H366" s="461"/>
      <c r="I366" s="21"/>
      <c r="J366" s="459"/>
      <c r="K366" s="461"/>
      <c r="L366" s="42"/>
      <c r="M366" s="5"/>
      <c r="N366" s="54"/>
      <c r="O366" s="89">
        <f>P366/30</f>
        <v>38.095333333333336</v>
      </c>
      <c r="P366" s="90">
        <f>SUM(C361:C365)-SUM(F361:F365)-SUM(I361:I365)</f>
        <v>1142.8600000000001</v>
      </c>
      <c r="Q366" s="94">
        <f>Q363+Q364+Q365</f>
        <v>3319.9199999999964</v>
      </c>
      <c r="R366" s="95" t="s">
        <v>5</v>
      </c>
      <c r="S366" s="95"/>
      <c r="T366" s="95"/>
      <c r="U366" s="92">
        <f>U365+U364+U363</f>
        <v>3111.71</v>
      </c>
      <c r="V366" s="286"/>
      <c r="W366" s="93">
        <f>U366-U359</f>
        <v>1193.1000000000001</v>
      </c>
      <c r="X366" s="90">
        <f>W366/30</f>
        <v>39.770000000000003</v>
      </c>
      <c r="AA366" s="8"/>
    </row>
    <row r="367" spans="1:30" ht="16.5" thickTop="1" thickBot="1">
      <c r="A367" s="14" t="s">
        <v>31</v>
      </c>
      <c r="B367" s="107">
        <v>45191</v>
      </c>
      <c r="C367" s="25"/>
      <c r="D367" s="494"/>
      <c r="E367" s="495"/>
      <c r="F367" s="15"/>
      <c r="G367" s="494"/>
      <c r="H367" s="515"/>
      <c r="I367" s="20"/>
      <c r="J367" s="494"/>
      <c r="K367" s="515"/>
      <c r="L367" s="76"/>
      <c r="M367" s="25"/>
      <c r="N367" s="151"/>
      <c r="O367" s="25"/>
      <c r="P367" s="25"/>
      <c r="X367" s="16"/>
      <c r="AA367" s="8"/>
    </row>
    <row r="368" spans="1:30">
      <c r="B368" s="26"/>
      <c r="C368" s="25"/>
      <c r="D368" s="462"/>
      <c r="E368" s="463"/>
      <c r="F368" s="15">
        <f>3.25+22.01+11.33+15.08+4+4+12+19+6+11.76+7.91+19+3.25+14.94+4+12+15+36.54+18.66+3.24+12+18.6+5.43+14+11.33+5.43+20+16+11.82+3.25+12.48+11.68+6.5+6.47+15.08+17.69+11.72+20+3.14+11.33+3.3+15+3+3+1.9+1.4+12+10+8+20+15+11.33+6+7.56+19.38+6+12</f>
        <v>631.79</v>
      </c>
      <c r="G368" s="448" t="s">
        <v>8</v>
      </c>
      <c r="H368" s="505"/>
      <c r="I368" s="20">
        <v>5</v>
      </c>
      <c r="J368" s="448" t="s">
        <v>278</v>
      </c>
      <c r="K368" s="505"/>
      <c r="L368" s="76">
        <v>-5</v>
      </c>
      <c r="M368" s="25">
        <v>-100</v>
      </c>
      <c r="N368" s="151"/>
      <c r="O368" s="25"/>
      <c r="P368" s="25"/>
      <c r="X368" s="16"/>
      <c r="AA368" s="8"/>
    </row>
    <row r="369" spans="1:30">
      <c r="B369" s="26"/>
      <c r="C369" s="25">
        <v>2790.04</v>
      </c>
      <c r="D369" s="506" t="s">
        <v>11</v>
      </c>
      <c r="E369" s="507"/>
      <c r="F369" s="15">
        <f>50.25+48.72+48.82+52.37+51.51</f>
        <v>251.67</v>
      </c>
      <c r="G369" s="448" t="s">
        <v>9</v>
      </c>
      <c r="H369" s="505"/>
      <c r="I369" s="20">
        <f>29.22+37</f>
        <v>66.22</v>
      </c>
      <c r="J369" s="448" t="s">
        <v>107</v>
      </c>
      <c r="K369" s="505"/>
      <c r="L369" s="76">
        <v>105</v>
      </c>
      <c r="M369" s="25"/>
      <c r="N369" s="151"/>
      <c r="O369" s="25"/>
      <c r="P369" s="25"/>
      <c r="X369" s="16"/>
      <c r="AA369" s="8"/>
    </row>
    <row r="370" spans="1:30" ht="15.75" thickBot="1">
      <c r="B370" s="26"/>
      <c r="C370" s="25"/>
      <c r="D370" s="462"/>
      <c r="E370" s="463"/>
      <c r="F370" s="15">
        <v>145</v>
      </c>
      <c r="G370" s="448" t="s">
        <v>6</v>
      </c>
      <c r="H370" s="505"/>
      <c r="I370" s="20">
        <v>10.99</v>
      </c>
      <c r="J370" s="448" t="s">
        <v>22</v>
      </c>
      <c r="K370" s="505"/>
      <c r="L370" s="76"/>
      <c r="M370" s="25"/>
      <c r="N370" s="151"/>
      <c r="O370" s="25"/>
      <c r="P370" s="25"/>
      <c r="X370" s="16"/>
      <c r="AA370" s="8"/>
    </row>
    <row r="371" spans="1:30" ht="15.75" thickBot="1">
      <c r="B371" s="26"/>
      <c r="C371" s="25"/>
      <c r="D371" s="462"/>
      <c r="E371" s="463"/>
      <c r="F371" s="15">
        <v>20</v>
      </c>
      <c r="G371" s="448" t="s">
        <v>33</v>
      </c>
      <c r="H371" s="505"/>
      <c r="I371" s="20">
        <f>359.96-47.19</f>
        <v>312.77</v>
      </c>
      <c r="J371" s="448" t="s">
        <v>206</v>
      </c>
      <c r="K371" s="505"/>
      <c r="L371" s="76"/>
      <c r="M371" s="25"/>
      <c r="N371" s="151"/>
      <c r="O371" s="25"/>
      <c r="P371" s="25"/>
      <c r="X371" s="16"/>
      <c r="Y371" s="45"/>
      <c r="Z371" s="4" t="s">
        <v>13</v>
      </c>
      <c r="AA371" s="46"/>
      <c r="AB371" s="4" t="s">
        <v>14</v>
      </c>
      <c r="AC371" s="46"/>
      <c r="AD371" s="4" t="s">
        <v>111</v>
      </c>
    </row>
    <row r="372" spans="1:30" ht="15.75" thickTop="1">
      <c r="B372" s="26"/>
      <c r="C372" s="25"/>
      <c r="D372" s="462"/>
      <c r="E372" s="463"/>
      <c r="F372" s="15">
        <v>1001</v>
      </c>
      <c r="G372" s="448" t="s">
        <v>281</v>
      </c>
      <c r="H372" s="505"/>
      <c r="I372" s="20">
        <v>19.399999999999999</v>
      </c>
      <c r="J372" s="448" t="s">
        <v>279</v>
      </c>
      <c r="K372" s="505"/>
      <c r="L372" s="76"/>
      <c r="M372" s="25"/>
      <c r="N372" s="151"/>
      <c r="O372" s="80">
        <f>P372/30</f>
        <v>9.4633333333333329</v>
      </c>
      <c r="P372" s="81">
        <f>SUM(C368:C374)-SUM(F368:F374)-SUM(I368:I374)-SUM(L369:L374)-SUM(M368:M374)</f>
        <v>283.89999999999998</v>
      </c>
      <c r="Q372" s="82">
        <f>Q363+P375-SUM(L369:L374)-SUM(M368:M374)</f>
        <v>2970.1099999999965</v>
      </c>
      <c r="R372" s="98" t="s">
        <v>12</v>
      </c>
      <c r="S372" s="98"/>
      <c r="T372" s="98"/>
      <c r="U372" s="87">
        <f>Z372+AB372+AD372+AD373</f>
        <v>2807.56</v>
      </c>
      <c r="V372" s="287"/>
      <c r="W372" s="99">
        <f>U372-U363</f>
        <v>214.36999999999989</v>
      </c>
      <c r="X372" s="81">
        <f>W372/30</f>
        <v>7.1456666666666626</v>
      </c>
      <c r="Y372" s="43" t="s">
        <v>17</v>
      </c>
      <c r="Z372" s="44">
        <v>384</v>
      </c>
      <c r="AA372" s="11" t="s">
        <v>15</v>
      </c>
      <c r="AB372" s="12">
        <v>2279.08</v>
      </c>
      <c r="AC372" s="11" t="s">
        <v>17</v>
      </c>
      <c r="AD372" s="12">
        <v>0</v>
      </c>
    </row>
    <row r="373" spans="1:30" ht="15.75" thickBot="1">
      <c r="B373" s="26"/>
      <c r="C373" s="25"/>
      <c r="D373" s="462"/>
      <c r="E373" s="463"/>
      <c r="F373" s="15"/>
      <c r="G373" s="462"/>
      <c r="H373" s="464"/>
      <c r="I373" s="63">
        <v>17.309999999999999</v>
      </c>
      <c r="J373" s="448" t="s">
        <v>249</v>
      </c>
      <c r="K373" s="505"/>
      <c r="L373" s="76"/>
      <c r="M373" s="25"/>
      <c r="N373" s="151"/>
      <c r="O373" s="79">
        <f>P373/30</f>
        <v>3.5</v>
      </c>
      <c r="P373" s="72">
        <f>SUM(L369:L374)</f>
        <v>105</v>
      </c>
      <c r="Q373" s="83">
        <f>Q364+SUM(L369:L374)</f>
        <v>538.71</v>
      </c>
      <c r="R373" s="85" t="s">
        <v>16</v>
      </c>
      <c r="S373" s="85"/>
      <c r="T373" s="85"/>
      <c r="U373" s="88">
        <f>Z373+Z374+AB373</f>
        <v>434.64</v>
      </c>
      <c r="V373" s="288"/>
      <c r="W373" s="86">
        <f>U373-U364</f>
        <v>116.12</v>
      </c>
      <c r="X373" s="72">
        <f>W373/30</f>
        <v>3.8706666666666667</v>
      </c>
      <c r="Y373" s="32" t="s">
        <v>18</v>
      </c>
      <c r="Z373" s="13">
        <v>104</v>
      </c>
      <c r="AA373" s="71" t="s">
        <v>16</v>
      </c>
      <c r="AB373" s="72">
        <v>303.64</v>
      </c>
      <c r="AC373" s="9" t="s">
        <v>87</v>
      </c>
      <c r="AD373" s="10">
        <v>144.47999999999999</v>
      </c>
    </row>
    <row r="374" spans="1:30" ht="15.75" thickBot="1">
      <c r="B374" s="26"/>
      <c r="C374" s="25"/>
      <c r="D374" s="462"/>
      <c r="E374" s="463"/>
      <c r="F374" s="15"/>
      <c r="G374" s="462"/>
      <c r="H374" s="464"/>
      <c r="I374" s="20">
        <v>19.989999999999998</v>
      </c>
      <c r="J374" s="448" t="s">
        <v>280</v>
      </c>
      <c r="K374" s="505"/>
      <c r="L374" s="76"/>
      <c r="M374" s="25"/>
      <c r="N374" s="151"/>
      <c r="O374" s="78">
        <f>P374/30</f>
        <v>-3.3333333333333335</v>
      </c>
      <c r="P374" s="12">
        <f>SUM(M368:M374)</f>
        <v>-100</v>
      </c>
      <c r="Q374" s="96">
        <f>Q365+SUM(M368:M374)</f>
        <v>100</v>
      </c>
      <c r="R374" s="84" t="s">
        <v>16</v>
      </c>
      <c r="S374" s="84"/>
      <c r="T374" s="84"/>
      <c r="U374" s="97">
        <f>AB374</f>
        <v>100</v>
      </c>
      <c r="V374" s="37"/>
      <c r="W374" s="47">
        <f>U374-U365</f>
        <v>-100</v>
      </c>
      <c r="X374" s="12">
        <f>W374/30</f>
        <v>-3.3333333333333335</v>
      </c>
      <c r="Y374" s="33" t="s">
        <v>19</v>
      </c>
      <c r="Z374" s="70">
        <v>27</v>
      </c>
      <c r="AA374" s="73" t="s">
        <v>112</v>
      </c>
      <c r="AB374" s="100">
        <v>100</v>
      </c>
    </row>
    <row r="375" spans="1:30" ht="16.5" thickTop="1" thickBot="1">
      <c r="B375" s="28"/>
      <c r="C375" s="5"/>
      <c r="D375" s="459"/>
      <c r="E375" s="460"/>
      <c r="F375" s="17"/>
      <c r="G375" s="459"/>
      <c r="H375" s="461"/>
      <c r="I375" s="21"/>
      <c r="J375" s="459"/>
      <c r="K375" s="461"/>
      <c r="L375" s="42"/>
      <c r="M375" s="5"/>
      <c r="N375" s="54"/>
      <c r="O375" s="89">
        <f>P375/30</f>
        <v>9.629999999999999</v>
      </c>
      <c r="P375" s="90">
        <f>SUM(C368:C374)-SUM(F368:F374)-SUM(I368:I374)</f>
        <v>288.89999999999998</v>
      </c>
      <c r="Q375" s="94">
        <f>Q372+Q373+Q374</f>
        <v>3608.8199999999965</v>
      </c>
      <c r="R375" s="95" t="s">
        <v>5</v>
      </c>
      <c r="S375" s="95"/>
      <c r="T375" s="95"/>
      <c r="U375" s="92">
        <f>U374+U373+U372</f>
        <v>3342.2</v>
      </c>
      <c r="V375" s="286"/>
      <c r="W375" s="93">
        <f>U375-U366</f>
        <v>230.48999999999978</v>
      </c>
      <c r="X375" s="90">
        <f>W375/30</f>
        <v>7.6829999999999927</v>
      </c>
      <c r="AA375" s="8"/>
    </row>
    <row r="376" spans="1:30" ht="16.5" thickTop="1" thickBot="1">
      <c r="A376" s="14" t="s">
        <v>31</v>
      </c>
      <c r="B376" s="107">
        <v>45221</v>
      </c>
      <c r="C376" s="25"/>
      <c r="D376" s="494"/>
      <c r="E376" s="495"/>
      <c r="F376" s="15"/>
      <c r="G376" s="494"/>
      <c r="H376" s="515"/>
      <c r="I376" s="20"/>
      <c r="J376" s="494"/>
      <c r="K376" s="515"/>
      <c r="L376" s="76"/>
      <c r="M376" s="25"/>
      <c r="N376" s="151"/>
      <c r="O376" s="25"/>
      <c r="P376" s="25"/>
      <c r="X376" s="16"/>
      <c r="AA376" s="8"/>
    </row>
    <row r="377" spans="1:30">
      <c r="B377" s="26"/>
      <c r="C377" s="25"/>
      <c r="D377" s="462"/>
      <c r="E377" s="463"/>
      <c r="F377" s="15">
        <f>4+5.43+20+5.41+6.47+16+5.41+19+17.1+9.55+17.3+1.9+1.4+11.68+12+20+4.98+140.81+26.1+1.94+15.92+17.3+6.47+13.57+17.1+3.14+10+6.47+7.58+5.45+11.68+20+9+12.67+10.38+20+18+6.47+4+12+20+11+5.43</f>
        <v>610.11000000000013</v>
      </c>
      <c r="G377" s="448" t="s">
        <v>8</v>
      </c>
      <c r="H377" s="505"/>
      <c r="I377" s="20">
        <f>300-51.51+152.58</f>
        <v>401.07000000000005</v>
      </c>
      <c r="J377" s="448" t="s">
        <v>206</v>
      </c>
      <c r="K377" s="505"/>
      <c r="L377" s="76">
        <v>-200</v>
      </c>
      <c r="M377" s="25"/>
      <c r="N377" s="151"/>
      <c r="O377" s="25"/>
      <c r="P377" s="25"/>
      <c r="X377" s="16"/>
      <c r="AA377" s="8"/>
    </row>
    <row r="378" spans="1:30">
      <c r="B378" s="26"/>
      <c r="C378" s="25">
        <v>80</v>
      </c>
      <c r="D378" s="506" t="s">
        <v>272</v>
      </c>
      <c r="E378" s="507"/>
      <c r="F378" s="15">
        <f>44.65+45.8+45.39+39.37+36.57</f>
        <v>211.77999999999997</v>
      </c>
      <c r="G378" s="448" t="s">
        <v>9</v>
      </c>
      <c r="H378" s="505"/>
      <c r="I378" s="20">
        <v>42.45</v>
      </c>
      <c r="J378" s="448" t="s">
        <v>231</v>
      </c>
      <c r="K378" s="505"/>
      <c r="L378" s="76"/>
      <c r="M378" s="25"/>
      <c r="N378" s="151"/>
      <c r="O378" s="25"/>
      <c r="P378" s="25"/>
      <c r="X378" s="16"/>
      <c r="AA378" s="8"/>
    </row>
    <row r="379" spans="1:30" ht="15.75" thickBot="1">
      <c r="B379" s="26"/>
      <c r="C379" s="25">
        <v>2790.05</v>
      </c>
      <c r="D379" s="506" t="s">
        <v>11</v>
      </c>
      <c r="E379" s="507"/>
      <c r="F379" s="15">
        <v>145</v>
      </c>
      <c r="G379" s="448" t="s">
        <v>6</v>
      </c>
      <c r="H379" s="505"/>
      <c r="I379" s="20">
        <v>10.99</v>
      </c>
      <c r="J379" s="448" t="s">
        <v>22</v>
      </c>
      <c r="K379" s="505"/>
      <c r="L379" s="76"/>
      <c r="M379" s="25"/>
      <c r="N379" s="151"/>
      <c r="O379" s="25"/>
      <c r="P379" s="25"/>
      <c r="X379" s="16"/>
      <c r="AA379" s="8"/>
    </row>
    <row r="380" spans="1:30" ht="15.75" thickBot="1">
      <c r="B380" s="26"/>
      <c r="C380" s="25"/>
      <c r="D380" s="462"/>
      <c r="E380" s="463"/>
      <c r="F380" s="15">
        <f>300+200+275.76</f>
        <v>775.76</v>
      </c>
      <c r="G380" s="448" t="s">
        <v>283</v>
      </c>
      <c r="H380" s="505"/>
      <c r="I380" s="20">
        <v>43.29</v>
      </c>
      <c r="J380" s="448" t="s">
        <v>284</v>
      </c>
      <c r="K380" s="505"/>
      <c r="L380" s="76"/>
      <c r="M380" s="25"/>
      <c r="N380" s="151"/>
      <c r="O380" s="25"/>
      <c r="P380" s="25"/>
      <c r="X380" s="16"/>
      <c r="Y380" s="45"/>
      <c r="Z380" s="4" t="s">
        <v>13</v>
      </c>
      <c r="AA380" s="46"/>
      <c r="AB380" s="4" t="s">
        <v>14</v>
      </c>
      <c r="AC380" s="46"/>
      <c r="AD380" s="4" t="s">
        <v>111</v>
      </c>
    </row>
    <row r="381" spans="1:30" ht="15.75" thickTop="1">
      <c r="B381" s="26"/>
      <c r="C381" s="25"/>
      <c r="D381" s="462"/>
      <c r="E381" s="463"/>
      <c r="F381" s="15">
        <v>500</v>
      </c>
      <c r="G381" s="448" t="s">
        <v>97</v>
      </c>
      <c r="H381" s="505"/>
      <c r="I381" s="20">
        <v>22.16</v>
      </c>
      <c r="J381" s="448" t="s">
        <v>277</v>
      </c>
      <c r="K381" s="505"/>
      <c r="L381" s="76"/>
      <c r="M381" s="25"/>
      <c r="N381" s="151"/>
      <c r="O381" s="80">
        <f>P381/30</f>
        <v>-16.662333333333329</v>
      </c>
      <c r="P381" s="81">
        <f>SUM(C377:C383)-SUM(F377:F383)-SUM(I377:I383)-SUM(L377:L383)-SUM(M377:M383)</f>
        <v>-499.86999999999989</v>
      </c>
      <c r="Q381" s="82">
        <f>Q372+P384-SUM(L377:L383)-SUM(M377:M383)</f>
        <v>2470.2399999999966</v>
      </c>
      <c r="R381" s="98" t="s">
        <v>12</v>
      </c>
      <c r="S381" s="98"/>
      <c r="T381" s="98"/>
      <c r="U381" s="87">
        <f>Z381+AB381+AD381+AD382</f>
        <v>2285.1200000000003</v>
      </c>
      <c r="V381" s="287"/>
      <c r="W381" s="99">
        <f>U381-U372</f>
        <v>-522.4399999999996</v>
      </c>
      <c r="X381" s="81">
        <f>W381/30</f>
        <v>-17.414666666666655</v>
      </c>
      <c r="Y381" s="43" t="s">
        <v>17</v>
      </c>
      <c r="Z381" s="44">
        <v>303</v>
      </c>
      <c r="AA381" s="11" t="s">
        <v>15</v>
      </c>
      <c r="AB381" s="12">
        <f>1950.63-152.58</f>
        <v>1798.0500000000002</v>
      </c>
      <c r="AC381" s="11" t="s">
        <v>17</v>
      </c>
      <c r="AD381" s="12">
        <v>0</v>
      </c>
    </row>
    <row r="382" spans="1:30" ht="15.75" thickBot="1">
      <c r="B382" s="26"/>
      <c r="C382" s="25"/>
      <c r="D382" s="462"/>
      <c r="E382" s="463"/>
      <c r="F382" s="15">
        <v>20</v>
      </c>
      <c r="G382" s="448" t="s">
        <v>81</v>
      </c>
      <c r="H382" s="505"/>
      <c r="I382" s="63">
        <v>17.309999999999999</v>
      </c>
      <c r="J382" s="448" t="s">
        <v>249</v>
      </c>
      <c r="K382" s="505"/>
      <c r="L382" s="76"/>
      <c r="M382" s="25"/>
      <c r="N382" s="151"/>
      <c r="O382" s="79">
        <f>P382/30</f>
        <v>-6.666666666666667</v>
      </c>
      <c r="P382" s="72">
        <f>SUM(L377:L383)</f>
        <v>-200</v>
      </c>
      <c r="Q382" s="83">
        <f>Q373+SUM(L377:L383)</f>
        <v>338.71000000000004</v>
      </c>
      <c r="R382" s="85" t="s">
        <v>16</v>
      </c>
      <c r="S382" s="85"/>
      <c r="T382" s="85"/>
      <c r="U382" s="88">
        <f>Z382+Z383+AB382</f>
        <v>237.75</v>
      </c>
      <c r="V382" s="288"/>
      <c r="W382" s="86">
        <f>U382-U373</f>
        <v>-196.89</v>
      </c>
      <c r="X382" s="72">
        <f>W382/30</f>
        <v>-6.5629999999999997</v>
      </c>
      <c r="Y382" s="32" t="s">
        <v>18</v>
      </c>
      <c r="Z382" s="13">
        <v>104</v>
      </c>
      <c r="AA382" s="71" t="s">
        <v>16</v>
      </c>
      <c r="AB382" s="72">
        <v>103.75</v>
      </c>
      <c r="AC382" s="9" t="s">
        <v>87</v>
      </c>
      <c r="AD382" s="10">
        <v>184.07</v>
      </c>
    </row>
    <row r="383" spans="1:30" ht="15.75" thickBot="1">
      <c r="B383" s="26"/>
      <c r="C383" s="25"/>
      <c r="D383" s="462"/>
      <c r="E383" s="463"/>
      <c r="F383" s="15">
        <v>770</v>
      </c>
      <c r="G383" s="448" t="s">
        <v>282</v>
      </c>
      <c r="H383" s="505"/>
      <c r="I383" s="20"/>
      <c r="J383" s="462"/>
      <c r="K383" s="464"/>
      <c r="L383" s="76"/>
      <c r="M383" s="25"/>
      <c r="N383" s="151"/>
      <c r="O383" s="78">
        <f>P383/30</f>
        <v>0</v>
      </c>
      <c r="P383" s="12">
        <f>SUM(M377:M383)</f>
        <v>0</v>
      </c>
      <c r="Q383" s="96">
        <f>Q374+SUM(M377:M383)</f>
        <v>100</v>
      </c>
      <c r="R383" s="84" t="s">
        <v>16</v>
      </c>
      <c r="S383" s="84"/>
      <c r="T383" s="84"/>
      <c r="U383" s="97">
        <f>AB383</f>
        <v>100</v>
      </c>
      <c r="V383" s="37"/>
      <c r="W383" s="47">
        <f>U383-U374</f>
        <v>0</v>
      </c>
      <c r="X383" s="12">
        <f>W383/30</f>
        <v>0</v>
      </c>
      <c r="Y383" s="33" t="s">
        <v>19</v>
      </c>
      <c r="Z383" s="70">
        <v>30</v>
      </c>
      <c r="AA383" s="73" t="s">
        <v>112</v>
      </c>
      <c r="AB383" s="100">
        <v>100</v>
      </c>
    </row>
    <row r="384" spans="1:30" ht="16.5" thickTop="1" thickBot="1">
      <c r="B384" s="28"/>
      <c r="C384" s="5"/>
      <c r="D384" s="459"/>
      <c r="E384" s="460"/>
      <c r="F384" s="17"/>
      <c r="G384" s="459"/>
      <c r="H384" s="461"/>
      <c r="I384" s="21"/>
      <c r="J384" s="459"/>
      <c r="K384" s="461"/>
      <c r="L384" s="42"/>
      <c r="M384" s="5"/>
      <c r="N384" s="54"/>
      <c r="O384" s="89">
        <f>P384/30</f>
        <v>-23.328999999999997</v>
      </c>
      <c r="P384" s="90">
        <f>SUM(C377:C383)-SUM(F377:F383)-SUM(I377:I383)</f>
        <v>-699.86999999999989</v>
      </c>
      <c r="Q384" s="94">
        <f>Q381+Q382+Q383</f>
        <v>2908.9499999999966</v>
      </c>
      <c r="R384" s="95" t="s">
        <v>5</v>
      </c>
      <c r="S384" s="95"/>
      <c r="T384" s="95"/>
      <c r="U384" s="92">
        <f>U383+U382+U381</f>
        <v>2622.8700000000003</v>
      </c>
      <c r="V384" s="286"/>
      <c r="W384" s="93">
        <f>U384-U375</f>
        <v>-719.32999999999947</v>
      </c>
      <c r="X384" s="90">
        <f>W384/30</f>
        <v>-23.97766666666665</v>
      </c>
      <c r="AA384" s="8"/>
    </row>
    <row r="385" spans="1:30" ht="16.5" thickTop="1" thickBot="1">
      <c r="A385" s="14" t="s">
        <v>31</v>
      </c>
      <c r="B385" s="107">
        <v>45252</v>
      </c>
      <c r="C385" s="25"/>
      <c r="D385" s="494"/>
      <c r="E385" s="495"/>
      <c r="F385" s="15"/>
      <c r="G385" s="494"/>
      <c r="H385" s="515"/>
      <c r="I385" s="20"/>
      <c r="J385" s="494"/>
      <c r="K385" s="515"/>
      <c r="L385" s="76"/>
      <c r="M385" s="25"/>
      <c r="N385" s="151"/>
      <c r="O385" s="25"/>
      <c r="P385" s="25"/>
      <c r="X385" s="16"/>
      <c r="AA385" s="8"/>
    </row>
    <row r="386" spans="1:30">
      <c r="B386" s="26"/>
      <c r="C386" s="25"/>
      <c r="D386" s="462"/>
      <c r="E386" s="463"/>
      <c r="F386" s="15">
        <f>5.42+98.04+15+19+10.9+8+5.43+18+11+6+11+19+11.72+13+17.1+9.44+13+2+5.41+18+14.62+6+11.72+4+14+14.62+3.24+16+4+20+15+16</f>
        <v>455.66000000000008</v>
      </c>
      <c r="G386" s="448" t="s">
        <v>8</v>
      </c>
      <c r="H386" s="505"/>
      <c r="I386" s="20">
        <f>9.99+9.99+10.98+9.99+9.99+19.98+9.99+356.54</f>
        <v>437.45000000000005</v>
      </c>
      <c r="J386" s="448" t="s">
        <v>206</v>
      </c>
      <c r="K386" s="505"/>
      <c r="L386" s="76">
        <v>100</v>
      </c>
      <c r="M386" s="25">
        <v>500</v>
      </c>
      <c r="N386" s="151"/>
      <c r="O386" s="25"/>
      <c r="P386" s="25"/>
      <c r="X386" s="16"/>
      <c r="AA386" s="8"/>
    </row>
    <row r="387" spans="1:30">
      <c r="B387" s="26"/>
      <c r="C387" s="25">
        <v>2790.04</v>
      </c>
      <c r="D387" s="506" t="s">
        <v>11</v>
      </c>
      <c r="E387" s="507"/>
      <c r="F387" s="15">
        <f>6.11+36.18+44.55+38.57+32.33+38.01</f>
        <v>195.75</v>
      </c>
      <c r="G387" s="448" t="s">
        <v>9</v>
      </c>
      <c r="H387" s="505"/>
      <c r="I387" s="20">
        <v>10.99</v>
      </c>
      <c r="J387" s="448" t="s">
        <v>22</v>
      </c>
      <c r="K387" s="505"/>
      <c r="L387" s="76"/>
      <c r="M387" s="25">
        <v>-300</v>
      </c>
      <c r="N387" s="151"/>
      <c r="O387" s="25"/>
      <c r="P387" s="25"/>
      <c r="X387" s="16"/>
      <c r="AA387" s="8"/>
    </row>
    <row r="388" spans="1:30">
      <c r="B388" s="26"/>
      <c r="C388" s="25"/>
      <c r="D388" s="462"/>
      <c r="E388" s="463"/>
      <c r="F388" s="15">
        <v>145</v>
      </c>
      <c r="G388" s="448" t="s">
        <v>6</v>
      </c>
      <c r="H388" s="505"/>
      <c r="I388" s="20">
        <v>9.99</v>
      </c>
      <c r="J388" s="448" t="s">
        <v>289</v>
      </c>
      <c r="K388" s="505"/>
      <c r="L388" s="76"/>
      <c r="M388" s="25"/>
      <c r="N388" s="151"/>
      <c r="O388" s="25"/>
      <c r="P388" s="25"/>
      <c r="X388" s="16"/>
      <c r="AA388" s="8"/>
    </row>
    <row r="389" spans="1:30">
      <c r="B389" s="26"/>
      <c r="C389" s="25"/>
      <c r="D389" s="462"/>
      <c r="E389" s="463"/>
      <c r="F389" s="15">
        <v>400</v>
      </c>
      <c r="G389" s="448" t="s">
        <v>97</v>
      </c>
      <c r="H389" s="505"/>
      <c r="I389" s="20">
        <v>17</v>
      </c>
      <c r="J389" s="448" t="s">
        <v>290</v>
      </c>
      <c r="K389" s="505"/>
      <c r="L389" s="76"/>
      <c r="M389" s="25"/>
      <c r="N389" s="151"/>
      <c r="O389" s="25"/>
      <c r="P389" s="25"/>
      <c r="X389" s="16"/>
      <c r="AA389" s="8"/>
    </row>
    <row r="390" spans="1:30" ht="15.75" thickBot="1">
      <c r="B390" s="26"/>
      <c r="C390" s="25"/>
      <c r="D390" s="462"/>
      <c r="E390" s="463"/>
      <c r="F390" s="15">
        <v>107</v>
      </c>
      <c r="G390" s="448" t="s">
        <v>292</v>
      </c>
      <c r="H390" s="505"/>
      <c r="I390" s="20">
        <f>40+20</f>
        <v>60</v>
      </c>
      <c r="J390" s="448" t="s">
        <v>98</v>
      </c>
      <c r="K390" s="505"/>
      <c r="L390" s="76"/>
      <c r="M390" s="25"/>
      <c r="N390" s="151"/>
      <c r="O390" s="25"/>
      <c r="P390" s="25"/>
      <c r="X390" s="16"/>
      <c r="AA390" s="8"/>
    </row>
    <row r="391" spans="1:30" ht="15.75" thickBot="1">
      <c r="B391" s="26"/>
      <c r="C391" s="25"/>
      <c r="D391" s="462"/>
      <c r="E391" s="463"/>
      <c r="F391" s="15">
        <v>770</v>
      </c>
      <c r="G391" s="448" t="s">
        <v>285</v>
      </c>
      <c r="H391" s="505"/>
      <c r="I391" s="123">
        <v>95</v>
      </c>
      <c r="J391" s="448" t="s">
        <v>291</v>
      </c>
      <c r="K391" s="505"/>
      <c r="L391" s="76"/>
      <c r="M391" s="25"/>
      <c r="N391" s="151"/>
      <c r="O391" s="126" t="s">
        <v>295</v>
      </c>
      <c r="P391" s="127" t="s">
        <v>296</v>
      </c>
      <c r="Q391" s="128" t="s">
        <v>5</v>
      </c>
      <c r="R391" s="128" t="s">
        <v>297</v>
      </c>
      <c r="S391" s="128"/>
      <c r="T391" s="128"/>
      <c r="U391" s="128" t="s">
        <v>5</v>
      </c>
      <c r="V391" s="128"/>
      <c r="W391" s="127" t="s">
        <v>296</v>
      </c>
      <c r="X391" s="129" t="s">
        <v>295</v>
      </c>
      <c r="Y391" s="46"/>
      <c r="Z391" s="4" t="s">
        <v>13</v>
      </c>
      <c r="AA391" s="46"/>
      <c r="AB391" s="4" t="s">
        <v>14</v>
      </c>
      <c r="AC391" s="46"/>
      <c r="AD391" s="4" t="s">
        <v>111</v>
      </c>
    </row>
    <row r="392" spans="1:30">
      <c r="B392" s="26"/>
      <c r="C392" s="25"/>
      <c r="D392" s="462"/>
      <c r="E392" s="463"/>
      <c r="F392" s="15">
        <v>123</v>
      </c>
      <c r="G392" s="448" t="s">
        <v>298</v>
      </c>
      <c r="H392" s="505"/>
      <c r="I392" s="63">
        <v>17.309999999999999</v>
      </c>
      <c r="J392" s="448" t="s">
        <v>249</v>
      </c>
      <c r="K392" s="505"/>
      <c r="L392" s="76"/>
      <c r="M392" s="25"/>
      <c r="N392" s="151"/>
      <c r="O392" s="78">
        <f>P392/30</f>
        <v>-22.269999999999996</v>
      </c>
      <c r="P392" s="38">
        <f>SUM(C386:C394)-SUM(F386:F394)-SUM(I386:I394)-SUM(L386:L394)-SUM(M386:M394)</f>
        <v>-668.09999999999991</v>
      </c>
      <c r="Q392" s="124">
        <f>Q381+P395-SUM(L386:L394)-SUM(M386:M394)</f>
        <v>1802.1399999999967</v>
      </c>
      <c r="R392" s="84" t="s">
        <v>12</v>
      </c>
      <c r="S392" s="84"/>
      <c r="T392" s="84"/>
      <c r="U392" s="125">
        <f>Z392+AB392+AD392+AD393</f>
        <v>1584.41</v>
      </c>
      <c r="V392" s="283"/>
      <c r="W392" s="47">
        <f>U392-U381</f>
        <v>-700.71000000000026</v>
      </c>
      <c r="X392" s="38">
        <f>W392/30</f>
        <v>-23.35700000000001</v>
      </c>
      <c r="Y392" s="43" t="s">
        <v>17</v>
      </c>
      <c r="Z392" s="44">
        <v>160</v>
      </c>
      <c r="AA392" s="11" t="s">
        <v>15</v>
      </c>
      <c r="AB392" s="12">
        <f>1617.48-38.01-356.54</f>
        <v>1222.93</v>
      </c>
      <c r="AC392" s="11" t="s">
        <v>17</v>
      </c>
      <c r="AD392" s="12">
        <v>0</v>
      </c>
    </row>
    <row r="393" spans="1:30" ht="15.75" thickBot="1">
      <c r="B393" s="26"/>
      <c r="C393" s="25"/>
      <c r="D393" s="462"/>
      <c r="E393" s="463"/>
      <c r="F393" s="15"/>
      <c r="G393" s="462"/>
      <c r="H393" s="464"/>
      <c r="I393" s="63">
        <v>13.99</v>
      </c>
      <c r="J393" s="448" t="s">
        <v>293</v>
      </c>
      <c r="K393" s="505"/>
      <c r="L393" s="76"/>
      <c r="M393" s="25"/>
      <c r="N393" s="151"/>
      <c r="O393" s="79">
        <f>P393/30</f>
        <v>3.3333333333333335</v>
      </c>
      <c r="P393" s="72">
        <f>SUM(L386:L394)</f>
        <v>100</v>
      </c>
      <c r="Q393" s="83">
        <f>Q382+SUM(L386:L394)</f>
        <v>438.71000000000004</v>
      </c>
      <c r="R393" s="85" t="s">
        <v>16</v>
      </c>
      <c r="S393" s="85"/>
      <c r="T393" s="85"/>
      <c r="U393" s="88">
        <f>Z393+Z394+AB393</f>
        <v>342.78999999999996</v>
      </c>
      <c r="V393" s="288"/>
      <c r="W393" s="86">
        <f>U393-U382</f>
        <v>105.03999999999996</v>
      </c>
      <c r="X393" s="72">
        <f>W393/30</f>
        <v>3.5013333333333323</v>
      </c>
      <c r="Y393" s="32" t="s">
        <v>18</v>
      </c>
      <c r="Z393" s="13">
        <v>104</v>
      </c>
      <c r="AA393" s="71" t="s">
        <v>16</v>
      </c>
      <c r="AB393" s="72">
        <v>203.79</v>
      </c>
      <c r="AC393" s="9" t="s">
        <v>87</v>
      </c>
      <c r="AD393" s="10">
        <v>201.48</v>
      </c>
    </row>
    <row r="394" spans="1:30" ht="15.75" thickBot="1">
      <c r="B394" s="26"/>
      <c r="C394" s="25"/>
      <c r="D394" s="462"/>
      <c r="E394" s="463"/>
      <c r="F394" s="15"/>
      <c r="G394" s="462"/>
      <c r="H394" s="464"/>
      <c r="I394" s="20">
        <v>300</v>
      </c>
      <c r="J394" s="448" t="s">
        <v>294</v>
      </c>
      <c r="K394" s="505"/>
      <c r="L394" s="76"/>
      <c r="M394" s="25"/>
      <c r="N394" s="151"/>
      <c r="O394" s="78">
        <f>P394/30</f>
        <v>6.666666666666667</v>
      </c>
      <c r="P394" s="12">
        <f>SUM(M386:M394)</f>
        <v>200</v>
      </c>
      <c r="Q394" s="96">
        <f>Q383+SUM(M386:M394)</f>
        <v>300</v>
      </c>
      <c r="R394" s="84" t="s">
        <v>16</v>
      </c>
      <c r="S394" s="84"/>
      <c r="T394" s="84"/>
      <c r="U394" s="97">
        <f>AB394</f>
        <v>300</v>
      </c>
      <c r="V394" s="37"/>
      <c r="W394" s="47">
        <f>U394-U383</f>
        <v>200</v>
      </c>
      <c r="X394" s="12">
        <f>W394/30</f>
        <v>6.666666666666667</v>
      </c>
      <c r="Y394" s="33" t="s">
        <v>19</v>
      </c>
      <c r="Z394" s="70">
        <v>35</v>
      </c>
      <c r="AA394" s="73" t="s">
        <v>112</v>
      </c>
      <c r="AB394" s="100">
        <v>300</v>
      </c>
    </row>
    <row r="395" spans="1:30" ht="16.5" thickTop="1" thickBot="1">
      <c r="B395" s="28"/>
      <c r="C395" s="5"/>
      <c r="D395" s="459"/>
      <c r="E395" s="460"/>
      <c r="F395" s="17"/>
      <c r="G395" s="459"/>
      <c r="H395" s="461"/>
      <c r="I395" s="21"/>
      <c r="J395" s="459"/>
      <c r="K395" s="461"/>
      <c r="L395" s="42"/>
      <c r="M395" s="5"/>
      <c r="N395" s="54"/>
      <c r="O395" s="89">
        <f>P395/30</f>
        <v>-12.269999999999998</v>
      </c>
      <c r="P395" s="90">
        <f>SUM(C386:C394)-SUM(F386:F394)-SUM(I386:I394)</f>
        <v>-368.09999999999991</v>
      </c>
      <c r="Q395" s="94">
        <f>Q392+Q393+Q394</f>
        <v>2540.8499999999967</v>
      </c>
      <c r="R395" s="95" t="s">
        <v>5</v>
      </c>
      <c r="S395" s="95"/>
      <c r="T395" s="95"/>
      <c r="U395" s="92">
        <f>U394+U393+U392</f>
        <v>2227.1999999999998</v>
      </c>
      <c r="V395" s="286"/>
      <c r="W395" s="93">
        <f>U395-U384</f>
        <v>-395.67000000000053</v>
      </c>
      <c r="X395" s="90">
        <f>W395/30</f>
        <v>-13.189000000000018</v>
      </c>
      <c r="AA395" s="8"/>
    </row>
    <row r="396" spans="1:30" ht="16.5" thickTop="1" thickBot="1">
      <c r="A396" s="14" t="s">
        <v>31</v>
      </c>
      <c r="B396" s="107">
        <v>45283</v>
      </c>
      <c r="C396" s="25"/>
      <c r="D396" s="494"/>
      <c r="E396" s="495"/>
      <c r="F396" s="15"/>
      <c r="G396" s="494"/>
      <c r="H396" s="515"/>
      <c r="I396" s="20"/>
      <c r="J396" s="494"/>
      <c r="K396" s="515"/>
      <c r="L396" s="76"/>
      <c r="M396" s="25"/>
      <c r="N396" s="151"/>
      <c r="O396" s="25"/>
      <c r="P396" s="25"/>
      <c r="X396" s="16"/>
      <c r="AA396" s="8"/>
    </row>
    <row r="397" spans="1:30">
      <c r="B397" s="26"/>
      <c r="C397" s="25"/>
      <c r="D397" s="462"/>
      <c r="E397" s="463"/>
      <c r="F397" s="15">
        <f>14+18+9.77+11.72+13+5.43+20+6.5+12+11+18+18+18+85+16+16.13+13.44+23.73+8+18.99+5.43+19+6+13</f>
        <v>400.14</v>
      </c>
      <c r="G397" s="462" t="s">
        <v>8</v>
      </c>
      <c r="H397" s="464"/>
      <c r="I397" s="20">
        <f>0.99</f>
        <v>0.99</v>
      </c>
      <c r="J397" s="462" t="s">
        <v>305</v>
      </c>
      <c r="K397" s="464"/>
      <c r="L397" s="76">
        <v>-140</v>
      </c>
      <c r="M397" s="25">
        <v>-80</v>
      </c>
      <c r="N397" s="151">
        <v>678.31</v>
      </c>
      <c r="O397" s="25"/>
      <c r="P397" s="25"/>
      <c r="X397" s="16"/>
      <c r="AA397" s="8"/>
    </row>
    <row r="398" spans="1:30">
      <c r="B398" s="26"/>
      <c r="C398" s="25">
        <v>2790.05</v>
      </c>
      <c r="D398" s="457" t="s">
        <v>11</v>
      </c>
      <c r="E398" s="525"/>
      <c r="F398" s="15">
        <f>37.51+35.7+37.55+35.85</f>
        <v>146.61000000000001</v>
      </c>
      <c r="G398" s="462" t="s">
        <v>9</v>
      </c>
      <c r="H398" s="464"/>
      <c r="I398" s="20">
        <f>80+55+100+60+20</f>
        <v>315</v>
      </c>
      <c r="J398" s="462" t="s">
        <v>98</v>
      </c>
      <c r="K398" s="464"/>
      <c r="L398" s="76">
        <v>140</v>
      </c>
      <c r="M398" s="25">
        <v>-220</v>
      </c>
      <c r="N398" s="151"/>
      <c r="O398" s="25"/>
      <c r="P398" s="25"/>
      <c r="X398" s="16"/>
      <c r="AA398" s="8"/>
    </row>
    <row r="399" spans="1:30">
      <c r="B399" s="26"/>
      <c r="C399" s="6">
        <v>300</v>
      </c>
      <c r="D399" s="457" t="s">
        <v>252</v>
      </c>
      <c r="E399" s="525"/>
      <c r="F399" s="15">
        <v>145</v>
      </c>
      <c r="G399" s="462" t="s">
        <v>6</v>
      </c>
      <c r="H399" s="464"/>
      <c r="I399" s="20">
        <v>10.99</v>
      </c>
      <c r="J399" s="462" t="s">
        <v>22</v>
      </c>
      <c r="K399" s="464"/>
      <c r="L399" s="76">
        <v>-100</v>
      </c>
      <c r="M399" s="25">
        <v>200</v>
      </c>
      <c r="N399" s="151"/>
      <c r="O399" s="25"/>
      <c r="P399" s="25"/>
      <c r="X399" s="16"/>
      <c r="AA399" s="8"/>
    </row>
    <row r="400" spans="1:30" ht="15.75" thickBot="1">
      <c r="B400" s="26"/>
      <c r="C400" s="25">
        <f>S421</f>
        <v>40.129999999999995</v>
      </c>
      <c r="D400" s="457" t="s">
        <v>367</v>
      </c>
      <c r="E400" s="525"/>
      <c r="F400" s="15">
        <v>30</v>
      </c>
      <c r="G400" s="462" t="s">
        <v>81</v>
      </c>
      <c r="H400" s="464"/>
      <c r="I400" s="20">
        <f>9.99+332.5</f>
        <v>342.49</v>
      </c>
      <c r="J400" s="462" t="s">
        <v>206</v>
      </c>
      <c r="K400" s="464"/>
      <c r="L400" s="76"/>
      <c r="M400" s="25"/>
      <c r="N400" s="151"/>
      <c r="O400" s="25"/>
      <c r="P400" s="25"/>
      <c r="X400" s="16"/>
      <c r="AA400" s="8"/>
    </row>
    <row r="401" spans="1:30" ht="15.75" thickBot="1">
      <c r="B401" s="26"/>
      <c r="C401" s="25"/>
      <c r="D401" s="462"/>
      <c r="E401" s="463"/>
      <c r="F401" s="15">
        <v>300</v>
      </c>
      <c r="G401" s="462" t="s">
        <v>97</v>
      </c>
      <c r="H401" s="464"/>
      <c r="I401" s="63">
        <f>51+5.72</f>
        <v>56.72</v>
      </c>
      <c r="J401" s="462" t="s">
        <v>61</v>
      </c>
      <c r="K401" s="464"/>
      <c r="L401" s="76"/>
      <c r="M401" s="25"/>
      <c r="N401" s="151"/>
      <c r="O401" s="126" t="s">
        <v>295</v>
      </c>
      <c r="P401" s="127" t="s">
        <v>296</v>
      </c>
      <c r="Q401" s="128" t="s">
        <v>5</v>
      </c>
      <c r="R401" s="128" t="s">
        <v>297</v>
      </c>
      <c r="S401" s="128"/>
      <c r="T401" s="128"/>
      <c r="U401" s="128" t="s">
        <v>5</v>
      </c>
      <c r="V401" s="128"/>
      <c r="W401" s="127" t="s">
        <v>296</v>
      </c>
      <c r="X401" s="129" t="s">
        <v>295</v>
      </c>
      <c r="AA401" s="8"/>
    </row>
    <row r="402" spans="1:30" ht="15.75" thickBot="1">
      <c r="B402" s="26"/>
      <c r="C402" s="25"/>
      <c r="D402" s="462"/>
      <c r="E402" s="463"/>
      <c r="F402" s="15">
        <f>100+11.34+43.44+16.24+23.89</f>
        <v>194.91000000000003</v>
      </c>
      <c r="G402" s="462" t="s">
        <v>250</v>
      </c>
      <c r="H402" s="464"/>
      <c r="I402" s="63">
        <v>17.309999999999999</v>
      </c>
      <c r="J402" s="462" t="s">
        <v>249</v>
      </c>
      <c r="K402" s="464"/>
      <c r="L402" s="76"/>
      <c r="M402" s="25"/>
      <c r="N402" s="151"/>
      <c r="O402" s="80">
        <f>P402/30</f>
        <v>-24.028333333333322</v>
      </c>
      <c r="P402" s="81">
        <f>SUM(C397:C405)-SUM(F397:F405)-SUM(I397:I405)-SUM(L397:L405)-SUM(M397:M405)</f>
        <v>-720.84999999999968</v>
      </c>
      <c r="Q402" s="82">
        <f>Q392+P406-SUM(L397:L405)-SUM(M397:M405)-SUM(N397:N405)</f>
        <v>332.97999999999706</v>
      </c>
      <c r="R402" s="98" t="s">
        <v>12</v>
      </c>
      <c r="S402" s="98"/>
      <c r="T402" s="98"/>
      <c r="U402" s="87">
        <f>Z403+AB403+AD403</f>
        <v>202.9</v>
      </c>
      <c r="V402" s="287"/>
      <c r="W402" s="99">
        <f>U402-U392</f>
        <v>-1381.51</v>
      </c>
      <c r="X402" s="81">
        <f>W402/30</f>
        <v>-46.050333333333334</v>
      </c>
      <c r="Y402" s="45"/>
      <c r="Z402" s="4" t="s">
        <v>13</v>
      </c>
      <c r="AA402" s="46"/>
      <c r="AB402" s="4" t="s">
        <v>14</v>
      </c>
      <c r="AC402" s="45"/>
      <c r="AD402" s="4" t="s">
        <v>111</v>
      </c>
    </row>
    <row r="403" spans="1:30" ht="15.75" thickTop="1">
      <c r="B403" s="26"/>
      <c r="C403" s="25"/>
      <c r="D403" s="462"/>
      <c r="E403" s="463"/>
      <c r="F403" s="15">
        <v>770</v>
      </c>
      <c r="G403" s="462" t="s">
        <v>304</v>
      </c>
      <c r="H403" s="464"/>
      <c r="I403" s="20">
        <v>1000</v>
      </c>
      <c r="J403" s="462" t="s">
        <v>318</v>
      </c>
      <c r="K403" s="464"/>
      <c r="L403" s="76"/>
      <c r="M403" s="25"/>
      <c r="N403" s="151">
        <f>25+20+25</f>
        <v>70</v>
      </c>
      <c r="O403" s="79">
        <f>P403/30</f>
        <v>-8.1666666666666661</v>
      </c>
      <c r="P403" s="72">
        <f>SUM(L397:L405)</f>
        <v>-245</v>
      </c>
      <c r="Q403" s="83">
        <f>Q393+SUM(L397:L405)</f>
        <v>193.71000000000004</v>
      </c>
      <c r="R403" s="85" t="s">
        <v>16</v>
      </c>
      <c r="S403" s="85"/>
      <c r="T403" s="85"/>
      <c r="U403" s="88">
        <f>Z404+Z405+AB404</f>
        <v>248.87</v>
      </c>
      <c r="V403" s="288"/>
      <c r="W403" s="86">
        <f>U403-U393</f>
        <v>-93.919999999999959</v>
      </c>
      <c r="X403" s="72">
        <f>W403/30</f>
        <v>-3.1306666666666652</v>
      </c>
      <c r="Y403" s="43" t="s">
        <v>17</v>
      </c>
      <c r="Z403" s="44">
        <v>22</v>
      </c>
      <c r="AA403" s="11" t="s">
        <v>15</v>
      </c>
      <c r="AB403" s="44">
        <f>166.52-30</f>
        <v>136.52000000000001</v>
      </c>
      <c r="AC403" s="11" t="s">
        <v>17</v>
      </c>
      <c r="AD403" s="12">
        <v>44.38</v>
      </c>
    </row>
    <row r="404" spans="1:30">
      <c r="B404" s="26"/>
      <c r="C404" s="25"/>
      <c r="D404" s="462"/>
      <c r="E404" s="463"/>
      <c r="F404" s="15"/>
      <c r="G404" s="462"/>
      <c r="H404" s="464"/>
      <c r="I404" s="20">
        <f>10+7</f>
        <v>17</v>
      </c>
      <c r="J404" s="462" t="s">
        <v>377</v>
      </c>
      <c r="K404" s="464"/>
      <c r="L404" s="76"/>
      <c r="M404" s="25"/>
      <c r="N404" s="151"/>
      <c r="O404" s="78">
        <f>P404/30</f>
        <v>1.5</v>
      </c>
      <c r="P404" s="12">
        <f>SUM(M397:M405)</f>
        <v>45</v>
      </c>
      <c r="Q404" s="96">
        <f>Q394+SUM(M397:M405)</f>
        <v>345</v>
      </c>
      <c r="R404" s="84" t="s">
        <v>112</v>
      </c>
      <c r="S404" s="84"/>
      <c r="T404" s="84"/>
      <c r="U404" s="97">
        <f>AB405</f>
        <v>200</v>
      </c>
      <c r="V404" s="37"/>
      <c r="W404" s="47">
        <f>U404-U394</f>
        <v>-100</v>
      </c>
      <c r="X404" s="12">
        <f>W404/30</f>
        <v>-3.3333333333333335</v>
      </c>
      <c r="Y404" s="32" t="s">
        <v>18</v>
      </c>
      <c r="Z404" s="13">
        <v>104</v>
      </c>
      <c r="AA404" s="71" t="s">
        <v>16</v>
      </c>
      <c r="AB404" s="13">
        <f>203.87-100</f>
        <v>103.87</v>
      </c>
      <c r="AC404" s="71" t="s">
        <v>87</v>
      </c>
      <c r="AD404" s="72">
        <v>292.73</v>
      </c>
    </row>
    <row r="405" spans="1:30" ht="15.75" thickBot="1">
      <c r="B405" s="26"/>
      <c r="C405" s="25">
        <f>-281.87</f>
        <v>-281.87</v>
      </c>
      <c r="D405" s="462" t="s">
        <v>501</v>
      </c>
      <c r="E405" s="463"/>
      <c r="F405" s="15"/>
      <c r="G405" s="462"/>
      <c r="H405" s="464"/>
      <c r="I405" s="20">
        <v>22</v>
      </c>
      <c r="J405" s="462" t="s">
        <v>385</v>
      </c>
      <c r="K405" s="464"/>
      <c r="L405" s="76">
        <v>-145</v>
      </c>
      <c r="M405" s="25">
        <v>145</v>
      </c>
      <c r="N405" s="151"/>
      <c r="O405" s="78">
        <f>Q405/31</f>
        <v>24.139032258064514</v>
      </c>
      <c r="P405" s="12"/>
      <c r="Q405" s="96">
        <f>SUM(N397:N405)</f>
        <v>748.31</v>
      </c>
      <c r="R405" s="84" t="s">
        <v>323</v>
      </c>
      <c r="S405" s="84"/>
      <c r="T405" s="84"/>
      <c r="U405" s="97">
        <f>SUM(AD404:AD405)</f>
        <v>946.1</v>
      </c>
      <c r="V405" s="37"/>
      <c r="W405" s="47"/>
      <c r="X405" s="12">
        <f>U405/31</f>
        <v>30.519354838709678</v>
      </c>
      <c r="Y405" s="33" t="s">
        <v>19</v>
      </c>
      <c r="Z405" s="70">
        <v>41</v>
      </c>
      <c r="AA405" s="73" t="s">
        <v>112</v>
      </c>
      <c r="AB405" s="131">
        <v>200</v>
      </c>
      <c r="AC405" s="73" t="s">
        <v>306</v>
      </c>
      <c r="AD405" s="24">
        <v>653.37</v>
      </c>
    </row>
    <row r="406" spans="1:30" ht="16.5" thickTop="1" thickBot="1">
      <c r="B406" s="28"/>
      <c r="C406" s="5"/>
      <c r="D406" s="459"/>
      <c r="E406" s="460"/>
      <c r="F406" s="17"/>
      <c r="G406" s="459"/>
      <c r="H406" s="461"/>
      <c r="I406" s="21"/>
      <c r="J406" s="459"/>
      <c r="K406" s="461"/>
      <c r="L406" s="42"/>
      <c r="M406" s="5"/>
      <c r="N406" s="54"/>
      <c r="O406" s="89">
        <f>P406/30</f>
        <v>-30.69499999999999</v>
      </c>
      <c r="P406" s="90">
        <f>SUM(C397:C405)-SUM(F397:F405)-SUM(I397:I405)</f>
        <v>-920.84999999999968</v>
      </c>
      <c r="Q406" s="94">
        <f>Q402+Q403+Q404+Q405</f>
        <v>1619.999999999997</v>
      </c>
      <c r="R406" s="134" t="s">
        <v>5</v>
      </c>
      <c r="S406" s="134"/>
      <c r="T406" s="134"/>
      <c r="U406" s="92">
        <f>U404+U403+U402+U405</f>
        <v>1597.87</v>
      </c>
      <c r="V406" s="286"/>
      <c r="W406" s="93">
        <f>U406-U395</f>
        <v>-629.32999999999993</v>
      </c>
      <c r="X406" s="90">
        <f>W406/30</f>
        <v>-20.977666666666664</v>
      </c>
      <c r="AA406" s="8"/>
    </row>
    <row r="407" spans="1:30" ht="17.25" thickTop="1" thickBot="1">
      <c r="A407" s="14" t="s">
        <v>31</v>
      </c>
      <c r="B407" s="14" t="s">
        <v>31</v>
      </c>
      <c r="C407" s="264">
        <v>45292</v>
      </c>
      <c r="D407" s="3"/>
      <c r="E407" s="3"/>
      <c r="F407" s="311"/>
      <c r="G407" s="311"/>
      <c r="H407" s="311"/>
      <c r="I407" s="311"/>
      <c r="J407" s="311"/>
      <c r="K407" s="311"/>
      <c r="L407" s="311"/>
      <c r="M407" s="311"/>
      <c r="N407" s="3"/>
      <c r="O407" s="3"/>
      <c r="P407" s="3"/>
      <c r="Q407" s="3"/>
      <c r="R407" s="3"/>
      <c r="S407" s="3"/>
      <c r="T407" s="3"/>
      <c r="U407" s="3"/>
      <c r="V407" s="3"/>
      <c r="W407" s="3"/>
      <c r="X407" s="3"/>
      <c r="Y407" s="3"/>
      <c r="Z407" s="3"/>
    </row>
    <row r="408" spans="1:30" ht="17.25" thickTop="1" thickBot="1">
      <c r="C408" s="510" t="s">
        <v>386</v>
      </c>
      <c r="D408" s="511"/>
      <c r="E408" s="512"/>
      <c r="F408" s="483" t="s">
        <v>387</v>
      </c>
      <c r="G408" s="484"/>
      <c r="H408" s="484"/>
      <c r="I408" s="484"/>
      <c r="J408" s="484"/>
      <c r="K408" s="484"/>
      <c r="L408" s="484"/>
      <c r="M408" s="484"/>
      <c r="N408" s="485"/>
      <c r="O408" s="261" t="s">
        <v>320</v>
      </c>
      <c r="P408" s="262" t="s">
        <v>257</v>
      </c>
      <c r="Q408" s="263" t="s">
        <v>319</v>
      </c>
      <c r="R408" s="486" t="s">
        <v>144</v>
      </c>
      <c r="S408" s="487"/>
      <c r="T408" s="487"/>
      <c r="U408" s="487"/>
      <c r="V408" s="487"/>
      <c r="W408" s="487"/>
      <c r="X408" s="487"/>
      <c r="Y408" s="487"/>
      <c r="Z408" s="488"/>
    </row>
    <row r="409" spans="1:30" ht="15.75" thickBot="1">
      <c r="B409" s="1"/>
      <c r="C409" s="265"/>
      <c r="D409" s="489"/>
      <c r="E409" s="490"/>
      <c r="F409" s="470" t="s">
        <v>3</v>
      </c>
      <c r="G409" s="491"/>
      <c r="H409" s="492"/>
      <c r="I409" s="493" t="s">
        <v>4</v>
      </c>
      <c r="J409" s="491"/>
      <c r="K409" s="492"/>
      <c r="L409" s="267" t="s">
        <v>324</v>
      </c>
      <c r="M409" s="267" t="s">
        <v>325</v>
      </c>
      <c r="N409" s="267" t="s">
        <v>323</v>
      </c>
      <c r="O409" s="316" t="s">
        <v>5</v>
      </c>
      <c r="P409" s="317">
        <f>P412+P415+P418+P421</f>
        <v>1881.8473044585264</v>
      </c>
      <c r="Q409" s="318">
        <f>Q418+Q415+Q412+Q421</f>
        <v>1881.8473044585289</v>
      </c>
      <c r="R409" s="268" t="s">
        <v>323</v>
      </c>
      <c r="S409" s="493" t="s">
        <v>317</v>
      </c>
      <c r="T409" s="492"/>
      <c r="U409" s="493" t="s">
        <v>369</v>
      </c>
      <c r="V409" s="471"/>
      <c r="W409" s="491" t="s">
        <v>310</v>
      </c>
      <c r="X409" s="471"/>
      <c r="Y409" s="470" t="s">
        <v>13</v>
      </c>
      <c r="Z409" s="471"/>
    </row>
    <row r="410" spans="1:30" ht="16.5" thickTop="1" thickBot="1">
      <c r="B410" s="1"/>
      <c r="C410" s="15"/>
      <c r="D410" s="462"/>
      <c r="E410" s="463"/>
      <c r="G410" s="496"/>
      <c r="H410" s="497"/>
      <c r="J410" s="496"/>
      <c r="K410" s="497"/>
      <c r="L410" s="76"/>
      <c r="M410" s="25"/>
      <c r="N410" s="292"/>
      <c r="O410" s="258" t="s">
        <v>321</v>
      </c>
      <c r="P410" s="315">
        <f>SUM(C410:C423)-SUM(F410:F423)-SUM(I410:I423)</f>
        <v>293.80000000000007</v>
      </c>
      <c r="Q410" s="12">
        <f>Q409-U406</f>
        <v>283.97730445852903</v>
      </c>
      <c r="R410" s="307" t="s">
        <v>343</v>
      </c>
      <c r="S410" s="498">
        <v>578.48</v>
      </c>
      <c r="T410" s="499"/>
      <c r="U410" s="526">
        <v>137.8773044585291</v>
      </c>
      <c r="V410" s="527"/>
      <c r="W410" s="501" t="s">
        <v>326</v>
      </c>
      <c r="X410" s="502"/>
      <c r="Y410" s="143" t="s">
        <v>17</v>
      </c>
      <c r="Z410" s="12">
        <v>140</v>
      </c>
    </row>
    <row r="411" spans="1:30" ht="16.5" thickTop="1" thickBot="1">
      <c r="B411" s="1"/>
      <c r="C411" s="15">
        <v>2526.4899999999998</v>
      </c>
      <c r="D411" s="462" t="s">
        <v>11</v>
      </c>
      <c r="E411" s="463"/>
      <c r="F411" s="15">
        <f>19+13+13+21+24.89+19.86+5.43+11.72+20+5.43+5.43+12.23</f>
        <v>170.99</v>
      </c>
      <c r="G411" s="462" t="s">
        <v>223</v>
      </c>
      <c r="H411" s="464"/>
      <c r="I411" s="20">
        <v>10.99</v>
      </c>
      <c r="J411" s="462" t="s">
        <v>22</v>
      </c>
      <c r="K411" s="464"/>
      <c r="L411" s="76">
        <v>-200</v>
      </c>
      <c r="M411" s="25">
        <v>-90</v>
      </c>
      <c r="N411" s="293"/>
      <c r="O411" s="141" t="s">
        <v>322</v>
      </c>
      <c r="P411" s="133">
        <f>P410/31</f>
        <v>9.4774193548387125</v>
      </c>
      <c r="Q411" s="10">
        <f>Q410/31</f>
        <v>9.160558208339646</v>
      </c>
      <c r="R411" s="308" t="s">
        <v>382</v>
      </c>
      <c r="S411" s="474">
        <v>1109.03</v>
      </c>
      <c r="T411" s="475"/>
      <c r="U411" s="528">
        <v>456.45000000000005</v>
      </c>
      <c r="V411" s="529"/>
      <c r="W411" s="289" t="s">
        <v>12</v>
      </c>
      <c r="X411" s="315">
        <v>970.36</v>
      </c>
      <c r="Y411" s="144" t="s">
        <v>18</v>
      </c>
      <c r="Z411" s="72">
        <v>104</v>
      </c>
    </row>
    <row r="412" spans="1:30">
      <c r="B412" s="1"/>
      <c r="C412" s="15">
        <v>75</v>
      </c>
      <c r="D412" s="462" t="s">
        <v>389</v>
      </c>
      <c r="E412" s="463"/>
      <c r="F412" s="15">
        <f>38.08+38.06+39.26</f>
        <v>115.4</v>
      </c>
      <c r="G412" s="462" t="s">
        <v>9</v>
      </c>
      <c r="H412" s="464"/>
      <c r="I412" s="63">
        <v>17.309999999999999</v>
      </c>
      <c r="J412" s="462" t="s">
        <v>249</v>
      </c>
      <c r="K412" s="464"/>
      <c r="L412" s="76"/>
      <c r="M412" s="25">
        <v>-10</v>
      </c>
      <c r="N412" s="294"/>
      <c r="O412" s="136" t="s">
        <v>12</v>
      </c>
      <c r="P412" s="319">
        <f>Q402+P410-SUM(L410:L423)-SUM(M410:M423)-SUM(N410:N423)</f>
        <v>1016.6099999999972</v>
      </c>
      <c r="Q412" s="320">
        <f>Z410+Z415+Z418</f>
        <v>1014.6099999999999</v>
      </c>
      <c r="R412" s="308" t="s">
        <v>383</v>
      </c>
      <c r="S412" s="474">
        <v>503.82</v>
      </c>
      <c r="T412" s="475"/>
      <c r="U412" s="528">
        <v>406.9</v>
      </c>
      <c r="V412" s="529"/>
      <c r="W412" s="282" t="s">
        <v>373</v>
      </c>
      <c r="X412" s="132">
        <v>3000</v>
      </c>
      <c r="Y412" s="144" t="s">
        <v>19</v>
      </c>
      <c r="Z412" s="72">
        <v>43</v>
      </c>
    </row>
    <row r="413" spans="1:30" ht="15.75" thickBot="1">
      <c r="B413" s="1"/>
      <c r="C413" s="15">
        <v>112.42</v>
      </c>
      <c r="D413" s="462" t="s">
        <v>390</v>
      </c>
      <c r="E413" s="463"/>
      <c r="F413" s="15">
        <v>145</v>
      </c>
      <c r="G413" s="462" t="s">
        <v>6</v>
      </c>
      <c r="H413" s="464"/>
      <c r="I413" s="20">
        <f>79.99-24.01+500</f>
        <v>555.98</v>
      </c>
      <c r="J413" s="462" t="s">
        <v>206</v>
      </c>
      <c r="K413" s="464"/>
      <c r="L413" s="76"/>
      <c r="M413" s="25">
        <v>100</v>
      </c>
      <c r="N413" s="293"/>
      <c r="O413" s="140" t="s">
        <v>321</v>
      </c>
      <c r="P413" s="132">
        <f>SUM(C410:C423)-SUM(F410:F423)-SUM(I410:I423)-SUM(L410:L423)-SUM(M410:M423)-SUM(N410:N423)</f>
        <v>683.63000000000011</v>
      </c>
      <c r="Q413" s="72">
        <f>Q412-U402</f>
        <v>811.70999999999992</v>
      </c>
      <c r="R413" s="308" t="s">
        <v>424</v>
      </c>
      <c r="S413" s="474">
        <v>463.69</v>
      </c>
      <c r="T413" s="475"/>
      <c r="U413" s="528">
        <v>347.47342505946779</v>
      </c>
      <c r="V413" s="529"/>
      <c r="W413" s="282" t="s">
        <v>378</v>
      </c>
      <c r="X413" s="132">
        <f>X412-X411</f>
        <v>2029.6399999999999</v>
      </c>
      <c r="Y413" s="145" t="s">
        <v>324</v>
      </c>
      <c r="Z413" s="135">
        <v>0</v>
      </c>
    </row>
    <row r="414" spans="1:30" ht="15.75" thickBot="1">
      <c r="B414" s="1"/>
      <c r="C414" s="15">
        <v>75</v>
      </c>
      <c r="D414" s="455" t="s">
        <v>401</v>
      </c>
      <c r="E414" s="456"/>
      <c r="F414" s="15">
        <v>300</v>
      </c>
      <c r="G414" s="462" t="s">
        <v>97</v>
      </c>
      <c r="H414" s="464"/>
      <c r="I414" s="20">
        <v>11.99</v>
      </c>
      <c r="J414" s="462" t="s">
        <v>385</v>
      </c>
      <c r="K414" s="464"/>
      <c r="L414" s="76"/>
      <c r="M414" s="25"/>
      <c r="N414" s="294"/>
      <c r="O414" s="141" t="s">
        <v>322</v>
      </c>
      <c r="P414" s="133">
        <f>P413/31</f>
        <v>22.052580645161292</v>
      </c>
      <c r="Q414" s="10">
        <f>Q413/31</f>
        <v>26.184193548387093</v>
      </c>
      <c r="R414" s="143" t="s">
        <v>12</v>
      </c>
      <c r="S414" s="476">
        <f>S411-S412</f>
        <v>605.21</v>
      </c>
      <c r="T414" s="477"/>
      <c r="U414" s="478">
        <f>U411-U412</f>
        <v>49.550000000000068</v>
      </c>
      <c r="V414" s="479"/>
      <c r="W414" s="289" t="s">
        <v>379</v>
      </c>
      <c r="X414" s="132">
        <v>966.9</v>
      </c>
      <c r="Y414" s="470" t="s">
        <v>14</v>
      </c>
      <c r="Z414" s="471"/>
    </row>
    <row r="415" spans="1:30" ht="15.75" thickBot="1">
      <c r="B415" s="1"/>
      <c r="C415" s="15"/>
      <c r="D415" s="455"/>
      <c r="E415" s="456"/>
      <c r="F415" s="15">
        <v>30</v>
      </c>
      <c r="G415" s="462" t="s">
        <v>432</v>
      </c>
      <c r="H415" s="464"/>
      <c r="I415" s="63">
        <f>60+51+40+40+41</f>
        <v>232</v>
      </c>
      <c r="J415" s="462" t="s">
        <v>98</v>
      </c>
      <c r="K415" s="464"/>
      <c r="L415" s="76"/>
      <c r="M415" s="25"/>
      <c r="N415" s="293"/>
      <c r="O415" s="136" t="s">
        <v>324</v>
      </c>
      <c r="P415" s="319">
        <f>Q404+SUM(L410:L423)</f>
        <v>145</v>
      </c>
      <c r="Q415" s="320">
        <f>Z411+Z412+Z413</f>
        <v>147</v>
      </c>
      <c r="R415" s="144" t="s">
        <v>425</v>
      </c>
      <c r="S415" s="465">
        <f>S411-S413</f>
        <v>645.33999999999992</v>
      </c>
      <c r="T415" s="466"/>
      <c r="U415" s="467">
        <f>U411-U413</f>
        <v>108.97657494053226</v>
      </c>
      <c r="V415" s="468"/>
      <c r="W415" s="146" t="s">
        <v>375</v>
      </c>
      <c r="X415" s="325">
        <v>14.5</v>
      </c>
      <c r="Y415" s="143" t="s">
        <v>15</v>
      </c>
      <c r="Z415" s="12">
        <f>819.29+38.78+6.5</f>
        <v>864.56999999999994</v>
      </c>
    </row>
    <row r="416" spans="1:30" ht="15.75" thickBot="1">
      <c r="B416" s="1"/>
      <c r="C416" s="15"/>
      <c r="D416" s="462"/>
      <c r="E416" s="463"/>
      <c r="F416" s="15">
        <v>770</v>
      </c>
      <c r="G416" s="25" t="s">
        <v>327</v>
      </c>
      <c r="H416" s="76"/>
      <c r="I416" s="20">
        <f>8.24+3.25+7.59+6.98</f>
        <v>26.06</v>
      </c>
      <c r="J416" s="462" t="s">
        <v>377</v>
      </c>
      <c r="K416" s="464"/>
      <c r="L416" s="76"/>
      <c r="M416" s="25"/>
      <c r="N416" s="294"/>
      <c r="O416" s="140" t="s">
        <v>321</v>
      </c>
      <c r="P416" s="132">
        <f>SUM(L410:L423)</f>
        <v>-200</v>
      </c>
      <c r="Q416" s="72">
        <f>Q415-U403</f>
        <v>-101.87</v>
      </c>
      <c r="R416" s="144" t="s">
        <v>426</v>
      </c>
      <c r="S416" s="465">
        <f>S414+S420</f>
        <v>-7497.49</v>
      </c>
      <c r="T416" s="466"/>
      <c r="U416" s="467">
        <f>U414+S420</f>
        <v>-8053.15</v>
      </c>
      <c r="V416" s="468"/>
      <c r="W416" s="470" t="s">
        <v>376</v>
      </c>
      <c r="X416" s="471"/>
      <c r="Y416" s="146" t="s">
        <v>325</v>
      </c>
      <c r="Z416" s="10">
        <v>3.88</v>
      </c>
    </row>
    <row r="417" spans="2:35" ht="16.5" thickTop="1" thickBot="1">
      <c r="B417" s="1"/>
      <c r="C417" s="15"/>
      <c r="D417" s="462"/>
      <c r="E417" s="463"/>
      <c r="F417" s="15">
        <f>90</f>
        <v>90</v>
      </c>
      <c r="G417" s="457" t="s">
        <v>498</v>
      </c>
      <c r="H417" s="458"/>
      <c r="I417" s="63">
        <f>6+6.17</f>
        <v>12.17</v>
      </c>
      <c r="J417" s="462" t="s">
        <v>456</v>
      </c>
      <c r="K417" s="464"/>
      <c r="L417" s="76"/>
      <c r="M417" s="25"/>
      <c r="N417" s="292"/>
      <c r="O417" s="141" t="s">
        <v>322</v>
      </c>
      <c r="P417" s="133">
        <f>P416/31</f>
        <v>-6.4516129032258061</v>
      </c>
      <c r="Q417" s="10">
        <f>Q416/31</f>
        <v>-3.2861290322580645</v>
      </c>
      <c r="R417" s="144" t="s">
        <v>422</v>
      </c>
      <c r="S417" s="465">
        <f>S416-S415</f>
        <v>-8142.83</v>
      </c>
      <c r="T417" s="466"/>
      <c r="U417" s="467">
        <f>U416-U415</f>
        <v>-8162.126574940532</v>
      </c>
      <c r="V417" s="468"/>
      <c r="W417" s="289" t="s">
        <v>12</v>
      </c>
      <c r="X417" s="38"/>
      <c r="Y417" s="470" t="s">
        <v>374</v>
      </c>
      <c r="Z417" s="471"/>
    </row>
    <row r="418" spans="2:35" ht="16.5" thickTop="1" thickBot="1">
      <c r="B418" s="1"/>
      <c r="C418" s="15"/>
      <c r="D418" s="462"/>
      <c r="E418" s="463"/>
      <c r="F418" s="15">
        <v>20</v>
      </c>
      <c r="G418" s="462" t="s">
        <v>33</v>
      </c>
      <c r="H418" s="464"/>
      <c r="I418" s="20">
        <v>14.8</v>
      </c>
      <c r="J418" s="462" t="s">
        <v>472</v>
      </c>
      <c r="K418" s="464"/>
      <c r="L418" s="76"/>
      <c r="M418" s="25"/>
      <c r="N418" s="293"/>
      <c r="O418" s="136" t="s">
        <v>325</v>
      </c>
      <c r="P418" s="319">
        <f>Q403+SUM(M410:M423)</f>
        <v>3.8800000000000239</v>
      </c>
      <c r="Q418" s="320">
        <f>Z416</f>
        <v>3.88</v>
      </c>
      <c r="R418" s="143" t="s">
        <v>421</v>
      </c>
      <c r="S418" s="465">
        <f>S423+S417</f>
        <v>-8169.5599999999995</v>
      </c>
      <c r="T418" s="466"/>
      <c r="U418" s="467">
        <f>U423+U417</f>
        <v>-8073.7992704820026</v>
      </c>
      <c r="V418" s="468"/>
      <c r="W418" s="282" t="s">
        <v>373</v>
      </c>
      <c r="X418" s="281"/>
      <c r="Y418" s="321" t="s">
        <v>181</v>
      </c>
      <c r="Z418" s="322">
        <v>10.039999999999999</v>
      </c>
    </row>
    <row r="419" spans="2:35">
      <c r="B419" s="1"/>
      <c r="C419" s="266"/>
      <c r="D419" s="448"/>
      <c r="E419" s="469"/>
      <c r="F419" s="15">
        <v>13.6</v>
      </c>
      <c r="G419" s="462" t="s">
        <v>492</v>
      </c>
      <c r="H419" s="464"/>
      <c r="I419" s="20">
        <f>1.56+1.73</f>
        <v>3.29</v>
      </c>
      <c r="J419" s="462" t="s">
        <v>473</v>
      </c>
      <c r="K419" s="464"/>
      <c r="L419" s="76"/>
      <c r="M419" s="25"/>
      <c r="N419" s="295"/>
      <c r="O419" s="140" t="s">
        <v>321</v>
      </c>
      <c r="P419" s="132">
        <f>SUM(M410:M423)</f>
        <v>-189.83</v>
      </c>
      <c r="Q419" s="72">
        <f>Q418-U404</f>
        <v>-196.12</v>
      </c>
      <c r="R419" s="144" t="s">
        <v>418</v>
      </c>
      <c r="S419" s="465">
        <f>S416-S414</f>
        <v>-8102.7</v>
      </c>
      <c r="T419" s="466"/>
      <c r="U419" s="467">
        <f>U416-U414</f>
        <v>-8102.7</v>
      </c>
      <c r="V419" s="468"/>
      <c r="W419" s="282" t="s">
        <v>378</v>
      </c>
      <c r="X419" s="281"/>
      <c r="Y419" s="323"/>
      <c r="Z419" s="324"/>
    </row>
    <row r="420" spans="2:35" ht="15.75" thickBot="1">
      <c r="B420" s="1"/>
      <c r="C420" s="266"/>
      <c r="D420" s="448"/>
      <c r="E420" s="469"/>
      <c r="F420" s="15"/>
      <c r="G420" s="462"/>
      <c r="H420" s="464"/>
      <c r="I420" s="20"/>
      <c r="J420" s="462"/>
      <c r="K420" s="464"/>
      <c r="L420" s="76"/>
      <c r="M420" s="25"/>
      <c r="N420" s="293"/>
      <c r="O420" s="141" t="s">
        <v>322</v>
      </c>
      <c r="P420" s="133">
        <f>P419/31</f>
        <v>-6.1235483870967746</v>
      </c>
      <c r="Q420" s="10">
        <f>Q419/31</f>
        <v>-6.3264516129032256</v>
      </c>
      <c r="R420" s="144" t="s">
        <v>438</v>
      </c>
      <c r="S420" s="465">
        <f>'Calculation Definitions'!L18</f>
        <v>-8102.7</v>
      </c>
      <c r="T420" s="466"/>
      <c r="U420" s="472"/>
      <c r="V420" s="473"/>
      <c r="W420" s="289" t="s">
        <v>379</v>
      </c>
      <c r="X420" s="281"/>
      <c r="Y420" s="266"/>
      <c r="Z420" s="16"/>
    </row>
    <row r="421" spans="2:35" ht="15.75" thickBot="1">
      <c r="B421" s="1"/>
      <c r="C421" s="15"/>
      <c r="D421" s="448"/>
      <c r="E421" s="469"/>
      <c r="F421" s="15"/>
      <c r="G421" s="462"/>
      <c r="H421" s="464"/>
      <c r="I421" s="20"/>
      <c r="J421" s="462"/>
      <c r="K421" s="464"/>
      <c r="L421" s="76"/>
      <c r="M421" s="25"/>
      <c r="N421" s="295"/>
      <c r="O421" s="136" t="s">
        <v>323</v>
      </c>
      <c r="P421" s="319">
        <f>Q421</f>
        <v>716.35730445852914</v>
      </c>
      <c r="Q421" s="320">
        <f>S410+U410</f>
        <v>716.35730445852914</v>
      </c>
      <c r="R421" s="144" t="s">
        <v>380</v>
      </c>
      <c r="S421" s="291">
        <f>S412-S413</f>
        <v>40.129999999999995</v>
      </c>
      <c r="T421" s="297">
        <f>S421/S413</f>
        <v>8.6544889904893341E-2</v>
      </c>
      <c r="U421" s="291">
        <f>U412-U413</f>
        <v>59.426574940532191</v>
      </c>
      <c r="V421" s="299">
        <f>U421/U413</f>
        <v>0.1710248055095486</v>
      </c>
      <c r="W421" s="146" t="s">
        <v>375</v>
      </c>
      <c r="X421" s="326"/>
      <c r="Y421" s="266"/>
      <c r="Z421" s="16"/>
    </row>
    <row r="422" spans="2:35">
      <c r="B422" s="1"/>
      <c r="C422" s="15">
        <f>1881.85-1837.38</f>
        <v>44.4699999999998</v>
      </c>
      <c r="D422" s="462" t="s">
        <v>500</v>
      </c>
      <c r="E422" s="463"/>
      <c r="F422" s="15"/>
      <c r="G422" s="503"/>
      <c r="H422" s="504"/>
      <c r="I422" s="20"/>
      <c r="J422" s="503"/>
      <c r="K422" s="504"/>
      <c r="L422" s="76"/>
      <c r="M422" s="25">
        <f>-(193.71-3.88)</f>
        <v>-189.83</v>
      </c>
      <c r="N422" s="293"/>
      <c r="O422" s="140" t="s">
        <v>321</v>
      </c>
      <c r="P422" s="132">
        <f>SUM(N410:N423)</f>
        <v>0</v>
      </c>
      <c r="Q422" s="72">
        <f>Q421-U405</f>
        <v>-229.74269554147088</v>
      </c>
      <c r="R422" s="144" t="s">
        <v>381</v>
      </c>
      <c r="S422" s="291">
        <f>S410-S415</f>
        <v>-66.8599999999999</v>
      </c>
      <c r="T422" s="297">
        <f>S422/S415</f>
        <v>-0.10360430160845431</v>
      </c>
      <c r="U422" s="291">
        <f>U410-U415</f>
        <v>28.900729517996837</v>
      </c>
      <c r="V422" s="299">
        <f>U422/U415</f>
        <v>0.26520130159869459</v>
      </c>
      <c r="W422" s="337" t="s">
        <v>410</v>
      </c>
      <c r="X422" s="1" t="s">
        <v>558</v>
      </c>
      <c r="Y422" s="266"/>
      <c r="Z422" s="16"/>
    </row>
    <row r="423" spans="2:35" ht="15.75" thickBot="1">
      <c r="B423" s="1"/>
      <c r="C423" s="17"/>
      <c r="D423" s="459"/>
      <c r="E423" s="460"/>
      <c r="F423" s="17"/>
      <c r="G423" s="459"/>
      <c r="H423" s="461"/>
      <c r="I423" s="21"/>
      <c r="J423" s="459"/>
      <c r="K423" s="461"/>
      <c r="L423" s="42"/>
      <c r="M423" s="5"/>
      <c r="N423" s="21"/>
      <c r="O423" s="137" t="s">
        <v>322</v>
      </c>
      <c r="P423" s="138">
        <f>P422/31</f>
        <v>0</v>
      </c>
      <c r="Q423" s="24">
        <f>Q422/31</f>
        <v>-7.4110546948861575</v>
      </c>
      <c r="R423" s="153" t="s">
        <v>410</v>
      </c>
      <c r="S423" s="296">
        <f>S421+S422</f>
        <v>-26.729999999999905</v>
      </c>
      <c r="T423" s="298">
        <f>S423/S411</f>
        <v>-2.4102143314427837E-2</v>
      </c>
      <c r="U423" s="296">
        <f>U422+U421</f>
        <v>88.327304458529028</v>
      </c>
      <c r="V423" s="300">
        <f>U423/U411</f>
        <v>0.19350926598428966</v>
      </c>
      <c r="W423" s="296">
        <f>S423+U423</f>
        <v>61.597304458529123</v>
      </c>
      <c r="X423" s="330">
        <f>(W423+S411+U411)/(S411+U411)-1</f>
        <v>3.9347231812945083E-2</v>
      </c>
      <c r="Y423" s="290"/>
      <c r="Z423" s="18"/>
    </row>
    <row r="424" spans="2:35" ht="17.25" thickTop="1" thickBot="1">
      <c r="B424" s="14" t="s">
        <v>31</v>
      </c>
      <c r="C424" s="264">
        <v>45324</v>
      </c>
      <c r="D424" s="3"/>
      <c r="E424" s="3"/>
      <c r="F424" s="311"/>
      <c r="G424" s="311"/>
      <c r="H424" s="311"/>
      <c r="I424" s="311"/>
      <c r="J424" s="311"/>
      <c r="K424" s="311"/>
      <c r="L424" s="311"/>
      <c r="M424" s="311"/>
      <c r="N424" s="3"/>
      <c r="O424" s="3"/>
      <c r="P424" s="3"/>
      <c r="Q424" s="3"/>
      <c r="R424" s="3"/>
      <c r="S424" s="3"/>
      <c r="T424" s="3"/>
      <c r="U424" s="3"/>
      <c r="V424" s="3"/>
      <c r="W424" s="3"/>
      <c r="X424" s="3"/>
      <c r="Y424" s="3"/>
      <c r="Z424" s="3"/>
      <c r="AA424" s="25"/>
    </row>
    <row r="425" spans="2:35" ht="17.25" thickTop="1" thickBot="1">
      <c r="C425" s="480" t="s">
        <v>386</v>
      </c>
      <c r="D425" s="481"/>
      <c r="E425" s="482"/>
      <c r="F425" s="483" t="s">
        <v>387</v>
      </c>
      <c r="G425" s="484"/>
      <c r="H425" s="484"/>
      <c r="I425" s="484"/>
      <c r="J425" s="484"/>
      <c r="K425" s="484"/>
      <c r="L425" s="484"/>
      <c r="M425" s="484"/>
      <c r="N425" s="485"/>
      <c r="O425" s="261" t="s">
        <v>320</v>
      </c>
      <c r="P425" s="262" t="s">
        <v>257</v>
      </c>
      <c r="Q425" s="263" t="s">
        <v>319</v>
      </c>
      <c r="R425" s="486" t="s">
        <v>144</v>
      </c>
      <c r="S425" s="487"/>
      <c r="T425" s="487"/>
      <c r="U425" s="487"/>
      <c r="V425" s="487"/>
      <c r="W425" s="487"/>
      <c r="X425" s="487"/>
      <c r="Y425" s="487"/>
      <c r="Z425" s="488"/>
      <c r="AA425" s="63"/>
    </row>
    <row r="426" spans="2:35" ht="15.75" thickBot="1">
      <c r="B426" s="1"/>
      <c r="C426" s="265"/>
      <c r="D426" s="489"/>
      <c r="E426" s="490"/>
      <c r="F426" s="470" t="s">
        <v>3</v>
      </c>
      <c r="G426" s="491"/>
      <c r="H426" s="492"/>
      <c r="I426" s="493" t="s">
        <v>4</v>
      </c>
      <c r="J426" s="491"/>
      <c r="K426" s="492"/>
      <c r="L426" s="267" t="s">
        <v>324</v>
      </c>
      <c r="M426" s="267" t="s">
        <v>325</v>
      </c>
      <c r="N426" s="267" t="s">
        <v>323</v>
      </c>
      <c r="O426" s="316" t="s">
        <v>5</v>
      </c>
      <c r="P426" s="317">
        <f>P429+P432+P435+P438</f>
        <v>1434.2373044585261</v>
      </c>
      <c r="Q426" s="318">
        <f>Q435+Q432+Q429+Q438</f>
        <v>1447.2329096787446</v>
      </c>
      <c r="R426" s="268" t="s">
        <v>323</v>
      </c>
      <c r="S426" s="493" t="s">
        <v>317</v>
      </c>
      <c r="T426" s="492"/>
      <c r="U426" s="493" t="s">
        <v>369</v>
      </c>
      <c r="V426" s="471"/>
      <c r="W426" s="491" t="s">
        <v>310</v>
      </c>
      <c r="X426" s="471"/>
      <c r="Y426" s="470" t="s">
        <v>13</v>
      </c>
      <c r="Z426" s="471"/>
      <c r="AB426" s="25"/>
    </row>
    <row r="427" spans="2:35" ht="16.5" thickTop="1" thickBot="1">
      <c r="B427" s="1"/>
      <c r="C427" s="15"/>
      <c r="D427" s="494"/>
      <c r="E427" s="495"/>
      <c r="G427" s="496"/>
      <c r="H427" s="497"/>
      <c r="J427" s="496"/>
      <c r="K427" s="497"/>
      <c r="L427" s="76"/>
      <c r="M427" s="25"/>
      <c r="N427" s="292"/>
      <c r="O427" s="258" t="s">
        <v>321</v>
      </c>
      <c r="P427" s="132">
        <f>SUM(C427:C440)-SUM(F427:F440)-SUM(I427:I440)</f>
        <v>-447.61000000000035</v>
      </c>
      <c r="Q427" s="72">
        <f>Q426-Q409</f>
        <v>-434.61439477978433</v>
      </c>
      <c r="R427" s="307" t="s">
        <v>343</v>
      </c>
      <c r="S427" s="498">
        <v>444.64</v>
      </c>
      <c r="T427" s="499"/>
      <c r="U427" s="498">
        <v>54.342909678744562</v>
      </c>
      <c r="V427" s="500"/>
      <c r="W427" s="501" t="s">
        <v>326</v>
      </c>
      <c r="X427" s="502"/>
      <c r="Y427" s="143" t="s">
        <v>17</v>
      </c>
      <c r="Z427" s="12">
        <v>1</v>
      </c>
      <c r="AA427" s="25"/>
      <c r="AI427" s="6"/>
    </row>
    <row r="428" spans="2:35" ht="16.5" thickTop="1" thickBot="1">
      <c r="B428" s="1"/>
      <c r="C428" s="15">
        <v>2526.4899999999998</v>
      </c>
      <c r="D428" s="506" t="s">
        <v>11</v>
      </c>
      <c r="E428" s="507"/>
      <c r="F428" s="15">
        <f>6.5+6.5+15.39-3.25+9+11.72+13.91-6.5+17.54+12.26+10.57+13+13.01+5.43+6.5</f>
        <v>131.58000000000001</v>
      </c>
      <c r="G428" s="462" t="s">
        <v>223</v>
      </c>
      <c r="H428" s="464"/>
      <c r="I428" s="20">
        <v>10.99</v>
      </c>
      <c r="J428" s="462" t="s">
        <v>22</v>
      </c>
      <c r="K428" s="464"/>
      <c r="L428" s="76"/>
      <c r="M428" s="25"/>
      <c r="N428" s="295">
        <v>-10.75</v>
      </c>
      <c r="O428" s="141" t="s">
        <v>322</v>
      </c>
      <c r="P428" s="331">
        <f>P427/29</f>
        <v>-15.434827586206909</v>
      </c>
      <c r="Q428" s="53">
        <f>Q427/29</f>
        <v>-14.986703268268425</v>
      </c>
      <c r="R428" s="308" t="s">
        <v>382</v>
      </c>
      <c r="S428" s="474">
        <v>1394.03</v>
      </c>
      <c r="T428" s="475"/>
      <c r="U428" s="467">
        <v>456.45000000000005</v>
      </c>
      <c r="V428" s="468"/>
      <c r="W428" s="289" t="s">
        <v>12</v>
      </c>
      <c r="X428" s="315">
        <v>783.7</v>
      </c>
      <c r="Y428" s="144" t="s">
        <v>18</v>
      </c>
      <c r="Z428" s="72">
        <v>104</v>
      </c>
    </row>
    <row r="429" spans="2:35">
      <c r="B429" s="1"/>
      <c r="C429" s="15"/>
      <c r="D429" s="462"/>
      <c r="E429" s="463"/>
      <c r="F429" s="15">
        <f>38.78+41.83+38.9</f>
        <v>119.50999999999999</v>
      </c>
      <c r="G429" s="462" t="s">
        <v>9</v>
      </c>
      <c r="H429" s="464"/>
      <c r="I429" s="63">
        <f>17.31+54.11</f>
        <v>71.42</v>
      </c>
      <c r="J429" s="462" t="s">
        <v>249</v>
      </c>
      <c r="K429" s="464"/>
      <c r="L429" s="76"/>
      <c r="M429" s="25"/>
      <c r="N429" s="294">
        <v>1</v>
      </c>
      <c r="O429" s="136" t="s">
        <v>12</v>
      </c>
      <c r="P429" s="319">
        <f>P412+P427-SUM(L427:L440)-SUM(M427:M440)-SUM(N427:N440)</f>
        <v>578.74999999999682</v>
      </c>
      <c r="Q429" s="320">
        <f>Z427+Z432+Z435</f>
        <v>797.37000000000012</v>
      </c>
      <c r="R429" s="308" t="s">
        <v>383</v>
      </c>
      <c r="S429" s="474">
        <v>955.56</v>
      </c>
      <c r="T429" s="475"/>
      <c r="U429" s="467">
        <v>524.20999999999992</v>
      </c>
      <c r="V429" s="468"/>
      <c r="W429" s="282" t="s">
        <v>373</v>
      </c>
      <c r="X429" s="132">
        <v>3000</v>
      </c>
      <c r="Y429" s="144" t="s">
        <v>19</v>
      </c>
      <c r="Z429" s="72">
        <v>43</v>
      </c>
      <c r="AC429" s="1"/>
    </row>
    <row r="430" spans="2:35" ht="15.75" thickBot="1">
      <c r="B430" s="1"/>
      <c r="C430" s="15"/>
      <c r="D430" s="462"/>
      <c r="E430" s="463"/>
      <c r="F430" s="15">
        <v>145</v>
      </c>
      <c r="G430" s="462" t="s">
        <v>6</v>
      </c>
      <c r="H430" s="464"/>
      <c r="I430" s="20">
        <v>0.99</v>
      </c>
      <c r="J430" s="462" t="s">
        <v>499</v>
      </c>
      <c r="K430" s="464"/>
      <c r="L430" s="76"/>
      <c r="M430" s="25"/>
      <c r="N430" s="293"/>
      <c r="O430" s="140" t="s">
        <v>321</v>
      </c>
      <c r="P430" s="132">
        <f>SUM(C427:C440)-SUM(F427:F440)-SUM(I427:I440)-P433-P436-P439</f>
        <v>-437.86000000000035</v>
      </c>
      <c r="Q430" s="72">
        <f>Q429-Q412</f>
        <v>-217.23999999999978</v>
      </c>
      <c r="R430" s="308" t="s">
        <v>424</v>
      </c>
      <c r="S430" s="474">
        <v>873.67</v>
      </c>
      <c r="T430" s="475"/>
      <c r="U430" s="467">
        <v>446.59295991425239</v>
      </c>
      <c r="V430" s="468"/>
      <c r="W430" s="282" t="s">
        <v>378</v>
      </c>
      <c r="X430" s="132">
        <f>X429-X428</f>
        <v>2216.3000000000002</v>
      </c>
      <c r="Y430" s="145" t="s">
        <v>324</v>
      </c>
      <c r="Z430" s="135">
        <v>0</v>
      </c>
      <c r="AA430" s="1"/>
      <c r="AC430" s="1"/>
      <c r="AD430" s="1"/>
      <c r="AE430" s="1"/>
    </row>
    <row r="431" spans="2:35" ht="15.75" thickBot="1">
      <c r="B431" s="1"/>
      <c r="C431" s="15"/>
      <c r="D431" s="455"/>
      <c r="E431" s="456"/>
      <c r="F431" s="15">
        <v>300</v>
      </c>
      <c r="G431" s="462" t="s">
        <v>97</v>
      </c>
      <c r="H431" s="464"/>
      <c r="I431" s="20">
        <v>11.99</v>
      </c>
      <c r="J431" s="462" t="s">
        <v>385</v>
      </c>
      <c r="K431" s="464"/>
      <c r="L431" s="76"/>
      <c r="M431" s="25"/>
      <c r="N431" s="294"/>
      <c r="O431" s="141" t="s">
        <v>322</v>
      </c>
      <c r="P431" s="331">
        <f>P430/29</f>
        <v>-15.098620689655185</v>
      </c>
      <c r="Q431" s="53">
        <f>Q430/29</f>
        <v>-7.4910344827586135</v>
      </c>
      <c r="R431" s="143" t="s">
        <v>12</v>
      </c>
      <c r="S431" s="476">
        <v>438.47</v>
      </c>
      <c r="T431" s="477"/>
      <c r="U431" s="478">
        <v>-67.759999999999877</v>
      </c>
      <c r="V431" s="479"/>
      <c r="W431" s="289" t="s">
        <v>379</v>
      </c>
      <c r="X431" s="132">
        <v>811.32</v>
      </c>
      <c r="Y431" s="470" t="s">
        <v>14</v>
      </c>
      <c r="Z431" s="471"/>
      <c r="AA431" s="1"/>
      <c r="AC431" s="25"/>
      <c r="AD431" s="1"/>
      <c r="AE431" s="1"/>
    </row>
    <row r="432" spans="2:35" ht="15.75" thickBot="1">
      <c r="B432" s="1"/>
      <c r="C432" s="15"/>
      <c r="D432" s="455"/>
      <c r="E432" s="456"/>
      <c r="F432" s="15">
        <v>770</v>
      </c>
      <c r="G432" s="462" t="s">
        <v>497</v>
      </c>
      <c r="H432" s="464"/>
      <c r="I432" s="63">
        <f>100+80+50+65</f>
        <v>295</v>
      </c>
      <c r="J432" s="462" t="s">
        <v>98</v>
      </c>
      <c r="K432" s="464"/>
      <c r="L432" s="76"/>
      <c r="M432" s="25"/>
      <c r="N432" s="293"/>
      <c r="O432" s="136" t="s">
        <v>324</v>
      </c>
      <c r="P432" s="319">
        <f>P415+P433</f>
        <v>145</v>
      </c>
      <c r="Q432" s="320">
        <f>Z428+Z429+Z430</f>
        <v>147</v>
      </c>
      <c r="R432" s="144" t="s">
        <v>425</v>
      </c>
      <c r="S432" s="465">
        <v>520.36</v>
      </c>
      <c r="T432" s="466"/>
      <c r="U432" s="467">
        <v>9.8570400857476557</v>
      </c>
      <c r="V432" s="468"/>
      <c r="W432" s="146" t="s">
        <v>375</v>
      </c>
      <c r="X432" s="325">
        <v>26.09</v>
      </c>
      <c r="Y432" s="143" t="s">
        <v>15</v>
      </c>
      <c r="Z432" s="12">
        <v>627.2600000000001</v>
      </c>
      <c r="AA432" s="6"/>
      <c r="AB432" s="8"/>
      <c r="AC432" s="25"/>
      <c r="AD432" s="25"/>
      <c r="AE432" s="25"/>
    </row>
    <row r="433" spans="2:42" ht="15.75" thickBot="1">
      <c r="B433" s="1"/>
      <c r="C433" s="15"/>
      <c r="D433" s="462"/>
      <c r="E433" s="463"/>
      <c r="F433" s="15">
        <f>100+30</f>
        <v>130</v>
      </c>
      <c r="G433" s="457" t="s">
        <v>505</v>
      </c>
      <c r="H433" s="458"/>
      <c r="I433" s="20">
        <v>10</v>
      </c>
      <c r="J433" s="462" t="s">
        <v>105</v>
      </c>
      <c r="K433" s="464"/>
      <c r="L433" s="76"/>
      <c r="M433" s="25"/>
      <c r="N433" s="294"/>
      <c r="O433" s="140" t="s">
        <v>321</v>
      </c>
      <c r="P433" s="132">
        <f>SUM(L427:L440)</f>
        <v>0</v>
      </c>
      <c r="Q433" s="72">
        <f>Q432-Q415</f>
        <v>0</v>
      </c>
      <c r="R433" s="144" t="s">
        <v>426</v>
      </c>
      <c r="S433" s="465">
        <v>782.75</v>
      </c>
      <c r="T433" s="466"/>
      <c r="U433" s="467">
        <v>276.5200000000001</v>
      </c>
      <c r="V433" s="468"/>
      <c r="W433" s="470" t="s">
        <v>376</v>
      </c>
      <c r="X433" s="471"/>
      <c r="Y433" s="146" t="s">
        <v>325</v>
      </c>
      <c r="Z433" s="10">
        <v>3.88</v>
      </c>
      <c r="AB433" s="8"/>
      <c r="AC433" s="25"/>
      <c r="AD433" s="25"/>
      <c r="AE433" s="25"/>
      <c r="AF433" s="6"/>
      <c r="AG433" s="6"/>
    </row>
    <row r="434" spans="2:42" ht="16.5" thickTop="1" thickBot="1">
      <c r="B434" s="1"/>
      <c r="C434" s="15"/>
      <c r="D434" s="462"/>
      <c r="E434" s="463"/>
      <c r="F434" s="15">
        <v>20</v>
      </c>
      <c r="G434" s="462" t="s">
        <v>33</v>
      </c>
      <c r="H434" s="464"/>
      <c r="I434" s="63">
        <f>6.5+6.5+3.25+6.5</f>
        <v>22.75</v>
      </c>
      <c r="J434" s="462" t="s">
        <v>377</v>
      </c>
      <c r="K434" s="464"/>
      <c r="L434" s="76"/>
      <c r="M434" s="25"/>
      <c r="N434" s="292"/>
      <c r="O434" s="141" t="s">
        <v>322</v>
      </c>
      <c r="P434" s="331">
        <f>P433/29</f>
        <v>0</v>
      </c>
      <c r="Q434" s="53">
        <f>Q433/29</f>
        <v>0</v>
      </c>
      <c r="R434" s="144" t="s">
        <v>422</v>
      </c>
      <c r="S434" s="465">
        <v>262.39</v>
      </c>
      <c r="T434" s="466"/>
      <c r="U434" s="467">
        <v>266.66295991425244</v>
      </c>
      <c r="V434" s="468"/>
      <c r="W434" s="289" t="s">
        <v>12</v>
      </c>
      <c r="X434" s="38"/>
      <c r="Y434" s="470" t="s">
        <v>374</v>
      </c>
      <c r="Z434" s="471"/>
      <c r="AE434" s="6"/>
      <c r="AF434" s="25"/>
      <c r="AG434" s="25"/>
      <c r="AH434" s="6"/>
      <c r="AI434" s="6"/>
      <c r="AO434" s="6"/>
    </row>
    <row r="435" spans="2:42" ht="15.75" thickTop="1">
      <c r="B435" s="1"/>
      <c r="C435" s="15"/>
      <c r="D435" s="462"/>
      <c r="E435" s="463"/>
      <c r="F435" s="15"/>
      <c r="G435" s="462"/>
      <c r="H435" s="464"/>
      <c r="I435" s="20">
        <v>934.87</v>
      </c>
      <c r="J435" s="462" t="s">
        <v>206</v>
      </c>
      <c r="K435" s="464"/>
      <c r="L435" s="76"/>
      <c r="M435" s="25"/>
      <c r="N435" s="293"/>
      <c r="O435" s="136" t="s">
        <v>325</v>
      </c>
      <c r="P435" s="319">
        <f>P418+P436</f>
        <v>3.8800000000000239</v>
      </c>
      <c r="Q435" s="320">
        <f>Z433</f>
        <v>3.88</v>
      </c>
      <c r="R435" s="143" t="s">
        <v>421</v>
      </c>
      <c r="S435" s="465">
        <v>268.55999999999995</v>
      </c>
      <c r="T435" s="466"/>
      <c r="U435" s="467">
        <v>388.76586959299686</v>
      </c>
      <c r="V435" s="468"/>
      <c r="W435" s="282" t="s">
        <v>373</v>
      </c>
      <c r="X435" s="281"/>
      <c r="Y435" s="321" t="s">
        <v>181</v>
      </c>
      <c r="Z435" s="322">
        <v>169.11</v>
      </c>
    </row>
    <row r="436" spans="2:42" ht="15.75" thickBot="1">
      <c r="B436" s="1"/>
      <c r="C436" s="266"/>
      <c r="D436" s="448"/>
      <c r="E436" s="469"/>
      <c r="F436" s="15"/>
      <c r="G436" s="462"/>
      <c r="H436" s="464"/>
      <c r="I436" s="20"/>
      <c r="J436" s="462"/>
      <c r="K436" s="464"/>
      <c r="L436" s="76"/>
      <c r="M436" s="25"/>
      <c r="N436" s="295"/>
      <c r="O436" s="140" t="s">
        <v>321</v>
      </c>
      <c r="P436" s="132">
        <f>SUM(M427:M440)</f>
        <v>0</v>
      </c>
      <c r="Q436" s="72">
        <f>Q435-Q418</f>
        <v>0</v>
      </c>
      <c r="R436" s="144" t="s">
        <v>418</v>
      </c>
      <c r="S436" s="465">
        <v>344.28</v>
      </c>
      <c r="T436" s="466"/>
      <c r="U436" s="467">
        <v>344.28</v>
      </c>
      <c r="V436" s="468"/>
      <c r="W436" s="282" t="s">
        <v>378</v>
      </c>
      <c r="X436" s="281"/>
      <c r="Y436" s="146" t="s">
        <v>553</v>
      </c>
      <c r="Z436" s="10">
        <v>169.11</v>
      </c>
      <c r="AA436" s="63"/>
      <c r="AB436" s="63"/>
      <c r="AE436" s="1"/>
    </row>
    <row r="437" spans="2:42" ht="15.75" thickBot="1">
      <c r="B437" s="1"/>
      <c r="C437" s="266"/>
      <c r="D437" s="448"/>
      <c r="E437" s="469"/>
      <c r="F437" s="15"/>
      <c r="G437" s="462"/>
      <c r="H437" s="464"/>
      <c r="I437" s="20"/>
      <c r="J437" s="462"/>
      <c r="K437" s="464"/>
      <c r="L437" s="76"/>
      <c r="M437" s="25"/>
      <c r="N437" s="293"/>
      <c r="O437" s="141" t="s">
        <v>322</v>
      </c>
      <c r="P437" s="331">
        <f>P436/29</f>
        <v>0</v>
      </c>
      <c r="Q437" s="53">
        <f>Q436/29</f>
        <v>0</v>
      </c>
      <c r="R437" s="144" t="s">
        <v>438</v>
      </c>
      <c r="S437" s="465">
        <v>344.28</v>
      </c>
      <c r="T437" s="466"/>
      <c r="U437" s="472"/>
      <c r="V437" s="473"/>
      <c r="W437" s="289" t="s">
        <v>379</v>
      </c>
      <c r="X437" s="281"/>
      <c r="Y437" s="266"/>
      <c r="Z437" s="16"/>
      <c r="AA437" s="63"/>
      <c r="AB437" s="63"/>
      <c r="AF437" s="1"/>
      <c r="AG437" s="1"/>
    </row>
    <row r="438" spans="2:42" ht="15.75" thickBot="1">
      <c r="B438" s="1"/>
      <c r="C438" s="15"/>
      <c r="D438" s="448"/>
      <c r="E438" s="469"/>
      <c r="F438" s="15"/>
      <c r="G438" s="462"/>
      <c r="H438" s="464"/>
      <c r="I438" s="20"/>
      <c r="J438" s="462"/>
      <c r="K438" s="464"/>
      <c r="L438" s="76"/>
      <c r="M438" s="25"/>
      <c r="N438" s="295"/>
      <c r="O438" s="136" t="s">
        <v>323</v>
      </c>
      <c r="P438" s="319">
        <f>P421+P439</f>
        <v>706.60730445852914</v>
      </c>
      <c r="Q438" s="320">
        <f>S427+U427</f>
        <v>498.98290967874453</v>
      </c>
      <c r="R438" s="144" t="s">
        <v>380</v>
      </c>
      <c r="S438" s="291">
        <f>S429-S430</f>
        <v>81.889999999999986</v>
      </c>
      <c r="T438" s="327">
        <f>S438/S430</f>
        <v>9.3731042613343696E-2</v>
      </c>
      <c r="U438" s="291">
        <f>U429-U430</f>
        <v>77.617040085747533</v>
      </c>
      <c r="V438" s="329">
        <f>U438/U430</f>
        <v>0.17379817205504161</v>
      </c>
      <c r="W438" s="146" t="s">
        <v>375</v>
      </c>
      <c r="X438" s="326"/>
      <c r="Y438" s="266"/>
      <c r="Z438" s="16"/>
      <c r="AD438" s="6"/>
      <c r="AE438" s="6"/>
    </row>
    <row r="439" spans="2:42">
      <c r="B439" s="1"/>
      <c r="C439" s="15"/>
      <c r="D439" s="462"/>
      <c r="E439" s="463"/>
      <c r="F439" s="15"/>
      <c r="G439" s="457"/>
      <c r="H439" s="458"/>
      <c r="I439" s="20"/>
      <c r="J439" s="457"/>
      <c r="K439" s="458"/>
      <c r="L439" s="76"/>
      <c r="M439" s="25"/>
      <c r="N439" s="293"/>
      <c r="O439" s="140" t="s">
        <v>321</v>
      </c>
      <c r="P439" s="132">
        <f>SUM(N427:N440)</f>
        <v>-9.75</v>
      </c>
      <c r="Q439" s="72">
        <f>Q438-Q421</f>
        <v>-217.37439477978461</v>
      </c>
      <c r="R439" s="144" t="s">
        <v>381</v>
      </c>
      <c r="S439" s="291">
        <f>S427-S432</f>
        <v>-75.720000000000027</v>
      </c>
      <c r="T439" s="327">
        <f>S439/S432</f>
        <v>-0.14551464370820205</v>
      </c>
      <c r="U439" s="291">
        <f>U427-U432</f>
        <v>44.485869592996906</v>
      </c>
      <c r="V439" s="329">
        <f>U439/U432</f>
        <v>4.5131062880954751</v>
      </c>
      <c r="W439" s="337" t="s">
        <v>410</v>
      </c>
      <c r="X439" s="1" t="s">
        <v>558</v>
      </c>
      <c r="Y439" s="266"/>
      <c r="Z439" s="16"/>
      <c r="AA439" s="6"/>
      <c r="AB439" s="6"/>
      <c r="AP439" s="6"/>
    </row>
    <row r="440" spans="2:42" ht="15.75" thickBot="1">
      <c r="B440" s="1"/>
      <c r="C440" s="17"/>
      <c r="D440" s="459"/>
      <c r="E440" s="460"/>
      <c r="F440" s="17"/>
      <c r="G440" s="459"/>
      <c r="H440" s="461"/>
      <c r="I440" s="21"/>
      <c r="J440" s="459"/>
      <c r="K440" s="461"/>
      <c r="L440" s="42"/>
      <c r="M440" s="5"/>
      <c r="N440" s="21"/>
      <c r="O440" s="137" t="s">
        <v>322</v>
      </c>
      <c r="P440" s="138">
        <f>P439/29</f>
        <v>-0.33620689655172414</v>
      </c>
      <c r="Q440" s="24">
        <f>Q439/29</f>
        <v>-7.4956687855098139</v>
      </c>
      <c r="R440" s="153" t="s">
        <v>410</v>
      </c>
      <c r="S440" s="296">
        <f>S438+S439</f>
        <v>6.1699999999999591</v>
      </c>
      <c r="T440" s="328">
        <f>S440/S428</f>
        <v>4.4260166567433694E-3</v>
      </c>
      <c r="U440" s="296">
        <f>U439+U438</f>
        <v>122.10290967874444</v>
      </c>
      <c r="V440" s="330">
        <f>U440/U428</f>
        <v>0.26750555302605855</v>
      </c>
      <c r="W440" s="296">
        <f>S440+U440</f>
        <v>128.27290967874438</v>
      </c>
      <c r="X440" s="330">
        <f>(W440+S428+U428)/(S428+U428)-1</f>
        <v>6.9318722536176658E-2</v>
      </c>
      <c r="Y440" s="290"/>
      <c r="Z440" s="18"/>
      <c r="AC440" s="6"/>
    </row>
    <row r="441" spans="2:42" ht="17.25" thickTop="1" thickBot="1">
      <c r="B441" s="14" t="s">
        <v>31</v>
      </c>
      <c r="C441" s="264">
        <v>45354</v>
      </c>
      <c r="D441" s="3"/>
      <c r="E441" s="3"/>
      <c r="F441" s="311"/>
      <c r="G441" s="311"/>
      <c r="H441" s="311"/>
      <c r="I441" s="311"/>
      <c r="J441" s="311"/>
      <c r="K441" s="311"/>
      <c r="L441" s="311"/>
      <c r="M441" s="311"/>
      <c r="N441" s="3"/>
      <c r="O441" s="3"/>
      <c r="P441" s="3"/>
      <c r="Q441" s="3"/>
      <c r="R441" s="3"/>
      <c r="S441" s="3"/>
      <c r="T441" s="3"/>
      <c r="U441" s="3"/>
      <c r="V441" s="3"/>
      <c r="W441" s="3"/>
      <c r="X441" s="3"/>
      <c r="Y441" s="3"/>
      <c r="Z441" s="3"/>
      <c r="AA441" s="6"/>
      <c r="AB441" s="6"/>
    </row>
    <row r="442" spans="2:42" ht="17.25" thickTop="1" thickBot="1">
      <c r="B442" s="14"/>
      <c r="C442" s="480" t="s">
        <v>386</v>
      </c>
      <c r="D442" s="481"/>
      <c r="E442" s="482"/>
      <c r="F442" s="483" t="s">
        <v>387</v>
      </c>
      <c r="G442" s="484"/>
      <c r="H442" s="484"/>
      <c r="I442" s="484"/>
      <c r="J442" s="484"/>
      <c r="K442" s="484"/>
      <c r="L442" s="484"/>
      <c r="M442" s="484"/>
      <c r="N442" s="485"/>
      <c r="O442" s="261" t="s">
        <v>320</v>
      </c>
      <c r="P442" s="262" t="s">
        <v>257</v>
      </c>
      <c r="Q442" s="263" t="s">
        <v>319</v>
      </c>
      <c r="R442" s="486" t="s">
        <v>144</v>
      </c>
      <c r="S442" s="487"/>
      <c r="T442" s="487"/>
      <c r="U442" s="487"/>
      <c r="V442" s="487"/>
      <c r="W442" s="487"/>
      <c r="X442" s="487"/>
      <c r="Y442" s="487"/>
      <c r="Z442" s="488"/>
    </row>
    <row r="443" spans="2:42" ht="15.75" thickBot="1">
      <c r="C443" s="265"/>
      <c r="D443" s="489"/>
      <c r="E443" s="490"/>
      <c r="F443" s="470" t="s">
        <v>3</v>
      </c>
      <c r="G443" s="491"/>
      <c r="H443" s="492"/>
      <c r="I443" s="493" t="s">
        <v>4</v>
      </c>
      <c r="J443" s="491"/>
      <c r="K443" s="492"/>
      <c r="L443" s="267" t="s">
        <v>324</v>
      </c>
      <c r="M443" s="267" t="s">
        <v>325</v>
      </c>
      <c r="N443" s="267" t="s">
        <v>323</v>
      </c>
      <c r="O443" s="316" t="s">
        <v>5</v>
      </c>
      <c r="P443" s="317">
        <f>P446+P449+P452+P455</f>
        <v>1425.8873044585257</v>
      </c>
      <c r="Q443" s="318">
        <f>Q452+Q449+Q446+Q455</f>
        <v>1432.4183028019122</v>
      </c>
      <c r="R443" s="268" t="s">
        <v>323</v>
      </c>
      <c r="S443" s="493" t="s">
        <v>317</v>
      </c>
      <c r="T443" s="492"/>
      <c r="U443" s="493" t="s">
        <v>369</v>
      </c>
      <c r="V443" s="471"/>
      <c r="W443" s="470" t="s">
        <v>310</v>
      </c>
      <c r="X443" s="471"/>
      <c r="Y443" s="470" t="s">
        <v>13</v>
      </c>
      <c r="Z443" s="471"/>
    </row>
    <row r="444" spans="2:42" ht="16.5" thickTop="1" thickBot="1">
      <c r="C444" s="15"/>
      <c r="D444" s="494"/>
      <c r="E444" s="495"/>
      <c r="G444" s="496"/>
      <c r="H444" s="497"/>
      <c r="J444" s="496"/>
      <c r="K444" s="497"/>
      <c r="L444" s="76"/>
      <c r="M444" s="25"/>
      <c r="N444" s="292"/>
      <c r="O444" s="258" t="s">
        <v>321</v>
      </c>
      <c r="P444" s="315">
        <f>SUM(C444:C457)-SUM(F444:F457)-SUM(I444:I457)</f>
        <v>-8.3500000000001364</v>
      </c>
      <c r="Q444" s="12">
        <f>Q443-Q426</f>
        <v>-14.814606876832386</v>
      </c>
      <c r="R444" s="307" t="s">
        <v>343</v>
      </c>
      <c r="S444" s="498">
        <v>401.8</v>
      </c>
      <c r="T444" s="499"/>
      <c r="U444" s="498">
        <v>73.69830280191222</v>
      </c>
      <c r="V444" s="500"/>
      <c r="W444" s="501" t="s">
        <v>326</v>
      </c>
      <c r="X444" s="502"/>
      <c r="Y444" s="143" t="s">
        <v>17</v>
      </c>
      <c r="Z444" s="12">
        <v>265</v>
      </c>
    </row>
    <row r="445" spans="2:42" ht="16.5" thickTop="1" thickBot="1">
      <c r="C445" s="15">
        <v>2526.4899999999998</v>
      </c>
      <c r="D445" s="462" t="s">
        <v>11</v>
      </c>
      <c r="E445" s="463"/>
      <c r="F445" s="6">
        <f>20.35+24+5.43+6.5</f>
        <v>56.28</v>
      </c>
      <c r="G445" s="462" t="s">
        <v>223</v>
      </c>
      <c r="H445" s="464"/>
      <c r="I445" s="20">
        <v>3.88</v>
      </c>
      <c r="J445" s="462" t="s">
        <v>89</v>
      </c>
      <c r="K445" s="464"/>
      <c r="L445" s="76"/>
      <c r="M445" s="25">
        <v>-3.88</v>
      </c>
      <c r="N445" s="293"/>
      <c r="O445" s="141" t="s">
        <v>322</v>
      </c>
      <c r="P445" s="133">
        <f>P444/29</f>
        <v>-0.2879310344827633</v>
      </c>
      <c r="Q445" s="10">
        <f>Q444/29</f>
        <v>-0.51084851299422018</v>
      </c>
      <c r="R445" s="308" t="s">
        <v>382</v>
      </c>
      <c r="S445" s="474">
        <v>1624.03</v>
      </c>
      <c r="T445" s="475"/>
      <c r="U445" s="467">
        <v>524.22</v>
      </c>
      <c r="V445" s="468"/>
      <c r="W445" s="289" t="s">
        <v>12</v>
      </c>
      <c r="X445" s="315">
        <v>676.26</v>
      </c>
      <c r="Y445" s="144" t="s">
        <v>18</v>
      </c>
      <c r="Z445" s="72">
        <v>104</v>
      </c>
    </row>
    <row r="446" spans="2:42">
      <c r="C446" s="15">
        <f>29.66+6.34</f>
        <v>36</v>
      </c>
      <c r="D446" s="462" t="s">
        <v>390</v>
      </c>
      <c r="E446" s="463"/>
      <c r="F446" s="15">
        <f>36.45+41.17+47.72+20.02</f>
        <v>145.36000000000001</v>
      </c>
      <c r="G446" s="462" t="s">
        <v>9</v>
      </c>
      <c r="H446" s="464"/>
      <c r="I446" s="63">
        <v>10.99</v>
      </c>
      <c r="J446" s="462" t="s">
        <v>22</v>
      </c>
      <c r="K446" s="464"/>
      <c r="L446" s="76"/>
      <c r="M446" s="25">
        <v>53.88</v>
      </c>
      <c r="N446" s="294"/>
      <c r="O446" s="136" t="s">
        <v>12</v>
      </c>
      <c r="P446" s="319">
        <f>P429+P444-SUM(L444:L457)-SUM(M444:M457)-SUM(N444:N457)</f>
        <v>470.39999999999668</v>
      </c>
      <c r="Q446" s="320">
        <f>Z444+Z449+Z452</f>
        <v>706.02</v>
      </c>
      <c r="R446" s="308" t="s">
        <v>383</v>
      </c>
      <c r="S446" s="474">
        <v>1244.99</v>
      </c>
      <c r="T446" s="475"/>
      <c r="U446" s="467">
        <v>578.23999999999978</v>
      </c>
      <c r="V446" s="468"/>
      <c r="W446" s="282" t="s">
        <v>373</v>
      </c>
      <c r="X446" s="132">
        <v>3000</v>
      </c>
      <c r="Y446" s="144" t="s">
        <v>19</v>
      </c>
      <c r="Z446" s="72">
        <v>43</v>
      </c>
    </row>
    <row r="447" spans="2:42" ht="15.75" thickBot="1">
      <c r="C447" s="15"/>
      <c r="D447" s="462"/>
      <c r="E447" s="463"/>
      <c r="F447" s="15">
        <v>145</v>
      </c>
      <c r="G447" s="462" t="s">
        <v>6</v>
      </c>
      <c r="H447" s="464"/>
      <c r="I447" s="20">
        <v>17.309999999999999</v>
      </c>
      <c r="J447" s="462" t="s">
        <v>249</v>
      </c>
      <c r="K447" s="464"/>
      <c r="L447" s="76"/>
      <c r="M447" s="25">
        <v>-20</v>
      </c>
      <c r="N447" s="293"/>
      <c r="O447" s="140" t="s">
        <v>321</v>
      </c>
      <c r="P447" s="132">
        <f>SUM(C444:C457)-SUM(F444:F457)-SUM(I444:I457)-P450-P453-P456</f>
        <v>-108.35000000000014</v>
      </c>
      <c r="Q447" s="72">
        <f>Q446-Q429</f>
        <v>-91.350000000000136</v>
      </c>
      <c r="R447" s="308" t="s">
        <v>424</v>
      </c>
      <c r="S447" s="474">
        <v>1143.68</v>
      </c>
      <c r="T447" s="475"/>
      <c r="U447" s="467">
        <v>520.64649224121422</v>
      </c>
      <c r="V447" s="468"/>
      <c r="W447" s="282" t="s">
        <v>378</v>
      </c>
      <c r="X447" s="132">
        <v>2302.48</v>
      </c>
      <c r="Y447" s="145" t="s">
        <v>324</v>
      </c>
      <c r="Z447" s="135">
        <v>0</v>
      </c>
    </row>
    <row r="448" spans="2:42" ht="15.75" thickBot="1">
      <c r="C448" s="15"/>
      <c r="D448" s="455"/>
      <c r="E448" s="456"/>
      <c r="F448" s="15">
        <v>240</v>
      </c>
      <c r="G448" s="462" t="s">
        <v>97</v>
      </c>
      <c r="H448" s="464"/>
      <c r="I448" s="20">
        <v>0.99</v>
      </c>
      <c r="J448" s="462" t="s">
        <v>499</v>
      </c>
      <c r="K448" s="464"/>
      <c r="L448" s="76"/>
      <c r="M448" s="25">
        <v>-25</v>
      </c>
      <c r="N448" s="294"/>
      <c r="O448" s="141" t="s">
        <v>322</v>
      </c>
      <c r="P448" s="133">
        <f>P447/29</f>
        <v>-3.736206896551729</v>
      </c>
      <c r="Q448" s="10">
        <f>Q447/29</f>
        <v>-3.1500000000000048</v>
      </c>
      <c r="R448" s="143" t="s">
        <v>12</v>
      </c>
      <c r="S448" s="476">
        <v>379.03999999999996</v>
      </c>
      <c r="T448" s="477"/>
      <c r="U448" s="478">
        <v>-54.019999999999754</v>
      </c>
      <c r="V448" s="479"/>
      <c r="W448" s="289" t="s">
        <v>379</v>
      </c>
      <c r="X448" s="132">
        <v>654.34</v>
      </c>
      <c r="Y448" s="470" t="s">
        <v>14</v>
      </c>
      <c r="Z448" s="471"/>
    </row>
    <row r="449" spans="2:26" ht="15.75" thickBot="1">
      <c r="C449" s="15"/>
      <c r="D449" s="455"/>
      <c r="E449" s="456"/>
      <c r="F449" s="15">
        <v>800</v>
      </c>
      <c r="G449" s="462" t="s">
        <v>565</v>
      </c>
      <c r="H449" s="464"/>
      <c r="I449" s="63">
        <v>11.99</v>
      </c>
      <c r="J449" s="462" t="s">
        <v>385</v>
      </c>
      <c r="K449" s="464"/>
      <c r="L449" s="76"/>
      <c r="M449" s="25">
        <v>95</v>
      </c>
      <c r="N449" s="293"/>
      <c r="O449" s="136" t="s">
        <v>324</v>
      </c>
      <c r="P449" s="319">
        <f>P432+P450</f>
        <v>145</v>
      </c>
      <c r="Q449" s="320">
        <f>Z445+Z446+Z447</f>
        <v>147</v>
      </c>
      <c r="R449" s="144" t="s">
        <v>425</v>
      </c>
      <c r="S449" s="465">
        <v>480.34999999999991</v>
      </c>
      <c r="T449" s="466"/>
      <c r="U449" s="467">
        <v>3.5735077587858086</v>
      </c>
      <c r="V449" s="468"/>
      <c r="W449" s="146" t="s">
        <v>375</v>
      </c>
      <c r="X449" s="325">
        <v>2.52</v>
      </c>
      <c r="Y449" s="143" t="s">
        <v>15</v>
      </c>
      <c r="Z449" s="12">
        <f>385.02+(56)</f>
        <v>441.02</v>
      </c>
    </row>
    <row r="450" spans="2:26" ht="15.75" thickBot="1">
      <c r="C450" s="15"/>
      <c r="D450" s="462"/>
      <c r="E450" s="463"/>
      <c r="F450" s="15">
        <f>14+32+53</f>
        <v>99</v>
      </c>
      <c r="G450" s="457" t="s">
        <v>564</v>
      </c>
      <c r="H450" s="458"/>
      <c r="I450" s="20">
        <v>783.7</v>
      </c>
      <c r="J450" s="462" t="s">
        <v>206</v>
      </c>
      <c r="K450" s="464"/>
      <c r="L450" s="76"/>
      <c r="M450" s="25"/>
      <c r="N450" s="294"/>
      <c r="O450" s="140" t="s">
        <v>321</v>
      </c>
      <c r="P450" s="132">
        <f>SUM(L444:L457)</f>
        <v>0</v>
      </c>
      <c r="Q450" s="72">
        <f>Q449-Q432</f>
        <v>0</v>
      </c>
      <c r="R450" s="144" t="s">
        <v>426</v>
      </c>
      <c r="S450" s="465">
        <v>782.75</v>
      </c>
      <c r="T450" s="466"/>
      <c r="U450" s="467">
        <v>349.69000000000028</v>
      </c>
      <c r="V450" s="468"/>
      <c r="W450" s="470" t="s">
        <v>376</v>
      </c>
      <c r="X450" s="471"/>
      <c r="Y450" s="146" t="s">
        <v>325</v>
      </c>
      <c r="Z450" s="10">
        <v>103.9</v>
      </c>
    </row>
    <row r="451" spans="2:26" ht="16.5" thickTop="1" thickBot="1">
      <c r="C451" s="15"/>
      <c r="D451" s="462"/>
      <c r="E451" s="463"/>
      <c r="F451" s="15"/>
      <c r="G451" s="462"/>
      <c r="H451" s="464"/>
      <c r="I451" s="63">
        <v>30</v>
      </c>
      <c r="J451" s="462" t="s">
        <v>105</v>
      </c>
      <c r="K451" s="464"/>
      <c r="L451" s="76"/>
      <c r="M451" s="25"/>
      <c r="N451" s="292"/>
      <c r="O451" s="141" t="s">
        <v>322</v>
      </c>
      <c r="P451" s="133">
        <f>P450/29</f>
        <v>0</v>
      </c>
      <c r="Q451" s="10">
        <f>Q450/29</f>
        <v>0</v>
      </c>
      <c r="R451" s="144" t="s">
        <v>422</v>
      </c>
      <c r="S451" s="465">
        <v>302.40000000000009</v>
      </c>
      <c r="T451" s="466"/>
      <c r="U451" s="467">
        <v>346.11649224121447</v>
      </c>
      <c r="V451" s="468"/>
      <c r="W451" s="289" t="s">
        <v>12</v>
      </c>
      <c r="X451" s="38">
        <v>154.97999999999999</v>
      </c>
      <c r="Y451" s="470" t="s">
        <v>374</v>
      </c>
      <c r="Z451" s="471"/>
    </row>
    <row r="452" spans="2:26" ht="15.75" thickTop="1">
      <c r="C452" s="15"/>
      <c r="D452" s="462"/>
      <c r="E452" s="463"/>
      <c r="F452" s="15"/>
      <c r="G452" s="462"/>
      <c r="H452" s="464"/>
      <c r="I452" s="63">
        <f>9.65+12.35-6.5+10.84</f>
        <v>26.34</v>
      </c>
      <c r="J452" s="462" t="s">
        <v>377</v>
      </c>
      <c r="K452" s="464"/>
      <c r="L452" s="76"/>
      <c r="M452" s="25"/>
      <c r="N452" s="293"/>
      <c r="O452" s="136" t="s">
        <v>325</v>
      </c>
      <c r="P452" s="319">
        <f>P435+P453</f>
        <v>103.88000000000002</v>
      </c>
      <c r="Q452" s="320">
        <f>Z450</f>
        <v>103.9</v>
      </c>
      <c r="R452" s="143" t="s">
        <v>421</v>
      </c>
      <c r="S452" s="465">
        <v>325.16000000000014</v>
      </c>
      <c r="T452" s="466"/>
      <c r="U452" s="467">
        <v>473.83479504312646</v>
      </c>
      <c r="V452" s="468"/>
      <c r="W452" s="282" t="s">
        <v>373</v>
      </c>
      <c r="X452" s="281">
        <v>1000</v>
      </c>
      <c r="Y452" s="321" t="s">
        <v>181</v>
      </c>
      <c r="Z452" s="322">
        <v>0</v>
      </c>
    </row>
    <row r="453" spans="2:26" ht="15.75" thickBot="1">
      <c r="C453" s="266"/>
      <c r="D453" s="448"/>
      <c r="E453" s="469"/>
      <c r="F453" s="15"/>
      <c r="G453" s="462"/>
      <c r="H453" s="464"/>
      <c r="I453" s="20">
        <f>75+60-9-16+1+70+60+70+45-(56)</f>
        <v>300</v>
      </c>
      <c r="J453" s="457" t="s">
        <v>98</v>
      </c>
      <c r="K453" s="458"/>
      <c r="L453" s="76"/>
      <c r="M453" s="25"/>
      <c r="N453" s="295"/>
      <c r="O453" s="140" t="s">
        <v>321</v>
      </c>
      <c r="P453" s="132">
        <f>SUM(M444:M457)</f>
        <v>100</v>
      </c>
      <c r="Q453" s="72">
        <f>Q452-Q435</f>
        <v>100.02000000000001</v>
      </c>
      <c r="R453" s="144" t="s">
        <v>418</v>
      </c>
      <c r="S453" s="465">
        <v>403.71000000000004</v>
      </c>
      <c r="T453" s="466"/>
      <c r="U453" s="467">
        <v>403.71000000000004</v>
      </c>
      <c r="V453" s="468"/>
      <c r="W453" s="282" t="s">
        <v>378</v>
      </c>
      <c r="X453" s="281">
        <v>845.02</v>
      </c>
      <c r="Y453" s="146" t="s">
        <v>553</v>
      </c>
      <c r="Z453" s="10">
        <v>0</v>
      </c>
    </row>
    <row r="454" spans="2:26" ht="15.75" thickBot="1">
      <c r="C454" s="266"/>
      <c r="D454" s="448"/>
      <c r="E454" s="469"/>
      <c r="F454" s="15"/>
      <c r="G454" s="462"/>
      <c r="H454" s="464"/>
      <c r="I454" s="20"/>
      <c r="J454" s="462"/>
      <c r="K454" s="464"/>
      <c r="L454" s="76"/>
      <c r="M454" s="25"/>
      <c r="N454" s="293"/>
      <c r="O454" s="141" t="s">
        <v>322</v>
      </c>
      <c r="P454" s="133">
        <f>P453/29</f>
        <v>3.4482758620689653</v>
      </c>
      <c r="Q454" s="10">
        <f>Q453/29</f>
        <v>3.4489655172413798</v>
      </c>
      <c r="R454" s="144" t="s">
        <v>438</v>
      </c>
      <c r="S454" s="465">
        <v>403.71000000000004</v>
      </c>
      <c r="T454" s="466"/>
      <c r="U454" s="472"/>
      <c r="V454" s="473"/>
      <c r="W454" s="289" t="s">
        <v>379</v>
      </c>
      <c r="X454" s="281"/>
      <c r="Y454" s="266"/>
      <c r="Z454" s="16"/>
    </row>
    <row r="455" spans="2:26" ht="15.75" thickBot="1">
      <c r="C455" s="15"/>
      <c r="D455" s="448"/>
      <c r="E455" s="469"/>
      <c r="F455" s="15"/>
      <c r="G455" s="462"/>
      <c r="H455" s="464"/>
      <c r="I455" s="20"/>
      <c r="J455" s="462"/>
      <c r="K455" s="464"/>
      <c r="L455" s="76"/>
      <c r="M455" s="25"/>
      <c r="N455" s="295"/>
      <c r="O455" s="136" t="s">
        <v>323</v>
      </c>
      <c r="P455" s="319">
        <f>P438+P456</f>
        <v>706.60730445852914</v>
      </c>
      <c r="Q455" s="320">
        <f>S444+U444</f>
        <v>475.49830280191225</v>
      </c>
      <c r="R455" s="144" t="s">
        <v>380</v>
      </c>
      <c r="S455" s="291">
        <v>101.30999999999995</v>
      </c>
      <c r="T455" s="327">
        <v>8.8582470621152723E-2</v>
      </c>
      <c r="U455" s="291">
        <v>57.593507758785563</v>
      </c>
      <c r="V455" s="329">
        <v>0.11061921787058278</v>
      </c>
      <c r="W455" s="146" t="s">
        <v>375</v>
      </c>
      <c r="X455" s="326">
        <v>8.1300000000000008</v>
      </c>
      <c r="Y455" s="266"/>
      <c r="Z455" s="16"/>
    </row>
    <row r="456" spans="2:26">
      <c r="C456" s="15"/>
      <c r="D456" s="462"/>
      <c r="E456" s="463"/>
      <c r="F456" s="15"/>
      <c r="G456" s="503"/>
      <c r="H456" s="504"/>
      <c r="I456" s="20">
        <v>-100</v>
      </c>
      <c r="J456" s="503" t="s">
        <v>616</v>
      </c>
      <c r="K456" s="504"/>
      <c r="L456" s="76"/>
      <c r="M456" s="25"/>
      <c r="N456" s="293"/>
      <c r="O456" s="140" t="s">
        <v>321</v>
      </c>
      <c r="P456" s="132">
        <f>SUM(N444:N457)</f>
        <v>0</v>
      </c>
      <c r="Q456" s="72">
        <f>Q455-Q438</f>
        <v>-23.484606876832288</v>
      </c>
      <c r="R456" s="144" t="s">
        <v>381</v>
      </c>
      <c r="S456" s="291">
        <v>-78.549999999999898</v>
      </c>
      <c r="T456" s="327">
        <v>-0.16352659519100637</v>
      </c>
      <c r="U456" s="291">
        <v>70.124795043126412</v>
      </c>
      <c r="V456" s="329">
        <v>19.62351834012895</v>
      </c>
      <c r="W456" s="337" t="s">
        <v>410</v>
      </c>
      <c r="X456" s="1" t="s">
        <v>558</v>
      </c>
      <c r="Y456" s="266"/>
      <c r="Z456" s="16"/>
    </row>
    <row r="457" spans="2:26" ht="15.75" thickBot="1">
      <c r="C457" s="17"/>
      <c r="D457" s="459"/>
      <c r="E457" s="460"/>
      <c r="F457" s="17"/>
      <c r="G457" s="459"/>
      <c r="H457" s="461"/>
      <c r="I457" s="21"/>
      <c r="J457" s="459"/>
      <c r="K457" s="461"/>
      <c r="L457" s="42"/>
      <c r="M457" s="5"/>
      <c r="N457" s="21"/>
      <c r="O457" s="137" t="s">
        <v>322</v>
      </c>
      <c r="P457" s="138">
        <f>P456/29</f>
        <v>0</v>
      </c>
      <c r="Q457" s="24">
        <f>Q456/29</f>
        <v>-0.80981403023559617</v>
      </c>
      <c r="R457" s="153" t="s">
        <v>557</v>
      </c>
      <c r="S457" s="296">
        <v>22.760000000000048</v>
      </c>
      <c r="T457" s="328">
        <v>1.4014519436217341E-2</v>
      </c>
      <c r="U457" s="296">
        <v>127.71830280191197</v>
      </c>
      <c r="V457" s="330">
        <v>0.24363492961335312</v>
      </c>
      <c r="W457" s="296">
        <v>150.47830280191204</v>
      </c>
      <c r="X457" s="330">
        <v>7.0046923217461643E-2</v>
      </c>
      <c r="Y457" s="290"/>
      <c r="Z457" s="18"/>
    </row>
    <row r="458" spans="2:26" ht="17.25" thickTop="1" thickBot="1">
      <c r="B458" s="14" t="s">
        <v>31</v>
      </c>
      <c r="C458" s="264">
        <v>45386</v>
      </c>
      <c r="D458" s="3"/>
      <c r="E458" s="3"/>
      <c r="F458" s="311"/>
      <c r="G458" s="311"/>
      <c r="H458" s="311"/>
      <c r="I458" s="311"/>
      <c r="J458" s="311"/>
      <c r="K458" s="311"/>
      <c r="L458" s="311"/>
      <c r="M458" s="311"/>
      <c r="N458" s="3"/>
      <c r="O458" s="3"/>
      <c r="P458" s="3"/>
      <c r="Q458" s="3"/>
      <c r="R458" s="3"/>
      <c r="S458" s="3"/>
      <c r="T458" s="3"/>
      <c r="U458" s="3"/>
      <c r="V458" s="3"/>
      <c r="W458" s="3"/>
      <c r="X458" s="3"/>
      <c r="Y458" s="3"/>
      <c r="Z458" s="3"/>
    </row>
    <row r="459" spans="2:26" ht="17.25" thickTop="1" thickBot="1">
      <c r="C459" s="480" t="s">
        <v>386</v>
      </c>
      <c r="D459" s="481"/>
      <c r="E459" s="482"/>
      <c r="F459" s="483" t="s">
        <v>387</v>
      </c>
      <c r="G459" s="484"/>
      <c r="H459" s="484"/>
      <c r="I459" s="484"/>
      <c r="J459" s="484"/>
      <c r="K459" s="484"/>
      <c r="L459" s="484"/>
      <c r="M459" s="484"/>
      <c r="N459" s="485"/>
      <c r="O459" s="261" t="s">
        <v>320</v>
      </c>
      <c r="P459" s="262" t="s">
        <v>257</v>
      </c>
      <c r="Q459" s="263" t="s">
        <v>319</v>
      </c>
      <c r="R459" s="486" t="s">
        <v>144</v>
      </c>
      <c r="S459" s="487"/>
      <c r="T459" s="487"/>
      <c r="U459" s="487"/>
      <c r="V459" s="487"/>
      <c r="W459" s="487"/>
      <c r="X459" s="487"/>
      <c r="Y459" s="487"/>
      <c r="Z459" s="488"/>
    </row>
    <row r="460" spans="2:26" ht="15.75" thickBot="1">
      <c r="C460" s="265"/>
      <c r="D460" s="489"/>
      <c r="E460" s="490"/>
      <c r="F460" s="470" t="s">
        <v>3</v>
      </c>
      <c r="G460" s="491"/>
      <c r="H460" s="492"/>
      <c r="I460" s="493" t="s">
        <v>4</v>
      </c>
      <c r="J460" s="491"/>
      <c r="K460" s="492"/>
      <c r="L460" s="267" t="s">
        <v>324</v>
      </c>
      <c r="M460" s="267" t="s">
        <v>325</v>
      </c>
      <c r="N460" s="267" t="s">
        <v>323</v>
      </c>
      <c r="O460" s="316" t="s">
        <v>5</v>
      </c>
      <c r="P460" s="317">
        <f>P463+P466+P469+P472</f>
        <v>1690.1373044585257</v>
      </c>
      <c r="Q460" s="318">
        <f>Q469+Q466+Q463+Q472</f>
        <v>1656.6737274045008</v>
      </c>
      <c r="R460" s="268" t="s">
        <v>323</v>
      </c>
      <c r="S460" s="493" t="s">
        <v>317</v>
      </c>
      <c r="T460" s="492"/>
      <c r="U460" s="493" t="s">
        <v>369</v>
      </c>
      <c r="V460" s="471"/>
      <c r="W460" s="491" t="s">
        <v>310</v>
      </c>
      <c r="X460" s="471"/>
      <c r="Y460" s="470" t="s">
        <v>13</v>
      </c>
      <c r="Z460" s="471"/>
    </row>
    <row r="461" spans="2:26" ht="16.5" thickTop="1" thickBot="1">
      <c r="C461" s="15"/>
      <c r="D461" s="494"/>
      <c r="E461" s="495"/>
      <c r="G461" s="496"/>
      <c r="H461" s="497"/>
      <c r="J461" s="496"/>
      <c r="K461" s="497"/>
      <c r="L461" s="76"/>
      <c r="M461" s="25"/>
      <c r="N461" s="292"/>
      <c r="O461" s="258" t="s">
        <v>321</v>
      </c>
      <c r="P461" s="315">
        <f>SUM(C461:C474)-SUM(F461:F474)-SUM(I461:I474)</f>
        <v>264.25</v>
      </c>
      <c r="Q461" s="12">
        <f>Q460-Q443</f>
        <v>224.25542460258862</v>
      </c>
      <c r="R461" s="307" t="s">
        <v>343</v>
      </c>
      <c r="S461" s="498">
        <v>424.52</v>
      </c>
      <c r="T461" s="499"/>
      <c r="U461" s="498">
        <v>62.6437274045009</v>
      </c>
      <c r="V461" s="500"/>
      <c r="W461" s="501" t="s">
        <v>326</v>
      </c>
      <c r="X461" s="502"/>
      <c r="Y461" s="143" t="s">
        <v>17</v>
      </c>
      <c r="Z461" s="12">
        <f>36+40-60-13+2+20</f>
        <v>25</v>
      </c>
    </row>
    <row r="462" spans="2:26" ht="16.5" thickTop="1" thickBot="1">
      <c r="C462" s="15">
        <v>2526.48</v>
      </c>
      <c r="D462" s="506" t="s">
        <v>11</v>
      </c>
      <c r="E462" s="507"/>
      <c r="F462" s="6">
        <f>5.43+6+4+4+2+5.43+9.01+17.66+8.87+18.46+17.76+3+5.43</f>
        <v>107.05000000000001</v>
      </c>
      <c r="G462" s="462" t="s">
        <v>223</v>
      </c>
      <c r="H462" s="464"/>
      <c r="I462" s="20">
        <v>40</v>
      </c>
      <c r="J462" s="462" t="s">
        <v>105</v>
      </c>
      <c r="K462" s="464"/>
      <c r="L462" s="76">
        <v>-60</v>
      </c>
      <c r="M462" s="25">
        <v>-80</v>
      </c>
      <c r="N462" s="295">
        <f>24.7+30+10+10+10</f>
        <v>84.7</v>
      </c>
      <c r="O462" s="141" t="s">
        <v>322</v>
      </c>
      <c r="P462" s="133">
        <f>P461/29</f>
        <v>9.112068965517242</v>
      </c>
      <c r="Q462" s="10">
        <f>Q461/29</f>
        <v>7.7329456759513313</v>
      </c>
      <c r="R462" s="308" t="s">
        <v>382</v>
      </c>
      <c r="S462" s="474">
        <v>1744.03</v>
      </c>
      <c r="T462" s="475"/>
      <c r="U462" s="467">
        <v>524.22</v>
      </c>
      <c r="V462" s="468"/>
      <c r="W462" s="289" t="s">
        <v>12</v>
      </c>
      <c r="X462" s="315">
        <v>623.63</v>
      </c>
      <c r="Y462" s="144" t="s">
        <v>18</v>
      </c>
      <c r="Z462" s="72">
        <v>44</v>
      </c>
    </row>
    <row r="463" spans="2:26">
      <c r="C463" s="15">
        <f>294</f>
        <v>294</v>
      </c>
      <c r="D463" s="462" t="s">
        <v>644</v>
      </c>
      <c r="E463" s="463"/>
      <c r="F463" s="15">
        <f>45.2+47.65+46.05</f>
        <v>138.89999999999998</v>
      </c>
      <c r="G463" s="462" t="s">
        <v>9</v>
      </c>
      <c r="H463" s="464"/>
      <c r="I463" s="20">
        <v>10.99</v>
      </c>
      <c r="J463" s="462" t="s">
        <v>22</v>
      </c>
      <c r="K463" s="464"/>
      <c r="L463" s="76"/>
      <c r="M463" s="25">
        <v>-20</v>
      </c>
      <c r="N463" s="20"/>
      <c r="O463" s="136" t="s">
        <v>12</v>
      </c>
      <c r="P463" s="319">
        <f>P446+P461-SUM(L461:L474)-SUM(M461:M474)-SUM(N461:N474)</f>
        <v>709.94999999999663</v>
      </c>
      <c r="Q463" s="320">
        <f>Z461+Z466+Z469</f>
        <v>976.59999999999991</v>
      </c>
      <c r="R463" s="308" t="s">
        <v>383</v>
      </c>
      <c r="S463" s="474">
        <v>1302.44</v>
      </c>
      <c r="T463" s="475"/>
      <c r="U463" s="467">
        <v>578.23999999999978</v>
      </c>
      <c r="V463" s="468"/>
      <c r="W463" s="282" t="s">
        <v>373</v>
      </c>
      <c r="X463" s="132">
        <v>3000</v>
      </c>
      <c r="Y463" s="144" t="s">
        <v>19</v>
      </c>
      <c r="Z463" s="72">
        <v>45</v>
      </c>
    </row>
    <row r="464" spans="2:26" ht="15.75" thickBot="1">
      <c r="C464" s="15">
        <v>118</v>
      </c>
      <c r="D464" s="462" t="s">
        <v>645</v>
      </c>
      <c r="E464" s="463"/>
      <c r="F464" s="15">
        <v>145</v>
      </c>
      <c r="G464" s="462" t="s">
        <v>6</v>
      </c>
      <c r="H464" s="464"/>
      <c r="I464" s="20">
        <v>0.99</v>
      </c>
      <c r="J464" s="462" t="s">
        <v>499</v>
      </c>
      <c r="K464" s="464"/>
      <c r="L464" s="76"/>
      <c r="M464" s="25">
        <v>100</v>
      </c>
      <c r="N464" s="358"/>
      <c r="O464" s="140" t="s">
        <v>321</v>
      </c>
      <c r="P464" s="132">
        <f>SUM(C461:C474)-SUM(F461:F474)-SUM(I461:I474)-P467-P470-P473</f>
        <v>239.55</v>
      </c>
      <c r="Q464" s="72">
        <f>Q463-Q446</f>
        <v>270.57999999999993</v>
      </c>
      <c r="R464" s="308" t="s">
        <v>424</v>
      </c>
      <c r="S464" s="474">
        <v>1191.6500000000001</v>
      </c>
      <c r="T464" s="475"/>
      <c r="U464" s="467">
        <v>520.64649224121422</v>
      </c>
      <c r="V464" s="468"/>
      <c r="W464" s="282" t="s">
        <v>378</v>
      </c>
      <c r="X464" s="132">
        <v>1700.11</v>
      </c>
      <c r="Y464" s="145" t="s">
        <v>324</v>
      </c>
      <c r="Z464" s="135">
        <v>0</v>
      </c>
    </row>
    <row r="465" spans="2:26" ht="15.75" thickBot="1">
      <c r="C465" s="15"/>
      <c r="D465" s="455"/>
      <c r="E465" s="456"/>
      <c r="F465" s="15">
        <v>240</v>
      </c>
      <c r="G465" s="462" t="s">
        <v>97</v>
      </c>
      <c r="H465" s="464"/>
      <c r="I465" s="20">
        <v>17.309999999999999</v>
      </c>
      <c r="J465" s="462" t="s">
        <v>249</v>
      </c>
      <c r="K465" s="464"/>
      <c r="L465" s="76"/>
      <c r="M465" s="25"/>
      <c r="N465" s="20"/>
      <c r="O465" s="141" t="s">
        <v>322</v>
      </c>
      <c r="P465" s="133">
        <f>P464/29</f>
        <v>8.2603448275862075</v>
      </c>
      <c r="Q465" s="10">
        <f>Q464/29</f>
        <v>9.3303448275862042</v>
      </c>
      <c r="R465" s="143" t="s">
        <v>12</v>
      </c>
      <c r="S465" s="476">
        <v>441.58999999999992</v>
      </c>
      <c r="T465" s="477"/>
      <c r="U465" s="478">
        <v>-54.019999999999754</v>
      </c>
      <c r="V465" s="479"/>
      <c r="W465" s="289" t="s">
        <v>379</v>
      </c>
      <c r="X465" s="132">
        <v>624.03</v>
      </c>
      <c r="Y465" s="470" t="s">
        <v>14</v>
      </c>
      <c r="Z465" s="471"/>
    </row>
    <row r="466" spans="2:26" ht="15.75" thickBot="1">
      <c r="C466" s="15"/>
      <c r="D466" s="455"/>
      <c r="E466" s="456"/>
      <c r="F466" s="15">
        <v>770</v>
      </c>
      <c r="G466" s="462" t="s">
        <v>567</v>
      </c>
      <c r="H466" s="464"/>
      <c r="I466" s="20">
        <v>11.99</v>
      </c>
      <c r="J466" s="462" t="s">
        <v>385</v>
      </c>
      <c r="K466" s="464"/>
      <c r="L466" s="76"/>
      <c r="M466" s="25"/>
      <c r="N466" s="358"/>
      <c r="O466" s="136" t="s">
        <v>324</v>
      </c>
      <c r="P466" s="319">
        <f>P449+P467</f>
        <v>85</v>
      </c>
      <c r="Q466" s="320">
        <f>Z462+Z463+Z464</f>
        <v>89</v>
      </c>
      <c r="R466" s="144" t="s">
        <v>425</v>
      </c>
      <c r="S466" s="465">
        <v>552.37999999999988</v>
      </c>
      <c r="T466" s="466"/>
      <c r="U466" s="467">
        <v>3.5735077587858086</v>
      </c>
      <c r="V466" s="468"/>
      <c r="W466" s="146" t="s">
        <v>375</v>
      </c>
      <c r="X466" s="325">
        <v>13.14</v>
      </c>
      <c r="Y466" s="143" t="s">
        <v>15</v>
      </c>
      <c r="Z466" s="12">
        <f>1457.86+100+70-676.26</f>
        <v>951.59999999999991</v>
      </c>
    </row>
    <row r="467" spans="2:26" ht="15.75" thickBot="1">
      <c r="C467" s="15"/>
      <c r="D467" s="462"/>
      <c r="E467" s="463"/>
      <c r="F467" s="15">
        <v>10</v>
      </c>
      <c r="G467" s="457" t="s">
        <v>566</v>
      </c>
      <c r="H467" s="458"/>
      <c r="I467" s="63">
        <f>56+45+7+48+4+47+39+45+30</f>
        <v>321</v>
      </c>
      <c r="J467" s="457" t="s">
        <v>98</v>
      </c>
      <c r="K467" s="458"/>
      <c r="L467" s="76"/>
      <c r="M467" s="25"/>
      <c r="N467" s="20"/>
      <c r="O467" s="140" t="s">
        <v>321</v>
      </c>
      <c r="P467" s="132">
        <f>SUM(L461:L474)</f>
        <v>-60</v>
      </c>
      <c r="Q467" s="72">
        <f>Q466-Q449</f>
        <v>-58</v>
      </c>
      <c r="R467" s="144" t="s">
        <v>426</v>
      </c>
      <c r="S467" s="465">
        <v>782.75</v>
      </c>
      <c r="T467" s="466"/>
      <c r="U467" s="467">
        <v>287.14000000000033</v>
      </c>
      <c r="V467" s="468"/>
      <c r="W467" s="470" t="s">
        <v>376</v>
      </c>
      <c r="X467" s="471"/>
      <c r="Y467" s="146" t="s">
        <v>325</v>
      </c>
      <c r="Z467" s="10">
        <v>103.91</v>
      </c>
    </row>
    <row r="468" spans="2:26" ht="16.5" thickTop="1" thickBot="1">
      <c r="C468" s="15"/>
      <c r="D468" s="462"/>
      <c r="E468" s="463"/>
      <c r="F468" s="15">
        <f>20+25</f>
        <v>45</v>
      </c>
      <c r="G468" s="462" t="s">
        <v>657</v>
      </c>
      <c r="H468" s="464"/>
      <c r="I468" s="20">
        <f>13.48+15.39+8+9.75+8.03+7.59+10.08-3</f>
        <v>69.320000000000007</v>
      </c>
      <c r="J468" s="25" t="s">
        <v>377</v>
      </c>
      <c r="K468" s="76"/>
      <c r="L468" s="76"/>
      <c r="M468" s="25"/>
      <c r="N468" s="359"/>
      <c r="O468" s="141" t="s">
        <v>322</v>
      </c>
      <c r="P468" s="133">
        <f>P467/29</f>
        <v>-2.0689655172413794</v>
      </c>
      <c r="Q468" s="10">
        <f>Q467/29</f>
        <v>-2</v>
      </c>
      <c r="R468" s="144" t="s">
        <v>422</v>
      </c>
      <c r="S468" s="465">
        <v>230.37000000000012</v>
      </c>
      <c r="T468" s="466"/>
      <c r="U468" s="467">
        <v>283.56649224121452</v>
      </c>
      <c r="V468" s="468"/>
      <c r="W468" s="289" t="s">
        <v>12</v>
      </c>
      <c r="X468" s="38">
        <v>133.38</v>
      </c>
      <c r="Y468" s="470" t="s">
        <v>374</v>
      </c>
      <c r="Z468" s="471"/>
    </row>
    <row r="469" spans="2:26" ht="15.75" thickTop="1">
      <c r="C469" s="15"/>
      <c r="D469" s="462"/>
      <c r="E469" s="463"/>
      <c r="F469" s="15">
        <f>18.01-4</f>
        <v>14.010000000000002</v>
      </c>
      <c r="G469" s="462" t="s">
        <v>646</v>
      </c>
      <c r="H469" s="464"/>
      <c r="I469" s="20">
        <v>10.81</v>
      </c>
      <c r="J469" s="462" t="s">
        <v>623</v>
      </c>
      <c r="K469" s="464"/>
      <c r="L469" s="76"/>
      <c r="M469" s="25"/>
      <c r="N469" s="358"/>
      <c r="O469" s="136" t="s">
        <v>325</v>
      </c>
      <c r="P469" s="319">
        <f>P452+P470</f>
        <v>103.88000000000002</v>
      </c>
      <c r="Q469" s="320">
        <f>Z467</f>
        <v>103.91</v>
      </c>
      <c r="R469" s="143" t="s">
        <v>421</v>
      </c>
      <c r="S469" s="465">
        <v>213.30000000000018</v>
      </c>
      <c r="T469" s="466"/>
      <c r="U469" s="467">
        <v>400.23021964571518</v>
      </c>
      <c r="V469" s="468"/>
      <c r="W469" s="282" t="s">
        <v>373</v>
      </c>
      <c r="X469" s="281">
        <v>1000</v>
      </c>
      <c r="Y469" s="321" t="s">
        <v>181</v>
      </c>
      <c r="Z469" s="322">
        <v>0</v>
      </c>
    </row>
    <row r="470" spans="2:26" ht="15.75" thickBot="1">
      <c r="C470" s="266"/>
      <c r="D470" s="448"/>
      <c r="E470" s="469"/>
      <c r="F470" s="15"/>
      <c r="G470" s="462"/>
      <c r="H470" s="464"/>
      <c r="I470" s="63">
        <v>12</v>
      </c>
      <c r="J470" s="508" t="s">
        <v>626</v>
      </c>
      <c r="K470" s="509"/>
      <c r="L470" s="76"/>
      <c r="M470" s="25"/>
      <c r="N470" s="295"/>
      <c r="O470" s="140" t="s">
        <v>321</v>
      </c>
      <c r="P470" s="132">
        <f>SUM(M461:M474)</f>
        <v>0</v>
      </c>
      <c r="Q470" s="72">
        <f>Q469-Q452</f>
        <v>9.9999999999909051E-3</v>
      </c>
      <c r="R470" s="144" t="s">
        <v>418</v>
      </c>
      <c r="S470" s="465">
        <v>341.16000000000008</v>
      </c>
      <c r="T470" s="466"/>
      <c r="U470" s="467">
        <v>341.16000000000008</v>
      </c>
      <c r="V470" s="468"/>
      <c r="W470" s="282" t="s">
        <v>378</v>
      </c>
      <c r="X470" s="281">
        <v>885.02</v>
      </c>
      <c r="Y470" s="146" t="s">
        <v>553</v>
      </c>
      <c r="Z470" s="10">
        <v>0</v>
      </c>
    </row>
    <row r="471" spans="2:26" ht="15.75" thickBot="1">
      <c r="C471" s="266"/>
      <c r="D471" s="448"/>
      <c r="E471" s="469"/>
      <c r="F471" s="15"/>
      <c r="G471" s="462"/>
      <c r="H471" s="464"/>
      <c r="I471" s="20">
        <f>35.6-2</f>
        <v>33.6</v>
      </c>
      <c r="J471" s="462" t="s">
        <v>648</v>
      </c>
      <c r="K471" s="464"/>
      <c r="L471" s="76"/>
      <c r="M471" s="25"/>
      <c r="N471" s="358"/>
      <c r="O471" s="141" t="s">
        <v>322</v>
      </c>
      <c r="P471" s="133">
        <f>P470/29</f>
        <v>0</v>
      </c>
      <c r="Q471" s="10">
        <f>Q470/29</f>
        <v>3.4482758620658292E-4</v>
      </c>
      <c r="R471" s="144" t="s">
        <v>438</v>
      </c>
      <c r="S471" s="465">
        <v>341.16000000000008</v>
      </c>
      <c r="T471" s="466"/>
      <c r="U471" s="472"/>
      <c r="V471" s="473"/>
      <c r="W471" s="289" t="s">
        <v>379</v>
      </c>
      <c r="X471" s="281">
        <v>0</v>
      </c>
      <c r="Y471" s="266"/>
      <c r="Z471" s="16"/>
    </row>
    <row r="472" spans="2:26" ht="15.75" thickBot="1">
      <c r="C472" s="15"/>
      <c r="D472" s="448"/>
      <c r="E472" s="469"/>
      <c r="F472" s="15"/>
      <c r="G472" s="457"/>
      <c r="H472" s="458"/>
      <c r="I472" s="20">
        <v>676.26</v>
      </c>
      <c r="J472" s="462" t="s">
        <v>206</v>
      </c>
      <c r="K472" s="464"/>
      <c r="L472" s="76"/>
      <c r="M472" s="25"/>
      <c r="N472" s="295"/>
      <c r="O472" s="136" t="s">
        <v>323</v>
      </c>
      <c r="P472" s="319">
        <f>P455+P473</f>
        <v>791.30730445852919</v>
      </c>
      <c r="Q472" s="320">
        <f>S461+U461</f>
        <v>487.16372740450089</v>
      </c>
      <c r="R472" s="144" t="s">
        <v>380</v>
      </c>
      <c r="S472" s="291">
        <v>110.78999999999996</v>
      </c>
      <c r="T472" s="327">
        <v>9.2971929677338111E-2</v>
      </c>
      <c r="U472" s="291">
        <v>57.593507758785563</v>
      </c>
      <c r="V472" s="329">
        <v>0.11061921787058278</v>
      </c>
      <c r="W472" s="146" t="s">
        <v>375</v>
      </c>
      <c r="X472" s="326">
        <v>8.1300000000000008</v>
      </c>
      <c r="Y472" s="266"/>
      <c r="Z472" s="16"/>
    </row>
    <row r="473" spans="2:26">
      <c r="C473" s="15"/>
      <c r="D473" s="462"/>
      <c r="E473" s="463"/>
      <c r="F473" s="15"/>
      <c r="G473" s="503"/>
      <c r="H473" s="504"/>
      <c r="I473" s="20"/>
      <c r="J473" s="503"/>
      <c r="K473" s="504"/>
      <c r="L473" s="76"/>
      <c r="M473" s="25"/>
      <c r="N473" s="358"/>
      <c r="O473" s="140" t="s">
        <v>321</v>
      </c>
      <c r="P473" s="132">
        <f>SUM(N461:N474)</f>
        <v>84.7</v>
      </c>
      <c r="Q473" s="72">
        <f>Q472-Q455</f>
        <v>11.665424602588644</v>
      </c>
      <c r="R473" s="144" t="s">
        <v>381</v>
      </c>
      <c r="S473" s="291">
        <v>-127.8599999999999</v>
      </c>
      <c r="T473" s="327">
        <v>-0.23147108874325631</v>
      </c>
      <c r="U473" s="291">
        <v>59.070219645715092</v>
      </c>
      <c r="V473" s="329">
        <v>16.530038167815739</v>
      </c>
      <c r="W473" s="337" t="s">
        <v>410</v>
      </c>
      <c r="X473" s="1" t="s">
        <v>558</v>
      </c>
      <c r="Y473" s="266"/>
      <c r="Z473" s="16"/>
    </row>
    <row r="474" spans="2:26" ht="15.75" thickBot="1">
      <c r="C474" s="17"/>
      <c r="D474" s="459"/>
      <c r="E474" s="460"/>
      <c r="F474" s="17"/>
      <c r="G474" s="459"/>
      <c r="H474" s="461"/>
      <c r="I474" s="21"/>
      <c r="J474" s="459"/>
      <c r="K474" s="461"/>
      <c r="L474" s="42"/>
      <c r="M474" s="5"/>
      <c r="N474" s="21"/>
      <c r="O474" s="137" t="s">
        <v>322</v>
      </c>
      <c r="P474" s="138">
        <f>P473/29</f>
        <v>2.920689655172414</v>
      </c>
      <c r="Q474" s="24">
        <f>Q473/29</f>
        <v>0.40225602077891875</v>
      </c>
      <c r="R474" s="153" t="s">
        <v>557</v>
      </c>
      <c r="S474" s="296">
        <v>-17.069999999999936</v>
      </c>
      <c r="T474" s="328">
        <v>-9.7876756707166376E-3</v>
      </c>
      <c r="U474" s="296">
        <v>116.66372740450066</v>
      </c>
      <c r="V474" s="330">
        <v>0.22254726527889179</v>
      </c>
      <c r="W474" s="296">
        <v>99.593727404500726</v>
      </c>
      <c r="X474" s="330">
        <v>4.3907738302436217E-2</v>
      </c>
      <c r="Y474" s="290"/>
      <c r="Z474" s="18"/>
    </row>
    <row r="475" spans="2:26" ht="17.25" thickTop="1" thickBot="1">
      <c r="B475" s="14" t="s">
        <v>31</v>
      </c>
      <c r="C475" s="264">
        <v>45413</v>
      </c>
      <c r="D475" s="3"/>
      <c r="E475" s="3"/>
      <c r="F475" s="3"/>
      <c r="G475" s="3"/>
      <c r="H475" s="3"/>
      <c r="I475" s="3"/>
      <c r="J475" s="3"/>
      <c r="K475" s="3"/>
      <c r="L475" s="3"/>
      <c r="M475" s="3"/>
      <c r="N475" s="3"/>
      <c r="O475" s="3"/>
      <c r="P475" s="3"/>
      <c r="Q475" s="3"/>
      <c r="R475" s="3"/>
      <c r="S475" s="3"/>
      <c r="T475" s="3"/>
      <c r="U475" s="3"/>
      <c r="V475" s="3"/>
      <c r="W475" s="3"/>
      <c r="X475" s="3"/>
      <c r="Y475" s="3"/>
      <c r="Z475" s="3"/>
    </row>
    <row r="476" spans="2:26" ht="17.25" thickTop="1" thickBot="1">
      <c r="C476" s="480" t="s">
        <v>386</v>
      </c>
      <c r="D476" s="481"/>
      <c r="E476" s="482"/>
      <c r="F476" s="483" t="s">
        <v>387</v>
      </c>
      <c r="G476" s="484"/>
      <c r="H476" s="484"/>
      <c r="I476" s="484"/>
      <c r="J476" s="484"/>
      <c r="K476" s="484"/>
      <c r="L476" s="484"/>
      <c r="M476" s="484"/>
      <c r="N476" s="485"/>
      <c r="O476" s="261" t="s">
        <v>320</v>
      </c>
      <c r="P476" s="262" t="s">
        <v>257</v>
      </c>
      <c r="Q476" s="263" t="s">
        <v>319</v>
      </c>
      <c r="R476" s="486" t="s">
        <v>144</v>
      </c>
      <c r="S476" s="487"/>
      <c r="T476" s="487"/>
      <c r="U476" s="487"/>
      <c r="V476" s="487"/>
      <c r="W476" s="487"/>
      <c r="X476" s="487"/>
      <c r="Y476" s="487"/>
      <c r="Z476" s="488"/>
    </row>
    <row r="477" spans="2:26" ht="15.75" thickBot="1">
      <c r="C477" s="265"/>
      <c r="D477" s="489"/>
      <c r="E477" s="490"/>
      <c r="F477" s="470" t="s">
        <v>3</v>
      </c>
      <c r="G477" s="491"/>
      <c r="H477" s="492"/>
      <c r="I477" s="493" t="s">
        <v>4</v>
      </c>
      <c r="J477" s="491"/>
      <c r="K477" s="492"/>
      <c r="L477" s="267" t="s">
        <v>324</v>
      </c>
      <c r="M477" s="267" t="s">
        <v>325</v>
      </c>
      <c r="N477" s="267" t="s">
        <v>323</v>
      </c>
      <c r="O477" s="316" t="s">
        <v>5</v>
      </c>
      <c r="P477" s="317">
        <f>P480+P483+P486+P489</f>
        <v>1636.0073044585261</v>
      </c>
      <c r="Q477" s="318">
        <f>Q486+Q483+Q480+Q489</f>
        <v>1634.777754436926</v>
      </c>
      <c r="R477" s="268" t="s">
        <v>323</v>
      </c>
      <c r="S477" s="493" t="s">
        <v>317</v>
      </c>
      <c r="T477" s="492"/>
      <c r="U477" s="493" t="s">
        <v>369</v>
      </c>
      <c r="V477" s="471"/>
      <c r="W477" s="491" t="s">
        <v>310</v>
      </c>
      <c r="X477" s="471"/>
      <c r="Y477" s="470" t="s">
        <v>13</v>
      </c>
      <c r="Z477" s="471"/>
    </row>
    <row r="478" spans="2:26" ht="16.5" thickTop="1" thickBot="1">
      <c r="C478" s="15"/>
      <c r="D478" s="494"/>
      <c r="E478" s="495"/>
      <c r="G478" s="496"/>
      <c r="H478" s="497"/>
      <c r="J478" s="496"/>
      <c r="K478" s="497"/>
      <c r="L478" s="76"/>
      <c r="M478" s="25"/>
      <c r="N478" s="292"/>
      <c r="O478" s="258" t="s">
        <v>321</v>
      </c>
      <c r="P478" s="315">
        <f>SUM(C478:C491)-SUM(F478:F491)-SUM(I478:I491)</f>
        <v>-54.129999999999882</v>
      </c>
      <c r="Q478" s="12">
        <f>Q477-Q460</f>
        <v>-21.895972967574835</v>
      </c>
      <c r="R478" s="307" t="s">
        <v>343</v>
      </c>
      <c r="S478" s="498">
        <v>356.4</v>
      </c>
      <c r="T478" s="499"/>
      <c r="U478" s="498">
        <v>70.68775443692607</v>
      </c>
      <c r="V478" s="500"/>
      <c r="W478" s="501" t="s">
        <v>326</v>
      </c>
      <c r="X478" s="502"/>
      <c r="Y478" s="143" t="s">
        <v>17</v>
      </c>
      <c r="Z478" s="12">
        <v>1</v>
      </c>
    </row>
    <row r="479" spans="2:26" ht="16.5" thickTop="1" thickBot="1">
      <c r="C479" s="15">
        <v>2526.5</v>
      </c>
      <c r="D479" s="506" t="s">
        <v>11</v>
      </c>
      <c r="E479" s="507"/>
      <c r="F479" s="6">
        <f>5.43+8.72+21+10.85+10.85+9.25+18+12.26+10.31+10.85+9.01+10.31+10.85+10.85+10.85+14.77+3.25</f>
        <v>187.41</v>
      </c>
      <c r="G479" s="462" t="s">
        <v>223</v>
      </c>
      <c r="H479" s="464"/>
      <c r="I479" s="20">
        <v>10.99</v>
      </c>
      <c r="J479" s="462" t="s">
        <v>22</v>
      </c>
      <c r="K479" s="464"/>
      <c r="L479" s="76"/>
      <c r="M479" s="25">
        <v>-90</v>
      </c>
      <c r="N479" s="362">
        <f>7.68</f>
        <v>7.68</v>
      </c>
      <c r="O479" s="141" t="s">
        <v>322</v>
      </c>
      <c r="P479" s="133">
        <f>P478/29</f>
        <v>-1.866551724137927</v>
      </c>
      <c r="Q479" s="10">
        <f>Q478/29</f>
        <v>-0.75503355060602884</v>
      </c>
      <c r="R479" s="308" t="s">
        <v>382</v>
      </c>
      <c r="S479" s="474">
        <v>1754.03</v>
      </c>
      <c r="T479" s="475"/>
      <c r="U479" s="467">
        <v>534.22</v>
      </c>
      <c r="V479" s="468"/>
      <c r="W479" s="289" t="s">
        <v>12</v>
      </c>
      <c r="X479" s="315">
        <v>486.69</v>
      </c>
      <c r="Y479" s="144" t="s">
        <v>18</v>
      </c>
      <c r="Z479" s="72">
        <v>44</v>
      </c>
    </row>
    <row r="480" spans="2:26">
      <c r="C480" s="15">
        <f>18+4.75</f>
        <v>22.75</v>
      </c>
      <c r="D480" s="462" t="s">
        <v>390</v>
      </c>
      <c r="E480" s="463"/>
      <c r="F480" s="15">
        <f>46.6+39.27+43.34+26.74+5.05</f>
        <v>161.00000000000003</v>
      </c>
      <c r="G480" s="462" t="s">
        <v>9</v>
      </c>
      <c r="H480" s="464"/>
      <c r="I480" s="63">
        <v>11.9</v>
      </c>
      <c r="J480" s="462" t="s">
        <v>249</v>
      </c>
      <c r="K480" s="464"/>
      <c r="L480" s="76"/>
      <c r="M480" s="25">
        <v>-10</v>
      </c>
      <c r="N480" s="294"/>
      <c r="O480" s="136" t="s">
        <v>12</v>
      </c>
      <c r="P480" s="319">
        <f>P463+P478-SUM(L478:L491)-SUM(M478:M491)-SUM(N478:N491)</f>
        <v>648.1399999999968</v>
      </c>
      <c r="Q480" s="320">
        <f>Z478+Z483+Z486</f>
        <v>1014.75</v>
      </c>
      <c r="R480" s="308" t="s">
        <v>383</v>
      </c>
      <c r="S480" s="474">
        <v>1404.29</v>
      </c>
      <c r="T480" s="475"/>
      <c r="U480" s="467">
        <v>588.01999999999975</v>
      </c>
      <c r="V480" s="468"/>
      <c r="W480" s="282" t="s">
        <v>373</v>
      </c>
      <c r="X480" s="132">
        <v>3000</v>
      </c>
      <c r="Y480" s="144" t="s">
        <v>19</v>
      </c>
      <c r="Z480" s="72">
        <v>45</v>
      </c>
    </row>
    <row r="481" spans="2:26" ht="15.75" thickBot="1">
      <c r="C481" s="15">
        <v>5</v>
      </c>
      <c r="D481" s="462" t="s">
        <v>698</v>
      </c>
      <c r="E481" s="463"/>
      <c r="F481" s="15">
        <v>0</v>
      </c>
      <c r="G481" s="462" t="s">
        <v>6</v>
      </c>
      <c r="H481" s="464"/>
      <c r="I481" s="20">
        <v>0.99</v>
      </c>
      <c r="J481" s="462" t="s">
        <v>499</v>
      </c>
      <c r="K481" s="464"/>
      <c r="L481" s="76"/>
      <c r="M481" s="63">
        <v>100</v>
      </c>
      <c r="N481" s="293"/>
      <c r="O481" s="140" t="s">
        <v>321</v>
      </c>
      <c r="P481" s="132">
        <f>SUM(C478:C491)-SUM(F478:F491)-SUM(I478:I491)-P484-P487-P490</f>
        <v>-61.809999999999881</v>
      </c>
      <c r="Q481" s="72">
        <f>Q480-Q463</f>
        <v>38.150000000000091</v>
      </c>
      <c r="R481" s="308" t="s">
        <v>424</v>
      </c>
      <c r="S481" s="474">
        <v>1289.76</v>
      </c>
      <c r="T481" s="475"/>
      <c r="U481" s="467">
        <v>531.45522407291514</v>
      </c>
      <c r="V481" s="468"/>
      <c r="W481" s="282" t="s">
        <v>378</v>
      </c>
      <c r="X481" s="132">
        <v>2501.96</v>
      </c>
      <c r="Y481" s="145" t="s">
        <v>324</v>
      </c>
      <c r="Z481" s="135">
        <v>0</v>
      </c>
    </row>
    <row r="482" spans="2:26" ht="15.75" thickBot="1">
      <c r="C482" s="15"/>
      <c r="D482" s="455"/>
      <c r="E482" s="456"/>
      <c r="F482" s="15">
        <v>280</v>
      </c>
      <c r="G482" s="462" t="s">
        <v>97</v>
      </c>
      <c r="H482" s="464"/>
      <c r="I482" s="20">
        <v>11.99</v>
      </c>
      <c r="J482" s="462" t="s">
        <v>385</v>
      </c>
      <c r="K482" s="464"/>
      <c r="L482" s="76"/>
      <c r="M482" s="25"/>
      <c r="N482" s="294"/>
      <c r="O482" s="141" t="s">
        <v>322</v>
      </c>
      <c r="P482" s="133">
        <f>P481/29</f>
        <v>-2.1313793103448235</v>
      </c>
      <c r="Q482" s="10">
        <f>Q481/29</f>
        <v>1.3155172413793135</v>
      </c>
      <c r="R482" s="143" t="s">
        <v>12</v>
      </c>
      <c r="S482" s="476">
        <v>349.74</v>
      </c>
      <c r="T482" s="477"/>
      <c r="U482" s="478">
        <v>-53.799999999999727</v>
      </c>
      <c r="V482" s="479"/>
      <c r="W482" s="289" t="s">
        <v>379</v>
      </c>
      <c r="X482" s="132">
        <v>491.46</v>
      </c>
      <c r="Y482" s="470" t="s">
        <v>14</v>
      </c>
      <c r="Z482" s="471"/>
    </row>
    <row r="483" spans="2:26" ht="15.75" thickBot="1">
      <c r="C483" s="15"/>
      <c r="D483" s="455"/>
      <c r="E483" s="456"/>
      <c r="F483" s="15">
        <v>770</v>
      </c>
      <c r="G483" s="462" t="s">
        <v>658</v>
      </c>
      <c r="H483" s="464"/>
      <c r="I483" s="20">
        <v>193</v>
      </c>
      <c r="J483" s="462" t="s">
        <v>642</v>
      </c>
      <c r="K483" s="464"/>
      <c r="L483" s="76"/>
      <c r="M483" s="25"/>
      <c r="N483" s="293"/>
      <c r="O483" s="136" t="s">
        <v>324</v>
      </c>
      <c r="P483" s="319">
        <f>P466+P484</f>
        <v>85</v>
      </c>
      <c r="Q483" s="320">
        <f>Z479+Z480+Z481</f>
        <v>89</v>
      </c>
      <c r="R483" s="144" t="s">
        <v>425</v>
      </c>
      <c r="S483" s="465">
        <v>464.27</v>
      </c>
      <c r="T483" s="466"/>
      <c r="U483" s="467">
        <v>2.7647759270848837</v>
      </c>
      <c r="V483" s="468"/>
      <c r="W483" s="146" t="s">
        <v>375</v>
      </c>
      <c r="X483" s="325">
        <v>0.26</v>
      </c>
      <c r="Y483" s="143" t="s">
        <v>15</v>
      </c>
      <c r="Z483" s="12">
        <v>848.79</v>
      </c>
    </row>
    <row r="484" spans="2:26" ht="15.75" thickBot="1">
      <c r="C484" s="15"/>
      <c r="D484" s="462"/>
      <c r="E484" s="463"/>
      <c r="F484" s="15">
        <v>30</v>
      </c>
      <c r="G484" s="457" t="s">
        <v>659</v>
      </c>
      <c r="H484" s="458"/>
      <c r="I484" s="20">
        <f>100+70+80+70+35+85</f>
        <v>440</v>
      </c>
      <c r="J484" s="462" t="s">
        <v>98</v>
      </c>
      <c r="K484" s="464"/>
      <c r="L484" s="76"/>
      <c r="M484" s="25"/>
      <c r="N484" s="294"/>
      <c r="O484" s="140" t="s">
        <v>321</v>
      </c>
      <c r="P484" s="132">
        <f>SUM(L478:L491)</f>
        <v>0</v>
      </c>
      <c r="Q484" s="72">
        <f>Q483-Q466</f>
        <v>0</v>
      </c>
      <c r="R484" s="144" t="s">
        <v>426</v>
      </c>
      <c r="S484" s="465">
        <v>782.75</v>
      </c>
      <c r="T484" s="466"/>
      <c r="U484" s="467">
        <v>379.21000000000026</v>
      </c>
      <c r="V484" s="468"/>
      <c r="W484" s="470" t="s">
        <v>376</v>
      </c>
      <c r="X484" s="471"/>
      <c r="Y484" s="146" t="s">
        <v>325</v>
      </c>
      <c r="Z484" s="10">
        <v>103.94</v>
      </c>
    </row>
    <row r="485" spans="2:26" ht="16.5" thickTop="1" thickBot="1">
      <c r="C485" s="15"/>
      <c r="D485" s="462"/>
      <c r="E485" s="463"/>
      <c r="F485" s="15"/>
      <c r="G485" s="462"/>
      <c r="H485" s="464"/>
      <c r="I485" s="63">
        <v>40</v>
      </c>
      <c r="J485" s="462" t="s">
        <v>105</v>
      </c>
      <c r="K485" s="464"/>
      <c r="L485" s="76"/>
      <c r="M485" s="25"/>
      <c r="N485" s="292"/>
      <c r="O485" s="141" t="s">
        <v>322</v>
      </c>
      <c r="P485" s="133">
        <f>P484/29</f>
        <v>0</v>
      </c>
      <c r="Q485" s="10">
        <f>Q484/29</f>
        <v>0</v>
      </c>
      <c r="R485" s="144" t="s">
        <v>422</v>
      </c>
      <c r="S485" s="465">
        <v>318.48</v>
      </c>
      <c r="T485" s="466"/>
      <c r="U485" s="467">
        <v>376.44522407291538</v>
      </c>
      <c r="V485" s="468"/>
      <c r="W485" s="289" t="s">
        <v>12</v>
      </c>
      <c r="X485" s="38">
        <v>133.13999999999999</v>
      </c>
      <c r="Y485" s="470" t="s">
        <v>374</v>
      </c>
      <c r="Z485" s="471"/>
    </row>
    <row r="486" spans="2:26" ht="15.75" thickTop="1">
      <c r="C486" s="15"/>
      <c r="D486" s="462"/>
      <c r="E486" s="463"/>
      <c r="F486" s="15"/>
      <c r="G486" s="462"/>
      <c r="H486" s="464"/>
      <c r="I486" s="20">
        <f>9.65+10.51</f>
        <v>20.16</v>
      </c>
      <c r="J486" s="462" t="s">
        <v>377</v>
      </c>
      <c r="K486" s="464"/>
      <c r="L486" s="76"/>
      <c r="M486" s="25"/>
      <c r="N486" s="293"/>
      <c r="O486" s="136" t="s">
        <v>325</v>
      </c>
      <c r="P486" s="319">
        <f>P469+P487</f>
        <v>103.88000000000002</v>
      </c>
      <c r="Q486" s="320">
        <f>Z484</f>
        <v>103.94</v>
      </c>
      <c r="R486" s="143" t="s">
        <v>421</v>
      </c>
      <c r="S486" s="465">
        <v>325.14</v>
      </c>
      <c r="T486" s="466"/>
      <c r="U486" s="467">
        <v>500.93297850984118</v>
      </c>
      <c r="V486" s="468"/>
      <c r="W486" s="282" t="s">
        <v>373</v>
      </c>
      <c r="X486" s="281">
        <v>1000</v>
      </c>
      <c r="Y486" s="321" t="s">
        <v>181</v>
      </c>
      <c r="Z486" s="322">
        <f>14.96+150</f>
        <v>164.96</v>
      </c>
    </row>
    <row r="487" spans="2:26" ht="15.75" thickBot="1">
      <c r="C487" s="266"/>
      <c r="D487" s="448"/>
      <c r="E487" s="469"/>
      <c r="F487" s="15"/>
      <c r="G487" s="462"/>
      <c r="H487" s="464"/>
      <c r="I487" s="20">
        <f>14.59+5.72</f>
        <v>20.309999999999999</v>
      </c>
      <c r="J487" s="462" t="s">
        <v>61</v>
      </c>
      <c r="K487" s="464"/>
      <c r="L487" s="76"/>
      <c r="M487" s="25"/>
      <c r="N487" s="295"/>
      <c r="O487" s="140" t="s">
        <v>321</v>
      </c>
      <c r="P487" s="132">
        <f>SUM(M478:M491)</f>
        <v>0</v>
      </c>
      <c r="Q487" s="72">
        <f>Q486-Q469</f>
        <v>3.0000000000001137E-2</v>
      </c>
      <c r="R487" s="144" t="s">
        <v>418</v>
      </c>
      <c r="S487" s="465">
        <v>433.01</v>
      </c>
      <c r="T487" s="466"/>
      <c r="U487" s="467">
        <v>433.01</v>
      </c>
      <c r="V487" s="468"/>
      <c r="W487" s="282" t="s">
        <v>378</v>
      </c>
      <c r="X487" s="281">
        <f>916-50</f>
        <v>866</v>
      </c>
      <c r="Y487" s="146" t="s">
        <v>553</v>
      </c>
      <c r="Z487" s="10">
        <f>14.9599999999998+150</f>
        <v>164.95999999999981</v>
      </c>
    </row>
    <row r="488" spans="2:26" ht="15.75" thickBot="1">
      <c r="C488" s="266"/>
      <c r="D488" s="448"/>
      <c r="E488" s="469"/>
      <c r="F488" s="15"/>
      <c r="G488" s="462"/>
      <c r="H488" s="464"/>
      <c r="I488" s="20">
        <f>623.63-I483</f>
        <v>430.63</v>
      </c>
      <c r="J488" s="462" t="s">
        <v>206</v>
      </c>
      <c r="K488" s="464"/>
      <c r="L488" s="76"/>
      <c r="M488" s="25"/>
      <c r="N488" s="293"/>
      <c r="O488" s="141" t="s">
        <v>322</v>
      </c>
      <c r="P488" s="133">
        <f>P487/29</f>
        <v>0</v>
      </c>
      <c r="Q488" s="10">
        <f>Q487/29</f>
        <v>1.0344827586207289E-3</v>
      </c>
      <c r="R488" s="144" t="s">
        <v>438</v>
      </c>
      <c r="S488" s="465">
        <v>433.01</v>
      </c>
      <c r="T488" s="466"/>
      <c r="U488" s="472"/>
      <c r="V488" s="473"/>
      <c r="W488" s="289" t="s">
        <v>379</v>
      </c>
      <c r="X488" s="281">
        <v>21.71</v>
      </c>
      <c r="Y488" s="266"/>
      <c r="Z488" s="16"/>
    </row>
    <row r="489" spans="2:26" ht="15.75" thickBot="1">
      <c r="C489" s="15"/>
      <c r="D489" s="448"/>
      <c r="E489" s="469"/>
      <c r="F489" s="15"/>
      <c r="G489" s="462"/>
      <c r="H489" s="464"/>
      <c r="I489" s="20"/>
      <c r="J489" s="462"/>
      <c r="K489" s="464"/>
      <c r="L489" s="76"/>
      <c r="M489" s="25"/>
      <c r="N489" s="295"/>
      <c r="O489" s="136" t="s">
        <v>323</v>
      </c>
      <c r="P489" s="319">
        <f>P472+P490</f>
        <v>798.98730445852914</v>
      </c>
      <c r="Q489" s="320">
        <f>S478+U478</f>
        <v>427.08775443692605</v>
      </c>
      <c r="R489" s="144" t="s">
        <v>380</v>
      </c>
      <c r="S489" s="291">
        <f>S480-S481</f>
        <v>114.52999999999997</v>
      </c>
      <c r="T489" s="327">
        <f>S489/S481</f>
        <v>8.879946656742338E-2</v>
      </c>
      <c r="U489" s="291">
        <f>U480-U481</f>
        <v>56.564775927084611</v>
      </c>
      <c r="V489" s="329">
        <f>U489/U481</f>
        <v>0.10643375653284383</v>
      </c>
      <c r="W489" s="146" t="s">
        <v>375</v>
      </c>
      <c r="X489" s="326">
        <v>10.72</v>
      </c>
      <c r="Y489" s="266"/>
      <c r="Z489" s="16"/>
    </row>
    <row r="490" spans="2:26">
      <c r="C490" s="15"/>
      <c r="D490" s="462"/>
      <c r="E490" s="463"/>
      <c r="F490" s="15"/>
      <c r="G490" s="503"/>
      <c r="H490" s="504"/>
      <c r="J490" s="503"/>
      <c r="K490" s="504"/>
      <c r="L490" s="76"/>
      <c r="M490" s="25"/>
      <c r="N490" s="293"/>
      <c r="O490" s="140" t="s">
        <v>321</v>
      </c>
      <c r="P490" s="132">
        <f>SUM(N478:N491)</f>
        <v>7.68</v>
      </c>
      <c r="Q490" s="72">
        <f>Q489-Q472</f>
        <v>-60.075972967574842</v>
      </c>
      <c r="R490" s="144" t="s">
        <v>381</v>
      </c>
      <c r="S490" s="291">
        <f>S478-S483</f>
        <v>-107.87</v>
      </c>
      <c r="T490" s="327">
        <f>S490/S483</f>
        <v>-0.23234324854071986</v>
      </c>
      <c r="U490" s="291">
        <f>U478-U483</f>
        <v>67.922978509841187</v>
      </c>
      <c r="V490" s="329">
        <f>U490/U483</f>
        <v>24.567263424294069</v>
      </c>
      <c r="W490" s="337" t="s">
        <v>410</v>
      </c>
      <c r="X490" s="1" t="s">
        <v>558</v>
      </c>
      <c r="Y490" s="266"/>
      <c r="Z490" s="16"/>
    </row>
    <row r="491" spans="2:26" ht="15.75" thickBot="1">
      <c r="C491" s="17"/>
      <c r="D491" s="459"/>
      <c r="E491" s="460"/>
      <c r="F491" s="17"/>
      <c r="G491" s="459"/>
      <c r="H491" s="461"/>
      <c r="I491" s="21"/>
      <c r="J491" s="459"/>
      <c r="K491" s="461"/>
      <c r="L491" s="42"/>
      <c r="M491" s="5"/>
      <c r="N491" s="21"/>
      <c r="O491" s="137" t="s">
        <v>322</v>
      </c>
      <c r="P491" s="138">
        <f>P490/29</f>
        <v>0.26482758620689656</v>
      </c>
      <c r="Q491" s="24">
        <f>Q490/29</f>
        <v>-2.0715852747439603</v>
      </c>
      <c r="R491" s="153" t="s">
        <v>557</v>
      </c>
      <c r="S491" s="296">
        <f>S489+S490</f>
        <v>6.6599999999999682</v>
      </c>
      <c r="T491" s="328">
        <f>S491/S479</f>
        <v>3.7969704052952164E-3</v>
      </c>
      <c r="U491" s="296">
        <f>U490+U489</f>
        <v>124.4877544369258</v>
      </c>
      <c r="V491" s="330">
        <f>U491/U479</f>
        <v>0.23302713196234845</v>
      </c>
      <c r="W491" s="296">
        <f>S491+U491</f>
        <v>131.14775443692577</v>
      </c>
      <c r="X491" s="330">
        <f>(W491+S479+U479)/(S479+U479)-1</f>
        <v>5.7313560335157998E-2</v>
      </c>
      <c r="Y491" s="290"/>
      <c r="Z491" s="18"/>
    </row>
    <row r="492" spans="2:26" ht="17.25" thickTop="1" thickBot="1">
      <c r="B492" s="14" t="s">
        <v>31</v>
      </c>
      <c r="C492" s="264">
        <v>45444</v>
      </c>
      <c r="D492" s="3"/>
      <c r="E492" s="3"/>
      <c r="F492" s="3"/>
      <c r="G492" s="3"/>
      <c r="H492" s="3"/>
      <c r="I492" s="3"/>
      <c r="J492" s="3"/>
      <c r="K492" s="3"/>
      <c r="L492" s="3"/>
      <c r="M492" s="3"/>
      <c r="N492" s="3"/>
      <c r="O492" s="3"/>
      <c r="P492" s="3"/>
      <c r="Q492" s="3"/>
      <c r="R492" s="3"/>
      <c r="S492" s="3"/>
      <c r="T492" s="3"/>
      <c r="U492" s="3"/>
      <c r="V492" s="3"/>
      <c r="W492" s="3"/>
      <c r="X492" s="3"/>
      <c r="Y492" s="3"/>
      <c r="Z492" s="3"/>
    </row>
    <row r="493" spans="2:26" ht="17.25" thickTop="1" thickBot="1">
      <c r="C493" s="480" t="s">
        <v>386</v>
      </c>
      <c r="D493" s="481"/>
      <c r="E493" s="482"/>
      <c r="F493" s="483" t="s">
        <v>387</v>
      </c>
      <c r="G493" s="484"/>
      <c r="H493" s="484"/>
      <c r="I493" s="484"/>
      <c r="J493" s="484"/>
      <c r="K493" s="484"/>
      <c r="L493" s="484"/>
      <c r="M493" s="484"/>
      <c r="N493" s="485"/>
      <c r="O493" s="261" t="s">
        <v>320</v>
      </c>
      <c r="P493" s="262" t="s">
        <v>257</v>
      </c>
      <c r="Q493" s="263" t="s">
        <v>319</v>
      </c>
      <c r="R493" s="486" t="s">
        <v>144</v>
      </c>
      <c r="S493" s="487"/>
      <c r="T493" s="487"/>
      <c r="U493" s="487"/>
      <c r="V493" s="487"/>
      <c r="W493" s="487"/>
      <c r="X493" s="487"/>
      <c r="Y493" s="487"/>
      <c r="Z493" s="488"/>
    </row>
    <row r="494" spans="2:26" ht="15.75" thickBot="1">
      <c r="C494" s="265"/>
      <c r="D494" s="489"/>
      <c r="E494" s="490"/>
      <c r="F494" s="470" t="s">
        <v>3</v>
      </c>
      <c r="G494" s="491"/>
      <c r="H494" s="492"/>
      <c r="I494" s="493" t="s">
        <v>4</v>
      </c>
      <c r="J494" s="491"/>
      <c r="K494" s="492"/>
      <c r="L494" s="267" t="s">
        <v>324</v>
      </c>
      <c r="M494" s="267" t="s">
        <v>325</v>
      </c>
      <c r="N494" s="267" t="s">
        <v>323</v>
      </c>
      <c r="O494" s="316" t="s">
        <v>5</v>
      </c>
      <c r="P494" s="317">
        <f>P497+P500+P503+P506</f>
        <v>2355.3473044585262</v>
      </c>
      <c r="Q494" s="318">
        <f>Q503+Q500+Q497+Q506</f>
        <v>2387.6522190403316</v>
      </c>
      <c r="R494" s="268" t="s">
        <v>323</v>
      </c>
      <c r="S494" s="493" t="s">
        <v>317</v>
      </c>
      <c r="T494" s="492"/>
      <c r="U494" s="493" t="s">
        <v>369</v>
      </c>
      <c r="V494" s="471"/>
      <c r="W494" s="491" t="s">
        <v>310</v>
      </c>
      <c r="X494" s="471"/>
      <c r="Y494" s="470" t="s">
        <v>13</v>
      </c>
      <c r="Z494" s="471"/>
    </row>
    <row r="495" spans="2:26" ht="16.5" thickTop="1" thickBot="1">
      <c r="C495" s="15"/>
      <c r="D495" s="494"/>
      <c r="E495" s="495"/>
      <c r="G495" s="496"/>
      <c r="H495" s="497"/>
      <c r="J495" s="496"/>
      <c r="K495" s="497"/>
      <c r="L495" s="76"/>
      <c r="M495" s="25"/>
      <c r="N495" s="292"/>
      <c r="O495" s="258" t="s">
        <v>321</v>
      </c>
      <c r="P495" s="315">
        <f>SUM(C495:C508)-SUM(F495:F508)-SUM(I495:I508)</f>
        <v>719.33999999999992</v>
      </c>
      <c r="Q495" s="12">
        <f>Q494-Q477</f>
        <v>752.87446460340561</v>
      </c>
      <c r="R495" s="307" t="s">
        <v>343</v>
      </c>
      <c r="S495" s="498">
        <v>661.39</v>
      </c>
      <c r="T495" s="499"/>
      <c r="U495" s="498">
        <v>73.582219040331566</v>
      </c>
      <c r="V495" s="500"/>
      <c r="W495" s="501" t="s">
        <v>326</v>
      </c>
      <c r="X495" s="502"/>
      <c r="Y495" s="143" t="s">
        <v>17</v>
      </c>
      <c r="Z495" s="12">
        <v>120</v>
      </c>
    </row>
    <row r="496" spans="2:26" ht="16.5" thickTop="1" thickBot="1">
      <c r="C496" s="15">
        <v>2526.4899999999998</v>
      </c>
      <c r="D496" s="462" t="s">
        <v>11</v>
      </c>
      <c r="E496" s="463"/>
      <c r="F496" s="6">
        <f>5.43+6+3+10.85+10.41+10.85+4+10.85+12.62+2.69+5.45+32.82+14.43+14.97</f>
        <v>144.37</v>
      </c>
      <c r="G496" s="462" t="s">
        <v>223</v>
      </c>
      <c r="H496" s="464"/>
      <c r="I496" s="20">
        <v>10.99</v>
      </c>
      <c r="J496" s="462" t="s">
        <v>22</v>
      </c>
      <c r="K496" s="464"/>
      <c r="L496" s="76">
        <v>500</v>
      </c>
      <c r="M496" s="25">
        <v>-100</v>
      </c>
      <c r="N496" s="295">
        <f>(9.72+25+20+25+1.85+5+7.08)</f>
        <v>93.649999999999991</v>
      </c>
      <c r="O496" s="141" t="s">
        <v>322</v>
      </c>
      <c r="P496" s="133">
        <f>P495/29</f>
        <v>24.804827586206894</v>
      </c>
      <c r="Q496" s="10">
        <f>Q495/29</f>
        <v>25.961188434600192</v>
      </c>
      <c r="R496" s="308" t="s">
        <v>382</v>
      </c>
      <c r="S496" s="474">
        <v>2274.4999999999995</v>
      </c>
      <c r="T496" s="475"/>
      <c r="U496" s="467">
        <v>604.22</v>
      </c>
      <c r="V496" s="468"/>
      <c r="W496" s="289" t="s">
        <v>12</v>
      </c>
      <c r="X496" s="315">
        <v>488.89</v>
      </c>
      <c r="Y496" s="144" t="s">
        <v>18</v>
      </c>
      <c r="Z496" s="72">
        <v>44</v>
      </c>
    </row>
    <row r="497" spans="2:26">
      <c r="C497" s="15">
        <f>3567.84-C496</f>
        <v>1041.3500000000004</v>
      </c>
      <c r="D497" s="462" t="s">
        <v>693</v>
      </c>
      <c r="E497" s="463"/>
      <c r="F497" s="15">
        <f>47.07+43.09+(41.73)</f>
        <v>131.88999999999999</v>
      </c>
      <c r="G497" s="462" t="s">
        <v>9</v>
      </c>
      <c r="H497" s="464"/>
      <c r="I497" s="63">
        <v>11.9</v>
      </c>
      <c r="J497" s="462" t="s">
        <v>249</v>
      </c>
      <c r="K497" s="464"/>
      <c r="L497" s="76"/>
      <c r="M497" s="25">
        <v>-3</v>
      </c>
      <c r="N497" s="294">
        <f>(25+50+25+27+50+25+25+5+15.51)</f>
        <v>247.51</v>
      </c>
      <c r="O497" s="136" t="s">
        <v>12</v>
      </c>
      <c r="P497" s="319">
        <f>P480+P495-SUM(L495:L508)-SUM(M495:M508)-SUM(N495:N508)</f>
        <v>126.31999999999687</v>
      </c>
      <c r="Q497" s="320">
        <f>Z495+Z500+Z503</f>
        <v>559.70000000000005</v>
      </c>
      <c r="R497" s="308" t="s">
        <v>383</v>
      </c>
      <c r="S497" s="474">
        <v>1608.3499999999997</v>
      </c>
      <c r="T497" s="475"/>
      <c r="U497" s="467">
        <v>648.62999999999977</v>
      </c>
      <c r="V497" s="468"/>
      <c r="W497" s="282" t="s">
        <v>373</v>
      </c>
      <c r="X497" s="132">
        <v>3000</v>
      </c>
      <c r="Y497" s="144" t="s">
        <v>19</v>
      </c>
      <c r="Z497" s="72">
        <v>45</v>
      </c>
    </row>
    <row r="498" spans="2:26" ht="15.75" thickBot="1">
      <c r="C498" s="15">
        <f>5.47-0.04</f>
        <v>5.43</v>
      </c>
      <c r="D498" s="462" t="s">
        <v>390</v>
      </c>
      <c r="E498" s="463"/>
      <c r="F498" s="15">
        <v>0</v>
      </c>
      <c r="G498" s="462" t="s">
        <v>6</v>
      </c>
      <c r="H498" s="464"/>
      <c r="I498" s="20">
        <v>0.99</v>
      </c>
      <c r="J498" s="462" t="s">
        <v>499</v>
      </c>
      <c r="K498" s="464"/>
      <c r="L498" s="76"/>
      <c r="M498" s="25">
        <v>103</v>
      </c>
      <c r="N498" s="293"/>
      <c r="O498" s="140" t="s">
        <v>321</v>
      </c>
      <c r="P498" s="132">
        <f>SUM(C495:C508)-SUM(F495:F508)-SUM(I495:I508)-P501-P504-P507</f>
        <v>-521.82000000000005</v>
      </c>
      <c r="Q498" s="72">
        <f>Q497-Q480</f>
        <v>-455.04999999999995</v>
      </c>
      <c r="R498" s="308" t="s">
        <v>424</v>
      </c>
      <c r="S498" s="474">
        <v>1478.06</v>
      </c>
      <c r="T498" s="475"/>
      <c r="U498" s="467">
        <v>601.38781380811588</v>
      </c>
      <c r="V498" s="468"/>
      <c r="W498" s="282" t="s">
        <v>378</v>
      </c>
      <c r="X498" s="132">
        <v>2511.11</v>
      </c>
      <c r="Y498" s="145" t="s">
        <v>324</v>
      </c>
      <c r="Z498" s="135">
        <v>500</v>
      </c>
    </row>
    <row r="499" spans="2:26" ht="15.75" thickBot="1">
      <c r="C499" s="15"/>
      <c r="D499" s="455"/>
      <c r="E499" s="456"/>
      <c r="F499" s="15">
        <v>310</v>
      </c>
      <c r="G499" s="462" t="s">
        <v>97</v>
      </c>
      <c r="H499" s="464"/>
      <c r="I499" s="20">
        <v>11.99</v>
      </c>
      <c r="J499" s="462" t="s">
        <v>385</v>
      </c>
      <c r="K499" s="464"/>
      <c r="L499" s="76"/>
      <c r="M499" s="25">
        <v>400</v>
      </c>
      <c r="N499" s="294"/>
      <c r="O499" s="141" t="s">
        <v>322</v>
      </c>
      <c r="P499" s="133">
        <f>P498/29</f>
        <v>-17.993793103448276</v>
      </c>
      <c r="Q499" s="10">
        <f>Q498/29</f>
        <v>-15.691379310344827</v>
      </c>
      <c r="R499" s="143" t="s">
        <v>12</v>
      </c>
      <c r="S499" s="476">
        <v>666.14999999999986</v>
      </c>
      <c r="T499" s="477"/>
      <c r="U499" s="478">
        <v>-44.409999999999741</v>
      </c>
      <c r="V499" s="479"/>
      <c r="W499" s="289" t="s">
        <v>379</v>
      </c>
      <c r="X499" s="132">
        <v>482.51</v>
      </c>
      <c r="Y499" s="470" t="s">
        <v>14</v>
      </c>
      <c r="Z499" s="471"/>
    </row>
    <row r="500" spans="2:26" ht="15.75" thickBot="1">
      <c r="C500" s="15"/>
      <c r="D500" s="455"/>
      <c r="E500" s="456"/>
      <c r="F500" s="15">
        <v>770</v>
      </c>
      <c r="G500" s="462" t="s">
        <v>717</v>
      </c>
      <c r="H500" s="464"/>
      <c r="I500" s="63">
        <v>50</v>
      </c>
      <c r="J500" s="462" t="s">
        <v>105</v>
      </c>
      <c r="K500" s="464"/>
      <c r="L500" s="76"/>
      <c r="M500" s="25"/>
      <c r="N500" s="293"/>
      <c r="O500" s="136" t="s">
        <v>324</v>
      </c>
      <c r="P500" s="319">
        <f>P483+P501</f>
        <v>585</v>
      </c>
      <c r="Q500" s="320">
        <f>Z496+Z497+Z498</f>
        <v>589</v>
      </c>
      <c r="R500" s="144" t="s">
        <v>425</v>
      </c>
      <c r="S500" s="465">
        <v>796.4399999999996</v>
      </c>
      <c r="T500" s="466"/>
      <c r="U500" s="467">
        <v>2.8321861918841478</v>
      </c>
      <c r="V500" s="468"/>
      <c r="W500" s="146" t="s">
        <v>375</v>
      </c>
      <c r="X500" s="325">
        <v>3.6</v>
      </c>
      <c r="Y500" s="143" t="s">
        <v>15</v>
      </c>
      <c r="Z500" s="12">
        <v>439.7</v>
      </c>
    </row>
    <row r="501" spans="2:26" ht="15.75" thickBot="1">
      <c r="C501" s="15"/>
      <c r="D501" s="462"/>
      <c r="E501" s="463"/>
      <c r="F501" s="15">
        <f>30+380</f>
        <v>410</v>
      </c>
      <c r="G501" s="457" t="s">
        <v>734</v>
      </c>
      <c r="H501" s="458"/>
      <c r="I501" s="20">
        <f>60+(30)+70+90+45+75+55</f>
        <v>425</v>
      </c>
      <c r="J501" s="462" t="s">
        <v>98</v>
      </c>
      <c r="K501" s="464"/>
      <c r="L501" s="76"/>
      <c r="M501" s="25"/>
      <c r="N501" s="294"/>
      <c r="O501" s="140" t="s">
        <v>321</v>
      </c>
      <c r="P501" s="132">
        <f>SUM(L495:L508)</f>
        <v>500</v>
      </c>
      <c r="Q501" s="72">
        <f>Q500-Q483</f>
        <v>500</v>
      </c>
      <c r="R501" s="144" t="s">
        <v>426</v>
      </c>
      <c r="S501" s="465">
        <v>782.74999999999977</v>
      </c>
      <c r="T501" s="466"/>
      <c r="U501" s="467">
        <v>72.190000000000168</v>
      </c>
      <c r="V501" s="468"/>
      <c r="W501" s="470" t="s">
        <v>376</v>
      </c>
      <c r="X501" s="471"/>
      <c r="Y501" s="146" t="s">
        <v>325</v>
      </c>
      <c r="Z501" s="10">
        <v>503.98</v>
      </c>
    </row>
    <row r="502" spans="2:26" ht="16.5" thickTop="1" thickBot="1">
      <c r="C502" s="15"/>
      <c r="D502" s="462"/>
      <c r="E502" s="463"/>
      <c r="F502" s="15">
        <v>25</v>
      </c>
      <c r="G502" s="462" t="s">
        <v>33</v>
      </c>
      <c r="H502" s="464"/>
      <c r="I502" s="63">
        <f>8+7+8+12.04+12.04+12.04</f>
        <v>59.12</v>
      </c>
      <c r="J502" s="462" t="s">
        <v>377</v>
      </c>
      <c r="K502" s="464"/>
      <c r="L502" s="76"/>
      <c r="M502" s="25"/>
      <c r="N502" s="292"/>
      <c r="O502" s="141" t="s">
        <v>322</v>
      </c>
      <c r="P502" s="133">
        <f>P501/29</f>
        <v>17.241379310344829</v>
      </c>
      <c r="Q502" s="10">
        <f>Q501/29</f>
        <v>17.241379310344829</v>
      </c>
      <c r="R502" s="144" t="s">
        <v>422</v>
      </c>
      <c r="S502" s="465">
        <v>-13.689999999999827</v>
      </c>
      <c r="T502" s="466"/>
      <c r="U502" s="467">
        <v>69.35781380811602</v>
      </c>
      <c r="V502" s="468"/>
      <c r="W502" s="289" t="s">
        <v>12</v>
      </c>
      <c r="X502" s="38">
        <v>142.62</v>
      </c>
      <c r="Y502" s="470" t="s">
        <v>374</v>
      </c>
      <c r="Z502" s="471"/>
    </row>
    <row r="503" spans="2:26" ht="15.75" thickTop="1">
      <c r="C503" s="15"/>
      <c r="D503" s="462"/>
      <c r="E503" s="463"/>
      <c r="F503" s="15"/>
      <c r="G503" s="462"/>
      <c r="H503" s="464"/>
      <c r="I503" s="20">
        <f>5.99</f>
        <v>5.99</v>
      </c>
      <c r="J503" s="462" t="s">
        <v>725</v>
      </c>
      <c r="K503" s="464"/>
      <c r="L503" s="76"/>
      <c r="M503" s="25"/>
      <c r="N503" s="293"/>
      <c r="O503" s="136" t="s">
        <v>325</v>
      </c>
      <c r="P503" s="319">
        <f>P486+P504</f>
        <v>503.88</v>
      </c>
      <c r="Q503" s="320">
        <f>Z501</f>
        <v>503.98</v>
      </c>
      <c r="R503" s="143" t="s">
        <v>421</v>
      </c>
      <c r="S503" s="465">
        <v>-18.449999999999704</v>
      </c>
      <c r="T503" s="466"/>
      <c r="U503" s="467">
        <v>187.35003284844731</v>
      </c>
      <c r="V503" s="468"/>
      <c r="W503" s="282" t="s">
        <v>373</v>
      </c>
      <c r="X503" s="281">
        <v>1000</v>
      </c>
      <c r="Y503" s="321" t="s">
        <v>181</v>
      </c>
      <c r="Z503" s="322">
        <v>0</v>
      </c>
    </row>
    <row r="504" spans="2:26" ht="15.75" thickBot="1">
      <c r="C504" s="266"/>
      <c r="D504" s="448"/>
      <c r="E504" s="469"/>
      <c r="F504" s="15"/>
      <c r="G504" s="462"/>
      <c r="H504" s="464"/>
      <c r="I504" s="20">
        <f>X479</f>
        <v>486.69</v>
      </c>
      <c r="J504" s="462" t="s">
        <v>206</v>
      </c>
      <c r="K504" s="464"/>
      <c r="L504" s="76"/>
      <c r="M504" s="25"/>
      <c r="N504" s="295"/>
      <c r="O504" s="140" t="s">
        <v>321</v>
      </c>
      <c r="P504" s="132">
        <f>SUM(M495:M508)</f>
        <v>400</v>
      </c>
      <c r="Q504" s="72">
        <f>Q503-Q486</f>
        <v>400.04</v>
      </c>
      <c r="R504" s="144" t="s">
        <v>418</v>
      </c>
      <c r="S504" s="465">
        <v>116.59999999999991</v>
      </c>
      <c r="T504" s="466"/>
      <c r="U504" s="467">
        <v>116.59999999999991</v>
      </c>
      <c r="V504" s="468"/>
      <c r="W504" s="282" t="s">
        <v>378</v>
      </c>
      <c r="X504" s="281">
        <v>554</v>
      </c>
      <c r="Y504" s="146" t="s">
        <v>553</v>
      </c>
      <c r="Z504" s="10">
        <v>-5.7065463465733046E-13</v>
      </c>
    </row>
    <row r="505" spans="2:26" ht="15.75" thickBot="1">
      <c r="C505" s="266"/>
      <c r="D505" s="448"/>
      <c r="E505" s="469"/>
      <c r="F505" s="15"/>
      <c r="G505" s="462"/>
      <c r="H505" s="464"/>
      <c r="I505" s="20"/>
      <c r="J505" s="462"/>
      <c r="K505" s="464"/>
      <c r="L505" s="76"/>
      <c r="M505" s="25"/>
      <c r="N505" s="293"/>
      <c r="O505" s="141" t="s">
        <v>322</v>
      </c>
      <c r="P505" s="133">
        <f>P504/29</f>
        <v>13.793103448275861</v>
      </c>
      <c r="Q505" s="10">
        <f>Q504/29</f>
        <v>13.79448275862069</v>
      </c>
      <c r="R505" s="144" t="s">
        <v>438</v>
      </c>
      <c r="S505" s="465">
        <v>116.59999999999991</v>
      </c>
      <c r="T505" s="466"/>
      <c r="U505" s="472"/>
      <c r="V505" s="473"/>
      <c r="W505" s="289" t="s">
        <v>379</v>
      </c>
      <c r="X505" s="281">
        <f>23.88+45.43+51.96+7.99+206.38+(-13.16)</f>
        <v>322.47999999999996</v>
      </c>
      <c r="Y505" s="266"/>
      <c r="Z505" s="16"/>
    </row>
    <row r="506" spans="2:26" ht="15.75" thickBot="1">
      <c r="C506" s="15"/>
      <c r="D506" s="448"/>
      <c r="E506" s="469"/>
      <c r="F506" s="15"/>
      <c r="G506" s="462"/>
      <c r="H506" s="464"/>
      <c r="I506" s="20"/>
      <c r="J506" s="462"/>
      <c r="K506" s="464"/>
      <c r="L506" s="76"/>
      <c r="M506" s="25"/>
      <c r="N506" s="295"/>
      <c r="O506" s="136" t="s">
        <v>323</v>
      </c>
      <c r="P506" s="319">
        <f>P489+P507</f>
        <v>1140.1473044585291</v>
      </c>
      <c r="Q506" s="320">
        <f>S495+U495</f>
        <v>734.97221904033154</v>
      </c>
      <c r="R506" s="144" t="s">
        <v>380</v>
      </c>
      <c r="S506" s="291">
        <f>S497-S498</f>
        <v>130.28999999999974</v>
      </c>
      <c r="T506" s="327">
        <f>S506/S498</f>
        <v>8.8149330879666421E-2</v>
      </c>
      <c r="U506" s="291">
        <f>U497-U498</f>
        <v>47.242186191883889</v>
      </c>
      <c r="V506" s="329">
        <f>U506/U498</f>
        <v>7.8555276823346801E-2</v>
      </c>
      <c r="W506" s="146" t="s">
        <v>375</v>
      </c>
      <c r="X506" s="326">
        <f>13.56-13.16</f>
        <v>0.40000000000000036</v>
      </c>
      <c r="Y506" s="266"/>
      <c r="Z506" s="16"/>
    </row>
    <row r="507" spans="2:26">
      <c r="C507" s="15"/>
      <c r="D507" s="462"/>
      <c r="E507" s="463"/>
      <c r="F507" s="15"/>
      <c r="G507" s="503"/>
      <c r="H507" s="504"/>
      <c r="I507" s="20"/>
      <c r="J507" s="503"/>
      <c r="K507" s="504"/>
      <c r="L507" s="76"/>
      <c r="M507" s="25"/>
      <c r="N507" s="293"/>
      <c r="O507" s="140" t="s">
        <v>321</v>
      </c>
      <c r="P507" s="132">
        <f>SUM(N495:N508)</f>
        <v>341.15999999999997</v>
      </c>
      <c r="Q507" s="72">
        <f>Q506-Q489</f>
        <v>307.88446460340549</v>
      </c>
      <c r="R507" s="144" t="s">
        <v>381</v>
      </c>
      <c r="S507" s="291">
        <f>S495-S500</f>
        <v>-135.04999999999961</v>
      </c>
      <c r="T507" s="327">
        <f>S507/S500</f>
        <v>-0.16956707347697214</v>
      </c>
      <c r="U507" s="291">
        <f>U495-U500</f>
        <v>70.750032848447418</v>
      </c>
      <c r="V507" s="366">
        <f>U507/U500</f>
        <v>24.980713856732724</v>
      </c>
      <c r="W507" s="337" t="s">
        <v>410</v>
      </c>
      <c r="X507" s="1" t="s">
        <v>558</v>
      </c>
      <c r="Y507" s="266"/>
      <c r="Z507" s="16"/>
    </row>
    <row r="508" spans="2:26" ht="15.75" thickBot="1">
      <c r="C508" s="17"/>
      <c r="D508" s="459"/>
      <c r="E508" s="460"/>
      <c r="F508" s="17"/>
      <c r="G508" s="459"/>
      <c r="H508" s="461"/>
      <c r="I508" s="21"/>
      <c r="J508" s="459"/>
      <c r="K508" s="461"/>
      <c r="L508" s="42"/>
      <c r="M508" s="5"/>
      <c r="N508" s="21"/>
      <c r="O508" s="137" t="s">
        <v>322</v>
      </c>
      <c r="P508" s="138">
        <f>P507/29</f>
        <v>11.764137931034481</v>
      </c>
      <c r="Q508" s="24">
        <f>Q507/29</f>
        <v>10.6167056759795</v>
      </c>
      <c r="R508" s="153" t="s">
        <v>410</v>
      </c>
      <c r="S508" s="296">
        <f>S506+S507</f>
        <v>-4.7599999999998772</v>
      </c>
      <c r="T508" s="328">
        <f>S508/S496</f>
        <v>-2.0927676412397793E-3</v>
      </c>
      <c r="U508" s="296">
        <f>U507+U506</f>
        <v>117.99221904033131</v>
      </c>
      <c r="V508" s="330">
        <f>U508/U496</f>
        <v>0.19528022746736504</v>
      </c>
      <c r="W508" s="296">
        <f>S508+U508</f>
        <v>113.23221904033143</v>
      </c>
      <c r="X508" s="330">
        <f>(W508+S496+U496)/(S496+U496)-1</f>
        <v>3.9334224599937517E-2</v>
      </c>
      <c r="Y508" s="290"/>
      <c r="Z508" s="18"/>
    </row>
    <row r="509" spans="2:26" ht="17.25" thickTop="1" thickBot="1">
      <c r="B509" s="14" t="s">
        <v>31</v>
      </c>
      <c r="C509" s="264">
        <v>45474</v>
      </c>
      <c r="D509" s="3"/>
      <c r="E509" s="3"/>
      <c r="F509" s="3"/>
      <c r="G509" s="3"/>
      <c r="H509" s="3"/>
      <c r="I509" s="3"/>
      <c r="J509" s="3"/>
      <c r="K509" s="3"/>
      <c r="L509" s="3"/>
      <c r="M509" s="3"/>
      <c r="N509" s="3"/>
      <c r="O509" s="3"/>
      <c r="P509" s="3"/>
      <c r="Q509" s="3"/>
      <c r="R509" s="3"/>
      <c r="S509" s="3"/>
      <c r="T509" s="3"/>
      <c r="U509" s="3"/>
      <c r="V509" s="3"/>
      <c r="W509" s="3"/>
      <c r="X509" s="3"/>
      <c r="Y509" s="3"/>
      <c r="Z509" s="3"/>
    </row>
    <row r="510" spans="2:26" ht="17.25" thickTop="1" thickBot="1">
      <c r="C510" s="480" t="s">
        <v>386</v>
      </c>
      <c r="D510" s="481"/>
      <c r="E510" s="482"/>
      <c r="F510" s="483" t="s">
        <v>387</v>
      </c>
      <c r="G510" s="484"/>
      <c r="H510" s="484"/>
      <c r="I510" s="484"/>
      <c r="J510" s="484"/>
      <c r="K510" s="484"/>
      <c r="L510" s="484"/>
      <c r="M510" s="484"/>
      <c r="N510" s="485"/>
      <c r="O510" s="261" t="s">
        <v>320</v>
      </c>
      <c r="P510" s="262" t="s">
        <v>257</v>
      </c>
      <c r="Q510" s="263" t="s">
        <v>319</v>
      </c>
      <c r="R510" s="486" t="s">
        <v>144</v>
      </c>
      <c r="S510" s="487"/>
      <c r="T510" s="487"/>
      <c r="U510" s="487"/>
      <c r="V510" s="487"/>
      <c r="W510" s="487"/>
      <c r="X510" s="487"/>
      <c r="Y510" s="487"/>
      <c r="Z510" s="488"/>
    </row>
    <row r="511" spans="2:26" ht="15.75" thickBot="1">
      <c r="C511" s="265"/>
      <c r="D511" s="489"/>
      <c r="E511" s="490"/>
      <c r="F511" s="470" t="s">
        <v>3</v>
      </c>
      <c r="G511" s="491"/>
      <c r="H511" s="492"/>
      <c r="I511" s="493" t="s">
        <v>4</v>
      </c>
      <c r="J511" s="491"/>
      <c r="K511" s="492"/>
      <c r="L511" s="267" t="s">
        <v>324</v>
      </c>
      <c r="M511" s="267" t="s">
        <v>325</v>
      </c>
      <c r="N511" s="267" t="s">
        <v>323</v>
      </c>
      <c r="O511" s="316" t="s">
        <v>5</v>
      </c>
      <c r="P511" s="317">
        <f>P514+P517+P520+P523</f>
        <v>3121.7073044585259</v>
      </c>
      <c r="Q511" s="318">
        <f>Q520+Q517+Q514+Q523</f>
        <v>3095.4943346100795</v>
      </c>
      <c r="R511" s="268" t="s">
        <v>323</v>
      </c>
      <c r="S511" s="493" t="s">
        <v>317</v>
      </c>
      <c r="T511" s="492"/>
      <c r="U511" s="493" t="s">
        <v>369</v>
      </c>
      <c r="V511" s="471"/>
      <c r="W511" s="491" t="s">
        <v>310</v>
      </c>
      <c r="X511" s="471"/>
      <c r="Y511" s="470" t="s">
        <v>13</v>
      </c>
      <c r="Z511" s="471"/>
    </row>
    <row r="512" spans="2:26" ht="16.5" thickTop="1" thickBot="1">
      <c r="C512" s="15"/>
      <c r="D512" s="494"/>
      <c r="E512" s="495"/>
      <c r="G512" s="496"/>
      <c r="H512" s="497"/>
      <c r="J512" s="496"/>
      <c r="K512" s="497"/>
      <c r="L512" s="76"/>
      <c r="M512" s="25"/>
      <c r="N512" s="292"/>
      <c r="O512" s="258" t="s">
        <v>321</v>
      </c>
      <c r="P512" s="315">
        <f>SUM(C512:C525)-SUM(F512:F525)-SUM(I512:I525)</f>
        <v>766.3599999999999</v>
      </c>
      <c r="Q512" s="12">
        <f>Q511-Q494</f>
        <v>707.84211556974788</v>
      </c>
      <c r="R512" s="307" t="s">
        <v>343</v>
      </c>
      <c r="S512" s="498">
        <v>796.76</v>
      </c>
      <c r="T512" s="499"/>
      <c r="U512" s="498">
        <v>98.224334610079239</v>
      </c>
      <c r="V512" s="500"/>
      <c r="W512" s="501" t="s">
        <v>326</v>
      </c>
      <c r="X512" s="502"/>
      <c r="Y512" s="143" t="s">
        <v>17</v>
      </c>
      <c r="Z512" s="12">
        <v>85</v>
      </c>
    </row>
    <row r="513" spans="1:26" ht="16.5" thickTop="1" thickBot="1">
      <c r="C513" s="15">
        <v>2526.4899999999998</v>
      </c>
      <c r="D513" s="462" t="s">
        <v>11</v>
      </c>
      <c r="E513" s="463"/>
      <c r="F513" s="6">
        <f>5.43+14.97+14.43+8.55+10.86+15+13.57+14.43+5.43+15+15+17+3.57+3.57+16+16.27+5.43+16.49</f>
        <v>211.00000000000003</v>
      </c>
      <c r="G513" s="462" t="s">
        <v>223</v>
      </c>
      <c r="H513" s="464"/>
      <c r="I513" s="20">
        <v>11.99</v>
      </c>
      <c r="J513" s="462" t="s">
        <v>22</v>
      </c>
      <c r="K513" s="464"/>
      <c r="L513" s="76">
        <v>-100</v>
      </c>
      <c r="M513" s="25">
        <v>-300</v>
      </c>
      <c r="N513" s="294">
        <v>23.3</v>
      </c>
      <c r="O513" s="141" t="s">
        <v>322</v>
      </c>
      <c r="P513" s="133">
        <f>P512/29</f>
        <v>26.426206896551722</v>
      </c>
      <c r="Q513" s="10">
        <f>Q512/29</f>
        <v>24.408348812749928</v>
      </c>
      <c r="R513" s="308" t="s">
        <v>382</v>
      </c>
      <c r="S513" s="474">
        <v>2563.1699999999996</v>
      </c>
      <c r="T513" s="475"/>
      <c r="U513" s="467">
        <v>629.22</v>
      </c>
      <c r="V513" s="468"/>
      <c r="W513" s="289" t="s">
        <v>12</v>
      </c>
      <c r="X513" s="315">
        <v>497.93</v>
      </c>
      <c r="Y513" s="144" t="s">
        <v>18</v>
      </c>
      <c r="Z513" s="72">
        <v>44</v>
      </c>
    </row>
    <row r="514" spans="1:26">
      <c r="C514" s="15">
        <f>3567.86-C513</f>
        <v>1041.3700000000003</v>
      </c>
      <c r="D514" s="462" t="s">
        <v>693</v>
      </c>
      <c r="E514" s="463"/>
      <c r="F514" s="15">
        <f>43.11+46.63+19.98+(9.9)+44.77</f>
        <v>164.39000000000001</v>
      </c>
      <c r="G514" s="462" t="s">
        <v>9</v>
      </c>
      <c r="H514" s="464"/>
      <c r="I514" s="63">
        <v>11.9</v>
      </c>
      <c r="J514" s="462" t="s">
        <v>249</v>
      </c>
      <c r="K514" s="464"/>
      <c r="L514" s="76">
        <v>-100</v>
      </c>
      <c r="M514" s="25">
        <v>-100</v>
      </c>
      <c r="N514" s="294">
        <v>24.79</v>
      </c>
      <c r="O514" s="136" t="s">
        <v>12</v>
      </c>
      <c r="P514" s="319">
        <f>P497+P512-SUM(L512:L525)-SUM(M512:M525)-SUM(N512:N525)</f>
        <v>1185.7199999999966</v>
      </c>
      <c r="Q514" s="320">
        <f>Z512+Z517+Z520</f>
        <v>1592.48</v>
      </c>
      <c r="R514" s="308" t="s">
        <v>383</v>
      </c>
      <c r="S514" s="474">
        <v>1750.8</v>
      </c>
      <c r="T514" s="475"/>
      <c r="U514" s="467">
        <v>648.62999999999977</v>
      </c>
      <c r="V514" s="468"/>
      <c r="W514" s="282" t="s">
        <v>373</v>
      </c>
      <c r="X514" s="132">
        <v>3000</v>
      </c>
      <c r="Y514" s="144" t="s">
        <v>19</v>
      </c>
      <c r="Z514" s="72">
        <v>50</v>
      </c>
    </row>
    <row r="515" spans="1:26" ht="15.75" thickBot="1">
      <c r="C515" s="15">
        <v>11.52</v>
      </c>
      <c r="D515" s="462" t="s">
        <v>390</v>
      </c>
      <c r="E515" s="463"/>
      <c r="F515" s="15">
        <v>0</v>
      </c>
      <c r="G515" s="462" t="s">
        <v>6</v>
      </c>
      <c r="H515" s="464"/>
      <c r="I515" s="20">
        <v>0.99</v>
      </c>
      <c r="J515" s="462" t="s">
        <v>499</v>
      </c>
      <c r="K515" s="464"/>
      <c r="L515" s="76">
        <v>-200</v>
      </c>
      <c r="M515" s="25">
        <v>-50</v>
      </c>
      <c r="N515" s="294">
        <v>20</v>
      </c>
      <c r="O515" s="140" t="s">
        <v>321</v>
      </c>
      <c r="P515" s="132">
        <f>SUM(C512:C525)-SUM(F512:F525)-SUM(I512:I525)-P518-P521-P524</f>
        <v>1059.3999999999999</v>
      </c>
      <c r="Q515" s="72">
        <f>Q514-Q497</f>
        <v>1032.78</v>
      </c>
      <c r="R515" s="308" t="s">
        <v>424</v>
      </c>
      <c r="S515" s="474">
        <v>1597.59</v>
      </c>
      <c r="T515" s="475"/>
      <c r="U515" s="467">
        <v>610.23214163811394</v>
      </c>
      <c r="V515" s="468"/>
      <c r="W515" s="282" t="s">
        <v>378</v>
      </c>
      <c r="X515" s="132">
        <f>X514-X513</f>
        <v>2502.0700000000002</v>
      </c>
      <c r="Y515" s="145" t="s">
        <v>324</v>
      </c>
      <c r="Z515" s="135">
        <v>0</v>
      </c>
    </row>
    <row r="516" spans="1:26" ht="15.75" thickBot="1">
      <c r="C516" s="15"/>
      <c r="D516" s="455"/>
      <c r="E516" s="456"/>
      <c r="F516" s="15">
        <f>255.6+51.21+13.19</f>
        <v>320</v>
      </c>
      <c r="G516" s="462" t="s">
        <v>97</v>
      </c>
      <c r="H516" s="464"/>
      <c r="I516" s="20">
        <f>11.99</f>
        <v>11.99</v>
      </c>
      <c r="J516" s="462" t="s">
        <v>385</v>
      </c>
      <c r="K516" s="464"/>
      <c r="L516" s="76">
        <v>-100</v>
      </c>
      <c r="M516" s="25">
        <v>-40</v>
      </c>
      <c r="N516" s="294">
        <v>3.87</v>
      </c>
      <c r="O516" s="141" t="s">
        <v>322</v>
      </c>
      <c r="P516" s="133">
        <f>P515/29</f>
        <v>36.531034482758614</v>
      </c>
      <c r="Q516" s="10">
        <f>Q515/29</f>
        <v>35.613103448275858</v>
      </c>
      <c r="R516" s="143" t="s">
        <v>12</v>
      </c>
      <c r="S516" s="476">
        <v>812.36999999999966</v>
      </c>
      <c r="T516" s="477"/>
      <c r="U516" s="478">
        <v>-19.409999999999741</v>
      </c>
      <c r="V516" s="479"/>
      <c r="W516" s="289" t="s">
        <v>379</v>
      </c>
      <c r="X516" s="132">
        <v>482.03</v>
      </c>
      <c r="Y516" s="470" t="s">
        <v>14</v>
      </c>
      <c r="Z516" s="471"/>
    </row>
    <row r="517" spans="1:26" ht="15.75" thickBot="1">
      <c r="C517" s="15"/>
      <c r="D517" s="455"/>
      <c r="E517" s="456"/>
      <c r="F517" s="15">
        <v>770</v>
      </c>
      <c r="G517" s="462" t="s">
        <v>695</v>
      </c>
      <c r="H517" s="464"/>
      <c r="I517" s="63">
        <f>46+64+50+90+65+45+70+106</f>
        <v>536</v>
      </c>
      <c r="J517" s="462" t="s">
        <v>98</v>
      </c>
      <c r="K517" s="464"/>
      <c r="L517" s="76"/>
      <c r="M517" s="25">
        <v>500</v>
      </c>
      <c r="N517" s="294">
        <v>5</v>
      </c>
      <c r="O517" s="136" t="s">
        <v>324</v>
      </c>
      <c r="P517" s="319">
        <f>P500+P518</f>
        <v>85</v>
      </c>
      <c r="Q517" s="320">
        <f>Z513+Z514+Z515</f>
        <v>94</v>
      </c>
      <c r="R517" s="144" t="s">
        <v>425</v>
      </c>
      <c r="S517" s="465">
        <v>965.5799999999997</v>
      </c>
      <c r="T517" s="466"/>
      <c r="U517" s="467">
        <v>18.987858361886083</v>
      </c>
      <c r="V517" s="468"/>
      <c r="W517" s="146" t="s">
        <v>375</v>
      </c>
      <c r="X517" s="325">
        <v>1.33</v>
      </c>
      <c r="Y517" s="143" t="s">
        <v>15</v>
      </c>
      <c r="Z517" s="12">
        <f>1547.48-(40)</f>
        <v>1507.48</v>
      </c>
    </row>
    <row r="518" spans="1:26" ht="15.75" thickBot="1">
      <c r="C518" s="15"/>
      <c r="D518" s="462"/>
      <c r="E518" s="463"/>
      <c r="F518" s="15">
        <f>130+(40)</f>
        <v>170</v>
      </c>
      <c r="G518" s="457" t="s">
        <v>718</v>
      </c>
      <c r="H518" s="458"/>
      <c r="I518" s="20">
        <v>109.65</v>
      </c>
      <c r="J518" s="462" t="s">
        <v>105</v>
      </c>
      <c r="K518" s="464"/>
      <c r="L518" s="76"/>
      <c r="M518" s="25"/>
      <c r="N518" s="294">
        <v>10</v>
      </c>
      <c r="O518" s="140" t="s">
        <v>321</v>
      </c>
      <c r="P518" s="132">
        <f>SUM(L512:L525)</f>
        <v>-500</v>
      </c>
      <c r="Q518" s="72">
        <f>Q517-Q500</f>
        <v>-495</v>
      </c>
      <c r="R518" s="144" t="s">
        <v>426</v>
      </c>
      <c r="S518" s="465">
        <v>782.75000000000023</v>
      </c>
      <c r="T518" s="466"/>
      <c r="U518" s="467">
        <v>-49.029999999999177</v>
      </c>
      <c r="V518" s="468"/>
      <c r="W518" s="470" t="s">
        <v>376</v>
      </c>
      <c r="X518" s="471"/>
      <c r="Y518" s="146" t="s">
        <v>325</v>
      </c>
      <c r="Z518" s="10">
        <v>514.03</v>
      </c>
    </row>
    <row r="519" spans="1:26" ht="16.5" thickTop="1" thickBot="1">
      <c r="C519" s="15"/>
      <c r="D519" s="462"/>
      <c r="E519" s="463"/>
      <c r="F519" s="15">
        <v>25</v>
      </c>
      <c r="G519" s="462" t="s">
        <v>33</v>
      </c>
      <c r="H519" s="464"/>
      <c r="I519" s="63">
        <f>10.47+11.39</f>
        <v>21.86</v>
      </c>
      <c r="J519" s="462" t="s">
        <v>377</v>
      </c>
      <c r="K519" s="464"/>
      <c r="L519" s="76"/>
      <c r="M519" s="25"/>
      <c r="N519" s="294">
        <v>25</v>
      </c>
      <c r="O519" s="141" t="s">
        <v>322</v>
      </c>
      <c r="P519" s="133">
        <f>P518/29</f>
        <v>-17.241379310344829</v>
      </c>
      <c r="Q519" s="10">
        <f>Q518/29</f>
        <v>-17.068965517241381</v>
      </c>
      <c r="R519" s="144" t="s">
        <v>422</v>
      </c>
      <c r="S519" s="465">
        <v>-182.82999999999947</v>
      </c>
      <c r="T519" s="466"/>
      <c r="U519" s="467">
        <v>-68.01785836188526</v>
      </c>
      <c r="V519" s="468"/>
      <c r="W519" s="289" t="s">
        <v>12</v>
      </c>
      <c r="X519" s="38">
        <v>561.88</v>
      </c>
      <c r="Y519" s="470" t="s">
        <v>374</v>
      </c>
      <c r="Z519" s="471"/>
    </row>
    <row r="520" spans="1:26" ht="15.75" thickTop="1">
      <c r="C520" s="15"/>
      <c r="D520" s="462"/>
      <c r="E520" s="463"/>
      <c r="F520" s="15"/>
      <c r="G520" s="462"/>
      <c r="H520" s="464"/>
      <c r="I520" s="20">
        <v>4.99</v>
      </c>
      <c r="J520" s="462" t="s">
        <v>743</v>
      </c>
      <c r="K520" s="464"/>
      <c r="L520" s="76"/>
      <c r="M520" s="25"/>
      <c r="N520" s="294">
        <v>40</v>
      </c>
      <c r="O520" s="136" t="s">
        <v>325</v>
      </c>
      <c r="P520" s="319">
        <f>P503+P521</f>
        <v>513.88</v>
      </c>
      <c r="Q520" s="320">
        <f>Z518</f>
        <v>514.03</v>
      </c>
      <c r="R520" s="143" t="s">
        <v>421</v>
      </c>
      <c r="S520" s="465">
        <v>-198.43999999999915</v>
      </c>
      <c r="T520" s="466"/>
      <c r="U520" s="467">
        <v>49.61647624819372</v>
      </c>
      <c r="V520" s="468"/>
      <c r="W520" s="282" t="s">
        <v>373</v>
      </c>
      <c r="X520" s="281">
        <v>1000</v>
      </c>
      <c r="Y520" s="321" t="s">
        <v>181</v>
      </c>
      <c r="Z520" s="322">
        <v>0</v>
      </c>
    </row>
    <row r="521" spans="1:26" ht="15.75" thickBot="1">
      <c r="C521" s="266"/>
      <c r="D521" s="448"/>
      <c r="E521" s="469"/>
      <c r="F521" s="15"/>
      <c r="G521" s="462"/>
      <c r="H521" s="464"/>
      <c r="I521" s="20">
        <f>484.99-(41.73)</f>
        <v>443.26</v>
      </c>
      <c r="J521" s="462" t="s">
        <v>206</v>
      </c>
      <c r="K521" s="464"/>
      <c r="L521" s="76"/>
      <c r="M521" s="25"/>
      <c r="N521" s="295">
        <v>25</v>
      </c>
      <c r="O521" s="140" t="s">
        <v>321</v>
      </c>
      <c r="P521" s="132">
        <f>SUM(M512:M525)</f>
        <v>10</v>
      </c>
      <c r="Q521" s="72">
        <f>Q520-Q503</f>
        <v>10.049999999999955</v>
      </c>
      <c r="R521" s="144" t="s">
        <v>418</v>
      </c>
      <c r="S521" s="465">
        <v>-29.619999999999436</v>
      </c>
      <c r="T521" s="466"/>
      <c r="U521" s="467">
        <v>-29.619999999999436</v>
      </c>
      <c r="V521" s="468"/>
      <c r="W521" s="282" t="s">
        <v>378</v>
      </c>
      <c r="X521" s="281">
        <f>X520-X519</f>
        <v>438.12</v>
      </c>
      <c r="Y521" s="146" t="s">
        <v>553</v>
      </c>
      <c r="Z521" s="10">
        <v>-1.3766765505351941E-14</v>
      </c>
    </row>
    <row r="522" spans="1:26" ht="15.75" thickBot="1">
      <c r="C522" s="266"/>
      <c r="D522" s="448"/>
      <c r="E522" s="469"/>
      <c r="F522" s="15"/>
      <c r="G522" s="462"/>
      <c r="H522" s="464"/>
      <c r="I522" s="20"/>
      <c r="J522" s="462"/>
      <c r="K522" s="464"/>
      <c r="L522" s="76"/>
      <c r="M522" s="25"/>
      <c r="N522" s="295">
        <v>20</v>
      </c>
      <c r="O522" s="141" t="s">
        <v>322</v>
      </c>
      <c r="P522" s="133">
        <f>P521/29</f>
        <v>0.34482758620689657</v>
      </c>
      <c r="Q522" s="10">
        <f>Q521/29</f>
        <v>0.34655172413792945</v>
      </c>
      <c r="R522" s="144" t="s">
        <v>438</v>
      </c>
      <c r="S522" s="465">
        <v>-29.619999999999436</v>
      </c>
      <c r="T522" s="466"/>
      <c r="U522" s="472"/>
      <c r="V522" s="473"/>
      <c r="W522" s="289" t="s">
        <v>379</v>
      </c>
      <c r="X522" s="281">
        <v>0</v>
      </c>
      <c r="Y522" s="266"/>
      <c r="Z522" s="16"/>
    </row>
    <row r="523" spans="1:26" ht="15.75" thickBot="1">
      <c r="C523" s="15"/>
      <c r="D523" s="448"/>
      <c r="E523" s="469"/>
      <c r="F523" s="15"/>
      <c r="G523" s="462"/>
      <c r="H523" s="464"/>
      <c r="I523" s="20"/>
      <c r="J523" s="462"/>
      <c r="K523" s="464"/>
      <c r="L523" s="76"/>
      <c r="M523" s="25"/>
      <c r="N523" s="295"/>
      <c r="O523" s="136" t="s">
        <v>323</v>
      </c>
      <c r="P523" s="319">
        <f>P506+P524</f>
        <v>1337.1073044585291</v>
      </c>
      <c r="Q523" s="320">
        <f>S512+U512</f>
        <v>894.98433461007926</v>
      </c>
      <c r="R523" s="144" t="s">
        <v>380</v>
      </c>
      <c r="S523" s="291">
        <f>S514-S515</f>
        <v>153.21000000000004</v>
      </c>
      <c r="T523" s="327">
        <f>S523/S515</f>
        <v>9.5900700430022745E-2</v>
      </c>
      <c r="U523" s="291">
        <f>U514-U515</f>
        <v>38.397858361885824</v>
      </c>
      <c r="V523" s="329">
        <f>U523/U515</f>
        <v>6.2923362671147065E-2</v>
      </c>
      <c r="W523" s="146" t="s">
        <v>375</v>
      </c>
      <c r="X523" s="326">
        <v>10.01</v>
      </c>
      <c r="Y523" s="266"/>
      <c r="Z523" s="16"/>
    </row>
    <row r="524" spans="1:26">
      <c r="C524" s="15"/>
      <c r="D524" s="462"/>
      <c r="E524" s="463"/>
      <c r="F524" s="15"/>
      <c r="G524" s="503"/>
      <c r="H524" s="504"/>
      <c r="I524" s="20"/>
      <c r="J524" s="503"/>
      <c r="K524" s="504"/>
      <c r="L524" s="76"/>
      <c r="M524" s="25"/>
      <c r="N524" s="293"/>
      <c r="O524" s="140" t="s">
        <v>321</v>
      </c>
      <c r="P524" s="132">
        <f>SUM(N512:N525)</f>
        <v>196.96</v>
      </c>
      <c r="Q524" s="72">
        <f>Q523-Q506</f>
        <v>160.01211556974772</v>
      </c>
      <c r="R524" s="144" t="s">
        <v>381</v>
      </c>
      <c r="S524" s="291">
        <f>S512-S517</f>
        <v>-168.81999999999971</v>
      </c>
      <c r="T524" s="327">
        <f>S524/S517</f>
        <v>-0.17483792124940425</v>
      </c>
      <c r="U524" s="291">
        <f>U512-U517</f>
        <v>79.236476248193156</v>
      </c>
      <c r="V524" s="366">
        <f>U524/U517</f>
        <v>4.1730075471409043</v>
      </c>
      <c r="W524" s="337" t="s">
        <v>410</v>
      </c>
      <c r="X524" s="1" t="s">
        <v>558</v>
      </c>
      <c r="Y524" s="266"/>
      <c r="Z524" s="16"/>
    </row>
    <row r="525" spans="1:26" ht="15.75" thickBot="1">
      <c r="C525" s="17"/>
      <c r="D525" s="459"/>
      <c r="E525" s="460"/>
      <c r="F525" s="17"/>
      <c r="G525" s="459"/>
      <c r="H525" s="461"/>
      <c r="I525" s="21"/>
      <c r="J525" s="459"/>
      <c r="K525" s="461"/>
      <c r="L525" s="42"/>
      <c r="M525" s="5"/>
      <c r="N525" s="21"/>
      <c r="O525" s="137" t="s">
        <v>322</v>
      </c>
      <c r="P525" s="138">
        <f>P524/29</f>
        <v>6.7917241379310349</v>
      </c>
      <c r="Q525" s="24">
        <f>Q524/29</f>
        <v>5.5176591575775076</v>
      </c>
      <c r="R525" s="153" t="s">
        <v>410</v>
      </c>
      <c r="S525" s="296">
        <f>S523+S524</f>
        <v>-15.609999999999673</v>
      </c>
      <c r="T525" s="328">
        <f>S525/S513</f>
        <v>-6.0901149748162136E-3</v>
      </c>
      <c r="U525" s="296">
        <f>U524+U523</f>
        <v>117.63433461007898</v>
      </c>
      <c r="V525" s="330">
        <f>U525/U513</f>
        <v>0.18695263121019512</v>
      </c>
      <c r="W525" s="296">
        <f>S525+U525</f>
        <v>102.02433461007931</v>
      </c>
      <c r="X525" s="330">
        <f>(W525+S513+U513)/(S513+U513)-1</f>
        <v>3.1958606125843003E-2</v>
      </c>
      <c r="Y525" s="290"/>
      <c r="Z525" s="18"/>
    </row>
    <row r="526" spans="1:26" ht="17.25" thickTop="1" thickBot="1">
      <c r="A526" s="14"/>
      <c r="B526" s="14" t="s">
        <v>31</v>
      </c>
      <c r="C526" s="264">
        <v>45505</v>
      </c>
      <c r="D526" s="3"/>
      <c r="E526" s="3"/>
      <c r="F526" s="3"/>
      <c r="G526" s="3"/>
      <c r="H526" s="3"/>
      <c r="I526" s="3"/>
      <c r="J526" s="3"/>
      <c r="K526" s="3"/>
      <c r="L526" s="3"/>
      <c r="M526" s="3"/>
      <c r="N526" s="3"/>
      <c r="O526" s="3"/>
      <c r="P526" s="3"/>
      <c r="Q526" s="3"/>
      <c r="R526" s="3"/>
      <c r="S526" s="3"/>
      <c r="T526" s="3"/>
      <c r="U526" s="3"/>
      <c r="V526" s="3"/>
      <c r="W526" s="3"/>
      <c r="X526" s="3"/>
      <c r="Y526" s="3"/>
      <c r="Z526" s="3"/>
    </row>
    <row r="527" spans="1:26" ht="17.25" thickTop="1" thickBot="1">
      <c r="C527" s="480" t="s">
        <v>386</v>
      </c>
      <c r="D527" s="481"/>
      <c r="E527" s="482"/>
      <c r="F527" s="483" t="s">
        <v>387</v>
      </c>
      <c r="G527" s="484"/>
      <c r="H527" s="484"/>
      <c r="I527" s="484"/>
      <c r="J527" s="484"/>
      <c r="K527" s="484"/>
      <c r="L527" s="484"/>
      <c r="M527" s="484"/>
      <c r="N527" s="485"/>
      <c r="O527" s="261" t="s">
        <v>320</v>
      </c>
      <c r="P527" s="262" t="s">
        <v>257</v>
      </c>
      <c r="Q527" s="263" t="s">
        <v>319</v>
      </c>
      <c r="R527" s="486" t="s">
        <v>144</v>
      </c>
      <c r="S527" s="487"/>
      <c r="T527" s="487"/>
      <c r="U527" s="487"/>
      <c r="V527" s="487"/>
      <c r="W527" s="487"/>
      <c r="X527" s="487"/>
      <c r="Y527" s="487"/>
      <c r="Z527" s="488"/>
    </row>
    <row r="528" spans="1:26" ht="15.75" thickBot="1">
      <c r="C528" s="265"/>
      <c r="D528" s="489"/>
      <c r="E528" s="490"/>
      <c r="F528" s="470" t="s">
        <v>3</v>
      </c>
      <c r="G528" s="491"/>
      <c r="H528" s="492"/>
      <c r="I528" s="493" t="s">
        <v>4</v>
      </c>
      <c r="J528" s="491"/>
      <c r="K528" s="492"/>
      <c r="L528" s="267" t="s">
        <v>324</v>
      </c>
      <c r="M528" s="267" t="s">
        <v>325</v>
      </c>
      <c r="N528" s="267" t="s">
        <v>323</v>
      </c>
      <c r="O528" s="316" t="s">
        <v>5</v>
      </c>
      <c r="P528" s="317">
        <f>P531+P534+P537+P540</f>
        <v>3071.1173044585257</v>
      </c>
      <c r="Q528" s="318">
        <f>Q537+Q534+Q531+Q540</f>
        <v>2986.8221447107226</v>
      </c>
      <c r="R528" s="268" t="s">
        <v>323</v>
      </c>
      <c r="S528" s="493" t="s">
        <v>317</v>
      </c>
      <c r="T528" s="492"/>
      <c r="U528" s="493" t="s">
        <v>369</v>
      </c>
      <c r="V528" s="471"/>
      <c r="W528" s="491" t="s">
        <v>310</v>
      </c>
      <c r="X528" s="471"/>
      <c r="Y528" s="470" t="s">
        <v>13</v>
      </c>
      <c r="Z528" s="471"/>
    </row>
    <row r="529" spans="1:26" ht="16.5" thickTop="1" thickBot="1">
      <c r="C529" s="15"/>
      <c r="D529" s="494"/>
      <c r="E529" s="495"/>
      <c r="G529" s="496"/>
      <c r="H529" s="497"/>
      <c r="J529" s="496"/>
      <c r="K529" s="497"/>
      <c r="L529" s="76"/>
      <c r="M529" s="25"/>
      <c r="N529" s="292"/>
      <c r="O529" s="258" t="s">
        <v>321</v>
      </c>
      <c r="P529" s="315">
        <f>SUM(C529:C542)-SUM(F529:F542)-SUM(I529:I542)</f>
        <v>-50.590000000000146</v>
      </c>
      <c r="Q529" s="12">
        <f>Q528-Q511</f>
        <v>-108.67218989935691</v>
      </c>
      <c r="R529" s="307" t="s">
        <v>343</v>
      </c>
      <c r="S529" s="498">
        <v>1098.28</v>
      </c>
      <c r="T529" s="499"/>
      <c r="U529" s="498">
        <v>148.96214471072261</v>
      </c>
      <c r="V529" s="500"/>
      <c r="W529" s="501" t="s">
        <v>326</v>
      </c>
      <c r="X529" s="502"/>
      <c r="Y529" s="143" t="s">
        <v>17</v>
      </c>
      <c r="Z529" s="12">
        <v>37</v>
      </c>
    </row>
    <row r="530" spans="1:26" ht="16.5" thickTop="1" thickBot="1">
      <c r="C530" s="15">
        <v>2526.5</v>
      </c>
      <c r="D530" s="462" t="s">
        <v>11</v>
      </c>
      <c r="E530" s="463"/>
      <c r="F530" s="6">
        <f>5.43+17+5.43+7.59+5+4.22+4+8+11.95+15+5.21</f>
        <v>88.83</v>
      </c>
      <c r="G530" s="462" t="s">
        <v>223</v>
      </c>
      <c r="H530" s="464"/>
      <c r="I530" s="20">
        <v>11.99</v>
      </c>
      <c r="J530" s="462" t="s">
        <v>22</v>
      </c>
      <c r="K530" s="464"/>
      <c r="L530" s="76">
        <v>200</v>
      </c>
      <c r="M530" s="25"/>
      <c r="N530" s="362">
        <f>25+20+25+50+20+21+25</f>
        <v>186</v>
      </c>
      <c r="O530" s="141" t="s">
        <v>322</v>
      </c>
      <c r="P530" s="133">
        <f>P529/29</f>
        <v>-1.7444827586206946</v>
      </c>
      <c r="Q530" s="10">
        <f>Q529/29</f>
        <v>-3.7473168930812726</v>
      </c>
      <c r="R530" s="308" t="s">
        <v>382</v>
      </c>
      <c r="S530" s="474">
        <v>3050.1699999999996</v>
      </c>
      <c r="T530" s="475"/>
      <c r="U530" s="467">
        <v>689.22</v>
      </c>
      <c r="V530" s="468"/>
      <c r="W530" s="289" t="s">
        <v>12</v>
      </c>
      <c r="X530" s="315">
        <v>771.94</v>
      </c>
      <c r="Y530" s="144" t="s">
        <v>18</v>
      </c>
      <c r="Z530" s="72">
        <v>44</v>
      </c>
    </row>
    <row r="531" spans="1:26">
      <c r="C531" s="15"/>
      <c r="D531" s="462"/>
      <c r="E531" s="463"/>
      <c r="F531" s="15">
        <f>43.36+41.5</f>
        <v>84.86</v>
      </c>
      <c r="G531" s="462" t="s">
        <v>9</v>
      </c>
      <c r="H531" s="464"/>
      <c r="I531" s="63">
        <v>11.9</v>
      </c>
      <c r="J531" s="462" t="s">
        <v>249</v>
      </c>
      <c r="K531" s="464"/>
      <c r="L531" s="76">
        <v>-200</v>
      </c>
      <c r="M531" s="25"/>
      <c r="N531" s="294">
        <f>25+20+43+25+50+20</f>
        <v>183</v>
      </c>
      <c r="O531" s="136" t="s">
        <v>12</v>
      </c>
      <c r="P531" s="319">
        <f>P514+P529-SUM(L529:L542)-SUM(M529:M542)-SUM(N529:N542)</f>
        <v>737.9599999999964</v>
      </c>
      <c r="Q531" s="320">
        <f>Z529+Z534+Z537</f>
        <v>1151.33</v>
      </c>
      <c r="R531" s="308" t="s">
        <v>383</v>
      </c>
      <c r="S531" s="474">
        <v>1951.1899999999998</v>
      </c>
      <c r="T531" s="475"/>
      <c r="U531" s="467">
        <v>648.62999999999977</v>
      </c>
      <c r="V531" s="468"/>
      <c r="W531" s="282" t="s">
        <v>373</v>
      </c>
      <c r="X531" s="132">
        <v>3000</v>
      </c>
      <c r="Y531" s="144" t="s">
        <v>19</v>
      </c>
      <c r="Z531" s="72">
        <v>30</v>
      </c>
    </row>
    <row r="532" spans="1:26" ht="15.75" thickBot="1">
      <c r="C532" s="15"/>
      <c r="D532" s="462"/>
      <c r="E532" s="463"/>
      <c r="F532" s="15">
        <v>0</v>
      </c>
      <c r="G532" s="462" t="s">
        <v>6</v>
      </c>
      <c r="H532" s="464"/>
      <c r="I532" s="20">
        <v>0.99</v>
      </c>
      <c r="J532" s="462" t="s">
        <v>499</v>
      </c>
      <c r="K532" s="464"/>
      <c r="L532" s="76"/>
      <c r="M532" s="25"/>
      <c r="N532" s="294">
        <v>28.17</v>
      </c>
      <c r="O532" s="140" t="s">
        <v>321</v>
      </c>
      <c r="P532" s="132">
        <f>SUM(C529:C542)-SUM(F529:F542)-SUM(I529:I542)-P535-P538-P541</f>
        <v>-447.76000000000016</v>
      </c>
      <c r="Q532" s="72">
        <f>Q531-Q514</f>
        <v>-441.15000000000009</v>
      </c>
      <c r="R532" s="308" t="s">
        <v>424</v>
      </c>
      <c r="S532" s="474">
        <v>1801.96</v>
      </c>
      <c r="T532" s="475"/>
      <c r="U532" s="467">
        <v>622.07206489192185</v>
      </c>
      <c r="V532" s="468"/>
      <c r="W532" s="282" t="s">
        <v>378</v>
      </c>
      <c r="X532" s="132">
        <v>2228.06</v>
      </c>
      <c r="Y532" s="145" t="s">
        <v>324</v>
      </c>
      <c r="Z532" s="135">
        <v>0</v>
      </c>
    </row>
    <row r="533" spans="1:26" ht="15.75" thickBot="1">
      <c r="C533" s="15"/>
      <c r="D533" s="455"/>
      <c r="E533" s="456"/>
      <c r="F533" s="15">
        <f>255.6+44.4</f>
        <v>300</v>
      </c>
      <c r="G533" s="462" t="s">
        <v>97</v>
      </c>
      <c r="H533" s="464"/>
      <c r="I533" s="20">
        <v>11.99</v>
      </c>
      <c r="J533" s="462" t="s">
        <v>385</v>
      </c>
      <c r="K533" s="464"/>
      <c r="L533" s="76"/>
      <c r="M533" s="25"/>
      <c r="N533" s="294"/>
      <c r="O533" s="141" t="s">
        <v>322</v>
      </c>
      <c r="P533" s="133">
        <f>P532/29</f>
        <v>-15.440000000000005</v>
      </c>
      <c r="Q533" s="10">
        <f>Q532/29</f>
        <v>-15.212068965517245</v>
      </c>
      <c r="R533" s="143" t="s">
        <v>12</v>
      </c>
      <c r="S533" s="476">
        <v>1098.9799999999998</v>
      </c>
      <c r="T533" s="477"/>
      <c r="U533" s="478">
        <v>40.590000000000259</v>
      </c>
      <c r="V533" s="479"/>
      <c r="W533" s="289" t="s">
        <v>379</v>
      </c>
      <c r="X533" s="132">
        <v>771.94</v>
      </c>
      <c r="Y533" s="470" t="s">
        <v>14</v>
      </c>
      <c r="Z533" s="471"/>
    </row>
    <row r="534" spans="1:26" ht="15.75" thickBot="1">
      <c r="C534" s="15"/>
      <c r="D534" s="455"/>
      <c r="E534" s="456"/>
      <c r="F534" s="15">
        <v>770</v>
      </c>
      <c r="G534" s="462" t="s">
        <v>777</v>
      </c>
      <c r="H534" s="464"/>
      <c r="I534" s="63">
        <f>85+60+85+60+65+5</f>
        <v>360</v>
      </c>
      <c r="J534" s="462" t="s">
        <v>98</v>
      </c>
      <c r="K534" s="464"/>
      <c r="L534" s="76"/>
      <c r="M534" s="25"/>
      <c r="N534" s="293"/>
      <c r="O534" s="136" t="s">
        <v>324</v>
      </c>
      <c r="P534" s="319">
        <f>P517+P535</f>
        <v>85</v>
      </c>
      <c r="Q534" s="320">
        <f>Z530+Z531+Z532</f>
        <v>74</v>
      </c>
      <c r="R534" s="144" t="s">
        <v>425</v>
      </c>
      <c r="S534" s="465">
        <v>1248.2099999999996</v>
      </c>
      <c r="T534" s="466"/>
      <c r="U534" s="467">
        <v>67.147935108078173</v>
      </c>
      <c r="V534" s="468"/>
      <c r="W534" s="146" t="s">
        <v>375</v>
      </c>
      <c r="X534" s="325">
        <v>14.41</v>
      </c>
      <c r="Y534" s="143" t="s">
        <v>15</v>
      </c>
      <c r="Z534" s="12">
        <f>1153.82-(40)</f>
        <v>1113.82</v>
      </c>
    </row>
    <row r="535" spans="1:26" ht="15.75" thickBot="1">
      <c r="C535" s="15"/>
      <c r="D535" s="462"/>
      <c r="E535" s="463"/>
      <c r="F535" s="15">
        <f>130+(40)</f>
        <v>170</v>
      </c>
      <c r="G535" s="457" t="s">
        <v>869</v>
      </c>
      <c r="H535" s="458"/>
      <c r="I535" s="20">
        <v>200</v>
      </c>
      <c r="J535" s="462" t="s">
        <v>105</v>
      </c>
      <c r="K535" s="464"/>
      <c r="L535" s="76"/>
      <c r="M535" s="25"/>
      <c r="N535" s="294"/>
      <c r="O535" s="140" t="s">
        <v>321</v>
      </c>
      <c r="P535" s="132">
        <f>SUM(L529:L542)</f>
        <v>0</v>
      </c>
      <c r="Q535" s="72">
        <f>Q534-Q517</f>
        <v>-20</v>
      </c>
      <c r="R535" s="144" t="s">
        <v>426</v>
      </c>
      <c r="S535" s="465">
        <v>782.74999999999977</v>
      </c>
      <c r="T535" s="466"/>
      <c r="U535" s="467">
        <v>-275.63999999999976</v>
      </c>
      <c r="V535" s="468"/>
      <c r="W535" s="470" t="s">
        <v>376</v>
      </c>
      <c r="X535" s="471"/>
      <c r="Y535" s="146" t="s">
        <v>325</v>
      </c>
      <c r="Z535" s="10">
        <v>514.25</v>
      </c>
    </row>
    <row r="536" spans="1:26" ht="16.5" thickTop="1" thickBot="1">
      <c r="C536" s="15"/>
      <c r="D536" s="462"/>
      <c r="E536" s="463"/>
      <c r="F536" s="15">
        <v>25</v>
      </c>
      <c r="G536" s="462" t="s">
        <v>33</v>
      </c>
      <c r="H536" s="464"/>
      <c r="I536" s="63">
        <f>14.48+9.75+12.04+13.55</f>
        <v>49.819999999999993</v>
      </c>
      <c r="J536" s="462" t="s">
        <v>377</v>
      </c>
      <c r="K536" s="464"/>
      <c r="L536" s="76"/>
      <c r="M536" s="25"/>
      <c r="N536" s="292"/>
      <c r="O536" s="141" t="s">
        <v>322</v>
      </c>
      <c r="P536" s="133">
        <f>P535/29</f>
        <v>0</v>
      </c>
      <c r="Q536" s="10">
        <f>Q535/29</f>
        <v>-0.68965517241379315</v>
      </c>
      <c r="R536" s="144" t="s">
        <v>422</v>
      </c>
      <c r="S536" s="465">
        <v>-465.45999999999981</v>
      </c>
      <c r="T536" s="466"/>
      <c r="U536" s="467">
        <v>-342.78793510807793</v>
      </c>
      <c r="V536" s="468"/>
      <c r="W536" s="289" t="s">
        <v>12</v>
      </c>
      <c r="X536" s="38">
        <v>454.89</v>
      </c>
      <c r="Y536" s="470" t="s">
        <v>374</v>
      </c>
      <c r="Z536" s="471"/>
    </row>
    <row r="537" spans="1:26" ht="15.75" thickTop="1">
      <c r="C537" s="15"/>
      <c r="D537" s="462"/>
      <c r="E537" s="463"/>
      <c r="F537" s="15">
        <f>8.68-5</f>
        <v>3.6799999999999997</v>
      </c>
      <c r="G537" s="462" t="s">
        <v>43</v>
      </c>
      <c r="H537" s="464"/>
      <c r="I537" s="20">
        <f>497.93-(9.9)</f>
        <v>488.03000000000003</v>
      </c>
      <c r="J537" s="462" t="s">
        <v>206</v>
      </c>
      <c r="K537" s="464"/>
      <c r="L537" s="76"/>
      <c r="M537" s="25"/>
      <c r="N537" s="293"/>
      <c r="O537" s="136" t="s">
        <v>325</v>
      </c>
      <c r="P537" s="319">
        <f>P520+P538</f>
        <v>513.88</v>
      </c>
      <c r="Q537" s="320">
        <f>Z535</f>
        <v>514.25</v>
      </c>
      <c r="R537" s="143" t="s">
        <v>421</v>
      </c>
      <c r="S537" s="465">
        <v>-466.15999999999963</v>
      </c>
      <c r="T537" s="466"/>
      <c r="U537" s="467">
        <v>-234.41579039735558</v>
      </c>
      <c r="V537" s="468"/>
      <c r="W537" s="282" t="s">
        <v>373</v>
      </c>
      <c r="X537" s="281">
        <v>2000</v>
      </c>
      <c r="Y537" s="321" t="s">
        <v>181</v>
      </c>
      <c r="Z537" s="322">
        <v>0.51</v>
      </c>
    </row>
    <row r="538" spans="1:26" ht="15.75" thickBot="1">
      <c r="C538" s="266"/>
      <c r="D538" s="448"/>
      <c r="E538" s="469"/>
      <c r="F538" s="15"/>
      <c r="G538" s="462"/>
      <c r="H538" s="464"/>
      <c r="I538" s="20"/>
      <c r="J538" s="462"/>
      <c r="K538" s="464"/>
      <c r="L538" s="76"/>
      <c r="M538" s="25"/>
      <c r="N538" s="295"/>
      <c r="O538" s="140" t="s">
        <v>321</v>
      </c>
      <c r="P538" s="132">
        <f>SUM(M529:M542)</f>
        <v>0</v>
      </c>
      <c r="Q538" s="72">
        <f>Q537-Q520</f>
        <v>0.22000000000002728</v>
      </c>
      <c r="R538" s="144" t="s">
        <v>418</v>
      </c>
      <c r="S538" s="465">
        <v>-316.23</v>
      </c>
      <c r="T538" s="466"/>
      <c r="U538" s="467">
        <v>-316.23</v>
      </c>
      <c r="V538" s="468"/>
      <c r="W538" s="282" t="s">
        <v>378</v>
      </c>
      <c r="X538" s="281">
        <v>1545.1100000000001</v>
      </c>
      <c r="Y538" s="146" t="s">
        <v>553</v>
      </c>
      <c r="Z538" s="10">
        <v>0.51</v>
      </c>
    </row>
    <row r="539" spans="1:26" ht="15.75" thickBot="1">
      <c r="C539" s="266"/>
      <c r="D539" s="448"/>
      <c r="E539" s="469"/>
      <c r="F539" s="15"/>
      <c r="G539" s="462"/>
      <c r="H539" s="464"/>
      <c r="I539" s="20"/>
      <c r="J539" s="462"/>
      <c r="K539" s="464"/>
      <c r="L539" s="76"/>
      <c r="M539" s="25"/>
      <c r="N539" s="293"/>
      <c r="O539" s="141" t="s">
        <v>322</v>
      </c>
      <c r="P539" s="133">
        <f>P538/29</f>
        <v>0</v>
      </c>
      <c r="Q539" s="10">
        <f>Q538/29</f>
        <v>7.5862068965526653E-3</v>
      </c>
      <c r="R539" s="144" t="s">
        <v>438</v>
      </c>
      <c r="S539" s="465">
        <v>-316.23</v>
      </c>
      <c r="T539" s="466"/>
      <c r="U539" s="472"/>
      <c r="V539" s="473"/>
      <c r="W539" s="289" t="s">
        <v>379</v>
      </c>
      <c r="X539" s="281">
        <v>0</v>
      </c>
      <c r="Y539" s="266"/>
      <c r="Z539" s="16"/>
    </row>
    <row r="540" spans="1:26" ht="15.75" thickBot="1">
      <c r="C540" s="15"/>
      <c r="D540" s="448"/>
      <c r="E540" s="469"/>
      <c r="F540" s="15"/>
      <c r="G540" s="462"/>
      <c r="H540" s="464"/>
      <c r="I540" s="20"/>
      <c r="J540" s="462"/>
      <c r="K540" s="464"/>
      <c r="L540" s="76"/>
      <c r="M540" s="25"/>
      <c r="N540" s="295"/>
      <c r="O540" s="136" t="s">
        <v>323</v>
      </c>
      <c r="P540" s="319">
        <f>P523+P541</f>
        <v>1734.2773044585292</v>
      </c>
      <c r="Q540" s="320">
        <f>S529+U529</f>
        <v>1247.2421447107226</v>
      </c>
      <c r="R540" s="144" t="s">
        <v>380</v>
      </c>
      <c r="S540" s="291">
        <v>149.22999999999979</v>
      </c>
      <c r="T540" s="327">
        <v>8.2815378809740381E-2</v>
      </c>
      <c r="U540" s="291">
        <v>26.557935108077913</v>
      </c>
      <c r="V540" s="329">
        <v>4.2692698494172149E-2</v>
      </c>
      <c r="W540" s="146" t="s">
        <v>375</v>
      </c>
      <c r="X540" s="326">
        <v>14.24</v>
      </c>
      <c r="Y540" s="266"/>
      <c r="Z540" s="16"/>
    </row>
    <row r="541" spans="1:26">
      <c r="C541" s="15"/>
      <c r="D541" s="462"/>
      <c r="E541" s="463"/>
      <c r="F541" s="15"/>
      <c r="G541" s="503"/>
      <c r="H541" s="504"/>
      <c r="J541" s="503"/>
      <c r="K541" s="504"/>
      <c r="L541" s="76"/>
      <c r="M541" s="25"/>
      <c r="N541" s="293"/>
      <c r="O541" s="140" t="s">
        <v>321</v>
      </c>
      <c r="P541" s="132">
        <f>SUM(N529:N542)</f>
        <v>397.17</v>
      </c>
      <c r="Q541" s="72">
        <f>Q540-Q523</f>
        <v>352.25781010064338</v>
      </c>
      <c r="R541" s="144" t="s">
        <v>381</v>
      </c>
      <c r="S541" s="291">
        <v>-149.92999999999961</v>
      </c>
      <c r="T541" s="327">
        <v>-0.12011600612076466</v>
      </c>
      <c r="U541" s="291">
        <v>81.814209602644439</v>
      </c>
      <c r="V541" s="366">
        <v>1.218417356705908</v>
      </c>
      <c r="W541" s="337" t="s">
        <v>410</v>
      </c>
      <c r="X541" s="1" t="s">
        <v>558</v>
      </c>
      <c r="Y541" s="266"/>
      <c r="Z541" s="16"/>
    </row>
    <row r="542" spans="1:26" ht="15.75" thickBot="1">
      <c r="C542" s="17"/>
      <c r="D542" s="459"/>
      <c r="E542" s="460"/>
      <c r="F542" s="17"/>
      <c r="G542" s="459"/>
      <c r="H542" s="461"/>
      <c r="I542" s="21"/>
      <c r="J542" s="459"/>
      <c r="K542" s="461"/>
      <c r="L542" s="42"/>
      <c r="M542" s="5"/>
      <c r="N542" s="21"/>
      <c r="O542" s="137" t="s">
        <v>322</v>
      </c>
      <c r="P542" s="138">
        <f>P541/29</f>
        <v>13.69551724137931</v>
      </c>
      <c r="Q542" s="24">
        <f>Q541/29</f>
        <v>12.14682103795322</v>
      </c>
      <c r="R542" s="153" t="s">
        <v>410</v>
      </c>
      <c r="S542" s="296">
        <v>-0.6999999999998181</v>
      </c>
      <c r="T542" s="328">
        <v>-2.2949540517407823E-4</v>
      </c>
      <c r="U542" s="296">
        <v>108.37214471072235</v>
      </c>
      <c r="V542" s="330">
        <v>0.1572388275307193</v>
      </c>
      <c r="W542" s="296">
        <v>107.67214471072253</v>
      </c>
      <c r="X542" s="330">
        <v>2.8794039859635578E-2</v>
      </c>
      <c r="Y542" s="290"/>
      <c r="Z542" s="18"/>
    </row>
    <row r="543" spans="1:26" ht="17.25" thickTop="1" thickBot="1">
      <c r="A543" s="14"/>
      <c r="B543" s="14" t="s">
        <v>31</v>
      </c>
      <c r="C543" s="264">
        <v>45536</v>
      </c>
      <c r="D543" s="3"/>
      <c r="E543" s="3"/>
      <c r="F543" s="3"/>
      <c r="G543" s="3"/>
      <c r="H543" s="3"/>
      <c r="I543" s="3"/>
      <c r="J543" s="3"/>
      <c r="K543" s="3"/>
      <c r="L543" s="3"/>
      <c r="M543" s="3"/>
      <c r="N543" s="3"/>
      <c r="O543" s="3"/>
      <c r="P543" s="3"/>
      <c r="Q543" s="3"/>
      <c r="R543" s="3"/>
      <c r="S543" s="3"/>
      <c r="T543" s="3"/>
      <c r="U543" s="3"/>
      <c r="V543" s="3"/>
      <c r="W543" s="3"/>
      <c r="X543" s="3"/>
      <c r="Y543" s="3"/>
      <c r="Z543" s="3"/>
    </row>
    <row r="544" spans="1:26" ht="17.25" thickTop="1" thickBot="1">
      <c r="C544" s="480" t="s">
        <v>386</v>
      </c>
      <c r="D544" s="481"/>
      <c r="E544" s="482"/>
      <c r="F544" s="483" t="s">
        <v>387</v>
      </c>
      <c r="G544" s="484"/>
      <c r="H544" s="484"/>
      <c r="I544" s="484"/>
      <c r="J544" s="484"/>
      <c r="K544" s="484"/>
      <c r="L544" s="484"/>
      <c r="M544" s="484"/>
      <c r="N544" s="485"/>
      <c r="O544" s="261" t="s">
        <v>320</v>
      </c>
      <c r="P544" s="262" t="s">
        <v>257</v>
      </c>
      <c r="Q544" s="263" t="s">
        <v>319</v>
      </c>
      <c r="R544" s="486" t="s">
        <v>144</v>
      </c>
      <c r="S544" s="487"/>
      <c r="T544" s="487"/>
      <c r="U544" s="487"/>
      <c r="V544" s="487"/>
      <c r="W544" s="487"/>
      <c r="X544" s="487"/>
      <c r="Y544" s="487"/>
      <c r="Z544" s="488"/>
    </row>
    <row r="545" spans="1:26" ht="15.75" thickBot="1">
      <c r="C545" s="265"/>
      <c r="D545" s="489"/>
      <c r="E545" s="490"/>
      <c r="F545" s="470" t="s">
        <v>3</v>
      </c>
      <c r="G545" s="491"/>
      <c r="H545" s="492"/>
      <c r="I545" s="493" t="s">
        <v>4</v>
      </c>
      <c r="J545" s="491"/>
      <c r="K545" s="492"/>
      <c r="L545" s="267" t="s">
        <v>324</v>
      </c>
      <c r="M545" s="267" t="s">
        <v>325</v>
      </c>
      <c r="N545" s="267" t="s">
        <v>323</v>
      </c>
      <c r="O545" s="316" t="s">
        <v>5</v>
      </c>
      <c r="P545" s="317">
        <f>P548+P551+P554+P557</f>
        <v>2948.0073044585256</v>
      </c>
      <c r="Q545" s="318">
        <f>Q554+Q551+Q548+Q557</f>
        <v>3071.6829358028908</v>
      </c>
      <c r="R545" s="268" t="s">
        <v>323</v>
      </c>
      <c r="S545" s="493" t="s">
        <v>317</v>
      </c>
      <c r="T545" s="492"/>
      <c r="U545" s="493" t="s">
        <v>369</v>
      </c>
      <c r="V545" s="471"/>
      <c r="W545" s="491" t="s">
        <v>310</v>
      </c>
      <c r="X545" s="471"/>
      <c r="Y545" s="470" t="s">
        <v>13</v>
      </c>
      <c r="Z545" s="471"/>
    </row>
    <row r="546" spans="1:26" ht="16.5" thickTop="1" thickBot="1">
      <c r="C546" s="15"/>
      <c r="D546" s="494"/>
      <c r="E546" s="495"/>
      <c r="G546" s="496"/>
      <c r="H546" s="497"/>
      <c r="J546" s="496"/>
      <c r="K546" s="497"/>
      <c r="L546" s="76"/>
      <c r="M546" s="25"/>
      <c r="N546" s="292"/>
      <c r="O546" s="258" t="s">
        <v>321</v>
      </c>
      <c r="P546" s="315">
        <f>SUM(C546:C559)-SUM(F546:F559)-SUM(I546:I559)</f>
        <v>-123.11000000000013</v>
      </c>
      <c r="Q546" s="12">
        <f>Q545-Q528</f>
        <v>84.860791092168256</v>
      </c>
      <c r="R546" s="307" t="s">
        <v>343</v>
      </c>
      <c r="S546" s="498">
        <v>1326.78</v>
      </c>
      <c r="T546" s="499"/>
      <c r="U546" s="498">
        <v>218.72293580289116</v>
      </c>
      <c r="V546" s="500"/>
      <c r="W546" s="501" t="s">
        <v>326</v>
      </c>
      <c r="X546" s="502"/>
      <c r="Y546" s="143" t="s">
        <v>17</v>
      </c>
      <c r="Z546" s="12">
        <v>69</v>
      </c>
    </row>
    <row r="547" spans="1:26" ht="16.5" thickTop="1" thickBot="1">
      <c r="C547" s="15">
        <v>2526.4899999999998</v>
      </c>
      <c r="D547" s="462" t="s">
        <v>11</v>
      </c>
      <c r="E547" s="463"/>
      <c r="F547" s="6">
        <f>14.51+3.41+15+17+7.36+14.51+15+14+11+16.27+13.09</f>
        <v>141.15</v>
      </c>
      <c r="G547" s="462" t="s">
        <v>223</v>
      </c>
      <c r="H547" s="464"/>
      <c r="I547" s="20">
        <v>11.99</v>
      </c>
      <c r="J547" s="462" t="s">
        <v>385</v>
      </c>
      <c r="K547" s="464"/>
      <c r="L547" s="76"/>
      <c r="M547" s="25">
        <v>-300</v>
      </c>
      <c r="N547" s="295">
        <f>49.15+50+50+50</f>
        <v>199.15</v>
      </c>
      <c r="O547" s="141" t="s">
        <v>322</v>
      </c>
      <c r="P547" s="133">
        <f>P546/29</f>
        <v>-4.2451724137931075</v>
      </c>
      <c r="Q547" s="10">
        <f>Q546/29</f>
        <v>2.9262341755920089</v>
      </c>
      <c r="R547" s="308" t="s">
        <v>382</v>
      </c>
      <c r="S547" s="474">
        <v>3200.1699999999996</v>
      </c>
      <c r="T547" s="475"/>
      <c r="U547" s="467">
        <v>739.22</v>
      </c>
      <c r="V547" s="468"/>
      <c r="W547" s="289" t="s">
        <v>12</v>
      </c>
      <c r="X547" s="315">
        <v>930.95</v>
      </c>
      <c r="Y547" s="144" t="s">
        <v>18</v>
      </c>
      <c r="Z547" s="72">
        <v>44</v>
      </c>
    </row>
    <row r="548" spans="1:26">
      <c r="C548" s="15">
        <f>2910.46-C547</f>
        <v>383.97000000000025</v>
      </c>
      <c r="D548" s="462" t="s">
        <v>11</v>
      </c>
      <c r="E548" s="463"/>
      <c r="F548" s="15">
        <f>44.45+40.54+43.74</f>
        <v>128.73000000000002</v>
      </c>
      <c r="G548" s="462" t="s">
        <v>9</v>
      </c>
      <c r="H548" s="464"/>
      <c r="I548" s="63">
        <v>0.99</v>
      </c>
      <c r="J548" s="462" t="s">
        <v>499</v>
      </c>
      <c r="K548" s="464"/>
      <c r="L548" s="76"/>
      <c r="M548" s="25">
        <v>-100</v>
      </c>
      <c r="N548" s="294"/>
      <c r="O548" s="136" t="s">
        <v>12</v>
      </c>
      <c r="P548" s="319">
        <f>P531+P546-SUM(L546:L559)-SUM(M546:M559)-SUM(N546:N559)</f>
        <v>415.69999999999629</v>
      </c>
      <c r="Q548" s="320">
        <f>Z546+Z551+Z554</f>
        <v>937.78</v>
      </c>
      <c r="R548" s="308" t="s">
        <v>383</v>
      </c>
      <c r="S548" s="474">
        <v>1951.9499999999998</v>
      </c>
      <c r="T548" s="475"/>
      <c r="U548" s="467">
        <v>648.62999999999977</v>
      </c>
      <c r="V548" s="468"/>
      <c r="W548" s="282" t="s">
        <v>373</v>
      </c>
      <c r="X548" s="132">
        <v>3000</v>
      </c>
      <c r="Y548" s="144" t="s">
        <v>19</v>
      </c>
      <c r="Z548" s="72">
        <v>30</v>
      </c>
    </row>
    <row r="549" spans="1:26" ht="15.75" thickBot="1">
      <c r="C549" s="15"/>
      <c r="D549" s="462"/>
      <c r="E549" s="463"/>
      <c r="F549" s="15">
        <f>F532</f>
        <v>0</v>
      </c>
      <c r="G549" s="462" t="s">
        <v>6</v>
      </c>
      <c r="H549" s="464"/>
      <c r="I549" s="20">
        <v>11.99</v>
      </c>
      <c r="J549" s="462" t="s">
        <v>22</v>
      </c>
      <c r="K549" s="464"/>
      <c r="L549" s="76"/>
      <c r="M549" s="25">
        <v>400</v>
      </c>
      <c r="N549" s="293"/>
      <c r="O549" s="140" t="s">
        <v>321</v>
      </c>
      <c r="P549" s="132">
        <f>SUM(C546:C559)-SUM(F546:F559)-SUM(I546:I559)-P552-P555-P558</f>
        <v>-322.2600000000001</v>
      </c>
      <c r="Q549" s="72">
        <f>Q548-Q531</f>
        <v>-213.54999999999995</v>
      </c>
      <c r="R549" s="308" t="s">
        <v>424</v>
      </c>
      <c r="S549" s="474">
        <v>1842</v>
      </c>
      <c r="T549" s="475"/>
      <c r="U549" s="467">
        <v>627.84294186887269</v>
      </c>
      <c r="V549" s="468"/>
      <c r="W549" s="282" t="s">
        <v>378</v>
      </c>
      <c r="X549" s="132">
        <v>2069.0500000000002</v>
      </c>
      <c r="Y549" s="145" t="s">
        <v>324</v>
      </c>
      <c r="Z549" s="135">
        <v>0</v>
      </c>
    </row>
    <row r="550" spans="1:26" ht="15.75" thickBot="1">
      <c r="C550" s="15"/>
      <c r="D550" s="455"/>
      <c r="E550" s="456"/>
      <c r="F550" s="15">
        <f>255.6+28+60</f>
        <v>343.6</v>
      </c>
      <c r="G550" s="462" t="s">
        <v>97</v>
      </c>
      <c r="H550" s="464"/>
      <c r="I550" s="20">
        <v>11.9</v>
      </c>
      <c r="J550" s="462" t="s">
        <v>249</v>
      </c>
      <c r="K550" s="464"/>
      <c r="L550" s="76"/>
      <c r="M550" s="25"/>
      <c r="N550" s="294"/>
      <c r="O550" s="141" t="s">
        <v>322</v>
      </c>
      <c r="P550" s="133">
        <f>P549/29</f>
        <v>-11.112413793103451</v>
      </c>
      <c r="Q550" s="10">
        <f>Q549/29</f>
        <v>-7.3637931034482742</v>
      </c>
      <c r="R550" s="143" t="s">
        <v>12</v>
      </c>
      <c r="S550" s="476">
        <v>1248.2199999999998</v>
      </c>
      <c r="T550" s="477"/>
      <c r="U550" s="478">
        <v>90.590000000000259</v>
      </c>
      <c r="V550" s="479"/>
      <c r="W550" s="289" t="s">
        <v>379</v>
      </c>
      <c r="X550" s="132">
        <v>930.95</v>
      </c>
      <c r="Y550" s="470" t="s">
        <v>14</v>
      </c>
      <c r="Z550" s="471"/>
    </row>
    <row r="551" spans="1:26" ht="15.75" thickBot="1">
      <c r="C551" s="15"/>
      <c r="D551" s="455"/>
      <c r="E551" s="456"/>
      <c r="F551" s="15">
        <f>770</f>
        <v>770</v>
      </c>
      <c r="G551" s="462" t="s">
        <v>778</v>
      </c>
      <c r="H551" s="464"/>
      <c r="I551" s="63">
        <v>200</v>
      </c>
      <c r="J551" s="462" t="s">
        <v>105</v>
      </c>
      <c r="K551" s="464"/>
      <c r="L551" s="76"/>
      <c r="M551" s="25"/>
      <c r="N551" s="293"/>
      <c r="O551" s="136" t="s">
        <v>324</v>
      </c>
      <c r="P551" s="319">
        <f>P534+P552</f>
        <v>85</v>
      </c>
      <c r="Q551" s="320">
        <f>Z547+Z548+Z549</f>
        <v>74</v>
      </c>
      <c r="R551" s="144" t="s">
        <v>425</v>
      </c>
      <c r="S551" s="465">
        <v>1358.1699999999996</v>
      </c>
      <c r="T551" s="466"/>
      <c r="U551" s="467">
        <v>111.37705813112734</v>
      </c>
      <c r="V551" s="468"/>
      <c r="W551" s="146" t="s">
        <v>375</v>
      </c>
      <c r="X551" s="325">
        <v>64.16</v>
      </c>
      <c r="Y551" s="143" t="s">
        <v>15</v>
      </c>
      <c r="Z551" s="12">
        <f>906.55-(40)</f>
        <v>866.55</v>
      </c>
    </row>
    <row r="552" spans="1:26" ht="15.75" thickBot="1">
      <c r="C552" s="15"/>
      <c r="D552" s="462"/>
      <c r="E552" s="463"/>
      <c r="F552" s="15">
        <f>130+(40)</f>
        <v>170</v>
      </c>
      <c r="G552" s="457" t="s">
        <v>868</v>
      </c>
      <c r="H552" s="458"/>
      <c r="I552" s="20">
        <f>12.04+13.55+14.74+10.73</f>
        <v>51.06</v>
      </c>
      <c r="J552" s="462" t="s">
        <v>377</v>
      </c>
      <c r="K552" s="464"/>
      <c r="L552" s="76"/>
      <c r="M552" s="25"/>
      <c r="N552" s="294"/>
      <c r="O552" s="140" t="s">
        <v>321</v>
      </c>
      <c r="P552" s="132">
        <f>SUM(L546:L559)</f>
        <v>0</v>
      </c>
      <c r="Q552" s="72">
        <f>Q551-Q534</f>
        <v>0</v>
      </c>
      <c r="R552" s="144" t="s">
        <v>426</v>
      </c>
      <c r="S552" s="465">
        <v>782.75</v>
      </c>
      <c r="T552" s="466"/>
      <c r="U552" s="467">
        <v>-374.87999999999954</v>
      </c>
      <c r="V552" s="468"/>
      <c r="W552" s="470" t="s">
        <v>376</v>
      </c>
      <c r="X552" s="471"/>
      <c r="Y552" s="146" t="s">
        <v>325</v>
      </c>
      <c r="Z552" s="10">
        <v>514.4</v>
      </c>
    </row>
    <row r="553" spans="1:26" ht="16.5" thickTop="1" thickBot="1">
      <c r="C553" s="15"/>
      <c r="D553" s="462"/>
      <c r="E553" s="463"/>
      <c r="F553" s="15">
        <v>25</v>
      </c>
      <c r="G553" s="462" t="s">
        <v>33</v>
      </c>
      <c r="H553" s="464"/>
      <c r="I553" s="63">
        <f>55+95+60-15+66-20+45+45</f>
        <v>331</v>
      </c>
      <c r="J553" s="462" t="s">
        <v>98</v>
      </c>
      <c r="K553" s="464"/>
      <c r="L553" s="76"/>
      <c r="M553" s="25"/>
      <c r="N553" s="292"/>
      <c r="O553" s="141" t="s">
        <v>322</v>
      </c>
      <c r="P553" s="133">
        <f>P552/29</f>
        <v>0</v>
      </c>
      <c r="Q553" s="10">
        <f>Q552/29</f>
        <v>0</v>
      </c>
      <c r="R553" s="144" t="s">
        <v>422</v>
      </c>
      <c r="S553" s="465">
        <v>-575.41999999999962</v>
      </c>
      <c r="T553" s="466"/>
      <c r="U553" s="467">
        <v>-486.25705813112688</v>
      </c>
      <c r="V553" s="468"/>
      <c r="W553" s="289" t="s">
        <v>12</v>
      </c>
      <c r="X553" s="38">
        <v>292.94</v>
      </c>
      <c r="Y553" s="470" t="s">
        <v>374</v>
      </c>
      <c r="Z553" s="471"/>
    </row>
    <row r="554" spans="1:26" ht="15.75" thickTop="1">
      <c r="C554" s="15"/>
      <c r="D554" s="462"/>
      <c r="E554" s="463"/>
      <c r="F554" s="15"/>
      <c r="G554" s="462"/>
      <c r="H554" s="464"/>
      <c r="I554" s="20">
        <v>7.99</v>
      </c>
      <c r="J554" s="462" t="s">
        <v>839</v>
      </c>
      <c r="K554" s="464"/>
      <c r="L554" s="76"/>
      <c r="M554" s="25"/>
      <c r="N554" s="293"/>
      <c r="O554" s="136" t="s">
        <v>325</v>
      </c>
      <c r="P554" s="319">
        <f>P537+P555</f>
        <v>513.88</v>
      </c>
      <c r="Q554" s="320">
        <f>Z552</f>
        <v>514.4</v>
      </c>
      <c r="R554" s="143" t="s">
        <v>421</v>
      </c>
      <c r="S554" s="465">
        <v>-496.85999999999945</v>
      </c>
      <c r="T554" s="466"/>
      <c r="U554" s="467">
        <v>-358.12412232823601</v>
      </c>
      <c r="V554" s="468"/>
      <c r="W554" s="282" t="s">
        <v>373</v>
      </c>
      <c r="X554" s="281">
        <v>2000</v>
      </c>
      <c r="Y554" s="321" t="s">
        <v>181</v>
      </c>
      <c r="Z554" s="322">
        <v>2.23</v>
      </c>
    </row>
    <row r="555" spans="1:26" ht="15.75" thickBot="1">
      <c r="C555" s="266"/>
      <c r="D555" s="448"/>
      <c r="E555" s="469"/>
      <c r="F555" s="15"/>
      <c r="G555" s="462"/>
      <c r="H555" s="464"/>
      <c r="I555" s="20">
        <v>71.739999999999995</v>
      </c>
      <c r="J555" s="462" t="s">
        <v>284</v>
      </c>
      <c r="K555" s="464"/>
      <c r="L555" s="76"/>
      <c r="M555" s="25"/>
      <c r="N555" s="295"/>
      <c r="O555" s="140" t="s">
        <v>321</v>
      </c>
      <c r="P555" s="132">
        <f>SUM(M546:M559)</f>
        <v>0</v>
      </c>
      <c r="Q555" s="72">
        <f>Q554-Q537</f>
        <v>0.14999999999997726</v>
      </c>
      <c r="R555" s="144" t="s">
        <v>418</v>
      </c>
      <c r="S555" s="465">
        <v>-465.4699999999998</v>
      </c>
      <c r="T555" s="466"/>
      <c r="U555" s="467">
        <v>-465.4699999999998</v>
      </c>
      <c r="V555" s="468"/>
      <c r="W555" s="282" t="s">
        <v>378</v>
      </c>
      <c r="X555" s="281">
        <v>1707.06</v>
      </c>
      <c r="Y555" s="146" t="s">
        <v>553</v>
      </c>
      <c r="Z555" s="10">
        <v>2.2299999999997997</v>
      </c>
    </row>
    <row r="556" spans="1:26" ht="15.75" thickBot="1">
      <c r="C556" s="266"/>
      <c r="D556" s="448"/>
      <c r="E556" s="469"/>
      <c r="F556" s="15"/>
      <c r="G556" s="462"/>
      <c r="H556" s="464"/>
      <c r="I556" s="20">
        <v>756.43</v>
      </c>
      <c r="J556" s="462" t="s">
        <v>206</v>
      </c>
      <c r="K556" s="464"/>
      <c r="L556" s="76"/>
      <c r="M556" s="25"/>
      <c r="N556" s="293"/>
      <c r="O556" s="141" t="s">
        <v>322</v>
      </c>
      <c r="P556" s="133">
        <f>P555/29</f>
        <v>0</v>
      </c>
      <c r="Q556" s="10">
        <f>Q555/29</f>
        <v>5.1724137931026641E-3</v>
      </c>
      <c r="R556" s="144" t="s">
        <v>438</v>
      </c>
      <c r="S556" s="465">
        <v>-465.4699999999998</v>
      </c>
      <c r="T556" s="466"/>
      <c r="U556" s="472"/>
      <c r="V556" s="473"/>
      <c r="W556" s="289" t="s">
        <v>379</v>
      </c>
      <c r="X556" s="281">
        <v>0</v>
      </c>
      <c r="Y556" s="266"/>
      <c r="Z556" s="16"/>
    </row>
    <row r="557" spans="1:26" ht="15.75" thickBot="1">
      <c r="C557" s="15"/>
      <c r="D557" s="448"/>
      <c r="E557" s="469"/>
      <c r="F557" s="15"/>
      <c r="G557" s="462"/>
      <c r="H557" s="464"/>
      <c r="I557" s="20"/>
      <c r="J557" s="462"/>
      <c r="K557" s="464"/>
      <c r="L557" s="76"/>
      <c r="M557" s="25"/>
      <c r="N557" s="295"/>
      <c r="O557" s="136" t="s">
        <v>323</v>
      </c>
      <c r="P557" s="319">
        <f>P540+P558</f>
        <v>1933.4273044585293</v>
      </c>
      <c r="Q557" s="320">
        <f>S546+U546</f>
        <v>1545.5029358028912</v>
      </c>
      <c r="R557" s="144" t="s">
        <v>380</v>
      </c>
      <c r="S557" s="291">
        <f>S548-S549</f>
        <v>109.94999999999982</v>
      </c>
      <c r="T557" s="327">
        <f>S557/S549</f>
        <v>5.9690553745928243E-2</v>
      </c>
      <c r="U557" s="291">
        <f>U548-U549</f>
        <v>20.787058131127083</v>
      </c>
      <c r="V557" s="329">
        <f>U557/U549</f>
        <v>3.3108691274367365E-2</v>
      </c>
      <c r="W557" s="146" t="s">
        <v>375</v>
      </c>
      <c r="X557" s="326">
        <v>14.24</v>
      </c>
      <c r="Y557" s="266"/>
      <c r="Z557" s="16"/>
    </row>
    <row r="558" spans="1:26">
      <c r="C558" s="15"/>
      <c r="D558" s="462"/>
      <c r="E558" s="463"/>
      <c r="F558" s="15"/>
      <c r="G558" s="503"/>
      <c r="H558" s="504"/>
      <c r="I558" s="20"/>
      <c r="J558" s="503"/>
      <c r="K558" s="504"/>
      <c r="L558" s="76"/>
      <c r="M558" s="25"/>
      <c r="N558" s="293"/>
      <c r="O558" s="140" t="s">
        <v>321</v>
      </c>
      <c r="P558" s="132">
        <f>SUM(N546:N559)</f>
        <v>199.15</v>
      </c>
      <c r="Q558" s="72">
        <f>Q557-Q540</f>
        <v>298.26079109216857</v>
      </c>
      <c r="R558" s="144" t="s">
        <v>381</v>
      </c>
      <c r="S558" s="291">
        <f>S546-S551</f>
        <v>-31.389999999999645</v>
      </c>
      <c r="T558" s="327">
        <f>S558/S551</f>
        <v>-2.3111981563427003E-2</v>
      </c>
      <c r="U558" s="291">
        <f>U546-U551</f>
        <v>107.34587767176382</v>
      </c>
      <c r="V558" s="366">
        <f>U558/U551</f>
        <v>0.96380600702689145</v>
      </c>
      <c r="W558" s="337" t="s">
        <v>410</v>
      </c>
      <c r="X558" s="1" t="s">
        <v>558</v>
      </c>
      <c r="Y558" s="266"/>
      <c r="Z558" s="16"/>
    </row>
    <row r="559" spans="1:26" ht="15.75" thickBot="1">
      <c r="C559" s="17"/>
      <c r="D559" s="459"/>
      <c r="E559" s="460"/>
      <c r="F559" s="17"/>
      <c r="G559" s="459"/>
      <c r="H559" s="461"/>
      <c r="I559" s="21"/>
      <c r="J559" s="459"/>
      <c r="K559" s="461"/>
      <c r="L559" s="42"/>
      <c r="M559" s="5"/>
      <c r="N559" s="21"/>
      <c r="O559" s="137" t="s">
        <v>322</v>
      </c>
      <c r="P559" s="138">
        <f>P558/29</f>
        <v>6.8672413793103448</v>
      </c>
      <c r="Q559" s="24">
        <f>Q558/29</f>
        <v>10.284854865247192</v>
      </c>
      <c r="R559" s="153" t="s">
        <v>410</v>
      </c>
      <c r="S559" s="296">
        <f>S557+S558</f>
        <v>78.560000000000173</v>
      </c>
      <c r="T559" s="328">
        <f>S559/S547</f>
        <v>2.4548695850532997E-2</v>
      </c>
      <c r="U559" s="296">
        <f>U558+U557</f>
        <v>128.1329358028909</v>
      </c>
      <c r="V559" s="330">
        <f>U559/U547</f>
        <v>0.1733353207473971</v>
      </c>
      <c r="W559" s="296">
        <f>S559+U559</f>
        <v>206.69293580289107</v>
      </c>
      <c r="X559" s="330">
        <f>(W559+S547+U547)/(S547+U547)-1</f>
        <v>5.2468259248993121E-2</v>
      </c>
      <c r="Y559" s="290"/>
      <c r="Z559" s="18"/>
    </row>
    <row r="560" spans="1:26" ht="17.25" thickTop="1" thickBot="1">
      <c r="A560" s="14"/>
      <c r="B560" s="14" t="s">
        <v>31</v>
      </c>
      <c r="C560" s="264">
        <v>45566</v>
      </c>
      <c r="D560" s="3"/>
      <c r="E560" s="3"/>
      <c r="F560" s="3"/>
      <c r="G560" s="3"/>
      <c r="H560" s="3"/>
      <c r="I560" s="3"/>
      <c r="J560" s="3"/>
      <c r="K560" s="3"/>
      <c r="L560" s="3"/>
      <c r="M560" s="3"/>
      <c r="N560" s="3"/>
      <c r="O560" s="3"/>
      <c r="P560" s="3"/>
      <c r="Q560" s="3"/>
      <c r="R560" s="3"/>
      <c r="S560" s="3"/>
      <c r="T560" s="3"/>
      <c r="U560" s="3"/>
      <c r="V560" s="3"/>
      <c r="W560" s="3"/>
      <c r="X560" s="3"/>
      <c r="Y560" s="3"/>
      <c r="Z560" s="3"/>
    </row>
    <row r="561" spans="3:26" ht="17.25" thickTop="1" thickBot="1">
      <c r="C561" s="480" t="s">
        <v>386</v>
      </c>
      <c r="D561" s="481"/>
      <c r="E561" s="482"/>
      <c r="F561" s="483" t="s">
        <v>387</v>
      </c>
      <c r="G561" s="484"/>
      <c r="H561" s="484"/>
      <c r="I561" s="484"/>
      <c r="J561" s="484"/>
      <c r="K561" s="484"/>
      <c r="L561" s="484"/>
      <c r="M561" s="484"/>
      <c r="N561" s="485"/>
      <c r="O561" s="261" t="s">
        <v>320</v>
      </c>
      <c r="P561" s="262" t="s">
        <v>257</v>
      </c>
      <c r="Q561" s="263" t="s">
        <v>319</v>
      </c>
      <c r="R561" s="486" t="s">
        <v>144</v>
      </c>
      <c r="S561" s="487"/>
      <c r="T561" s="487"/>
      <c r="U561" s="487"/>
      <c r="V561" s="487"/>
      <c r="W561" s="487"/>
      <c r="X561" s="487"/>
      <c r="Y561" s="487"/>
      <c r="Z561" s="488"/>
    </row>
    <row r="562" spans="3:26" ht="15.75" thickBot="1">
      <c r="C562" s="265"/>
      <c r="D562" s="489"/>
      <c r="E562" s="490"/>
      <c r="F562" s="470" t="s">
        <v>3</v>
      </c>
      <c r="G562" s="491"/>
      <c r="H562" s="492"/>
      <c r="I562" s="493" t="s">
        <v>4</v>
      </c>
      <c r="J562" s="491"/>
      <c r="K562" s="492"/>
      <c r="L562" s="267" t="s">
        <v>324</v>
      </c>
      <c r="M562" s="267" t="s">
        <v>325</v>
      </c>
      <c r="N562" s="267" t="s">
        <v>323</v>
      </c>
      <c r="O562" s="316" t="s">
        <v>5</v>
      </c>
      <c r="P562" s="317">
        <f>P565+P568+P571+P574</f>
        <v>2965.7673044585254</v>
      </c>
      <c r="Q562" s="318">
        <f>Q571+Q568+Q565+Q574</f>
        <v>3160.6220632655213</v>
      </c>
      <c r="R562" s="268" t="s">
        <v>323</v>
      </c>
      <c r="S562" s="493" t="s">
        <v>317</v>
      </c>
      <c r="T562" s="492"/>
      <c r="U562" s="493" t="s">
        <v>369</v>
      </c>
      <c r="V562" s="471"/>
      <c r="W562" s="470" t="s">
        <v>310</v>
      </c>
      <c r="X562" s="471"/>
      <c r="Y562" s="470" t="s">
        <v>13</v>
      </c>
      <c r="Z562" s="471"/>
    </row>
    <row r="563" spans="3:26" ht="16.5" thickTop="1" thickBot="1">
      <c r="C563" s="15"/>
      <c r="D563" s="494"/>
      <c r="E563" s="495"/>
      <c r="G563" s="496"/>
      <c r="H563" s="497"/>
      <c r="J563" s="496"/>
      <c r="K563" s="497"/>
      <c r="L563" s="76"/>
      <c r="M563" s="25"/>
      <c r="N563" s="292"/>
      <c r="O563" s="258" t="s">
        <v>321</v>
      </c>
      <c r="P563" s="315">
        <f>SUM(C563:C576)-SUM(F563:F576)-SUM(I563:I576)</f>
        <v>17.759999999999764</v>
      </c>
      <c r="Q563" s="12">
        <f>Q562-Q545</f>
        <v>88.939127462630495</v>
      </c>
      <c r="R563" s="307" t="s">
        <v>343</v>
      </c>
      <c r="S563" s="498">
        <v>1367.23</v>
      </c>
      <c r="T563" s="499"/>
      <c r="U563" s="498">
        <v>293.24206326552167</v>
      </c>
      <c r="V563" s="500"/>
      <c r="W563" s="501" t="s">
        <v>326</v>
      </c>
      <c r="X563" s="502"/>
      <c r="Y563" s="143" t="s">
        <v>17</v>
      </c>
      <c r="Z563" s="12">
        <v>135</v>
      </c>
    </row>
    <row r="564" spans="3:26" ht="16.5" thickTop="1" thickBot="1">
      <c r="C564" s="15">
        <f>2910.47-C565</f>
        <v>2526.4999999999995</v>
      </c>
      <c r="D564" s="462" t="s">
        <v>11</v>
      </c>
      <c r="E564" s="463"/>
      <c r="F564" s="6">
        <f>15+15+10.85+13.88+14.97+13+14.51+5.21+15+15+12.93+10+14.51+15+14.51+5.21+19.03+15+14.51+20</f>
        <v>273.12</v>
      </c>
      <c r="G564" s="462" t="s">
        <v>223</v>
      </c>
      <c r="H564" s="464"/>
      <c r="I564" s="20">
        <v>11.99</v>
      </c>
      <c r="J564" s="462" t="s">
        <v>385</v>
      </c>
      <c r="K564" s="464"/>
      <c r="L564" s="76"/>
      <c r="M564" s="25">
        <v>-300</v>
      </c>
      <c r="N564" s="295">
        <f>47.77+49.61+50+50</f>
        <v>197.38</v>
      </c>
      <c r="O564" s="141" t="s">
        <v>322</v>
      </c>
      <c r="P564" s="133">
        <f>P563/29</f>
        <v>0.61241379310344013</v>
      </c>
      <c r="Q564" s="10">
        <f>Q563/29</f>
        <v>3.0668664642286378</v>
      </c>
      <c r="R564" s="308" t="s">
        <v>382</v>
      </c>
      <c r="S564" s="474">
        <v>3410.1699999999996</v>
      </c>
      <c r="T564" s="475"/>
      <c r="U564" s="467">
        <v>789.22</v>
      </c>
      <c r="V564" s="468"/>
      <c r="W564" s="289" t="s">
        <v>12</v>
      </c>
      <c r="X564" s="315">
        <v>1825.43</v>
      </c>
      <c r="Y564" s="144" t="s">
        <v>18</v>
      </c>
      <c r="Z564" s="72">
        <v>44</v>
      </c>
    </row>
    <row r="565" spans="3:26">
      <c r="C565" s="15">
        <f>C548</f>
        <v>383.97000000000025</v>
      </c>
      <c r="D565" s="462" t="s">
        <v>11</v>
      </c>
      <c r="E565" s="463"/>
      <c r="F565" s="15">
        <f>42.62+45.01+39.77</f>
        <v>127.4</v>
      </c>
      <c r="G565" s="462" t="s">
        <v>9</v>
      </c>
      <c r="H565" s="464"/>
      <c r="I565" s="63">
        <v>11.9</v>
      </c>
      <c r="J565" s="462" t="s">
        <v>249</v>
      </c>
      <c r="K565" s="464"/>
      <c r="L565" s="76"/>
      <c r="M565" s="25">
        <v>300</v>
      </c>
      <c r="N565" s="294"/>
      <c r="O565" s="136" t="s">
        <v>12</v>
      </c>
      <c r="P565" s="319">
        <f>P548+P563-SUM(L563:L576)-SUM(M563:M576)-SUM(N563:N576)</f>
        <v>236.07999999999606</v>
      </c>
      <c r="Q565" s="320">
        <f>Z563+Z568+Z571</f>
        <v>908.55999999999972</v>
      </c>
      <c r="R565" s="308" t="s">
        <v>383</v>
      </c>
      <c r="S565" s="474">
        <v>2135.25</v>
      </c>
      <c r="T565" s="475"/>
      <c r="U565" s="467">
        <v>648.62999999999977</v>
      </c>
      <c r="V565" s="468"/>
      <c r="W565" s="282" t="s">
        <v>373</v>
      </c>
      <c r="X565" s="132">
        <v>3000</v>
      </c>
      <c r="Y565" s="144" t="s">
        <v>19</v>
      </c>
      <c r="Z565" s="72">
        <v>33</v>
      </c>
    </row>
    <row r="566" spans="3:26" ht="15.75" thickBot="1">
      <c r="C566" s="15">
        <v>350</v>
      </c>
      <c r="D566" s="462" t="s">
        <v>859</v>
      </c>
      <c r="E566" s="463"/>
      <c r="F566" s="15">
        <v>0</v>
      </c>
      <c r="G566" s="462" t="s">
        <v>6</v>
      </c>
      <c r="H566" s="464"/>
      <c r="I566" s="63">
        <v>0.99</v>
      </c>
      <c r="J566" s="462" t="s">
        <v>499</v>
      </c>
      <c r="K566" s="464"/>
      <c r="L566" s="76"/>
      <c r="M566" s="25"/>
      <c r="N566" s="293"/>
      <c r="O566" s="140" t="s">
        <v>321</v>
      </c>
      <c r="P566" s="132">
        <f>SUM(C563:C576)-SUM(F563:F576)-SUM(I563:I576)-P569-P572-P575</f>
        <v>-179.62000000000023</v>
      </c>
      <c r="Q566" s="72">
        <f>Q565-Q548</f>
        <v>-29.220000000000255</v>
      </c>
      <c r="R566" s="308" t="s">
        <v>424</v>
      </c>
      <c r="S566" s="474">
        <v>1961.78</v>
      </c>
      <c r="T566" s="475"/>
      <c r="U566" s="467">
        <v>638.00056889239647</v>
      </c>
      <c r="V566" s="468"/>
      <c r="W566" s="282" t="s">
        <v>378</v>
      </c>
      <c r="X566" s="132">
        <v>1174.57</v>
      </c>
      <c r="Y566" s="145" t="s">
        <v>324</v>
      </c>
      <c r="Z566" s="135">
        <v>0</v>
      </c>
    </row>
    <row r="567" spans="3:26" ht="15.75" thickBot="1">
      <c r="C567" s="15">
        <f>64.72+11.43</f>
        <v>76.150000000000006</v>
      </c>
      <c r="D567" s="462" t="s">
        <v>390</v>
      </c>
      <c r="E567" s="463"/>
      <c r="F567" s="15">
        <f>255.6+83</f>
        <v>338.6</v>
      </c>
      <c r="G567" s="462" t="s">
        <v>97</v>
      </c>
      <c r="H567" s="464"/>
      <c r="I567" s="20">
        <v>11.99</v>
      </c>
      <c r="J567" s="462" t="s">
        <v>22</v>
      </c>
      <c r="K567" s="464"/>
      <c r="L567" s="76"/>
      <c r="M567" s="25"/>
      <c r="N567" s="294"/>
      <c r="O567" s="141" t="s">
        <v>322</v>
      </c>
      <c r="P567" s="133">
        <f>P566/29</f>
        <v>-6.193793103448284</v>
      </c>
      <c r="Q567" s="10">
        <f>Q566/29</f>
        <v>-1.0075862068965604</v>
      </c>
      <c r="R567" s="143" t="s">
        <v>12</v>
      </c>
      <c r="S567" s="476">
        <v>1274.9199999999996</v>
      </c>
      <c r="T567" s="477"/>
      <c r="U567" s="478">
        <v>140.59000000000026</v>
      </c>
      <c r="V567" s="479"/>
      <c r="W567" s="289" t="s">
        <v>379</v>
      </c>
      <c r="X567" s="132">
        <v>882.93</v>
      </c>
      <c r="Y567" s="470" t="s">
        <v>14</v>
      </c>
      <c r="Z567" s="471"/>
    </row>
    <row r="568" spans="3:26" ht="15.75" thickBot="1">
      <c r="C568" s="15">
        <v>100</v>
      </c>
      <c r="D568" s="455" t="s">
        <v>867</v>
      </c>
      <c r="E568" s="456"/>
      <c r="F568" s="15">
        <f>897.5+16.67</f>
        <v>914.17</v>
      </c>
      <c r="G568" s="462" t="s">
        <v>282</v>
      </c>
      <c r="H568" s="464"/>
      <c r="I568" s="63">
        <v>263.85000000000002</v>
      </c>
      <c r="J568" s="462" t="s">
        <v>105</v>
      </c>
      <c r="K568" s="464"/>
      <c r="L568" s="76"/>
      <c r="M568" s="25"/>
      <c r="N568" s="293"/>
      <c r="O568" s="136" t="s">
        <v>324</v>
      </c>
      <c r="P568" s="319">
        <f>P551+P569</f>
        <v>85</v>
      </c>
      <c r="Q568" s="320">
        <f>Z564+Z565+Z566</f>
        <v>77</v>
      </c>
      <c r="R568" s="144" t="s">
        <v>425</v>
      </c>
      <c r="S568" s="465">
        <v>1448.3899999999996</v>
      </c>
      <c r="T568" s="466"/>
      <c r="U568" s="467">
        <v>151.21943110760355</v>
      </c>
      <c r="V568" s="468"/>
      <c r="W568" s="146" t="s">
        <v>375</v>
      </c>
      <c r="X568" s="325">
        <f>4.37-0.94</f>
        <v>3.43</v>
      </c>
      <c r="Y568" s="143" t="s">
        <v>15</v>
      </c>
      <c r="Z568" s="12">
        <f>2993.62-897.5-16.67-930.95-300-200</f>
        <v>648.49999999999977</v>
      </c>
    </row>
    <row r="569" spans="3:26" ht="15.75" thickBot="1">
      <c r="C569" s="15"/>
      <c r="D569" s="462"/>
      <c r="E569" s="463"/>
      <c r="F569" s="15">
        <v>200</v>
      </c>
      <c r="G569" s="457" t="s">
        <v>870</v>
      </c>
      <c r="H569" s="458"/>
      <c r="I569" s="20">
        <f>82+45+80</f>
        <v>207</v>
      </c>
      <c r="J569" s="462" t="s">
        <v>98</v>
      </c>
      <c r="K569" s="464"/>
      <c r="L569" s="76"/>
      <c r="M569" s="25"/>
      <c r="N569" s="294"/>
      <c r="O569" s="140" t="s">
        <v>321</v>
      </c>
      <c r="P569" s="132">
        <f>SUM(L563:L576)</f>
        <v>0</v>
      </c>
      <c r="Q569" s="72">
        <f>Q568-Q551</f>
        <v>3</v>
      </c>
      <c r="R569" s="144" t="s">
        <v>426</v>
      </c>
      <c r="S569" s="465">
        <v>784.57000000000016</v>
      </c>
      <c r="T569" s="466"/>
      <c r="U569" s="467">
        <v>-349.7599999999992</v>
      </c>
      <c r="V569" s="468"/>
      <c r="W569" s="470" t="s">
        <v>376</v>
      </c>
      <c r="X569" s="471"/>
      <c r="Y569" s="146" t="s">
        <v>325</v>
      </c>
      <c r="Z569" s="10">
        <v>514.59</v>
      </c>
    </row>
    <row r="570" spans="3:26" ht="16.5" thickTop="1" thickBot="1">
      <c r="C570" s="15"/>
      <c r="D570" s="462"/>
      <c r="E570" s="463"/>
      <c r="F570" s="15">
        <v>25</v>
      </c>
      <c r="G570" s="462" t="s">
        <v>33</v>
      </c>
      <c r="H570" s="464"/>
      <c r="I570" s="63">
        <f>7.59+8.41</f>
        <v>16</v>
      </c>
      <c r="J570" s="462" t="s">
        <v>377</v>
      </c>
      <c r="K570" s="464"/>
      <c r="L570" s="76"/>
      <c r="M570" s="25"/>
      <c r="N570" s="292"/>
      <c r="O570" s="141" t="s">
        <v>322</v>
      </c>
      <c r="P570" s="133">
        <f>P569/29</f>
        <v>0</v>
      </c>
      <c r="Q570" s="10">
        <f>Q569/29</f>
        <v>0.10344827586206896</v>
      </c>
      <c r="R570" s="144" t="s">
        <v>422</v>
      </c>
      <c r="S570" s="465">
        <v>-663.81999999999948</v>
      </c>
      <c r="T570" s="466"/>
      <c r="U570" s="467">
        <v>-500.97943110760275</v>
      </c>
      <c r="V570" s="468"/>
      <c r="W570" s="289" t="s">
        <v>12</v>
      </c>
      <c r="X570" s="38">
        <v>255.54</v>
      </c>
      <c r="Y570" s="470" t="s">
        <v>374</v>
      </c>
      <c r="Z570" s="471"/>
    </row>
    <row r="571" spans="3:26" ht="15.75" thickTop="1">
      <c r="C571" s="15"/>
      <c r="D571" s="462"/>
      <c r="E571" s="463"/>
      <c r="F571" s="15">
        <f>54.29+75.05-43.44</f>
        <v>85.9</v>
      </c>
      <c r="G571" s="462" t="s">
        <v>887</v>
      </c>
      <c r="H571" s="464"/>
      <c r="I571" s="20">
        <v>930.95</v>
      </c>
      <c r="J571" s="462" t="s">
        <v>206</v>
      </c>
      <c r="K571" s="464"/>
      <c r="L571" s="76"/>
      <c r="M571" s="25"/>
      <c r="N571" s="293"/>
      <c r="O571" s="136" t="s">
        <v>325</v>
      </c>
      <c r="P571" s="319">
        <f>P554+P572</f>
        <v>513.88</v>
      </c>
      <c r="Q571" s="320">
        <f>Z569</f>
        <v>514.59</v>
      </c>
      <c r="R571" s="143" t="s">
        <v>421</v>
      </c>
      <c r="S571" s="465">
        <v>-571.50999999999908</v>
      </c>
      <c r="T571" s="466"/>
      <c r="U571" s="467">
        <v>-348.32736784208134</v>
      </c>
      <c r="V571" s="468"/>
      <c r="W571" s="282" t="s">
        <v>373</v>
      </c>
      <c r="X571" s="281">
        <v>2000</v>
      </c>
      <c r="Y571" s="321" t="s">
        <v>181</v>
      </c>
      <c r="Z571" s="322">
        <v>125.06</v>
      </c>
    </row>
    <row r="572" spans="3:26" ht="15.75" thickBot="1">
      <c r="C572" s="266"/>
      <c r="D572" s="448"/>
      <c r="E572" s="469"/>
      <c r="F572" s="15"/>
      <c r="G572" s="462"/>
      <c r="H572" s="464"/>
      <c r="I572" s="20"/>
      <c r="J572" s="462"/>
      <c r="K572" s="464"/>
      <c r="L572" s="76"/>
      <c r="M572" s="25"/>
      <c r="N572" s="295"/>
      <c r="O572" s="140" t="s">
        <v>321</v>
      </c>
      <c r="P572" s="132">
        <f>SUM(M563:M576)</f>
        <v>0</v>
      </c>
      <c r="Q572" s="72">
        <f>Q571-Q554</f>
        <v>0.19000000000005457</v>
      </c>
      <c r="R572" s="144" t="s">
        <v>418</v>
      </c>
      <c r="S572" s="465">
        <v>-490.34999999999945</v>
      </c>
      <c r="T572" s="466"/>
      <c r="U572" s="467">
        <v>-490.34999999999945</v>
      </c>
      <c r="V572" s="468"/>
      <c r="W572" s="282" t="s">
        <v>378</v>
      </c>
      <c r="X572" s="281">
        <v>1744.46</v>
      </c>
      <c r="Y572" s="146" t="s">
        <v>553</v>
      </c>
      <c r="Z572" s="10">
        <v>125.05999999999986</v>
      </c>
    </row>
    <row r="573" spans="3:26" ht="15.75" thickBot="1">
      <c r="C573" s="266"/>
      <c r="D573" s="448"/>
      <c r="E573" s="469"/>
      <c r="F573" s="15"/>
      <c r="G573" s="462"/>
      <c r="H573" s="464"/>
      <c r="I573" s="20"/>
      <c r="J573" s="462"/>
      <c r="K573" s="464"/>
      <c r="L573" s="76"/>
      <c r="M573" s="25"/>
      <c r="N573" s="293"/>
      <c r="O573" s="141" t="s">
        <v>322</v>
      </c>
      <c r="P573" s="133">
        <f>P572/29</f>
        <v>0</v>
      </c>
      <c r="Q573" s="10">
        <f>Q572/29</f>
        <v>6.551724137932916E-3</v>
      </c>
      <c r="R573" s="144" t="s">
        <v>438</v>
      </c>
      <c r="S573" s="465">
        <v>-490.34999999999945</v>
      </c>
      <c r="T573" s="466"/>
      <c r="U573" s="472"/>
      <c r="V573" s="473"/>
      <c r="W573" s="289" t="s">
        <v>379</v>
      </c>
      <c r="X573" s="281">
        <v>0</v>
      </c>
      <c r="Y573" s="266"/>
      <c r="Z573" s="16"/>
    </row>
    <row r="574" spans="3:26" ht="15.75" thickBot="1">
      <c r="C574" s="15"/>
      <c r="D574" s="448"/>
      <c r="E574" s="469"/>
      <c r="F574" s="15"/>
      <c r="G574" s="462"/>
      <c r="H574" s="464"/>
      <c r="I574" s="20"/>
      <c r="J574" s="462"/>
      <c r="K574" s="464"/>
      <c r="L574" s="76"/>
      <c r="M574" s="25"/>
      <c r="N574" s="295"/>
      <c r="O574" s="136" t="s">
        <v>323</v>
      </c>
      <c r="P574" s="319">
        <f>P557+P575</f>
        <v>2130.8073044585294</v>
      </c>
      <c r="Q574" s="320">
        <f>S563+U563</f>
        <v>1660.4720632655217</v>
      </c>
      <c r="R574" s="144" t="s">
        <v>380</v>
      </c>
      <c r="S574" s="291">
        <v>173.47000000000003</v>
      </c>
      <c r="T574" s="327">
        <v>8.8424797887632675E-2</v>
      </c>
      <c r="U574" s="291">
        <v>10.629431107603295</v>
      </c>
      <c r="V574" s="329">
        <v>1.6660535469516215E-2</v>
      </c>
      <c r="W574" s="146" t="s">
        <v>375</v>
      </c>
      <c r="X574" s="326">
        <v>15.7</v>
      </c>
      <c r="Y574" s="266"/>
      <c r="Z574" s="16"/>
    </row>
    <row r="575" spans="3:26">
      <c r="C575" s="15"/>
      <c r="D575" s="462"/>
      <c r="E575" s="463"/>
      <c r="F575" s="15"/>
      <c r="G575" s="503"/>
      <c r="H575" s="504"/>
      <c r="I575" s="20"/>
      <c r="J575" s="503"/>
      <c r="K575" s="504"/>
      <c r="L575" s="76"/>
      <c r="M575" s="25"/>
      <c r="N575" s="293"/>
      <c r="O575" s="140" t="s">
        <v>321</v>
      </c>
      <c r="P575" s="132">
        <f>SUM(N563:N576)</f>
        <v>197.38</v>
      </c>
      <c r="Q575" s="72">
        <f>Q574-Q557</f>
        <v>114.96912746263047</v>
      </c>
      <c r="R575" s="144" t="s">
        <v>381</v>
      </c>
      <c r="S575" s="291">
        <v>-81.159999999999627</v>
      </c>
      <c r="T575" s="327">
        <v>-5.6034631556417573E-2</v>
      </c>
      <c r="U575" s="291">
        <v>142.02263215791811</v>
      </c>
      <c r="V575" s="366">
        <v>0.93918242594669421</v>
      </c>
      <c r="W575" s="337" t="s">
        <v>410</v>
      </c>
      <c r="X575" s="1" t="s">
        <v>558</v>
      </c>
      <c r="Y575" s="266"/>
      <c r="Z575" s="16"/>
    </row>
    <row r="576" spans="3:26" ht="15.75" thickBot="1">
      <c r="C576" s="17"/>
      <c r="D576" s="459"/>
      <c r="E576" s="460"/>
      <c r="F576" s="17"/>
      <c r="G576" s="459"/>
      <c r="H576" s="461"/>
      <c r="I576" s="21"/>
      <c r="J576" s="459"/>
      <c r="K576" s="461"/>
      <c r="L576" s="42"/>
      <c r="M576" s="5"/>
      <c r="N576" s="21"/>
      <c r="O576" s="137" t="s">
        <v>322</v>
      </c>
      <c r="P576" s="138">
        <f>P575/29</f>
        <v>6.806206896551724</v>
      </c>
      <c r="Q576" s="24">
        <f>Q575/29</f>
        <v>3.9644526711251884</v>
      </c>
      <c r="R576" s="153" t="s">
        <v>410</v>
      </c>
      <c r="S576" s="296">
        <v>92.3100000000004</v>
      </c>
      <c r="T576" s="328">
        <v>2.7069031749150457E-2</v>
      </c>
      <c r="U576" s="296">
        <v>152.65206326552141</v>
      </c>
      <c r="V576" s="330">
        <v>0.19342143289009578</v>
      </c>
      <c r="W576" s="296">
        <v>244.96206326552181</v>
      </c>
      <c r="X576" s="330">
        <v>5.8332772918334053E-2</v>
      </c>
      <c r="Y576" s="290"/>
      <c r="Z576" s="18"/>
    </row>
    <row r="577" spans="1:26" ht="17.25" thickTop="1" thickBot="1">
      <c r="A577" s="14"/>
      <c r="B577" s="14" t="s">
        <v>31</v>
      </c>
      <c r="C577" s="264">
        <v>45597</v>
      </c>
      <c r="D577" s="3"/>
      <c r="E577" s="3"/>
      <c r="F577" s="3"/>
      <c r="G577" s="3"/>
      <c r="H577" s="3"/>
      <c r="I577" s="3"/>
      <c r="J577" s="3"/>
      <c r="K577" s="3"/>
      <c r="L577" s="3"/>
      <c r="M577" s="3"/>
      <c r="N577" s="3"/>
      <c r="O577" s="3"/>
      <c r="P577" s="3"/>
      <c r="Q577" s="3"/>
      <c r="R577" s="3"/>
      <c r="S577" s="3"/>
      <c r="T577" s="3"/>
      <c r="U577" s="3"/>
      <c r="V577" s="3"/>
      <c r="W577" s="3"/>
      <c r="X577" s="3"/>
      <c r="Y577" s="3"/>
      <c r="Z577" s="3"/>
    </row>
    <row r="578" spans="1:26" ht="17.25" thickTop="1" thickBot="1">
      <c r="C578" s="480" t="s">
        <v>386</v>
      </c>
      <c r="D578" s="481"/>
      <c r="E578" s="482"/>
      <c r="F578" s="483" t="s">
        <v>387</v>
      </c>
      <c r="G578" s="484"/>
      <c r="H578" s="484"/>
      <c r="I578" s="484"/>
      <c r="J578" s="484"/>
      <c r="K578" s="484"/>
      <c r="L578" s="484"/>
      <c r="M578" s="484"/>
      <c r="N578" s="485"/>
      <c r="O578" s="261" t="s">
        <v>320</v>
      </c>
      <c r="P578" s="262" t="s">
        <v>257</v>
      </c>
      <c r="Q578" s="263" t="s">
        <v>319</v>
      </c>
      <c r="R578" s="486" t="s">
        <v>144</v>
      </c>
      <c r="S578" s="487"/>
      <c r="T578" s="487"/>
      <c r="U578" s="487"/>
      <c r="V578" s="487"/>
      <c r="W578" s="487"/>
      <c r="X578" s="487"/>
      <c r="Y578" s="487"/>
      <c r="Z578" s="488"/>
    </row>
    <row r="579" spans="1:26" ht="15.75" thickBot="1">
      <c r="C579" s="265"/>
      <c r="D579" s="489"/>
      <c r="E579" s="490"/>
      <c r="F579" s="470" t="s">
        <v>3</v>
      </c>
      <c r="G579" s="491"/>
      <c r="H579" s="492"/>
      <c r="I579" s="493" t="s">
        <v>4</v>
      </c>
      <c r="J579" s="491"/>
      <c r="K579" s="492"/>
      <c r="L579" s="267" t="s">
        <v>324</v>
      </c>
      <c r="M579" s="267" t="s">
        <v>325</v>
      </c>
      <c r="N579" s="267" t="s">
        <v>323</v>
      </c>
      <c r="O579" s="316" t="s">
        <v>5</v>
      </c>
      <c r="P579" s="317">
        <f>P582+P585+P588+P591</f>
        <v>2711.4873044585261</v>
      </c>
      <c r="Q579" s="318">
        <f>Q588+Q585+Q582+Q591</f>
        <v>2837.1333418842196</v>
      </c>
      <c r="R579" s="268" t="s">
        <v>323</v>
      </c>
      <c r="S579" s="493" t="s">
        <v>317</v>
      </c>
      <c r="T579" s="492"/>
      <c r="U579" s="493" t="s">
        <v>369</v>
      </c>
      <c r="V579" s="471"/>
      <c r="W579" s="491" t="s">
        <v>310</v>
      </c>
      <c r="X579" s="471"/>
      <c r="Y579" s="470" t="s">
        <v>13</v>
      </c>
      <c r="Z579" s="471"/>
    </row>
    <row r="580" spans="1:26" ht="16.5" thickTop="1" thickBot="1">
      <c r="C580" s="15"/>
      <c r="D580" s="494"/>
      <c r="E580" s="495"/>
      <c r="G580" s="496"/>
      <c r="H580" s="497"/>
      <c r="J580" s="496"/>
      <c r="K580" s="497"/>
      <c r="L580" s="76"/>
      <c r="M580" s="25"/>
      <c r="N580" s="292"/>
      <c r="O580" s="258" t="s">
        <v>321</v>
      </c>
      <c r="P580" s="315">
        <f>SUM(C580:C593)-SUM(F580:F593)-SUM(I580:I593)</f>
        <v>-254.27999999999952</v>
      </c>
      <c r="Q580" s="12">
        <f>Q579-Q562</f>
        <v>-323.48872138130173</v>
      </c>
      <c r="R580" s="307" t="s">
        <v>343</v>
      </c>
      <c r="S580" s="498">
        <v>1500.44</v>
      </c>
      <c r="T580" s="499"/>
      <c r="U580" s="498">
        <v>100.47334188421932</v>
      </c>
      <c r="V580" s="500"/>
      <c r="W580" s="501" t="s">
        <v>326</v>
      </c>
      <c r="X580" s="502"/>
      <c r="Y580" s="143" t="s">
        <v>17</v>
      </c>
      <c r="Z580" s="12">
        <v>147</v>
      </c>
    </row>
    <row r="581" spans="1:26" ht="16.5" thickTop="1" thickBot="1">
      <c r="C581" s="15">
        <v>2526.4899999999998</v>
      </c>
      <c r="D581" s="462" t="s">
        <v>11</v>
      </c>
      <c r="E581" s="463"/>
      <c r="F581" s="6">
        <f>15+1.4+1.9+1.9+5.21+15.16+15+5.21+10.41+15+11+15+15+9.75+10.41</f>
        <v>147.35</v>
      </c>
      <c r="G581" s="462" t="s">
        <v>223</v>
      </c>
      <c r="H581" s="464"/>
      <c r="I581" s="20">
        <v>11.99</v>
      </c>
      <c r="J581" s="462" t="s">
        <v>385</v>
      </c>
      <c r="K581" s="464"/>
      <c r="L581" s="76"/>
      <c r="M581" s="25">
        <v>-300</v>
      </c>
      <c r="N581" s="295">
        <f>4.94</f>
        <v>4.9400000000000004</v>
      </c>
      <c r="O581" s="141" t="s">
        <v>322</v>
      </c>
      <c r="P581" s="133">
        <f>P580/29</f>
        <v>-8.7682758620689487</v>
      </c>
      <c r="Q581" s="10">
        <f>Q580/29</f>
        <v>-11.154783495906957</v>
      </c>
      <c r="R581" s="308" t="s">
        <v>382</v>
      </c>
      <c r="S581" s="474">
        <v>3560.1699999999996</v>
      </c>
      <c r="T581" s="475"/>
      <c r="U581" s="467">
        <v>889.22</v>
      </c>
      <c r="V581" s="468"/>
      <c r="W581" s="289" t="s">
        <v>12</v>
      </c>
      <c r="X581" s="315">
        <v>989.91</v>
      </c>
      <c r="Y581" s="144" t="s">
        <v>18</v>
      </c>
      <c r="Z581" s="72">
        <v>44</v>
      </c>
    </row>
    <row r="582" spans="1:26">
      <c r="C582" s="15">
        <f>C565</f>
        <v>383.97000000000025</v>
      </c>
      <c r="D582" s="462" t="s">
        <v>11</v>
      </c>
      <c r="E582" s="463"/>
      <c r="F582" s="15">
        <f>37.48+38.46+38.03</f>
        <v>113.97</v>
      </c>
      <c r="G582" s="462" t="s">
        <v>9</v>
      </c>
      <c r="H582" s="464"/>
      <c r="I582" s="63">
        <v>11.9</v>
      </c>
      <c r="J582" s="462" t="s">
        <v>249</v>
      </c>
      <c r="K582" s="464"/>
      <c r="L582" s="76"/>
      <c r="M582" s="25"/>
      <c r="N582" s="294"/>
      <c r="O582" s="136" t="s">
        <v>12</v>
      </c>
      <c r="P582" s="319">
        <f>P565+P580-SUM(L580:L593)-SUM(M580:M593)-SUM(N580:N593)</f>
        <v>276.85999999999655</v>
      </c>
      <c r="Q582" s="320">
        <f>Z580+Z585+Z588</f>
        <v>944.51</v>
      </c>
      <c r="R582" s="308" t="s">
        <v>383</v>
      </c>
      <c r="S582" s="474">
        <v>2174.66</v>
      </c>
      <c r="T582" s="475"/>
      <c r="U582" s="467">
        <v>1036.9699999999998</v>
      </c>
      <c r="V582" s="468"/>
      <c r="W582" s="282" t="s">
        <v>373</v>
      </c>
      <c r="X582" s="132">
        <v>5000</v>
      </c>
      <c r="Y582" s="144" t="s">
        <v>19</v>
      </c>
      <c r="Z582" s="72">
        <v>33</v>
      </c>
    </row>
    <row r="583" spans="1:26" ht="15.75" thickBot="1">
      <c r="C583" s="15">
        <v>19.510000000000002</v>
      </c>
      <c r="D583" s="462" t="s">
        <v>390</v>
      </c>
      <c r="E583" s="463"/>
      <c r="F583" s="15">
        <v>0</v>
      </c>
      <c r="G583" s="462" t="s">
        <v>6</v>
      </c>
      <c r="H583" s="464"/>
      <c r="I583" s="20">
        <v>0.99</v>
      </c>
      <c r="J583" s="462" t="s">
        <v>499</v>
      </c>
      <c r="K583" s="464"/>
      <c r="L583" s="76"/>
      <c r="M583" s="25"/>
      <c r="N583" s="293"/>
      <c r="O583" s="140" t="s">
        <v>321</v>
      </c>
      <c r="P583" s="132">
        <f>SUM(C580:C593)-SUM(F580:F593)-SUM(I580:I593)-P586-P589-P592</f>
        <v>40.780000000000484</v>
      </c>
      <c r="Q583" s="72">
        <f>Q582-Q565</f>
        <v>35.950000000000273</v>
      </c>
      <c r="R583" s="308" t="s">
        <v>424</v>
      </c>
      <c r="S583" s="474">
        <v>1991.78</v>
      </c>
      <c r="T583" s="475"/>
      <c r="U583" s="467">
        <v>930.35793263844732</v>
      </c>
      <c r="V583" s="468"/>
      <c r="W583" s="282" t="s">
        <v>378</v>
      </c>
      <c r="X583" s="132">
        <v>4010.09</v>
      </c>
      <c r="Y583" s="145" t="s">
        <v>324</v>
      </c>
      <c r="Z583" s="135">
        <v>0</v>
      </c>
    </row>
    <row r="584" spans="1:26" ht="15.75" thickBot="1">
      <c r="C584" s="15"/>
      <c r="D584" s="455"/>
      <c r="E584" s="456"/>
      <c r="F584" s="15">
        <v>300</v>
      </c>
      <c r="G584" s="462" t="s">
        <v>97</v>
      </c>
      <c r="H584" s="464"/>
      <c r="I584" s="63">
        <v>11.99</v>
      </c>
      <c r="J584" s="462" t="s">
        <v>22</v>
      </c>
      <c r="K584" s="464"/>
      <c r="L584" s="76"/>
      <c r="M584" s="25"/>
      <c r="N584" s="294"/>
      <c r="O584" s="141" t="s">
        <v>322</v>
      </c>
      <c r="P584" s="133">
        <f>P583/29</f>
        <v>1.4062068965517409</v>
      </c>
      <c r="Q584" s="10">
        <f>Q583/29</f>
        <v>1.2396551724138025</v>
      </c>
      <c r="R584" s="143" t="s">
        <v>12</v>
      </c>
      <c r="S584" s="476">
        <v>1385.5099999999998</v>
      </c>
      <c r="T584" s="477"/>
      <c r="U584" s="478">
        <v>-147.74999999999977</v>
      </c>
      <c r="V584" s="479"/>
      <c r="W584" s="289" t="s">
        <v>379</v>
      </c>
      <c r="X584" s="132">
        <v>989.91</v>
      </c>
      <c r="Y584" s="470" t="s">
        <v>14</v>
      </c>
      <c r="Z584" s="471"/>
    </row>
    <row r="585" spans="1:26" ht="15.75" thickBot="1">
      <c r="C585" s="15"/>
      <c r="D585" s="455"/>
      <c r="E585" s="456"/>
      <c r="F585" s="15">
        <v>906.17</v>
      </c>
      <c r="G585" s="462" t="s">
        <v>285</v>
      </c>
      <c r="H585" s="464"/>
      <c r="I585" s="63">
        <f>64+55+55+62-15+100-32</f>
        <v>289</v>
      </c>
      <c r="J585" s="462" t="s">
        <v>98</v>
      </c>
      <c r="K585" s="464"/>
      <c r="L585" s="76"/>
      <c r="M585" s="25"/>
      <c r="N585" s="293"/>
      <c r="O585" s="136" t="s">
        <v>324</v>
      </c>
      <c r="P585" s="319">
        <f>P568+P586</f>
        <v>85</v>
      </c>
      <c r="Q585" s="320">
        <f>Z581+Z582+Z583</f>
        <v>77</v>
      </c>
      <c r="R585" s="144" t="s">
        <v>425</v>
      </c>
      <c r="S585" s="465">
        <v>1568.3899999999996</v>
      </c>
      <c r="T585" s="466"/>
      <c r="U585" s="467">
        <v>-41.137932638447296</v>
      </c>
      <c r="V585" s="468"/>
      <c r="W585" s="146" t="s">
        <v>375</v>
      </c>
      <c r="X585" s="325">
        <v>3.64</v>
      </c>
      <c r="Y585" s="143" t="s">
        <v>15</v>
      </c>
      <c r="Z585" s="12">
        <f>770.26-(200)</f>
        <v>570.26</v>
      </c>
    </row>
    <row r="586" spans="1:26" ht="15.75" thickBot="1">
      <c r="C586" s="15"/>
      <c r="D586" s="462"/>
      <c r="E586" s="463"/>
      <c r="F586" s="15">
        <v>200</v>
      </c>
      <c r="G586" s="457" t="s">
        <v>871</v>
      </c>
      <c r="H586" s="458"/>
      <c r="I586" s="20">
        <v>222.96</v>
      </c>
      <c r="J586" s="462" t="s">
        <v>105</v>
      </c>
      <c r="K586" s="464"/>
      <c r="L586" s="76"/>
      <c r="M586" s="25"/>
      <c r="N586" s="294"/>
      <c r="O586" s="140" t="s">
        <v>321</v>
      </c>
      <c r="P586" s="132">
        <f>SUM(L580:L593)</f>
        <v>0</v>
      </c>
      <c r="Q586" s="72">
        <f>Q585-Q568</f>
        <v>0</v>
      </c>
      <c r="R586" s="144" t="s">
        <v>426</v>
      </c>
      <c r="S586" s="465">
        <v>784.59000000000015</v>
      </c>
      <c r="T586" s="466"/>
      <c r="U586" s="467">
        <v>-748.66999999999939</v>
      </c>
      <c r="V586" s="468"/>
      <c r="W586" s="470" t="s">
        <v>376</v>
      </c>
      <c r="X586" s="471"/>
      <c r="Y586" s="146" t="s">
        <v>325</v>
      </c>
      <c r="Z586" s="10">
        <v>214.71</v>
      </c>
    </row>
    <row r="587" spans="1:26" ht="16.5" thickTop="1" thickBot="1">
      <c r="C587" s="15"/>
      <c r="D587" s="462"/>
      <c r="E587" s="463"/>
      <c r="F587" s="15">
        <v>25</v>
      </c>
      <c r="G587" s="462" t="s">
        <v>33</v>
      </c>
      <c r="H587" s="464"/>
      <c r="I587" s="63">
        <v>60</v>
      </c>
      <c r="J587" s="462" t="s">
        <v>905</v>
      </c>
      <c r="K587" s="464"/>
      <c r="L587" s="76"/>
      <c r="M587" s="25"/>
      <c r="N587" s="292"/>
      <c r="O587" s="141" t="s">
        <v>322</v>
      </c>
      <c r="P587" s="133">
        <f>P586/29</f>
        <v>0</v>
      </c>
      <c r="Q587" s="10">
        <f>Q586/29</f>
        <v>0</v>
      </c>
      <c r="R587" s="144" t="s">
        <v>422</v>
      </c>
      <c r="S587" s="465">
        <v>-783.7999999999995</v>
      </c>
      <c r="T587" s="466"/>
      <c r="U587" s="467">
        <v>-707.53206736155209</v>
      </c>
      <c r="V587" s="468"/>
      <c r="W587" s="289" t="s">
        <v>12</v>
      </c>
      <c r="X587" s="38">
        <v>147.63999999999999</v>
      </c>
      <c r="Y587" s="470" t="s">
        <v>374</v>
      </c>
      <c r="Z587" s="471"/>
    </row>
    <row r="588" spans="1:26" ht="15.75" thickTop="1">
      <c r="C588" s="15"/>
      <c r="D588" s="462"/>
      <c r="E588" s="463"/>
      <c r="F588" s="15"/>
      <c r="G588" s="462"/>
      <c r="H588" s="464"/>
      <c r="I588" s="20">
        <v>882.93</v>
      </c>
      <c r="J588" s="462" t="s">
        <v>206</v>
      </c>
      <c r="K588" s="464"/>
      <c r="L588" s="76"/>
      <c r="M588" s="25"/>
      <c r="N588" s="293"/>
      <c r="O588" s="136" t="s">
        <v>325</v>
      </c>
      <c r="P588" s="319">
        <f>P571+P589</f>
        <v>213.88</v>
      </c>
      <c r="Q588" s="320">
        <f>Z586</f>
        <v>214.71</v>
      </c>
      <c r="R588" s="143" t="s">
        <v>421</v>
      </c>
      <c r="S588" s="465">
        <v>-668.86999999999921</v>
      </c>
      <c r="T588" s="466"/>
      <c r="U588" s="467">
        <v>-459.30872547733298</v>
      </c>
      <c r="V588" s="468"/>
      <c r="W588" s="282" t="s">
        <v>373</v>
      </c>
      <c r="X588" s="281">
        <v>2000</v>
      </c>
      <c r="Y588" s="321" t="s">
        <v>181</v>
      </c>
      <c r="Z588" s="322">
        <v>227.25</v>
      </c>
    </row>
    <row r="589" spans="1:26" ht="15.75" thickBot="1">
      <c r="C589" s="266"/>
      <c r="D589" s="448"/>
      <c r="E589" s="469"/>
      <c r="F589" s="15"/>
      <c r="G589" s="462"/>
      <c r="H589" s="464"/>
      <c r="I589" s="20"/>
      <c r="J589" s="462"/>
      <c r="K589" s="464"/>
      <c r="L589" s="76"/>
      <c r="M589" s="25"/>
      <c r="N589" s="295"/>
      <c r="O589" s="140" t="s">
        <v>321</v>
      </c>
      <c r="P589" s="132">
        <f>SUM(M580:M593)</f>
        <v>-300</v>
      </c>
      <c r="Q589" s="72">
        <f>Q588-Q571</f>
        <v>-299.88</v>
      </c>
      <c r="R589" s="144" t="s">
        <v>418</v>
      </c>
      <c r="S589" s="465">
        <v>-600.91999999999962</v>
      </c>
      <c r="T589" s="466"/>
      <c r="U589" s="467">
        <v>-600.91999999999962</v>
      </c>
      <c r="V589" s="468"/>
      <c r="W589" s="282" t="s">
        <v>378</v>
      </c>
      <c r="X589" s="281">
        <v>1860.68</v>
      </c>
      <c r="Y589" s="146" t="s">
        <v>553</v>
      </c>
      <c r="Z589" s="10">
        <v>227.7499999999998</v>
      </c>
    </row>
    <row r="590" spans="1:26" ht="15.75" thickBot="1">
      <c r="C590" s="266"/>
      <c r="D590" s="448"/>
      <c r="E590" s="469"/>
      <c r="F590" s="15"/>
      <c r="G590" s="462"/>
      <c r="H590" s="464"/>
      <c r="I590" s="20"/>
      <c r="J590" s="462"/>
      <c r="K590" s="464"/>
      <c r="L590" s="76"/>
      <c r="M590" s="25"/>
      <c r="N590" s="293"/>
      <c r="O590" s="141" t="s">
        <v>322</v>
      </c>
      <c r="P590" s="133">
        <f>P589/29</f>
        <v>-10.344827586206897</v>
      </c>
      <c r="Q590" s="10">
        <f>Q589/29</f>
        <v>-10.340689655172413</v>
      </c>
      <c r="R590" s="144" t="s">
        <v>438</v>
      </c>
      <c r="S590" s="465">
        <v>-600.91999999999962</v>
      </c>
      <c r="T590" s="466"/>
      <c r="U590" s="472"/>
      <c r="V590" s="473"/>
      <c r="W590" s="289" t="s">
        <v>379</v>
      </c>
      <c r="X590" s="281">
        <v>0</v>
      </c>
      <c r="Y590" s="266"/>
      <c r="Z590" s="16"/>
    </row>
    <row r="591" spans="1:26" ht="15.75" thickBot="1">
      <c r="C591" s="15"/>
      <c r="D591" s="448"/>
      <c r="E591" s="469"/>
      <c r="F591" s="15"/>
      <c r="G591" s="462"/>
      <c r="H591" s="464"/>
      <c r="I591" s="20"/>
      <c r="J591" s="462"/>
      <c r="K591" s="464"/>
      <c r="L591" s="76"/>
      <c r="M591" s="25"/>
      <c r="N591" s="295"/>
      <c r="O591" s="136" t="s">
        <v>323</v>
      </c>
      <c r="P591" s="319">
        <f>P574+P592</f>
        <v>2135.7473044585295</v>
      </c>
      <c r="Q591" s="320">
        <f>S580+U580</f>
        <v>1600.9133418842193</v>
      </c>
      <c r="R591" s="144" t="s">
        <v>380</v>
      </c>
      <c r="S591" s="291">
        <f>S582-S583</f>
        <v>182.87999999999988</v>
      </c>
      <c r="T591" s="327">
        <f>S591/S583</f>
        <v>9.1817369388185383E-2</v>
      </c>
      <c r="U591" s="291">
        <f>U582-U583</f>
        <v>106.61206736155248</v>
      </c>
      <c r="V591" s="329">
        <f>U591/U583</f>
        <v>0.11459252790934574</v>
      </c>
      <c r="W591" s="146" t="s">
        <v>375</v>
      </c>
      <c r="X591" s="326">
        <v>0</v>
      </c>
      <c r="Y591" s="266"/>
      <c r="Z591" s="16"/>
    </row>
    <row r="592" spans="1:26">
      <c r="C592" s="15"/>
      <c r="D592" s="462"/>
      <c r="E592" s="463"/>
      <c r="F592" s="15"/>
      <c r="G592" s="503"/>
      <c r="H592" s="504"/>
      <c r="I592" s="20"/>
      <c r="J592" s="503"/>
      <c r="K592" s="504"/>
      <c r="L592" s="76"/>
      <c r="M592" s="25"/>
      <c r="N592" s="293"/>
      <c r="O592" s="140" t="s">
        <v>321</v>
      </c>
      <c r="P592" s="132">
        <f>SUM(N580:N593)</f>
        <v>4.9400000000000004</v>
      </c>
      <c r="Q592" s="72">
        <f>Q591-Q574</f>
        <v>-59.558721381302348</v>
      </c>
      <c r="R592" s="144" t="s">
        <v>381</v>
      </c>
      <c r="S592" s="291">
        <f>S580-S585</f>
        <v>-67.949999999999591</v>
      </c>
      <c r="T592" s="327">
        <f>S592/S585</f>
        <v>-4.3324683273930339E-2</v>
      </c>
      <c r="U592" s="291">
        <f>U580-U585</f>
        <v>141.61127452266663</v>
      </c>
      <c r="V592" s="366">
        <f>U592/U585</f>
        <v>-3.4423527250933725</v>
      </c>
      <c r="W592" s="337" t="s">
        <v>410</v>
      </c>
      <c r="X592" s="1" t="s">
        <v>558</v>
      </c>
      <c r="Y592" s="266"/>
      <c r="Z592" s="16"/>
    </row>
    <row r="593" spans="1:26" ht="15.75" thickBot="1">
      <c r="C593" s="17"/>
      <c r="D593" s="459"/>
      <c r="E593" s="460"/>
      <c r="F593" s="17"/>
      <c r="G593" s="459"/>
      <c r="H593" s="461"/>
      <c r="I593" s="21"/>
      <c r="J593" s="459"/>
      <c r="K593" s="461"/>
      <c r="L593" s="42"/>
      <c r="M593" s="5"/>
      <c r="N593" s="21"/>
      <c r="O593" s="137" t="s">
        <v>322</v>
      </c>
      <c r="P593" s="138">
        <f>P592/29</f>
        <v>0.17034482758620692</v>
      </c>
      <c r="Q593" s="24">
        <f>Q592/29</f>
        <v>-2.0537490131483569</v>
      </c>
      <c r="R593" s="153" t="s">
        <v>410</v>
      </c>
      <c r="S593" s="296">
        <f>S591+S592</f>
        <v>114.93000000000029</v>
      </c>
      <c r="T593" s="328">
        <f>S593/S581</f>
        <v>3.2282166301047507E-2</v>
      </c>
      <c r="U593" s="296">
        <f>U592+U591</f>
        <v>248.22334188421911</v>
      </c>
      <c r="V593" s="330">
        <f>U593/U581</f>
        <v>0.27914727725896754</v>
      </c>
      <c r="W593" s="296">
        <f>S593+U593</f>
        <v>363.1533418842194</v>
      </c>
      <c r="X593" s="330">
        <f>(W593+S581+U581)/(S581+U581)-1</f>
        <v>8.1618680736959437E-2</v>
      </c>
      <c r="Y593" s="290"/>
      <c r="Z593" s="18"/>
    </row>
    <row r="594" spans="1:26" ht="17.25" thickTop="1" thickBot="1">
      <c r="A594" s="14"/>
      <c r="B594" s="14" t="s">
        <v>31</v>
      </c>
      <c r="C594" s="264">
        <v>45627</v>
      </c>
      <c r="D594" s="3"/>
      <c r="E594" s="3"/>
      <c r="F594" s="3"/>
      <c r="G594" s="3"/>
      <c r="H594" s="3"/>
      <c r="I594" s="3"/>
      <c r="J594" s="3"/>
      <c r="K594" s="3"/>
      <c r="L594" s="3"/>
      <c r="M594" s="3"/>
      <c r="N594" s="3"/>
      <c r="O594" s="3"/>
      <c r="P594" s="3"/>
      <c r="Q594" s="3"/>
      <c r="R594" s="3"/>
      <c r="S594" s="3"/>
      <c r="T594" s="3"/>
      <c r="U594" s="3"/>
      <c r="V594" s="3"/>
      <c r="W594" s="3"/>
      <c r="X594" s="3"/>
      <c r="Y594" s="3"/>
      <c r="Z594" s="3"/>
    </row>
    <row r="595" spans="1:26" ht="17.25" thickTop="1" thickBot="1">
      <c r="C595" s="480" t="s">
        <v>386</v>
      </c>
      <c r="D595" s="481"/>
      <c r="E595" s="482"/>
      <c r="F595" s="483" t="s">
        <v>387</v>
      </c>
      <c r="G595" s="484"/>
      <c r="H595" s="484"/>
      <c r="I595" s="484"/>
      <c r="J595" s="484"/>
      <c r="K595" s="484"/>
      <c r="L595" s="484"/>
      <c r="M595" s="484"/>
      <c r="N595" s="485"/>
      <c r="O595" s="261" t="s">
        <v>320</v>
      </c>
      <c r="P595" s="262" t="s">
        <v>257</v>
      </c>
      <c r="Q595" s="263" t="s">
        <v>319</v>
      </c>
      <c r="R595" s="486" t="s">
        <v>144</v>
      </c>
      <c r="S595" s="487"/>
      <c r="T595" s="487"/>
      <c r="U595" s="487"/>
      <c r="V595" s="487"/>
      <c r="W595" s="487"/>
      <c r="X595" s="487"/>
      <c r="Y595" s="487"/>
      <c r="Z595" s="488"/>
    </row>
    <row r="596" spans="1:26" ht="15.75" thickBot="1">
      <c r="C596" s="265"/>
      <c r="D596" s="489"/>
      <c r="E596" s="490"/>
      <c r="F596" s="470" t="s">
        <v>3</v>
      </c>
      <c r="G596" s="491"/>
      <c r="H596" s="492"/>
      <c r="I596" s="493" t="s">
        <v>4</v>
      </c>
      <c r="J596" s="491"/>
      <c r="K596" s="492"/>
      <c r="L596" s="267" t="s">
        <v>324</v>
      </c>
      <c r="M596" s="267" t="s">
        <v>325</v>
      </c>
      <c r="N596" s="267" t="s">
        <v>323</v>
      </c>
      <c r="O596" s="316" t="s">
        <v>5</v>
      </c>
      <c r="P596" s="317">
        <f>P599+P602+P605+P608</f>
        <v>2758.3873044585262</v>
      </c>
      <c r="Q596" s="318">
        <f>Q605+Q602+Q599+Q608</f>
        <v>3021.5527676458823</v>
      </c>
      <c r="R596" s="268" t="s">
        <v>323</v>
      </c>
      <c r="S596" s="493" t="s">
        <v>317</v>
      </c>
      <c r="T596" s="492"/>
      <c r="U596" s="493" t="s">
        <v>369</v>
      </c>
      <c r="V596" s="471"/>
      <c r="W596" s="491" t="s">
        <v>310</v>
      </c>
      <c r="X596" s="471"/>
      <c r="Y596" s="470" t="s">
        <v>13</v>
      </c>
      <c r="Z596" s="471"/>
    </row>
    <row r="597" spans="1:26" ht="16.5" thickTop="1" thickBot="1">
      <c r="C597" s="15"/>
      <c r="D597" s="494"/>
      <c r="E597" s="495"/>
      <c r="G597" s="496"/>
      <c r="H597" s="497"/>
      <c r="J597" s="496"/>
      <c r="K597" s="497"/>
      <c r="L597" s="76"/>
      <c r="M597" s="25"/>
      <c r="N597" s="292"/>
      <c r="O597" s="258" t="s">
        <v>321</v>
      </c>
      <c r="P597" s="315">
        <f>SUM(C597:C610)-SUM(F597:F610)-SUM(I597:I610)</f>
        <v>46.900000000000091</v>
      </c>
      <c r="Q597" s="12">
        <f>Q596-Q579</f>
        <v>184.41942576166275</v>
      </c>
      <c r="R597" s="307" t="s">
        <v>343</v>
      </c>
      <c r="S597" s="498">
        <v>1683.36</v>
      </c>
      <c r="T597" s="499"/>
      <c r="U597" s="498">
        <v>221.81276764588259</v>
      </c>
      <c r="V597" s="500"/>
      <c r="W597" s="501" t="s">
        <v>326</v>
      </c>
      <c r="X597" s="502"/>
      <c r="Y597" s="143" t="s">
        <v>17</v>
      </c>
      <c r="Z597" s="12">
        <f>115-60</f>
        <v>55</v>
      </c>
    </row>
    <row r="598" spans="1:26" ht="16.5" thickTop="1" thickBot="1">
      <c r="C598" s="15">
        <f>2910.54-C599</f>
        <v>2526.5699999999997</v>
      </c>
      <c r="D598" s="462" t="s">
        <v>11</v>
      </c>
      <c r="E598" s="463"/>
      <c r="F598" s="6">
        <f>15.51+12.88+9.75+15.51+14.99+24</f>
        <v>92.64</v>
      </c>
      <c r="G598" s="462" t="s">
        <v>223</v>
      </c>
      <c r="H598" s="464"/>
      <c r="I598" s="20">
        <v>11.99</v>
      </c>
      <c r="J598" s="462" t="s">
        <v>385</v>
      </c>
      <c r="K598" s="464"/>
      <c r="L598" s="76">
        <v>150</v>
      </c>
      <c r="M598" s="25">
        <v>100</v>
      </c>
      <c r="N598" s="295">
        <f>48.01+59.71</f>
        <v>107.72</v>
      </c>
      <c r="O598" s="141" t="s">
        <v>322</v>
      </c>
      <c r="P598" s="133">
        <f>P597/29</f>
        <v>1.6172413793103479</v>
      </c>
      <c r="Q598" s="10">
        <f>Q597/29</f>
        <v>6.3592905435056117</v>
      </c>
      <c r="R598" s="308" t="s">
        <v>382</v>
      </c>
      <c r="S598" s="474">
        <v>3790.1699999999996</v>
      </c>
      <c r="T598" s="475"/>
      <c r="U598" s="467">
        <v>1065.5500000000002</v>
      </c>
      <c r="V598" s="468"/>
      <c r="W598" s="289" t="s">
        <v>12</v>
      </c>
      <c r="X598" s="315">
        <v>685.85</v>
      </c>
      <c r="Y598" s="144" t="s">
        <v>18</v>
      </c>
      <c r="Z598" s="72">
        <v>44</v>
      </c>
    </row>
    <row r="599" spans="1:26">
      <c r="C599" s="15">
        <f>C582</f>
        <v>383.97000000000025</v>
      </c>
      <c r="D599" s="462"/>
      <c r="E599" s="463"/>
      <c r="F599" s="15">
        <f>38.41+37.7</f>
        <v>76.11</v>
      </c>
      <c r="G599" s="462" t="s">
        <v>9</v>
      </c>
      <c r="H599" s="464"/>
      <c r="I599" s="63">
        <v>11.9</v>
      </c>
      <c r="J599" s="462" t="s">
        <v>249</v>
      </c>
      <c r="K599" s="464"/>
      <c r="L599" s="76"/>
      <c r="M599" s="25"/>
      <c r="N599" s="294"/>
      <c r="O599" s="136" t="s">
        <v>12</v>
      </c>
      <c r="P599" s="319">
        <f>P582+P597-SUM(L597:L610)-SUM(M597:M610)-SUM(N597:N610)</f>
        <v>-33.960000000003362</v>
      </c>
      <c r="Q599" s="320">
        <f>Z597+Z602+Z605</f>
        <v>574.57999999999993</v>
      </c>
      <c r="R599" s="308" t="s">
        <v>383</v>
      </c>
      <c r="S599" s="474">
        <v>2324.62</v>
      </c>
      <c r="T599" s="475"/>
      <c r="U599" s="467">
        <v>1077.0899999999997</v>
      </c>
      <c r="V599" s="468"/>
      <c r="W599" s="282" t="s">
        <v>373</v>
      </c>
      <c r="X599" s="132">
        <v>5000</v>
      </c>
      <c r="Y599" s="144" t="s">
        <v>19</v>
      </c>
      <c r="Z599" s="72">
        <v>33</v>
      </c>
    </row>
    <row r="600" spans="1:26" ht="15.75" thickBot="1">
      <c r="C600" s="15">
        <v>10.73</v>
      </c>
      <c r="D600" s="462" t="s">
        <v>390</v>
      </c>
      <c r="E600" s="463"/>
      <c r="F600" s="15">
        <v>0</v>
      </c>
      <c r="G600" s="462" t="s">
        <v>6</v>
      </c>
      <c r="H600" s="464"/>
      <c r="I600" s="20"/>
      <c r="J600" s="462" t="s">
        <v>499</v>
      </c>
      <c r="K600" s="464"/>
      <c r="L600" s="76"/>
      <c r="M600" s="25"/>
      <c r="N600" s="293"/>
      <c r="O600" s="140" t="s">
        <v>321</v>
      </c>
      <c r="P600" s="132">
        <f>SUM(C597:C610)-SUM(F597:F610)-SUM(I597:I610)-P603-P606-P609</f>
        <v>-310.81999999999994</v>
      </c>
      <c r="Q600" s="72">
        <f>Q599-Q582</f>
        <v>-369.93000000000006</v>
      </c>
      <c r="R600" s="308" t="s">
        <v>424</v>
      </c>
      <c r="S600" s="474">
        <v>2090.4899999999998</v>
      </c>
      <c r="T600" s="475"/>
      <c r="U600" s="467">
        <v>1083.8435393378584</v>
      </c>
      <c r="V600" s="468"/>
      <c r="W600" s="282" t="s">
        <v>378</v>
      </c>
      <c r="X600" s="132">
        <v>4314.1499999999996</v>
      </c>
      <c r="Y600" s="145" t="s">
        <v>324</v>
      </c>
      <c r="Z600" s="135">
        <v>150</v>
      </c>
    </row>
    <row r="601" spans="1:26" ht="15.75" thickBot="1">
      <c r="C601" s="15">
        <v>50</v>
      </c>
      <c r="D601" s="455" t="s">
        <v>923</v>
      </c>
      <c r="E601" s="456"/>
      <c r="F601" s="15">
        <v>300</v>
      </c>
      <c r="G601" s="25" t="s">
        <v>97</v>
      </c>
      <c r="H601" s="76"/>
      <c r="I601" s="20">
        <v>11.99</v>
      </c>
      <c r="J601" s="462" t="s">
        <v>22</v>
      </c>
      <c r="K601" s="464"/>
      <c r="L601" s="76"/>
      <c r="M601" s="25"/>
      <c r="N601" s="294"/>
      <c r="O601" s="141" t="s">
        <v>322</v>
      </c>
      <c r="P601" s="133">
        <f>P600/29</f>
        <v>-10.717931034482756</v>
      </c>
      <c r="Q601" s="10">
        <f>Q600/29</f>
        <v>-12.756206896551726</v>
      </c>
      <c r="R601" s="143" t="s">
        <v>12</v>
      </c>
      <c r="S601" s="476">
        <v>1465.5499999999997</v>
      </c>
      <c r="T601" s="477"/>
      <c r="U601" s="478">
        <v>-11.539999999999509</v>
      </c>
      <c r="V601" s="479"/>
      <c r="W601" s="289" t="s">
        <v>379</v>
      </c>
      <c r="X601" s="132">
        <v>863.35</v>
      </c>
      <c r="Y601" s="470" t="s">
        <v>14</v>
      </c>
      <c r="Z601" s="471"/>
    </row>
    <row r="602" spans="1:26" ht="15.75" thickBot="1">
      <c r="C602" s="15">
        <v>520</v>
      </c>
      <c r="D602" s="455" t="s">
        <v>939</v>
      </c>
      <c r="E602" s="456"/>
      <c r="F602" s="15">
        <f>898+16.67</f>
        <v>914.67</v>
      </c>
      <c r="G602" s="25" t="s">
        <v>304</v>
      </c>
      <c r="H602" s="76"/>
      <c r="I602" s="63">
        <v>85.57</v>
      </c>
      <c r="J602" s="462" t="s">
        <v>105</v>
      </c>
      <c r="K602" s="464"/>
      <c r="L602" s="76"/>
      <c r="M602" s="25"/>
      <c r="N602" s="293"/>
      <c r="O602" s="136" t="s">
        <v>324</v>
      </c>
      <c r="P602" s="319">
        <f>P585+P603</f>
        <v>235</v>
      </c>
      <c r="Q602" s="320">
        <f>Z598+Z599+Z600</f>
        <v>227</v>
      </c>
      <c r="R602" s="144" t="s">
        <v>425</v>
      </c>
      <c r="S602" s="465">
        <v>1699.6799999999998</v>
      </c>
      <c r="T602" s="466"/>
      <c r="U602" s="467">
        <v>-18.293539337858192</v>
      </c>
      <c r="V602" s="468"/>
      <c r="W602" s="146" t="s">
        <v>375</v>
      </c>
      <c r="X602" s="325">
        <v>9.24</v>
      </c>
      <c r="Y602" s="143" t="s">
        <v>15</v>
      </c>
      <c r="Z602" s="12">
        <f>475.08-16.67</f>
        <v>458.40999999999997</v>
      </c>
    </row>
    <row r="603" spans="1:26" ht="15.75" thickBot="1">
      <c r="C603" s="15"/>
      <c r="D603" s="462"/>
      <c r="E603" s="463"/>
      <c r="F603" s="15">
        <v>200</v>
      </c>
      <c r="G603" s="380" t="s">
        <v>921</v>
      </c>
      <c r="H603" s="381"/>
      <c r="I603" s="20">
        <v>982.32</v>
      </c>
      <c r="J603" s="462" t="s">
        <v>206</v>
      </c>
      <c r="K603" s="464"/>
      <c r="L603" s="76"/>
      <c r="M603" s="25"/>
      <c r="N603" s="294"/>
      <c r="O603" s="140" t="s">
        <v>321</v>
      </c>
      <c r="P603" s="132">
        <f>SUM(L597:L610)</f>
        <v>150</v>
      </c>
      <c r="Q603" s="72">
        <f>Q602-Q585</f>
        <v>150</v>
      </c>
      <c r="R603" s="144" t="s">
        <v>426</v>
      </c>
      <c r="S603" s="465">
        <v>784.63000000000011</v>
      </c>
      <c r="T603" s="466"/>
      <c r="U603" s="467">
        <v>-692.45999999999913</v>
      </c>
      <c r="V603" s="468"/>
      <c r="W603" s="470" t="s">
        <v>376</v>
      </c>
      <c r="X603" s="471"/>
      <c r="Y603" s="146" t="s">
        <v>325</v>
      </c>
      <c r="Z603" s="10">
        <v>314.8</v>
      </c>
    </row>
    <row r="604" spans="1:26" ht="16.5" thickTop="1" thickBot="1">
      <c r="C604" s="15"/>
      <c r="D604" s="462"/>
      <c r="E604" s="463"/>
      <c r="F604" s="15">
        <f>20.43+100+60+60+122.75+43.44</f>
        <v>406.62</v>
      </c>
      <c r="G604" s="25" t="s">
        <v>68</v>
      </c>
      <c r="H604" s="76"/>
      <c r="I604" s="63">
        <f>45+60+60-33+180</f>
        <v>312</v>
      </c>
      <c r="J604" s="462" t="s">
        <v>98</v>
      </c>
      <c r="K604" s="464"/>
      <c r="L604" s="76"/>
      <c r="M604" s="25"/>
      <c r="N604" s="292"/>
      <c r="O604" s="141" t="s">
        <v>322</v>
      </c>
      <c r="P604" s="133">
        <f>P603/29</f>
        <v>5.1724137931034484</v>
      </c>
      <c r="Q604" s="10">
        <f>Q603/29</f>
        <v>5.1724137931034484</v>
      </c>
      <c r="R604" s="144" t="s">
        <v>422</v>
      </c>
      <c r="S604" s="465">
        <v>-915.04999999999973</v>
      </c>
      <c r="T604" s="466"/>
      <c r="U604" s="467">
        <v>-674.16646066214093</v>
      </c>
      <c r="V604" s="468"/>
      <c r="W604" s="289" t="s">
        <v>12</v>
      </c>
      <c r="X604" s="38">
        <v>86.15</v>
      </c>
      <c r="Y604" s="470" t="s">
        <v>374</v>
      </c>
      <c r="Z604" s="471"/>
    </row>
    <row r="605" spans="1:26" ht="15.75" thickTop="1">
      <c r="C605" s="15"/>
      <c r="D605" s="462"/>
      <c r="E605" s="463"/>
      <c r="F605" s="15"/>
      <c r="G605" s="462"/>
      <c r="H605" s="464"/>
      <c r="I605" s="20">
        <v>20</v>
      </c>
      <c r="J605" s="462" t="s">
        <v>920</v>
      </c>
      <c r="K605" s="464"/>
      <c r="L605" s="76"/>
      <c r="M605" s="25"/>
      <c r="N605" s="293"/>
      <c r="O605" s="136" t="s">
        <v>325</v>
      </c>
      <c r="P605" s="319">
        <f>P588+P606</f>
        <v>313.88</v>
      </c>
      <c r="Q605" s="320">
        <f>Z603</f>
        <v>314.8</v>
      </c>
      <c r="R605" s="143" t="s">
        <v>421</v>
      </c>
      <c r="S605" s="465">
        <v>-697.23999999999955</v>
      </c>
      <c r="T605" s="466"/>
      <c r="U605" s="467">
        <v>-440.81369301625887</v>
      </c>
      <c r="V605" s="468"/>
      <c r="W605" s="282" t="s">
        <v>373</v>
      </c>
      <c r="X605" s="281">
        <v>2000</v>
      </c>
      <c r="Y605" s="321" t="s">
        <v>181</v>
      </c>
      <c r="Z605" s="322">
        <v>61.17</v>
      </c>
    </row>
    <row r="606" spans="1:26" ht="15.75" thickBot="1">
      <c r="C606" s="266"/>
      <c r="D606" s="448"/>
      <c r="E606" s="469"/>
      <c r="F606" s="15"/>
      <c r="G606" s="462"/>
      <c r="H606" s="464"/>
      <c r="I606" s="20">
        <f>9.21+9.35</f>
        <v>18.560000000000002</v>
      </c>
      <c r="J606" s="462" t="s">
        <v>377</v>
      </c>
      <c r="K606" s="464"/>
      <c r="L606" s="76"/>
      <c r="M606" s="25"/>
      <c r="N606" s="295"/>
      <c r="O606" s="140" t="s">
        <v>321</v>
      </c>
      <c r="P606" s="132">
        <f>SUM(M597:M610)</f>
        <v>100</v>
      </c>
      <c r="Q606" s="72">
        <f>Q605-Q588</f>
        <v>100.09</v>
      </c>
      <c r="R606" s="144" t="s">
        <v>418</v>
      </c>
      <c r="S606" s="465">
        <v>-680.91999999999962</v>
      </c>
      <c r="T606" s="466"/>
      <c r="U606" s="467">
        <v>-680.91999999999962</v>
      </c>
      <c r="V606" s="468"/>
      <c r="W606" s="282" t="s">
        <v>378</v>
      </c>
      <c r="X606" s="281">
        <f>X605-X604</f>
        <v>1913.85</v>
      </c>
      <c r="Y606" s="146" t="s">
        <v>553</v>
      </c>
      <c r="Z606" s="10">
        <v>61.16999999999971</v>
      </c>
    </row>
    <row r="607" spans="1:26" ht="15.75" thickBot="1">
      <c r="C607" s="266"/>
      <c r="D607" s="448"/>
      <c r="E607" s="469"/>
      <c r="F607" s="15"/>
      <c r="G607" s="462"/>
      <c r="H607" s="464"/>
      <c r="I607" s="20"/>
      <c r="J607" s="462"/>
      <c r="K607" s="464"/>
      <c r="L607" s="76"/>
      <c r="M607" s="25"/>
      <c r="N607" s="293"/>
      <c r="O607" s="141" t="s">
        <v>322</v>
      </c>
      <c r="P607" s="133">
        <f>P606/29</f>
        <v>3.4482758620689653</v>
      </c>
      <c r="Q607" s="10">
        <f>Q606/29</f>
        <v>3.4513793103448278</v>
      </c>
      <c r="R607" s="144" t="s">
        <v>438</v>
      </c>
      <c r="S607" s="465">
        <v>-680.91999999999962</v>
      </c>
      <c r="T607" s="466"/>
      <c r="U607" s="472"/>
      <c r="V607" s="473"/>
      <c r="W607" s="289" t="s">
        <v>379</v>
      </c>
      <c r="X607" s="281">
        <v>0</v>
      </c>
      <c r="Y607" s="266"/>
      <c r="Z607" s="16"/>
    </row>
    <row r="608" spans="1:26" ht="15.75" thickBot="1">
      <c r="C608" s="15"/>
      <c r="D608" s="448"/>
      <c r="E608" s="469"/>
      <c r="F608" s="15"/>
      <c r="G608" s="462"/>
      <c r="H608" s="464"/>
      <c r="I608" s="20"/>
      <c r="J608" s="462"/>
      <c r="K608" s="464"/>
      <c r="L608" s="76"/>
      <c r="M608" s="25"/>
      <c r="N608" s="295"/>
      <c r="O608" s="136" t="s">
        <v>323</v>
      </c>
      <c r="P608" s="319">
        <f>P591+P609</f>
        <v>2243.4673044585293</v>
      </c>
      <c r="Q608" s="320">
        <f>S597+U597</f>
        <v>1905.1727676458825</v>
      </c>
      <c r="R608" s="144" t="s">
        <v>380</v>
      </c>
      <c r="S608" s="291">
        <f>S599-S600</f>
        <v>234.13000000000011</v>
      </c>
      <c r="T608" s="327">
        <f>S608/S600</f>
        <v>0.11199766561906545</v>
      </c>
      <c r="U608" s="291">
        <f>U599-U600</f>
        <v>-6.7535393378586832</v>
      </c>
      <c r="V608" s="329">
        <f>U608/U600</f>
        <v>-6.2311017160138768E-3</v>
      </c>
      <c r="W608" s="146" t="s">
        <v>375</v>
      </c>
      <c r="X608" s="326">
        <v>0.73</v>
      </c>
      <c r="Y608" s="266"/>
      <c r="Z608" s="335"/>
    </row>
    <row r="609" spans="1:26">
      <c r="C609" s="15"/>
      <c r="D609" s="462"/>
      <c r="E609" s="463"/>
      <c r="F609" s="15"/>
      <c r="G609" s="503"/>
      <c r="H609" s="504"/>
      <c r="I609" s="20"/>
      <c r="J609" s="503"/>
      <c r="K609" s="504"/>
      <c r="L609" s="76"/>
      <c r="M609" s="25"/>
      <c r="N609" s="293"/>
      <c r="O609" s="140" t="s">
        <v>321</v>
      </c>
      <c r="P609" s="132">
        <f>SUM(N597:N610)</f>
        <v>107.72</v>
      </c>
      <c r="Q609" s="72">
        <f>Q608-Q591</f>
        <v>304.25942576166312</v>
      </c>
      <c r="R609" s="144" t="s">
        <v>381</v>
      </c>
      <c r="S609" s="291">
        <f>S597-S602</f>
        <v>-16.319999999999936</v>
      </c>
      <c r="T609" s="327">
        <f>S609/S602</f>
        <v>-9.6018073990397825E-3</v>
      </c>
      <c r="U609" s="291">
        <f>U597-U602</f>
        <v>240.10630698374078</v>
      </c>
      <c r="V609" s="366">
        <f>U609/U602</f>
        <v>-13.125196964309938</v>
      </c>
      <c r="W609" s="337" t="s">
        <v>410</v>
      </c>
      <c r="X609" s="1" t="s">
        <v>558</v>
      </c>
      <c r="Y609" s="266"/>
      <c r="Z609" s="16"/>
    </row>
    <row r="610" spans="1:26" ht="15.75" thickBot="1">
      <c r="C610" s="17"/>
      <c r="D610" s="459"/>
      <c r="E610" s="460"/>
      <c r="F610" s="17"/>
      <c r="G610" s="459"/>
      <c r="H610" s="461"/>
      <c r="I610" s="21"/>
      <c r="J610" s="459"/>
      <c r="K610" s="461"/>
      <c r="L610" s="42"/>
      <c r="M610" s="5"/>
      <c r="N610" s="21"/>
      <c r="O610" s="137" t="s">
        <v>322</v>
      </c>
      <c r="P610" s="138">
        <f>P609/29</f>
        <v>3.7144827586206897</v>
      </c>
      <c r="Q610" s="24">
        <f>Q609/29</f>
        <v>10.491704336609073</v>
      </c>
      <c r="R610" s="153" t="s">
        <v>410</v>
      </c>
      <c r="S610" s="296">
        <f>S608+S609</f>
        <v>217.81000000000017</v>
      </c>
      <c r="T610" s="328">
        <f>S610/S598</f>
        <v>5.7467079313065161E-2</v>
      </c>
      <c r="U610" s="296">
        <f>U609+U608</f>
        <v>233.3527676458821</v>
      </c>
      <c r="V610" s="330">
        <f>U610/U598</f>
        <v>0.21899748265767169</v>
      </c>
      <c r="W610" s="296">
        <f>S610+U610</f>
        <v>451.16276764588224</v>
      </c>
      <c r="X610" s="330">
        <f>(W610+S598+U598)/(S598+U598)-1</f>
        <v>9.291367040230547E-2</v>
      </c>
      <c r="Y610" s="377"/>
      <c r="Z610" s="18"/>
    </row>
    <row r="611" spans="1:26" ht="17.25" thickTop="1" thickBot="1">
      <c r="A611" s="14" t="s">
        <v>31</v>
      </c>
      <c r="B611" s="14" t="s">
        <v>31</v>
      </c>
      <c r="C611" s="264">
        <v>45658</v>
      </c>
      <c r="D611" s="3"/>
      <c r="E611" s="3"/>
      <c r="F611" s="3"/>
      <c r="G611" s="3"/>
      <c r="H611" s="3"/>
      <c r="I611" s="3"/>
      <c r="J611" s="3"/>
      <c r="K611" s="3"/>
      <c r="L611" s="3"/>
      <c r="M611" s="3"/>
      <c r="N611" s="3"/>
      <c r="O611" s="3"/>
      <c r="P611" s="3"/>
      <c r="Q611" s="3"/>
      <c r="R611" s="3"/>
      <c r="S611" s="3"/>
      <c r="T611" s="3"/>
      <c r="U611" s="3"/>
      <c r="V611" s="3"/>
      <c r="W611" s="3"/>
      <c r="X611" s="3"/>
      <c r="Y611" s="3"/>
      <c r="Z611" s="3"/>
    </row>
    <row r="612" spans="1:26" ht="17.25" thickTop="1" thickBot="1">
      <c r="C612" s="480" t="s">
        <v>386</v>
      </c>
      <c r="D612" s="481"/>
      <c r="E612" s="482"/>
      <c r="F612" s="483" t="s">
        <v>387</v>
      </c>
      <c r="G612" s="484"/>
      <c r="H612" s="484"/>
      <c r="I612" s="484"/>
      <c r="J612" s="484"/>
      <c r="K612" s="484"/>
      <c r="L612" s="484"/>
      <c r="M612" s="484"/>
      <c r="N612" s="485"/>
      <c r="O612" s="261" t="s">
        <v>320</v>
      </c>
      <c r="P612" s="262" t="s">
        <v>257</v>
      </c>
      <c r="Q612" s="263" t="s">
        <v>319</v>
      </c>
      <c r="R612" s="486" t="s">
        <v>144</v>
      </c>
      <c r="S612" s="487"/>
      <c r="T612" s="487"/>
      <c r="U612" s="487"/>
      <c r="V612" s="487"/>
      <c r="W612" s="487"/>
      <c r="X612" s="487"/>
      <c r="Y612" s="487"/>
      <c r="Z612" s="488"/>
    </row>
    <row r="613" spans="1:26" ht="15.75" thickBot="1">
      <c r="C613" s="265"/>
      <c r="D613" s="489"/>
      <c r="E613" s="490"/>
      <c r="F613" s="470" t="s">
        <v>3</v>
      </c>
      <c r="G613" s="491"/>
      <c r="H613" s="492"/>
      <c r="I613" s="493" t="s">
        <v>4</v>
      </c>
      <c r="J613" s="491"/>
      <c r="K613" s="492"/>
      <c r="L613" s="267" t="s">
        <v>324</v>
      </c>
      <c r="M613" s="267" t="s">
        <v>325</v>
      </c>
      <c r="N613" s="267" t="s">
        <v>323</v>
      </c>
      <c r="O613" s="316" t="s">
        <v>5</v>
      </c>
      <c r="P613" s="317">
        <f>P616+P619+P622+P625</f>
        <v>3187.6473044585264</v>
      </c>
      <c r="Q613" s="318">
        <f>Q622+Q619+Q616+Q625</f>
        <v>3492.5629585844481</v>
      </c>
      <c r="R613" s="268" t="s">
        <v>323</v>
      </c>
      <c r="S613" s="493" t="s">
        <v>317</v>
      </c>
      <c r="T613" s="492"/>
      <c r="U613" s="493" t="s">
        <v>369</v>
      </c>
      <c r="V613" s="471"/>
      <c r="W613" s="491" t="s">
        <v>310</v>
      </c>
      <c r="X613" s="471"/>
      <c r="Y613" s="470" t="s">
        <v>13</v>
      </c>
      <c r="Z613" s="471"/>
    </row>
    <row r="614" spans="1:26" ht="16.5" thickTop="1" thickBot="1">
      <c r="C614" s="15"/>
      <c r="D614" s="494"/>
      <c r="E614" s="495"/>
      <c r="G614" s="496"/>
      <c r="H614" s="497"/>
      <c r="J614" s="496"/>
      <c r="K614" s="497"/>
      <c r="L614" s="76"/>
      <c r="M614" s="25"/>
      <c r="N614" s="292"/>
      <c r="O614" s="258" t="s">
        <v>321</v>
      </c>
      <c r="P614" s="315">
        <f>SUM(C614:C627)-SUM(F614:F627)-SUM(I614:I627)</f>
        <v>429.26000000000022</v>
      </c>
      <c r="Q614" s="12">
        <f>Q613-Q596</f>
        <v>471.01019093856576</v>
      </c>
      <c r="R614" s="307" t="s">
        <v>343</v>
      </c>
      <c r="S614" s="498">
        <v>1725.01</v>
      </c>
      <c r="T614" s="499"/>
      <c r="U614" s="498">
        <v>242.22295858444826</v>
      </c>
      <c r="V614" s="500"/>
      <c r="W614" s="501" t="s">
        <v>326</v>
      </c>
      <c r="X614" s="502"/>
      <c r="Y614" s="143" t="s">
        <v>17</v>
      </c>
      <c r="Z614" s="12">
        <f>327-60</f>
        <v>267</v>
      </c>
    </row>
    <row r="615" spans="1:26" ht="16.5" thickTop="1" thickBot="1">
      <c r="C615" s="15">
        <v>2523.56</v>
      </c>
      <c r="D615" s="462" t="s">
        <v>11</v>
      </c>
      <c r="E615" s="463"/>
      <c r="F615" s="6">
        <f>15.72+5.21+5.21+5.21+6.49</f>
        <v>37.840000000000003</v>
      </c>
      <c r="G615" s="462" t="s">
        <v>223</v>
      </c>
      <c r="H615" s="464"/>
      <c r="I615" s="20">
        <v>11.99</v>
      </c>
      <c r="J615" s="462" t="s">
        <v>385</v>
      </c>
      <c r="K615" s="464"/>
      <c r="L615" s="76">
        <v>200</v>
      </c>
      <c r="M615" s="25">
        <v>-200</v>
      </c>
      <c r="N615" s="293"/>
      <c r="O615" s="141" t="s">
        <v>322</v>
      </c>
      <c r="P615" s="133">
        <f>P614/29</f>
        <v>14.802068965517249</v>
      </c>
      <c r="Q615" s="10">
        <f>Q614/29</f>
        <v>16.241730722019508</v>
      </c>
      <c r="R615" s="308" t="s">
        <v>382</v>
      </c>
      <c r="S615" s="474">
        <v>3850.1699999999996</v>
      </c>
      <c r="T615" s="475"/>
      <c r="U615" s="467">
        <v>1065.5500000000002</v>
      </c>
      <c r="V615" s="468"/>
      <c r="W615" s="289" t="s">
        <v>12</v>
      </c>
      <c r="X615" s="315">
        <v>791.62</v>
      </c>
      <c r="Y615" s="144" t="s">
        <v>18</v>
      </c>
      <c r="Z615" s="72">
        <v>44</v>
      </c>
    </row>
    <row r="616" spans="1:26">
      <c r="C616" s="15">
        <f>C599</f>
        <v>383.97000000000025</v>
      </c>
      <c r="D616" s="462" t="s">
        <v>11</v>
      </c>
      <c r="E616" s="463"/>
      <c r="F616" s="15">
        <f>38.86+41.47+(39.05)+12.06</f>
        <v>131.44</v>
      </c>
      <c r="G616" s="462" t="s">
        <v>9</v>
      </c>
      <c r="H616" s="464"/>
      <c r="I616" s="63">
        <v>11.99</v>
      </c>
      <c r="J616" s="462" t="s">
        <v>22</v>
      </c>
      <c r="K616" s="464"/>
      <c r="L616" s="76"/>
      <c r="M616" s="25">
        <v>-100</v>
      </c>
      <c r="N616" s="294"/>
      <c r="O616" s="136" t="s">
        <v>12</v>
      </c>
      <c r="P616" s="319">
        <f>P599+P614-SUM(L614:L627)-SUM(M614:M627)-SUM(N614:N627)</f>
        <v>295.29999999999688</v>
      </c>
      <c r="Q616" s="320">
        <f>Z614+Z619+Z622</f>
        <v>883.49</v>
      </c>
      <c r="R616" s="308" t="s">
        <v>383</v>
      </c>
      <c r="S616" s="474">
        <v>2324.62</v>
      </c>
      <c r="T616" s="475"/>
      <c r="U616" s="467">
        <v>1077.0899999999997</v>
      </c>
      <c r="V616" s="468"/>
      <c r="W616" s="282" t="s">
        <v>373</v>
      </c>
      <c r="X616" s="132">
        <v>5000</v>
      </c>
      <c r="Y616" s="144" t="s">
        <v>19</v>
      </c>
      <c r="Z616" s="72">
        <v>33</v>
      </c>
    </row>
    <row r="617" spans="1:26" ht="15.75" thickBot="1">
      <c r="C617" s="15">
        <v>24.79</v>
      </c>
      <c r="D617" s="462" t="s">
        <v>390</v>
      </c>
      <c r="E617" s="463"/>
      <c r="F617" s="15">
        <f>300</f>
        <v>300</v>
      </c>
      <c r="G617" s="25" t="s">
        <v>97</v>
      </c>
      <c r="H617" s="76"/>
      <c r="I617" s="20">
        <v>11.9</v>
      </c>
      <c r="J617" s="462" t="s">
        <v>249</v>
      </c>
      <c r="K617" s="464"/>
      <c r="L617" s="76"/>
      <c r="M617" s="25">
        <v>200</v>
      </c>
      <c r="N617" s="293"/>
      <c r="O617" s="140" t="s">
        <v>321</v>
      </c>
      <c r="P617" s="132">
        <f>SUM(C614:C627)-SUM(F614:F627)-SUM(I614:I627)-P620-P623-P626</f>
        <v>329.26000000000022</v>
      </c>
      <c r="Q617" s="72">
        <f>Q616-Q599</f>
        <v>308.91000000000008</v>
      </c>
      <c r="R617" s="308" t="s">
        <v>424</v>
      </c>
      <c r="S617" s="474">
        <v>2090.4899999999998</v>
      </c>
      <c r="T617" s="475"/>
      <c r="U617" s="467">
        <v>1083.8435393378584</v>
      </c>
      <c r="V617" s="468"/>
      <c r="W617" s="282" t="s">
        <v>378</v>
      </c>
      <c r="X617" s="132">
        <v>4208.38</v>
      </c>
      <c r="Y617" s="145" t="s">
        <v>324</v>
      </c>
      <c r="Z617" s="135">
        <v>350</v>
      </c>
    </row>
    <row r="618" spans="1:26" ht="15.75" thickBot="1">
      <c r="C618" s="15"/>
      <c r="D618" s="455"/>
      <c r="E618" s="456"/>
      <c r="F618" s="15">
        <v>910</v>
      </c>
      <c r="G618" s="462" t="s">
        <v>327</v>
      </c>
      <c r="H618" s="464"/>
      <c r="I618" s="63"/>
      <c r="J618" s="462" t="s">
        <v>499</v>
      </c>
      <c r="K618" s="464"/>
      <c r="L618" s="76"/>
      <c r="M618" s="25"/>
      <c r="N618" s="294"/>
      <c r="O618" s="141" t="s">
        <v>322</v>
      </c>
      <c r="P618" s="133">
        <f>P617/29</f>
        <v>11.353793103448284</v>
      </c>
      <c r="Q618" s="10">
        <f>Q617/29</f>
        <v>10.652068965517245</v>
      </c>
      <c r="R618" s="143" t="s">
        <v>12</v>
      </c>
      <c r="S618" s="476">
        <v>1525.5499999999997</v>
      </c>
      <c r="T618" s="477"/>
      <c r="U618" s="478">
        <v>-11.539999999999509</v>
      </c>
      <c r="V618" s="479"/>
      <c r="W618" s="289" t="s">
        <v>379</v>
      </c>
      <c r="X618" s="132">
        <v>839</v>
      </c>
      <c r="Y618" s="470" t="s">
        <v>14</v>
      </c>
      <c r="Z618" s="471"/>
    </row>
    <row r="619" spans="1:26" ht="15.75" thickBot="1">
      <c r="C619" s="15"/>
      <c r="D619" s="455"/>
      <c r="E619" s="456"/>
      <c r="F619" s="15">
        <v>0</v>
      </c>
      <c r="G619" s="457" t="s">
        <v>943</v>
      </c>
      <c r="H619" s="458"/>
      <c r="I619" s="20">
        <f>85+100-11+75+60-22</f>
        <v>287</v>
      </c>
      <c r="J619" s="462" t="s">
        <v>98</v>
      </c>
      <c r="K619" s="464"/>
      <c r="L619" s="76"/>
      <c r="M619" s="25"/>
      <c r="N619" s="293"/>
      <c r="O619" s="136" t="s">
        <v>324</v>
      </c>
      <c r="P619" s="319">
        <f>P602+P620</f>
        <v>435</v>
      </c>
      <c r="Q619" s="320">
        <f>Z615+Z616+Z617</f>
        <v>427</v>
      </c>
      <c r="R619" s="144" t="s">
        <v>425</v>
      </c>
      <c r="S619" s="465">
        <v>1759.6799999999998</v>
      </c>
      <c r="T619" s="466"/>
      <c r="U619" s="467">
        <v>-18.293539337858192</v>
      </c>
      <c r="V619" s="468"/>
      <c r="W619" s="146" t="s">
        <v>375</v>
      </c>
      <c r="X619" s="325">
        <v>0</v>
      </c>
      <c r="Y619" s="143" t="s">
        <v>15</v>
      </c>
      <c r="Z619" s="12">
        <v>614.71</v>
      </c>
    </row>
    <row r="620" spans="1:26" ht="15.75" thickBot="1">
      <c r="C620" s="15"/>
      <c r="D620" s="462"/>
      <c r="E620" s="463"/>
      <c r="F620" s="15">
        <v>25</v>
      </c>
      <c r="G620" s="462" t="s">
        <v>33</v>
      </c>
      <c r="H620" s="464"/>
      <c r="I620" s="20">
        <v>86.15</v>
      </c>
      <c r="J620" s="462" t="s">
        <v>105</v>
      </c>
      <c r="K620" s="464"/>
      <c r="L620" s="76"/>
      <c r="M620" s="25"/>
      <c r="N620" s="294"/>
      <c r="O620" s="140" t="s">
        <v>321</v>
      </c>
      <c r="P620" s="132">
        <f>SUM(L614:L627)</f>
        <v>200</v>
      </c>
      <c r="Q620" s="72">
        <f>Q619-Q602</f>
        <v>200</v>
      </c>
      <c r="R620" s="144" t="s">
        <v>426</v>
      </c>
      <c r="S620" s="465">
        <v>784.63000000000011</v>
      </c>
      <c r="T620" s="466"/>
      <c r="U620" s="467">
        <v>-752.45999999999913</v>
      </c>
      <c r="V620" s="468"/>
      <c r="W620" s="470" t="s">
        <v>376</v>
      </c>
      <c r="X620" s="471"/>
      <c r="Y620" s="146" t="s">
        <v>325</v>
      </c>
      <c r="Z620" s="10">
        <v>214.84</v>
      </c>
    </row>
    <row r="621" spans="1:26" ht="16.5" thickTop="1" thickBot="1">
      <c r="C621" s="15"/>
      <c r="D621" s="462"/>
      <c r="E621" s="463"/>
      <c r="F621" s="15"/>
      <c r="G621" s="462"/>
      <c r="H621" s="464"/>
      <c r="I621" s="63">
        <v>13.5</v>
      </c>
      <c r="J621" s="462" t="s">
        <v>61</v>
      </c>
      <c r="K621" s="464"/>
      <c r="L621" s="76"/>
      <c r="M621" s="25"/>
      <c r="N621" s="292"/>
      <c r="O621" s="141" t="s">
        <v>322</v>
      </c>
      <c r="P621" s="133">
        <f>P620/29</f>
        <v>6.8965517241379306</v>
      </c>
      <c r="Q621" s="10">
        <f>Q620/29</f>
        <v>6.8965517241379306</v>
      </c>
      <c r="R621" s="144" t="s">
        <v>422</v>
      </c>
      <c r="S621" s="465">
        <v>-975.04999999999973</v>
      </c>
      <c r="T621" s="466"/>
      <c r="U621" s="467">
        <v>-734.16646066214093</v>
      </c>
      <c r="V621" s="468"/>
      <c r="W621" s="289" t="s">
        <v>12</v>
      </c>
      <c r="X621" s="38">
        <v>108.98</v>
      </c>
      <c r="Y621" s="470" t="s">
        <v>374</v>
      </c>
      <c r="Z621" s="471"/>
    </row>
    <row r="622" spans="1:26" ht="15.75" thickTop="1">
      <c r="C622" s="15"/>
      <c r="D622" s="462"/>
      <c r="E622" s="463"/>
      <c r="F622" s="15"/>
      <c r="G622" s="462"/>
      <c r="H622" s="464"/>
      <c r="I622" s="20">
        <f>11+9+11.84</f>
        <v>31.84</v>
      </c>
      <c r="J622" s="462" t="s">
        <v>377</v>
      </c>
      <c r="K622" s="464"/>
      <c r="L622" s="76"/>
      <c r="M622" s="25"/>
      <c r="N622" s="293"/>
      <c r="O622" s="136" t="s">
        <v>325</v>
      </c>
      <c r="P622" s="319">
        <f>P605+P623</f>
        <v>213.88</v>
      </c>
      <c r="Q622" s="320">
        <f>Z620</f>
        <v>214.84</v>
      </c>
      <c r="R622" s="143" t="s">
        <v>421</v>
      </c>
      <c r="S622" s="465">
        <v>-775.58999999999946</v>
      </c>
      <c r="T622" s="466"/>
      <c r="U622" s="467">
        <v>-480.40350207769313</v>
      </c>
      <c r="V622" s="468"/>
      <c r="W622" s="282" t="s">
        <v>373</v>
      </c>
      <c r="X622" s="281">
        <v>2000</v>
      </c>
      <c r="Y622" s="321" t="s">
        <v>181</v>
      </c>
      <c r="Z622" s="322">
        <v>1.78</v>
      </c>
    </row>
    <row r="623" spans="1:26" ht="15.75" thickBot="1">
      <c r="C623" s="266"/>
      <c r="D623" s="448"/>
      <c r="E623" s="469"/>
      <c r="F623" s="15"/>
      <c r="G623" s="462"/>
      <c r="H623" s="464"/>
      <c r="I623" s="20">
        <v>20</v>
      </c>
      <c r="J623" s="462" t="s">
        <v>920</v>
      </c>
      <c r="K623" s="464"/>
      <c r="L623" s="76"/>
      <c r="M623" s="25"/>
      <c r="N623" s="295"/>
      <c r="O623" s="140" t="s">
        <v>321</v>
      </c>
      <c r="P623" s="132">
        <f>SUM(M614:M627)</f>
        <v>-100</v>
      </c>
      <c r="Q623" s="72">
        <f>Q622-Q605</f>
        <v>-99.960000000000008</v>
      </c>
      <c r="R623" s="144" t="s">
        <v>418</v>
      </c>
      <c r="S623" s="465">
        <v>-740.91999999999962</v>
      </c>
      <c r="T623" s="466"/>
      <c r="U623" s="467">
        <v>-740.91999999999962</v>
      </c>
      <c r="V623" s="468"/>
      <c r="W623" s="282" t="s">
        <v>378</v>
      </c>
      <c r="X623" s="281">
        <v>1891.02</v>
      </c>
      <c r="Y623" s="146" t="s">
        <v>553</v>
      </c>
      <c r="Z623" s="10">
        <v>1.7799999999997089</v>
      </c>
    </row>
    <row r="624" spans="1:26" ht="15.75" thickBot="1">
      <c r="C624" s="266"/>
      <c r="D624" s="448"/>
      <c r="E624" s="469"/>
      <c r="F624" s="15"/>
      <c r="G624" s="462"/>
      <c r="H624" s="464"/>
      <c r="I624" s="20">
        <v>623.41999999999996</v>
      </c>
      <c r="J624" s="462" t="s">
        <v>206</v>
      </c>
      <c r="K624" s="464"/>
      <c r="L624" s="76"/>
      <c r="M624" s="25"/>
      <c r="N624" s="293"/>
      <c r="O624" s="141" t="s">
        <v>322</v>
      </c>
      <c r="P624" s="133">
        <f>P623/29</f>
        <v>-3.4482758620689653</v>
      </c>
      <c r="Q624" s="10">
        <f>Q623/29</f>
        <v>-3.4468965517241381</v>
      </c>
      <c r="R624" s="144" t="s">
        <v>438</v>
      </c>
      <c r="S624" s="465">
        <v>-740.91999999999962</v>
      </c>
      <c r="T624" s="466"/>
      <c r="U624" s="472"/>
      <c r="V624" s="473"/>
      <c r="W624" s="289" t="s">
        <v>379</v>
      </c>
      <c r="X624" s="281">
        <v>0</v>
      </c>
      <c r="Y624" s="266"/>
      <c r="Z624" s="16"/>
    </row>
    <row r="625" spans="1:26" ht="15.75" thickBot="1">
      <c r="C625" s="15"/>
      <c r="D625" s="448"/>
      <c r="E625" s="469"/>
      <c r="F625" s="15"/>
      <c r="G625" s="462"/>
      <c r="H625" s="464"/>
      <c r="I625" s="20">
        <v>0.99</v>
      </c>
      <c r="J625" s="462" t="s">
        <v>38</v>
      </c>
      <c r="K625" s="464"/>
      <c r="L625" s="76"/>
      <c r="M625" s="25"/>
      <c r="N625" s="295"/>
      <c r="O625" s="136" t="s">
        <v>323</v>
      </c>
      <c r="P625" s="319">
        <f>P608+P626</f>
        <v>2243.4673044585293</v>
      </c>
      <c r="Q625" s="320">
        <f>S614+U614</f>
        <v>1967.2329585844482</v>
      </c>
      <c r="R625" s="144" t="s">
        <v>380</v>
      </c>
      <c r="S625" s="291">
        <v>234.13000000000011</v>
      </c>
      <c r="T625" s="327">
        <v>0.11199766561906545</v>
      </c>
      <c r="U625" s="291">
        <v>-6.7535393378586832</v>
      </c>
      <c r="V625" s="329">
        <v>-6.2311017160138768E-3</v>
      </c>
      <c r="W625" s="146" t="s">
        <v>375</v>
      </c>
      <c r="X625" s="326">
        <v>0.74</v>
      </c>
      <c r="Y625" s="266"/>
      <c r="Z625" s="335"/>
    </row>
    <row r="626" spans="1:26">
      <c r="C626" s="15"/>
      <c r="D626" s="462"/>
      <c r="E626" s="463"/>
      <c r="F626" s="15"/>
      <c r="G626" s="503"/>
      <c r="H626" s="504"/>
      <c r="I626" s="20"/>
      <c r="J626" s="503"/>
      <c r="K626" s="504"/>
      <c r="L626" s="76"/>
      <c r="M626" s="25"/>
      <c r="N626" s="293"/>
      <c r="O626" s="140" t="s">
        <v>321</v>
      </c>
      <c r="P626" s="132">
        <f>SUM(N614:N627)</f>
        <v>0</v>
      </c>
      <c r="Q626" s="72">
        <f>Q625-Q608</f>
        <v>62.060190938565711</v>
      </c>
      <c r="R626" s="144" t="s">
        <v>381</v>
      </c>
      <c r="S626" s="291">
        <v>-34.669999999999845</v>
      </c>
      <c r="T626" s="327">
        <v>-1.9702445899254323E-2</v>
      </c>
      <c r="U626" s="291">
        <v>260.51649792230648</v>
      </c>
      <c r="V626" s="366">
        <v>-14.240901834844594</v>
      </c>
      <c r="W626" s="337" t="s">
        <v>410</v>
      </c>
      <c r="X626" s="1" t="s">
        <v>558</v>
      </c>
      <c r="Y626" s="266"/>
      <c r="Z626" s="16"/>
    </row>
    <row r="627" spans="1:26" ht="15.75" thickBot="1">
      <c r="C627" s="17"/>
      <c r="D627" s="459"/>
      <c r="E627" s="460"/>
      <c r="F627" s="17"/>
      <c r="G627" s="459"/>
      <c r="H627" s="461"/>
      <c r="I627" s="21"/>
      <c r="J627" s="459"/>
      <c r="K627" s="461"/>
      <c r="L627" s="42"/>
      <c r="M627" s="5"/>
      <c r="N627" s="21"/>
      <c r="O627" s="137" t="s">
        <v>322</v>
      </c>
      <c r="P627" s="138">
        <f>P626/29</f>
        <v>0</v>
      </c>
      <c r="Q627" s="24">
        <f>Q626/29</f>
        <v>2.1400065840884728</v>
      </c>
      <c r="R627" s="153" t="s">
        <v>410</v>
      </c>
      <c r="S627" s="296">
        <v>199.46000000000026</v>
      </c>
      <c r="T627" s="328">
        <v>5.1805504692000688E-2</v>
      </c>
      <c r="U627" s="296">
        <v>253.7629585844478</v>
      </c>
      <c r="V627" s="330">
        <v>0.2381520891412395</v>
      </c>
      <c r="W627" s="296">
        <v>453.22295858444807</v>
      </c>
      <c r="X627" s="330">
        <v>9.219869288414495E-2</v>
      </c>
      <c r="Y627" s="377"/>
      <c r="Z627" s="18"/>
    </row>
    <row r="628" spans="1:26" ht="17.25" thickTop="1" thickBot="1">
      <c r="A628" s="14"/>
      <c r="B628" s="14" t="s">
        <v>31</v>
      </c>
      <c r="C628" s="264">
        <v>45689</v>
      </c>
      <c r="D628" s="3"/>
      <c r="E628" s="3"/>
      <c r="F628" s="3"/>
      <c r="G628" s="3"/>
      <c r="H628" s="3"/>
      <c r="I628" s="3"/>
      <c r="J628" s="3"/>
      <c r="K628" s="3"/>
      <c r="L628" s="3"/>
      <c r="M628" s="3"/>
      <c r="N628" s="3"/>
      <c r="O628" s="3"/>
      <c r="P628" s="3"/>
      <c r="Q628" s="3"/>
      <c r="R628" s="3"/>
      <c r="S628" s="3"/>
      <c r="T628" s="3"/>
      <c r="U628" s="3"/>
      <c r="V628" s="3"/>
      <c r="W628" s="3"/>
      <c r="X628" s="3"/>
      <c r="Y628" s="3"/>
      <c r="Z628" s="3"/>
    </row>
    <row r="629" spans="1:26" ht="17.25" thickTop="1" thickBot="1">
      <c r="C629" s="480" t="s">
        <v>386</v>
      </c>
      <c r="D629" s="481"/>
      <c r="E629" s="482"/>
      <c r="F629" s="483" t="s">
        <v>387</v>
      </c>
      <c r="G629" s="484"/>
      <c r="H629" s="484"/>
      <c r="I629" s="484"/>
      <c r="J629" s="484"/>
      <c r="K629" s="484"/>
      <c r="L629" s="484"/>
      <c r="M629" s="484"/>
      <c r="N629" s="485"/>
      <c r="O629" s="261" t="s">
        <v>320</v>
      </c>
      <c r="P629" s="262" t="s">
        <v>257</v>
      </c>
      <c r="Q629" s="263" t="s">
        <v>319</v>
      </c>
      <c r="R629" s="486" t="s">
        <v>144</v>
      </c>
      <c r="S629" s="487"/>
      <c r="T629" s="487"/>
      <c r="U629" s="487"/>
      <c r="V629" s="487"/>
      <c r="W629" s="487"/>
      <c r="X629" s="487"/>
      <c r="Y629" s="487"/>
      <c r="Z629" s="488"/>
    </row>
    <row r="630" spans="1:26" ht="15.75" thickBot="1">
      <c r="C630" s="265"/>
      <c r="D630" s="489"/>
      <c r="E630" s="490"/>
      <c r="F630" s="470" t="s">
        <v>3</v>
      </c>
      <c r="G630" s="491"/>
      <c r="H630" s="492"/>
      <c r="I630" s="493" t="s">
        <v>4</v>
      </c>
      <c r="J630" s="491"/>
      <c r="K630" s="492"/>
      <c r="L630" s="267" t="s">
        <v>324</v>
      </c>
      <c r="M630" s="267" t="s">
        <v>325</v>
      </c>
      <c r="N630" s="267" t="s">
        <v>323</v>
      </c>
      <c r="O630" s="316" t="s">
        <v>5</v>
      </c>
      <c r="P630" s="317">
        <f>P633+P636+P639+P642</f>
        <v>4023.4973044585263</v>
      </c>
      <c r="Q630" s="318">
        <f>Q639+Q636+Q633+Q642</f>
        <v>4240.9214397242749</v>
      </c>
      <c r="R630" s="268" t="s">
        <v>323</v>
      </c>
      <c r="S630" s="493" t="s">
        <v>317</v>
      </c>
      <c r="T630" s="492"/>
      <c r="U630" s="493" t="s">
        <v>369</v>
      </c>
      <c r="V630" s="471"/>
      <c r="W630" s="491" t="s">
        <v>310</v>
      </c>
      <c r="X630" s="471"/>
      <c r="Y630" s="470" t="s">
        <v>13</v>
      </c>
      <c r="Z630" s="471"/>
    </row>
    <row r="631" spans="1:26" ht="16.5" thickTop="1" thickBot="1">
      <c r="C631" s="15"/>
      <c r="D631" s="494"/>
      <c r="E631" s="495"/>
      <c r="G631" s="496"/>
      <c r="H631" s="497"/>
      <c r="J631" s="496"/>
      <c r="K631" s="497"/>
      <c r="L631" s="76"/>
      <c r="M631" s="25"/>
      <c r="N631" s="292"/>
      <c r="O631" s="258" t="s">
        <v>321</v>
      </c>
      <c r="P631" s="315">
        <f>SUM(C631:C644)-SUM(F631:F644)-SUM(I631:I644)</f>
        <v>835.84999999999991</v>
      </c>
      <c r="Q631" s="12">
        <f>Q630-Q613</f>
        <v>748.35848113982684</v>
      </c>
      <c r="R631" s="307" t="s">
        <v>343</v>
      </c>
      <c r="S631" s="498">
        <v>1663.22</v>
      </c>
      <c r="T631" s="499"/>
      <c r="U631" s="498">
        <v>228.17143972427542</v>
      </c>
      <c r="V631" s="500"/>
      <c r="W631" s="501" t="s">
        <v>326</v>
      </c>
      <c r="X631" s="502"/>
      <c r="Y631" s="143" t="s">
        <v>17</v>
      </c>
      <c r="Z631" s="12">
        <f>187-60</f>
        <v>127</v>
      </c>
    </row>
    <row r="632" spans="1:26" ht="16.5" thickTop="1" thickBot="1">
      <c r="C632" s="15">
        <v>2526.4899999999998</v>
      </c>
      <c r="D632" s="462" t="s">
        <v>11</v>
      </c>
      <c r="E632" s="463"/>
      <c r="F632" s="6">
        <f>16+18+9.75</f>
        <v>43.75</v>
      </c>
      <c r="G632" s="462" t="s">
        <v>223</v>
      </c>
      <c r="H632" s="464"/>
      <c r="I632" s="20">
        <v>11.99</v>
      </c>
      <c r="J632" s="462" t="s">
        <v>385</v>
      </c>
      <c r="K632" s="464"/>
      <c r="L632" s="76">
        <v>100</v>
      </c>
      <c r="M632" s="25">
        <v>-5</v>
      </c>
      <c r="N632" s="293"/>
      <c r="O632" s="141" t="s">
        <v>322</v>
      </c>
      <c r="P632" s="133">
        <f>P631/29</f>
        <v>28.822413793103443</v>
      </c>
      <c r="Q632" s="10">
        <f>Q631/29</f>
        <v>25.805464866890581</v>
      </c>
      <c r="R632" s="308" t="s">
        <v>382</v>
      </c>
      <c r="S632" s="474">
        <v>3850.1699999999996</v>
      </c>
      <c r="T632" s="475"/>
      <c r="U632" s="467">
        <v>1095.5500000000002</v>
      </c>
      <c r="V632" s="468"/>
      <c r="W632" s="289" t="s">
        <v>12</v>
      </c>
      <c r="X632" s="315">
        <v>851.1</v>
      </c>
      <c r="Y632" s="144" t="s">
        <v>18</v>
      </c>
      <c r="Z632" s="72">
        <v>44</v>
      </c>
    </row>
    <row r="633" spans="1:26">
      <c r="C633" s="15">
        <f>3289.18-C632</f>
        <v>762.69</v>
      </c>
      <c r="D633" s="462" t="s">
        <v>11</v>
      </c>
      <c r="E633" s="463"/>
      <c r="F633" s="15">
        <f>39.62+39.54</f>
        <v>79.16</v>
      </c>
      <c r="G633" s="462" t="s">
        <v>9</v>
      </c>
      <c r="H633" s="464"/>
      <c r="I633" s="63">
        <v>11.99</v>
      </c>
      <c r="J633" s="462" t="s">
        <v>22</v>
      </c>
      <c r="K633" s="464"/>
      <c r="L633" s="76"/>
      <c r="M633" s="25">
        <v>-100</v>
      </c>
      <c r="N633" s="294"/>
      <c r="O633" s="136" t="s">
        <v>12</v>
      </c>
      <c r="P633" s="319">
        <f>P616+P631-SUM(L631:L644)-SUM(M631:M644)-SUM(N631:N644)</f>
        <v>681.14999999999691</v>
      </c>
      <c r="Q633" s="320">
        <f>Z631+Z636+Z639</f>
        <v>1257.6399999999999</v>
      </c>
      <c r="R633" s="308" t="s">
        <v>383</v>
      </c>
      <c r="S633" s="474">
        <v>2352.92</v>
      </c>
      <c r="T633" s="475"/>
      <c r="U633" s="467">
        <v>1077.0899999999997</v>
      </c>
      <c r="V633" s="468"/>
      <c r="W633" s="282" t="s">
        <v>373</v>
      </c>
      <c r="X633" s="132">
        <v>5000</v>
      </c>
      <c r="Y633" s="144" t="s">
        <v>19</v>
      </c>
      <c r="Z633" s="72">
        <v>33</v>
      </c>
    </row>
    <row r="634" spans="1:26" ht="15.75" thickBot="1">
      <c r="C634" s="15">
        <v>100</v>
      </c>
      <c r="D634" s="462" t="s">
        <v>946</v>
      </c>
      <c r="E634" s="463"/>
      <c r="F634" s="15"/>
      <c r="G634" s="462" t="s">
        <v>6</v>
      </c>
      <c r="H634" s="464"/>
      <c r="I634" s="20"/>
      <c r="J634" s="462" t="s">
        <v>499</v>
      </c>
      <c r="K634" s="464"/>
      <c r="L634" s="76"/>
      <c r="M634" s="25">
        <v>-50</v>
      </c>
      <c r="N634" s="293"/>
      <c r="O634" s="140" t="s">
        <v>321</v>
      </c>
      <c r="P634" s="132">
        <f>SUM(C631:C644)-SUM(F631:F644)-SUM(I631:I644)-P637-P640-P643</f>
        <v>385.84999999999991</v>
      </c>
      <c r="Q634" s="72">
        <f>Q633-Q616</f>
        <v>374.14999999999986</v>
      </c>
      <c r="R634" s="308" t="s">
        <v>424</v>
      </c>
      <c r="S634" s="474">
        <v>2115.4899999999998</v>
      </c>
      <c r="T634" s="475"/>
      <c r="U634" s="467">
        <v>1095.8608271657663</v>
      </c>
      <c r="V634" s="468"/>
      <c r="W634" s="282" t="s">
        <v>378</v>
      </c>
      <c r="X634" s="132">
        <v>4134.67</v>
      </c>
      <c r="Y634" s="145" t="s">
        <v>324</v>
      </c>
      <c r="Z634" s="135">
        <v>450</v>
      </c>
    </row>
    <row r="635" spans="1:26" ht="15.75" thickBot="1">
      <c r="C635" s="15">
        <f>10.08+7.04</f>
        <v>17.12</v>
      </c>
      <c r="D635" s="462" t="s">
        <v>390</v>
      </c>
      <c r="E635" s="463"/>
      <c r="F635" s="15">
        <v>300</v>
      </c>
      <c r="G635" s="462" t="s">
        <v>97</v>
      </c>
      <c r="H635" s="464"/>
      <c r="I635" s="20">
        <f>11.9+54.11</f>
        <v>66.010000000000005</v>
      </c>
      <c r="J635" s="462" t="s">
        <v>249</v>
      </c>
      <c r="K635" s="464"/>
      <c r="L635" s="76"/>
      <c r="M635" s="25">
        <v>500</v>
      </c>
      <c r="N635" s="294"/>
      <c r="O635" s="141" t="s">
        <v>322</v>
      </c>
      <c r="P635" s="133">
        <f>P634/29</f>
        <v>13.3051724137931</v>
      </c>
      <c r="Q635" s="10">
        <f>Q634/29</f>
        <v>12.90172413793103</v>
      </c>
      <c r="R635" s="143" t="s">
        <v>12</v>
      </c>
      <c r="S635" s="476">
        <v>1497.2499999999995</v>
      </c>
      <c r="T635" s="477"/>
      <c r="U635" s="478">
        <v>18.460000000000491</v>
      </c>
      <c r="V635" s="479"/>
      <c r="W635" s="289" t="s">
        <v>379</v>
      </c>
      <c r="X635" s="132">
        <v>851.1</v>
      </c>
      <c r="Y635" s="470" t="s">
        <v>14</v>
      </c>
      <c r="Z635" s="471"/>
    </row>
    <row r="636" spans="1:26" ht="15.75" thickBot="1">
      <c r="C636" s="15"/>
      <c r="D636" s="455"/>
      <c r="E636" s="456"/>
      <c r="F636" s="15">
        <v>905</v>
      </c>
      <c r="G636" s="462" t="s">
        <v>497</v>
      </c>
      <c r="H636" s="464"/>
      <c r="I636" s="63">
        <v>5</v>
      </c>
      <c r="J636" s="462" t="s">
        <v>944</v>
      </c>
      <c r="K636" s="464"/>
      <c r="L636" s="76"/>
      <c r="M636" s="25">
        <v>5</v>
      </c>
      <c r="N636" s="293"/>
      <c r="O636" s="136" t="s">
        <v>324</v>
      </c>
      <c r="P636" s="319">
        <f>P619+P637</f>
        <v>535</v>
      </c>
      <c r="Q636" s="320">
        <f>Z632+Z633+Z634</f>
        <v>527</v>
      </c>
      <c r="R636" s="144" t="s">
        <v>425</v>
      </c>
      <c r="S636" s="465">
        <v>1734.6799999999998</v>
      </c>
      <c r="T636" s="466"/>
      <c r="U636" s="467">
        <v>-0.31082716576611347</v>
      </c>
      <c r="V636" s="468"/>
      <c r="W636" s="146" t="s">
        <v>375</v>
      </c>
      <c r="X636" s="325">
        <v>0</v>
      </c>
      <c r="Y636" s="143" t="s">
        <v>15</v>
      </c>
      <c r="Z636" s="12">
        <v>1130.56</v>
      </c>
    </row>
    <row r="637" spans="1:26" ht="15.75" thickBot="1">
      <c r="C637" s="15"/>
      <c r="D637" s="462"/>
      <c r="E637" s="463"/>
      <c r="F637" s="15">
        <v>75</v>
      </c>
      <c r="G637" s="457" t="s">
        <v>947</v>
      </c>
      <c r="H637" s="458"/>
      <c r="I637" s="20">
        <v>108.98</v>
      </c>
      <c r="J637" s="462" t="s">
        <v>105</v>
      </c>
      <c r="K637" s="464"/>
      <c r="L637" s="76"/>
      <c r="M637" s="25"/>
      <c r="N637" s="294"/>
      <c r="O637" s="140" t="s">
        <v>321</v>
      </c>
      <c r="P637" s="132">
        <f>SUM(L631:L644)</f>
        <v>100</v>
      </c>
      <c r="Q637" s="72">
        <f>Q636-Q619</f>
        <v>100</v>
      </c>
      <c r="R637" s="144" t="s">
        <v>426</v>
      </c>
      <c r="S637" s="465">
        <v>784.65000000000009</v>
      </c>
      <c r="T637" s="466"/>
      <c r="U637" s="467">
        <v>-694.13999999999896</v>
      </c>
      <c r="V637" s="468"/>
      <c r="W637" s="470" t="s">
        <v>376</v>
      </c>
      <c r="X637" s="471"/>
      <c r="Y637" s="146" t="s">
        <v>325</v>
      </c>
      <c r="Z637" s="10">
        <v>564.89</v>
      </c>
    </row>
    <row r="638" spans="1:26" ht="16.5" thickTop="1" thickBot="1">
      <c r="C638" s="15"/>
      <c r="D638" s="462"/>
      <c r="E638" s="463"/>
      <c r="F638" s="15">
        <v>40</v>
      </c>
      <c r="G638" s="462" t="s">
        <v>33</v>
      </c>
      <c r="H638" s="464"/>
      <c r="I638" s="63">
        <f>10</f>
        <v>10</v>
      </c>
      <c r="J638" s="462" t="s">
        <v>377</v>
      </c>
      <c r="K638" s="464"/>
      <c r="L638" s="76"/>
      <c r="M638" s="25"/>
      <c r="N638" s="292"/>
      <c r="O638" s="141" t="s">
        <v>322</v>
      </c>
      <c r="P638" s="133">
        <f>P637/29</f>
        <v>3.4482758620689653</v>
      </c>
      <c r="Q638" s="10">
        <f>Q637/29</f>
        <v>3.4482758620689653</v>
      </c>
      <c r="R638" s="144" t="s">
        <v>422</v>
      </c>
      <c r="S638" s="465">
        <v>-950.02999999999975</v>
      </c>
      <c r="T638" s="466"/>
      <c r="U638" s="467">
        <v>-693.82917283423285</v>
      </c>
      <c r="V638" s="468"/>
      <c r="W638" s="289" t="s">
        <v>12</v>
      </c>
      <c r="X638" s="38">
        <v>117.6</v>
      </c>
      <c r="Y638" s="470" t="s">
        <v>374</v>
      </c>
      <c r="Z638" s="471"/>
    </row>
    <row r="639" spans="1:26" ht="15.75" thickTop="1">
      <c r="C639" s="15"/>
      <c r="D639" s="462"/>
      <c r="E639" s="463"/>
      <c r="F639" s="15"/>
      <c r="G639" s="462"/>
      <c r="H639" s="464"/>
      <c r="I639" s="20">
        <f>70+100-29</f>
        <v>141</v>
      </c>
      <c r="J639" s="462" t="s">
        <v>98</v>
      </c>
      <c r="K639" s="464"/>
      <c r="L639" s="76"/>
      <c r="M639" s="25"/>
      <c r="N639" s="293"/>
      <c r="O639" s="136" t="s">
        <v>325</v>
      </c>
      <c r="P639" s="319">
        <f>P622+P640</f>
        <v>563.88</v>
      </c>
      <c r="Q639" s="320">
        <f>Z637</f>
        <v>564.89</v>
      </c>
      <c r="R639" s="143" t="s">
        <v>421</v>
      </c>
      <c r="S639" s="465">
        <v>-784.05999999999926</v>
      </c>
      <c r="T639" s="466"/>
      <c r="U639" s="467">
        <v>-484.11773310995795</v>
      </c>
      <c r="V639" s="468"/>
      <c r="W639" s="282" t="s">
        <v>373</v>
      </c>
      <c r="X639" s="281">
        <v>2000</v>
      </c>
      <c r="Y639" s="321" t="s">
        <v>181</v>
      </c>
      <c r="Z639" s="322">
        <v>0.08</v>
      </c>
    </row>
    <row r="640" spans="1:26" ht="15.75" thickBot="1">
      <c r="C640" s="266"/>
      <c r="D640" s="448"/>
      <c r="E640" s="469"/>
      <c r="F640" s="15"/>
      <c r="G640" s="462"/>
      <c r="H640" s="464"/>
      <c r="I640" s="20">
        <f>791.62-39.05</f>
        <v>752.57</v>
      </c>
      <c r="J640" s="462" t="s">
        <v>206</v>
      </c>
      <c r="K640" s="464"/>
      <c r="L640" s="76"/>
      <c r="M640" s="25"/>
      <c r="N640" s="295"/>
      <c r="O640" s="140" t="s">
        <v>321</v>
      </c>
      <c r="P640" s="132">
        <f>SUM(M631:M644)</f>
        <v>350</v>
      </c>
      <c r="Q640" s="72">
        <f>Q639-Q622</f>
        <v>350.04999999999995</v>
      </c>
      <c r="R640" s="144" t="s">
        <v>418</v>
      </c>
      <c r="S640" s="465">
        <v>-712.59999999999945</v>
      </c>
      <c r="T640" s="466"/>
      <c r="U640" s="467">
        <v>-712.59999999999945</v>
      </c>
      <c r="V640" s="468"/>
      <c r="W640" s="282" t="s">
        <v>378</v>
      </c>
      <c r="X640" s="281">
        <v>2000</v>
      </c>
      <c r="Y640" s="146" t="s">
        <v>553</v>
      </c>
      <c r="Z640" s="10">
        <v>7.9999999999890825E-2</v>
      </c>
    </row>
    <row r="641" spans="1:26" ht="15.75" thickBot="1">
      <c r="C641" s="266"/>
      <c r="D641" s="448"/>
      <c r="E641" s="469"/>
      <c r="F641" s="15"/>
      <c r="G641" s="462"/>
      <c r="H641" s="464"/>
      <c r="I641" s="20">
        <v>20</v>
      </c>
      <c r="J641" s="462" t="s">
        <v>920</v>
      </c>
      <c r="K641" s="464"/>
      <c r="L641" s="76"/>
      <c r="M641" s="25"/>
      <c r="N641" s="293"/>
      <c r="O641" s="141" t="s">
        <v>322</v>
      </c>
      <c r="P641" s="133">
        <f>P640/29</f>
        <v>12.068965517241379</v>
      </c>
      <c r="Q641" s="10">
        <f>Q640/29</f>
        <v>12.070689655172412</v>
      </c>
      <c r="R641" s="144" t="s">
        <v>438</v>
      </c>
      <c r="S641" s="465">
        <v>-712.59999999999945</v>
      </c>
      <c r="T641" s="466"/>
      <c r="U641" s="472"/>
      <c r="V641" s="473"/>
      <c r="W641" s="289" t="s">
        <v>379</v>
      </c>
      <c r="X641" s="38">
        <v>117.6</v>
      </c>
      <c r="Y641" s="266"/>
      <c r="Z641" s="16"/>
    </row>
    <row r="642" spans="1:26" ht="15.75" thickBot="1">
      <c r="C642" s="15"/>
      <c r="D642" s="448"/>
      <c r="E642" s="469"/>
      <c r="F642" s="15"/>
      <c r="G642" s="462"/>
      <c r="H642" s="464"/>
      <c r="I642" s="20"/>
      <c r="J642" s="462"/>
      <c r="K642" s="464"/>
      <c r="L642" s="76"/>
      <c r="M642" s="25"/>
      <c r="N642" s="295"/>
      <c r="O642" s="136" t="s">
        <v>323</v>
      </c>
      <c r="P642" s="319">
        <f>P625+P643</f>
        <v>2243.4673044585293</v>
      </c>
      <c r="Q642" s="320">
        <f>S631+U631</f>
        <v>1891.3914397242754</v>
      </c>
      <c r="R642" s="144" t="s">
        <v>380</v>
      </c>
      <c r="S642" s="291">
        <v>237.43000000000029</v>
      </c>
      <c r="T642" s="327">
        <v>0.11223404506757315</v>
      </c>
      <c r="U642" s="291">
        <v>-18.770827165766605</v>
      </c>
      <c r="V642" s="329">
        <v>-1.7128842185475092E-2</v>
      </c>
      <c r="W642" s="146" t="s">
        <v>375</v>
      </c>
      <c r="X642" s="326">
        <v>0.96</v>
      </c>
      <c r="Y642" s="266"/>
      <c r="Z642" s="16"/>
    </row>
    <row r="643" spans="1:26">
      <c r="C643" s="15"/>
      <c r="D643" s="462"/>
      <c r="E643" s="463"/>
      <c r="F643" s="15"/>
      <c r="G643" s="503"/>
      <c r="H643" s="504"/>
      <c r="J643" s="503"/>
      <c r="K643" s="504"/>
      <c r="L643" s="76"/>
      <c r="M643" s="25"/>
      <c r="N643" s="293"/>
      <c r="O643" s="140" t="s">
        <v>321</v>
      </c>
      <c r="P643" s="132">
        <f>SUM(N631:N644)</f>
        <v>0</v>
      </c>
      <c r="Q643" s="72">
        <f>Q642-Q625</f>
        <v>-75.841518860172755</v>
      </c>
      <c r="R643" s="144" t="s">
        <v>381</v>
      </c>
      <c r="S643" s="291">
        <v>-71.459999999999809</v>
      </c>
      <c r="T643" s="327">
        <v>-4.1194917794636368E-2</v>
      </c>
      <c r="U643" s="291">
        <v>228.48226689004153</v>
      </c>
      <c r="V643" s="366">
        <v>-735.07817866204914</v>
      </c>
      <c r="W643" s="337" t="s">
        <v>410</v>
      </c>
      <c r="X643" s="1" t="s">
        <v>558</v>
      </c>
      <c r="Y643" s="266"/>
      <c r="Z643" s="16"/>
    </row>
    <row r="644" spans="1:26" ht="15.75" thickBot="1">
      <c r="C644" s="17"/>
      <c r="D644" s="459"/>
      <c r="E644" s="460"/>
      <c r="F644" s="17"/>
      <c r="G644" s="459"/>
      <c r="H644" s="461"/>
      <c r="I644" s="21"/>
      <c r="J644" s="459"/>
      <c r="K644" s="461"/>
      <c r="L644" s="42"/>
      <c r="M644" s="5"/>
      <c r="N644" s="21"/>
      <c r="O644" s="137" t="s">
        <v>322</v>
      </c>
      <c r="P644" s="138">
        <f>P643/29</f>
        <v>0</v>
      </c>
      <c r="Q644" s="24">
        <f>Q643/29</f>
        <v>-2.6152247882818189</v>
      </c>
      <c r="R644" s="153" t="s">
        <v>410</v>
      </c>
      <c r="S644" s="296">
        <v>165.97000000000048</v>
      </c>
      <c r="T644" s="328">
        <v>4.3107187474838903E-2</v>
      </c>
      <c r="U644" s="296">
        <v>209.71143972427492</v>
      </c>
      <c r="V644" s="330">
        <v>0.19142114894279119</v>
      </c>
      <c r="W644" s="296">
        <v>375.68143972427538</v>
      </c>
      <c r="X644" s="330">
        <v>7.5960919688998985E-2</v>
      </c>
      <c r="Y644" s="290"/>
      <c r="Z644" s="18"/>
    </row>
    <row r="645" spans="1:26" ht="17.25" thickTop="1" thickBot="1">
      <c r="A645" s="14"/>
      <c r="B645" s="14" t="s">
        <v>31</v>
      </c>
      <c r="C645" s="264">
        <v>45717</v>
      </c>
      <c r="D645" s="3"/>
      <c r="E645" s="3"/>
      <c r="F645" s="3"/>
      <c r="G645" s="3"/>
      <c r="H645" s="3"/>
      <c r="I645" s="3"/>
      <c r="J645" s="3"/>
      <c r="K645" s="3"/>
      <c r="L645" s="3"/>
      <c r="M645" s="3"/>
      <c r="N645" s="3"/>
      <c r="O645" s="3"/>
      <c r="P645" s="3"/>
      <c r="Q645" s="3"/>
      <c r="R645" s="3"/>
      <c r="S645" s="3"/>
      <c r="T645" s="3"/>
      <c r="U645" s="3"/>
      <c r="V645" s="3"/>
      <c r="W645" s="3"/>
      <c r="X645" s="3"/>
      <c r="Y645" s="3"/>
      <c r="Z645" s="3"/>
    </row>
    <row r="646" spans="1:26" ht="17.25" thickTop="1" thickBot="1">
      <c r="C646" s="480" t="s">
        <v>386</v>
      </c>
      <c r="D646" s="481"/>
      <c r="E646" s="482"/>
      <c r="F646" s="483" t="s">
        <v>387</v>
      </c>
      <c r="G646" s="484"/>
      <c r="H646" s="484"/>
      <c r="I646" s="484"/>
      <c r="J646" s="484"/>
      <c r="K646" s="484"/>
      <c r="L646" s="484"/>
      <c r="M646" s="484"/>
      <c r="N646" s="485"/>
      <c r="O646" s="261" t="s">
        <v>320</v>
      </c>
      <c r="P646" s="262" t="s">
        <v>257</v>
      </c>
      <c r="Q646" s="263" t="s">
        <v>319</v>
      </c>
      <c r="R646" s="486" t="s">
        <v>144</v>
      </c>
      <c r="S646" s="487"/>
      <c r="T646" s="487"/>
      <c r="U646" s="487"/>
      <c r="V646" s="487"/>
      <c r="W646" s="487"/>
      <c r="X646" s="487"/>
      <c r="Y646" s="487"/>
      <c r="Z646" s="488"/>
    </row>
    <row r="647" spans="1:26" ht="15.75" thickBot="1">
      <c r="C647" s="265"/>
      <c r="D647" s="489"/>
      <c r="E647" s="490"/>
      <c r="F647" s="470" t="s">
        <v>3</v>
      </c>
      <c r="G647" s="491"/>
      <c r="H647" s="492"/>
      <c r="I647" s="493" t="s">
        <v>4</v>
      </c>
      <c r="J647" s="491"/>
      <c r="K647" s="492"/>
      <c r="L647" s="267" t="s">
        <v>324</v>
      </c>
      <c r="M647" s="267" t="s">
        <v>325</v>
      </c>
      <c r="N647" s="267" t="s">
        <v>323</v>
      </c>
      <c r="O647" s="316" t="s">
        <v>5</v>
      </c>
      <c r="P647" s="317">
        <f>P650+P653+P656+P659</f>
        <v>4559.2373044585265</v>
      </c>
      <c r="Q647" s="318">
        <f>Q656+Q653+Q650+Q659</f>
        <v>4587.2582649474243</v>
      </c>
      <c r="R647" s="268" t="s">
        <v>323</v>
      </c>
      <c r="S647" s="493" t="s">
        <v>317</v>
      </c>
      <c r="T647" s="492"/>
      <c r="U647" s="493" t="s">
        <v>369</v>
      </c>
      <c r="V647" s="471"/>
      <c r="W647" s="491" t="s">
        <v>310</v>
      </c>
      <c r="X647" s="471"/>
      <c r="Y647" s="470" t="s">
        <v>13</v>
      </c>
      <c r="Z647" s="471"/>
    </row>
    <row r="648" spans="1:26" ht="16.5" thickTop="1" thickBot="1">
      <c r="C648" s="15"/>
      <c r="D648" s="494"/>
      <c r="E648" s="495"/>
      <c r="G648" s="496"/>
      <c r="H648" s="497"/>
      <c r="J648" s="496"/>
      <c r="K648" s="497"/>
      <c r="L648" s="76"/>
      <c r="M648" s="25"/>
      <c r="N648" s="292"/>
      <c r="O648" s="258" t="s">
        <v>321</v>
      </c>
      <c r="P648" s="315">
        <f>SUM(C648:C661)-SUM(F648:F661)-SUM(I648:I661)</f>
        <v>535.74000000000024</v>
      </c>
      <c r="Q648" s="12">
        <f>Q647-Q630</f>
        <v>346.33682522314939</v>
      </c>
      <c r="R648" s="307" t="s">
        <v>343</v>
      </c>
      <c r="S648" s="498">
        <v>1688.07</v>
      </c>
      <c r="T648" s="499"/>
      <c r="U648" s="498">
        <v>224.61826494742434</v>
      </c>
      <c r="V648" s="500"/>
      <c r="W648" s="501" t="s">
        <v>326</v>
      </c>
      <c r="X648" s="502"/>
      <c r="Y648" s="143" t="s">
        <v>17</v>
      </c>
      <c r="Z648" s="12">
        <f>62-60</f>
        <v>2</v>
      </c>
    </row>
    <row r="649" spans="1:26" ht="16.5" thickTop="1" thickBot="1">
      <c r="C649" s="15">
        <v>2526.4899999999998</v>
      </c>
      <c r="D649" s="462" t="s">
        <v>11</v>
      </c>
      <c r="E649" s="463"/>
      <c r="F649" s="6">
        <f>14+5.21+9.75</f>
        <v>28.96</v>
      </c>
      <c r="G649" s="462" t="s">
        <v>223</v>
      </c>
      <c r="H649" s="464"/>
      <c r="I649" s="20">
        <v>11.99</v>
      </c>
      <c r="J649" s="462" t="s">
        <v>385</v>
      </c>
      <c r="K649" s="464"/>
      <c r="L649" s="76"/>
      <c r="M649" s="25">
        <v>500</v>
      </c>
      <c r="N649" s="295">
        <v>140</v>
      </c>
      <c r="O649" s="141" t="s">
        <v>322</v>
      </c>
      <c r="P649" s="133">
        <f>P648/29</f>
        <v>18.473793103448283</v>
      </c>
      <c r="Q649" s="10">
        <f>Q648/29</f>
        <v>11.942649145625841</v>
      </c>
      <c r="R649" s="308" t="s">
        <v>382</v>
      </c>
      <c r="S649" s="474">
        <v>4040.1699999999996</v>
      </c>
      <c r="T649" s="475"/>
      <c r="U649" s="467">
        <v>1095.5500000000002</v>
      </c>
      <c r="V649" s="468"/>
      <c r="W649" s="289" t="s">
        <v>12</v>
      </c>
      <c r="X649" s="315">
        <v>756.62</v>
      </c>
      <c r="Y649" s="144" t="s">
        <v>18</v>
      </c>
      <c r="Z649" s="72">
        <v>44</v>
      </c>
    </row>
    <row r="650" spans="1:26">
      <c r="C650" s="15">
        <f>3289.19-C649</f>
        <v>762.70000000000027</v>
      </c>
      <c r="D650" s="462" t="s">
        <v>11</v>
      </c>
      <c r="E650" s="463"/>
      <c r="F650" s="15">
        <f>41.15+38.05</f>
        <v>79.199999999999989</v>
      </c>
      <c r="G650" s="462" t="s">
        <v>9</v>
      </c>
      <c r="H650" s="464"/>
      <c r="I650" s="63">
        <v>11.99</v>
      </c>
      <c r="J650" s="462" t="s">
        <v>22</v>
      </c>
      <c r="K650" s="464"/>
      <c r="L650" s="76"/>
      <c r="M650" s="25"/>
      <c r="N650" s="294">
        <v>50</v>
      </c>
      <c r="O650" s="136" t="s">
        <v>12</v>
      </c>
      <c r="P650" s="319">
        <f>P633+P648-SUM(L648:L661)-SUM(M648:M661)-SUM(N648:N661)</f>
        <v>526.88999999999714</v>
      </c>
      <c r="Q650" s="320">
        <f>Z648+Z653+Z656</f>
        <v>1079.45</v>
      </c>
      <c r="R650" s="308" t="s">
        <v>383</v>
      </c>
      <c r="S650" s="474">
        <v>2352.92</v>
      </c>
      <c r="T650" s="475"/>
      <c r="U650" s="467">
        <v>1077.0899999999997</v>
      </c>
      <c r="V650" s="468"/>
      <c r="W650" s="282" t="s">
        <v>373</v>
      </c>
      <c r="X650" s="132">
        <v>5000</v>
      </c>
      <c r="Y650" s="144" t="s">
        <v>19</v>
      </c>
      <c r="Z650" s="72">
        <v>36</v>
      </c>
    </row>
    <row r="651" spans="1:26" ht="15.75" thickBot="1">
      <c r="C651" s="15">
        <f>12.69</f>
        <v>12.69</v>
      </c>
      <c r="D651" s="462" t="s">
        <v>390</v>
      </c>
      <c r="E651" s="463"/>
      <c r="F651" s="15"/>
      <c r="G651" s="462" t="s">
        <v>949</v>
      </c>
      <c r="H651" s="464"/>
      <c r="I651" s="20"/>
      <c r="J651" s="462" t="s">
        <v>499</v>
      </c>
      <c r="K651" s="464"/>
      <c r="L651" s="76"/>
      <c r="M651" s="25"/>
      <c r="N651" s="293"/>
      <c r="O651" s="140" t="s">
        <v>321</v>
      </c>
      <c r="P651" s="132">
        <f>SUM(C648:C661)-SUM(F648:F661)-SUM(I648:I661)-P654-P657-P660</f>
        <v>-154.25999999999976</v>
      </c>
      <c r="Q651" s="72">
        <f>Q650-Q633</f>
        <v>-178.18999999999983</v>
      </c>
      <c r="R651" s="308" t="s">
        <v>424</v>
      </c>
      <c r="S651" s="474">
        <v>2115.4899999999998</v>
      </c>
      <c r="T651" s="475"/>
      <c r="U651" s="467">
        <v>1095.8608271657663</v>
      </c>
      <c r="V651" s="468"/>
      <c r="W651" s="282" t="s">
        <v>378</v>
      </c>
      <c r="X651" s="132">
        <v>4243.38</v>
      </c>
      <c r="Y651" s="145" t="s">
        <v>324</v>
      </c>
      <c r="Z651" s="135">
        <v>450</v>
      </c>
    </row>
    <row r="652" spans="1:26" ht="15.75" thickBot="1">
      <c r="C652" s="15"/>
      <c r="D652" s="455"/>
      <c r="E652" s="456"/>
      <c r="F652" s="15">
        <f>F635</f>
        <v>300</v>
      </c>
      <c r="G652" s="462" t="s">
        <v>97</v>
      </c>
      <c r="H652" s="464"/>
      <c r="I652" s="20">
        <f>11.9</f>
        <v>11.9</v>
      </c>
      <c r="J652" s="462" t="s">
        <v>249</v>
      </c>
      <c r="K652" s="464"/>
      <c r="L652" s="76"/>
      <c r="M652" s="25"/>
      <c r="N652" s="294"/>
      <c r="O652" s="141" t="s">
        <v>322</v>
      </c>
      <c r="P652" s="133">
        <f>P651/29</f>
        <v>-5.3193103448275778</v>
      </c>
      <c r="Q652" s="10">
        <f>Q651/29</f>
        <v>-6.1444827586206836</v>
      </c>
      <c r="R652" s="143" t="s">
        <v>12</v>
      </c>
      <c r="S652" s="476">
        <v>1687.2499999999995</v>
      </c>
      <c r="T652" s="477"/>
      <c r="U652" s="478">
        <v>18.460000000000491</v>
      </c>
      <c r="V652" s="479"/>
      <c r="W652" s="289" t="s">
        <v>379</v>
      </c>
      <c r="X652" s="132">
        <v>756.62</v>
      </c>
      <c r="Y652" s="470" t="s">
        <v>14</v>
      </c>
      <c r="Z652" s="471"/>
    </row>
    <row r="653" spans="1:26" ht="15.75" thickBot="1">
      <c r="C653" s="15"/>
      <c r="D653" s="455"/>
      <c r="E653" s="456"/>
      <c r="F653" s="15">
        <v>910</v>
      </c>
      <c r="G653" s="462" t="s">
        <v>565</v>
      </c>
      <c r="H653" s="464"/>
      <c r="I653" s="63">
        <v>70</v>
      </c>
      <c r="J653" s="462" t="s">
        <v>948</v>
      </c>
      <c r="K653" s="464"/>
      <c r="L653" s="76"/>
      <c r="M653" s="25"/>
      <c r="N653" s="293"/>
      <c r="O653" s="136" t="s">
        <v>324</v>
      </c>
      <c r="P653" s="319">
        <f>P636+P654</f>
        <v>535</v>
      </c>
      <c r="Q653" s="320">
        <f>Z649+Z650+Z651</f>
        <v>530</v>
      </c>
      <c r="R653" s="144" t="s">
        <v>425</v>
      </c>
      <c r="S653" s="465">
        <v>1924.6799999999998</v>
      </c>
      <c r="T653" s="466"/>
      <c r="U653" s="467">
        <v>-0.31082716576611347</v>
      </c>
      <c r="V653" s="468"/>
      <c r="W653" s="146" t="s">
        <v>375</v>
      </c>
      <c r="X653" s="325">
        <v>0</v>
      </c>
      <c r="Y653" s="143" t="s">
        <v>15</v>
      </c>
      <c r="Z653" s="12">
        <v>1074.24</v>
      </c>
    </row>
    <row r="654" spans="1:26" ht="15.75" thickBot="1">
      <c r="C654" s="15"/>
      <c r="D654" s="462"/>
      <c r="E654" s="463"/>
      <c r="F654" s="15">
        <v>140</v>
      </c>
      <c r="G654" s="457" t="s">
        <v>951</v>
      </c>
      <c r="H654" s="458"/>
      <c r="I654" s="20">
        <f>100-11+100+100</f>
        <v>289</v>
      </c>
      <c r="J654" s="462" t="s">
        <v>98</v>
      </c>
      <c r="K654" s="464"/>
      <c r="L654" s="76"/>
      <c r="M654" s="25"/>
      <c r="N654" s="294"/>
      <c r="O654" s="140" t="s">
        <v>321</v>
      </c>
      <c r="P654" s="132">
        <f>SUM(L648:L661)</f>
        <v>0</v>
      </c>
      <c r="Q654" s="72">
        <f>Q653-Q636</f>
        <v>3</v>
      </c>
      <c r="R654" s="144" t="s">
        <v>426</v>
      </c>
      <c r="S654" s="465">
        <v>784.65000000000009</v>
      </c>
      <c r="T654" s="466"/>
      <c r="U654" s="467">
        <v>-884.13999999999896</v>
      </c>
      <c r="V654" s="468"/>
      <c r="W654" s="470" t="s">
        <v>376</v>
      </c>
      <c r="X654" s="471"/>
      <c r="Y654" s="146" t="s">
        <v>325</v>
      </c>
      <c r="Z654" s="10">
        <v>1065.1199999999999</v>
      </c>
    </row>
    <row r="655" spans="1:26" ht="16.5" thickTop="1" thickBot="1">
      <c r="C655" s="15"/>
      <c r="D655" s="462"/>
      <c r="E655" s="463"/>
      <c r="F655" s="15">
        <v>30</v>
      </c>
      <c r="G655" s="462" t="s">
        <v>33</v>
      </c>
      <c r="H655" s="464"/>
      <c r="I655" s="63">
        <v>12</v>
      </c>
      <c r="J655" s="462" t="s">
        <v>377</v>
      </c>
      <c r="K655" s="464"/>
      <c r="L655" s="76"/>
      <c r="M655" s="25"/>
      <c r="N655" s="292"/>
      <c r="O655" s="141" t="s">
        <v>322</v>
      </c>
      <c r="P655" s="133">
        <f>P654/29</f>
        <v>0</v>
      </c>
      <c r="Q655" s="10">
        <f>Q654/29</f>
        <v>0.10344827586206896</v>
      </c>
      <c r="R655" s="144" t="s">
        <v>422</v>
      </c>
      <c r="S655" s="465">
        <v>-1140.0299999999997</v>
      </c>
      <c r="T655" s="466"/>
      <c r="U655" s="467">
        <v>-883.82917283423285</v>
      </c>
      <c r="V655" s="468"/>
      <c r="W655" s="289" t="s">
        <v>12</v>
      </c>
      <c r="X655" s="38">
        <v>117.6</v>
      </c>
      <c r="Y655" s="470" t="s">
        <v>374</v>
      </c>
      <c r="Z655" s="471"/>
    </row>
    <row r="656" spans="1:26" ht="15.75" thickTop="1">
      <c r="C656" s="15"/>
      <c r="D656" s="462"/>
      <c r="E656" s="463"/>
      <c r="F656" s="15"/>
      <c r="G656" s="462"/>
      <c r="H656" s="464"/>
      <c r="I656" s="20">
        <v>20</v>
      </c>
      <c r="J656" s="462" t="s">
        <v>920</v>
      </c>
      <c r="K656" s="464"/>
      <c r="L656" s="76"/>
      <c r="M656" s="25"/>
      <c r="N656" s="293"/>
      <c r="O656" s="136" t="s">
        <v>325</v>
      </c>
      <c r="P656" s="319">
        <f>P639+P657</f>
        <v>1063.8800000000001</v>
      </c>
      <c r="Q656" s="320">
        <f>Z654</f>
        <v>1065.1199999999999</v>
      </c>
      <c r="R656" s="143" t="s">
        <v>421</v>
      </c>
      <c r="S656" s="465">
        <v>-1139.2099999999994</v>
      </c>
      <c r="T656" s="466"/>
      <c r="U656" s="467">
        <v>-677.670907886809</v>
      </c>
      <c r="V656" s="468"/>
      <c r="W656" s="282" t="s">
        <v>373</v>
      </c>
      <c r="X656" s="281">
        <v>2000</v>
      </c>
      <c r="Y656" s="321" t="s">
        <v>181</v>
      </c>
      <c r="Z656" s="322">
        <v>3.21</v>
      </c>
    </row>
    <row r="657" spans="1:26" ht="15.75" thickBot="1">
      <c r="C657" s="266"/>
      <c r="D657" s="448"/>
      <c r="E657" s="469"/>
      <c r="F657" s="15"/>
      <c r="G657" s="462"/>
      <c r="H657" s="464"/>
      <c r="I657" s="20">
        <v>851.1</v>
      </c>
      <c r="J657" s="462" t="s">
        <v>206</v>
      </c>
      <c r="K657" s="464"/>
      <c r="L657" s="76"/>
      <c r="M657" s="25"/>
      <c r="N657" s="295"/>
      <c r="O657" s="140" t="s">
        <v>321</v>
      </c>
      <c r="P657" s="132">
        <f>SUM(M648:M661)</f>
        <v>500</v>
      </c>
      <c r="Q657" s="72">
        <f>Q656-Q639</f>
        <v>500.2299999999999</v>
      </c>
      <c r="R657" s="144" t="s">
        <v>418</v>
      </c>
      <c r="S657" s="465">
        <v>-902.59999999999945</v>
      </c>
      <c r="T657" s="466"/>
      <c r="U657" s="467">
        <v>-902.59999999999945</v>
      </c>
      <c r="V657" s="468"/>
      <c r="W657" s="282" t="s">
        <v>378</v>
      </c>
      <c r="X657" s="281">
        <v>1882.4</v>
      </c>
      <c r="Y657" s="146" t="s">
        <v>553</v>
      </c>
      <c r="Z657" s="10">
        <v>3.2099999999998907</v>
      </c>
    </row>
    <row r="658" spans="1:26" ht="15.75" thickBot="1">
      <c r="C658" s="266"/>
      <c r="D658" s="448"/>
      <c r="E658" s="469"/>
      <c r="F658" s="15"/>
      <c r="G658" s="462"/>
      <c r="H658" s="464"/>
      <c r="I658" s="20"/>
      <c r="J658" s="462"/>
      <c r="K658" s="464"/>
      <c r="L658" s="76"/>
      <c r="M658" s="25"/>
      <c r="N658" s="293"/>
      <c r="O658" s="141" t="s">
        <v>322</v>
      </c>
      <c r="P658" s="133">
        <f>P657/29</f>
        <v>17.241379310344829</v>
      </c>
      <c r="Q658" s="10">
        <f>Q657/29</f>
        <v>17.249310344827585</v>
      </c>
      <c r="R658" s="144" t="s">
        <v>438</v>
      </c>
      <c r="S658" s="465">
        <v>-902.59999999999945</v>
      </c>
      <c r="T658" s="466"/>
      <c r="U658" s="472"/>
      <c r="V658" s="473"/>
      <c r="W658" s="289" t="s">
        <v>379</v>
      </c>
      <c r="X658" s="281">
        <v>0</v>
      </c>
      <c r="Y658" s="266"/>
      <c r="Z658" s="16"/>
    </row>
    <row r="659" spans="1:26" ht="15.75" thickBot="1">
      <c r="C659" s="15"/>
      <c r="D659" s="448"/>
      <c r="E659" s="469"/>
      <c r="F659" s="15"/>
      <c r="G659" s="462"/>
      <c r="H659" s="464"/>
      <c r="I659" s="20"/>
      <c r="J659" s="462"/>
      <c r="K659" s="464"/>
      <c r="L659" s="76"/>
      <c r="M659" s="25"/>
      <c r="N659" s="295"/>
      <c r="O659" s="136" t="s">
        <v>323</v>
      </c>
      <c r="P659" s="319">
        <f>P642+P660</f>
        <v>2433.4673044585293</v>
      </c>
      <c r="Q659" s="320">
        <f>S648+U648</f>
        <v>1912.6882649474242</v>
      </c>
      <c r="R659" s="144" t="s">
        <v>380</v>
      </c>
      <c r="S659" s="291">
        <v>237.43000000000029</v>
      </c>
      <c r="T659" s="327">
        <v>0.11223404506757315</v>
      </c>
      <c r="U659" s="291">
        <v>-18.770827165766605</v>
      </c>
      <c r="V659" s="329">
        <v>-1.7128842185475092E-2</v>
      </c>
      <c r="W659" s="146" t="s">
        <v>375</v>
      </c>
      <c r="X659" s="326">
        <v>0.96</v>
      </c>
      <c r="Y659" s="266"/>
      <c r="Z659" s="16"/>
    </row>
    <row r="660" spans="1:26">
      <c r="C660" s="15"/>
      <c r="D660" s="462"/>
      <c r="E660" s="463"/>
      <c r="F660" s="15"/>
      <c r="G660" s="503"/>
      <c r="H660" s="504"/>
      <c r="I660" s="20"/>
      <c r="J660" s="462"/>
      <c r="K660" s="464"/>
      <c r="L660" s="76"/>
      <c r="M660" s="25"/>
      <c r="N660" s="293"/>
      <c r="O660" s="140" t="s">
        <v>321</v>
      </c>
      <c r="P660" s="132">
        <f>SUM(N648:N661)</f>
        <v>190</v>
      </c>
      <c r="Q660" s="72">
        <f>Q659-Q642</f>
        <v>21.296825223148744</v>
      </c>
      <c r="R660" s="144" t="s">
        <v>381</v>
      </c>
      <c r="S660" s="291">
        <v>-236.6099999999999</v>
      </c>
      <c r="T660" s="327">
        <v>-0.12293472161606081</v>
      </c>
      <c r="U660" s="291">
        <v>224.92909211319045</v>
      </c>
      <c r="V660" s="366">
        <v>-723.64682655325464</v>
      </c>
      <c r="W660" s="337" t="s">
        <v>410</v>
      </c>
      <c r="X660" s="1" t="s">
        <v>558</v>
      </c>
      <c r="Y660" s="266"/>
      <c r="Z660" s="16"/>
    </row>
    <row r="661" spans="1:26" ht="15.75" thickBot="1">
      <c r="C661" s="17"/>
      <c r="D661" s="459"/>
      <c r="E661" s="460"/>
      <c r="F661" s="17"/>
      <c r="G661" s="459"/>
      <c r="H661" s="461"/>
      <c r="I661" s="21"/>
      <c r="J661" s="459"/>
      <c r="K661" s="461"/>
      <c r="L661" s="42"/>
      <c r="M661" s="5"/>
      <c r="N661" s="21"/>
      <c r="O661" s="137" t="s">
        <v>322</v>
      </c>
      <c r="P661" s="138">
        <f>P660/29</f>
        <v>6.5517241379310347</v>
      </c>
      <c r="Q661" s="24">
        <f>Q660/29</f>
        <v>0.73437328355685327</v>
      </c>
      <c r="R661" s="153" t="s">
        <v>410</v>
      </c>
      <c r="S661" s="296">
        <v>0.82000000000039108</v>
      </c>
      <c r="T661" s="328">
        <v>2.0296175655984554E-4</v>
      </c>
      <c r="U661" s="296">
        <v>206.15826494742385</v>
      </c>
      <c r="V661" s="330">
        <v>0.1881778695152424</v>
      </c>
      <c r="W661" s="296">
        <v>206.97826494742424</v>
      </c>
      <c r="X661" s="330">
        <v>4.0301703548367929E-2</v>
      </c>
      <c r="Y661" s="290"/>
      <c r="Z661" s="18"/>
    </row>
    <row r="662" spans="1:26" ht="17.25" thickTop="1" thickBot="1">
      <c r="A662" s="14"/>
      <c r="B662" s="14" t="s">
        <v>31</v>
      </c>
      <c r="C662" s="264">
        <v>45748</v>
      </c>
      <c r="D662" s="3"/>
      <c r="E662" s="3"/>
      <c r="F662" s="3"/>
      <c r="G662" s="3"/>
      <c r="H662" s="3"/>
      <c r="I662" s="3"/>
      <c r="J662" s="3"/>
      <c r="K662" s="3"/>
      <c r="L662" s="3"/>
      <c r="M662" s="3"/>
      <c r="N662" s="3"/>
      <c r="O662" s="3"/>
      <c r="P662" s="3"/>
      <c r="Q662" s="3"/>
      <c r="R662" s="3"/>
      <c r="S662" s="3"/>
      <c r="T662" s="3"/>
      <c r="U662" s="3"/>
      <c r="V662" s="3"/>
      <c r="W662" s="3"/>
      <c r="X662" s="3"/>
      <c r="Y662" s="3"/>
      <c r="Z662" s="3"/>
    </row>
    <row r="663" spans="1:26" ht="17.25" thickTop="1" thickBot="1">
      <c r="C663" s="480" t="s">
        <v>386</v>
      </c>
      <c r="D663" s="481"/>
      <c r="E663" s="482"/>
      <c r="F663" s="483" t="s">
        <v>387</v>
      </c>
      <c r="G663" s="484"/>
      <c r="H663" s="484"/>
      <c r="I663" s="484"/>
      <c r="J663" s="484"/>
      <c r="K663" s="484"/>
      <c r="L663" s="484"/>
      <c r="M663" s="484"/>
      <c r="N663" s="485"/>
      <c r="O663" s="261" t="s">
        <v>320</v>
      </c>
      <c r="P663" s="262" t="s">
        <v>257</v>
      </c>
      <c r="Q663" s="263" t="s">
        <v>319</v>
      </c>
      <c r="R663" s="486" t="s">
        <v>144</v>
      </c>
      <c r="S663" s="487"/>
      <c r="T663" s="487"/>
      <c r="U663" s="487"/>
      <c r="V663" s="487"/>
      <c r="W663" s="487"/>
      <c r="X663" s="487"/>
      <c r="Y663" s="487"/>
      <c r="Z663" s="488"/>
    </row>
    <row r="664" spans="1:26" ht="15.75" thickBot="1">
      <c r="C664" s="265"/>
      <c r="D664" s="489"/>
      <c r="E664" s="490"/>
      <c r="F664" s="470" t="s">
        <v>3</v>
      </c>
      <c r="G664" s="491"/>
      <c r="H664" s="492"/>
      <c r="I664" s="493" t="s">
        <v>4</v>
      </c>
      <c r="J664" s="491"/>
      <c r="K664" s="492"/>
      <c r="L664" s="267" t="s">
        <v>324</v>
      </c>
      <c r="M664" s="267" t="s">
        <v>325</v>
      </c>
      <c r="N664" s="267" t="s">
        <v>323</v>
      </c>
      <c r="O664" s="316" t="s">
        <v>5</v>
      </c>
      <c r="P664" s="317">
        <f>P667+P670+P673+P676</f>
        <v>4987.7873044585267</v>
      </c>
      <c r="Q664" s="318">
        <f>Q673+Q670+Q667+Q676</f>
        <v>4984.6457351281224</v>
      </c>
      <c r="R664" s="268" t="s">
        <v>323</v>
      </c>
      <c r="S664" s="493" t="s">
        <v>317</v>
      </c>
      <c r="T664" s="492"/>
      <c r="U664" s="493" t="s">
        <v>369</v>
      </c>
      <c r="V664" s="471"/>
      <c r="W664" s="491" t="s">
        <v>310</v>
      </c>
      <c r="X664" s="471"/>
      <c r="Y664" s="470" t="s">
        <v>13</v>
      </c>
      <c r="Z664" s="471"/>
    </row>
    <row r="665" spans="1:26" ht="16.5" thickTop="1" thickBot="1">
      <c r="C665" s="15"/>
      <c r="D665" s="494"/>
      <c r="E665" s="495"/>
      <c r="G665" s="496"/>
      <c r="H665" s="497"/>
      <c r="J665" s="496"/>
      <c r="K665" s="497"/>
      <c r="L665" s="76"/>
      <c r="M665" s="25"/>
      <c r="N665" s="292"/>
      <c r="O665" s="258" t="s">
        <v>321</v>
      </c>
      <c r="P665" s="315">
        <f>SUM(C665:C678)-SUM(F665:F678)-SUM(I665:I678)</f>
        <v>428.54999999999995</v>
      </c>
      <c r="Q665" s="12">
        <f>Q664-Q647</f>
        <v>397.38747018069807</v>
      </c>
      <c r="R665" s="307" t="s">
        <v>343</v>
      </c>
      <c r="S665" s="498">
        <v>1892.38</v>
      </c>
      <c r="T665" s="499"/>
      <c r="U665" s="498">
        <v>313.32573512812166</v>
      </c>
      <c r="V665" s="500"/>
      <c r="W665" s="501" t="s">
        <v>326</v>
      </c>
      <c r="X665" s="502"/>
      <c r="Y665" s="143" t="s">
        <v>17</v>
      </c>
      <c r="Z665" s="12">
        <v>100</v>
      </c>
    </row>
    <row r="666" spans="1:26" ht="16.5" thickTop="1" thickBot="1">
      <c r="C666" s="15">
        <v>2526.4899999999998</v>
      </c>
      <c r="D666" s="462" t="s">
        <v>11</v>
      </c>
      <c r="E666" s="463"/>
      <c r="F666" s="6">
        <f>4+5.21+18+12.27+5.84+6.27+5.21</f>
        <v>56.800000000000004</v>
      </c>
      <c r="G666" s="462" t="s">
        <v>223</v>
      </c>
      <c r="H666" s="464"/>
      <c r="I666" s="20">
        <v>11.99</v>
      </c>
      <c r="J666" s="462" t="s">
        <v>385</v>
      </c>
      <c r="K666" s="464"/>
      <c r="L666" s="76">
        <v>100</v>
      </c>
      <c r="M666" s="25">
        <v>-400</v>
      </c>
      <c r="N666" s="362">
        <v>50</v>
      </c>
      <c r="O666" s="141" t="s">
        <v>322</v>
      </c>
      <c r="P666" s="133">
        <f>P665/29</f>
        <v>14.777586206896551</v>
      </c>
      <c r="Q666" s="10">
        <f>Q665/29</f>
        <v>13.703016213127519</v>
      </c>
      <c r="R666" s="308" t="s">
        <v>382</v>
      </c>
      <c r="S666" s="474">
        <v>4190.17</v>
      </c>
      <c r="T666" s="475"/>
      <c r="U666" s="467">
        <v>1145.5500000000002</v>
      </c>
      <c r="V666" s="468"/>
      <c r="W666" s="289" t="s">
        <v>12</v>
      </c>
      <c r="X666" s="315">
        <v>572.19000000000005</v>
      </c>
      <c r="Y666" s="144" t="s">
        <v>18</v>
      </c>
      <c r="Z666" s="72">
        <v>44</v>
      </c>
    </row>
    <row r="667" spans="1:26">
      <c r="C667" s="15">
        <f>3237.75-C666</f>
        <v>711.26000000000022</v>
      </c>
      <c r="D667" s="462" t="s">
        <v>11</v>
      </c>
      <c r="E667" s="463"/>
      <c r="F667" s="15">
        <f>40.21+41.69+31.84</f>
        <v>113.74000000000001</v>
      </c>
      <c r="G667" s="462" t="s">
        <v>9</v>
      </c>
      <c r="H667" s="464"/>
      <c r="I667" s="63">
        <v>117.6</v>
      </c>
      <c r="J667" s="462" t="s">
        <v>105</v>
      </c>
      <c r="K667" s="464"/>
      <c r="L667" s="76"/>
      <c r="M667" s="25">
        <v>400</v>
      </c>
      <c r="N667" s="294">
        <v>48.78</v>
      </c>
      <c r="O667" s="136" t="s">
        <v>12</v>
      </c>
      <c r="P667" s="319">
        <f>P650+P665-SUM(L665:L678)-SUM(M665:M678)-SUM(N665:N678)</f>
        <v>656.65999999999713</v>
      </c>
      <c r="Q667" s="320">
        <f>Z665+Z670+Z673</f>
        <v>1083.46</v>
      </c>
      <c r="R667" s="308" t="s">
        <v>383</v>
      </c>
      <c r="S667" s="474">
        <v>2352.92</v>
      </c>
      <c r="T667" s="475"/>
      <c r="U667" s="467">
        <v>1077.0899999999997</v>
      </c>
      <c r="V667" s="468"/>
      <c r="W667" s="282" t="s">
        <v>373</v>
      </c>
      <c r="X667" s="132">
        <v>5000</v>
      </c>
      <c r="Y667" s="144" t="s">
        <v>19</v>
      </c>
      <c r="Z667" s="72">
        <v>36</v>
      </c>
    </row>
    <row r="668" spans="1:26" ht="15.75" thickBot="1">
      <c r="C668" s="15">
        <v>20</v>
      </c>
      <c r="D668" s="462" t="s">
        <v>956</v>
      </c>
      <c r="E668" s="463"/>
      <c r="F668" s="15">
        <v>115</v>
      </c>
      <c r="G668" s="462" t="s">
        <v>6</v>
      </c>
      <c r="H668" s="464"/>
      <c r="I668" s="20">
        <v>11.99</v>
      </c>
      <c r="J668" s="462" t="s">
        <v>22</v>
      </c>
      <c r="K668" s="464"/>
      <c r="L668" s="76"/>
      <c r="M668" s="25"/>
      <c r="N668" s="362">
        <v>50</v>
      </c>
      <c r="O668" s="140" t="s">
        <v>321</v>
      </c>
      <c r="P668" s="132">
        <f>SUM(C665:C678)-SUM(F665:F678)-SUM(I665:I678)-P671-P674-P677</f>
        <v>129.76999999999995</v>
      </c>
      <c r="Q668" s="72">
        <f>Q667-Q650</f>
        <v>4.0099999999999909</v>
      </c>
      <c r="R668" s="308" t="s">
        <v>424</v>
      </c>
      <c r="S668" s="474">
        <v>2115.4899999999998</v>
      </c>
      <c r="T668" s="475"/>
      <c r="U668" s="467">
        <v>1111.1601079248164</v>
      </c>
      <c r="V668" s="468"/>
      <c r="W668" s="282" t="s">
        <v>378</v>
      </c>
      <c r="X668" s="132">
        <v>4427.8099999999995</v>
      </c>
      <c r="Y668" s="145" t="s">
        <v>324</v>
      </c>
      <c r="Z668" s="135">
        <f>550</f>
        <v>550</v>
      </c>
    </row>
    <row r="669" spans="1:26" ht="15.75" thickBot="1">
      <c r="C669" s="15">
        <v>13.2</v>
      </c>
      <c r="D669" s="462" t="s">
        <v>390</v>
      </c>
      <c r="E669" s="463"/>
      <c r="F669" s="15">
        <f>F652</f>
        <v>300</v>
      </c>
      <c r="G669" s="462" t="s">
        <v>97</v>
      </c>
      <c r="H669" s="464"/>
      <c r="I669" s="20">
        <v>19.989999999999998</v>
      </c>
      <c r="J669" s="462" t="s">
        <v>952</v>
      </c>
      <c r="K669" s="464"/>
      <c r="L669" s="76"/>
      <c r="M669" s="25"/>
      <c r="N669" s="294">
        <v>50</v>
      </c>
      <c r="O669" s="141" t="s">
        <v>322</v>
      </c>
      <c r="P669" s="133">
        <f>P668/29</f>
        <v>4.4748275862068949</v>
      </c>
      <c r="Q669" s="10">
        <f>Q668/29</f>
        <v>0.13827586206896519</v>
      </c>
      <c r="R669" s="143" t="s">
        <v>12</v>
      </c>
      <c r="S669" s="476">
        <v>1837.25</v>
      </c>
      <c r="T669" s="477"/>
      <c r="U669" s="478">
        <v>68.460000000000491</v>
      </c>
      <c r="V669" s="479"/>
      <c r="W669" s="289" t="s">
        <v>379</v>
      </c>
      <c r="X669" s="132">
        <v>617.91999999999996</v>
      </c>
      <c r="Y669" s="470" t="s">
        <v>14</v>
      </c>
      <c r="Z669" s="471"/>
    </row>
    <row r="670" spans="1:26" ht="15.75" thickBot="1">
      <c r="C670" s="15"/>
      <c r="D670" s="455"/>
      <c r="E670" s="456"/>
      <c r="F670" s="15">
        <v>901.68</v>
      </c>
      <c r="G670" s="462" t="s">
        <v>567</v>
      </c>
      <c r="H670" s="464"/>
      <c r="I670" s="20">
        <v>11.9</v>
      </c>
      <c r="J670" s="462" t="s">
        <v>249</v>
      </c>
      <c r="K670" s="464"/>
      <c r="L670" s="76"/>
      <c r="M670" s="25"/>
      <c r="N670" s="293"/>
      <c r="O670" s="136" t="s">
        <v>324</v>
      </c>
      <c r="P670" s="319">
        <f>P653+P671</f>
        <v>635</v>
      </c>
      <c r="Q670" s="320">
        <f>Z666+Z667+Z668</f>
        <v>630</v>
      </c>
      <c r="R670" s="144" t="s">
        <v>425</v>
      </c>
      <c r="S670" s="465">
        <v>2074.6800000000003</v>
      </c>
      <c r="T670" s="466"/>
      <c r="U670" s="467">
        <v>34.389892075183752</v>
      </c>
      <c r="V670" s="468"/>
      <c r="W670" s="146" t="s">
        <v>375</v>
      </c>
      <c r="X670" s="325">
        <v>0.28000000000000003</v>
      </c>
      <c r="Y670" s="143" t="s">
        <v>15</v>
      </c>
      <c r="Z670" s="12">
        <f>1370.81+11.99-400</f>
        <v>982.8</v>
      </c>
    </row>
    <row r="671" spans="1:26" ht="15.75" thickBot="1">
      <c r="C671" s="15"/>
      <c r="D671" s="462"/>
      <c r="E671" s="463"/>
      <c r="F671" s="15">
        <v>120</v>
      </c>
      <c r="G671" s="457" t="s">
        <v>566</v>
      </c>
      <c r="H671" s="458"/>
      <c r="I671" s="20">
        <v>180</v>
      </c>
      <c r="J671" s="462" t="s">
        <v>98</v>
      </c>
      <c r="K671" s="464"/>
      <c r="L671" s="76"/>
      <c r="M671" s="25"/>
      <c r="N671" s="294"/>
      <c r="O671" s="140" t="s">
        <v>321</v>
      </c>
      <c r="P671" s="132">
        <f>SUM(L665:L678)</f>
        <v>100</v>
      </c>
      <c r="Q671" s="72">
        <f>Q670-Q653</f>
        <v>100</v>
      </c>
      <c r="R671" s="144" t="s">
        <v>426</v>
      </c>
      <c r="S671" s="465">
        <v>784.65000000000009</v>
      </c>
      <c r="T671" s="466"/>
      <c r="U671" s="467">
        <v>-984.13999999999942</v>
      </c>
      <c r="V671" s="468"/>
      <c r="W671" s="470" t="s">
        <v>376</v>
      </c>
      <c r="X671" s="471"/>
      <c r="Y671" s="146" t="s">
        <v>325</v>
      </c>
      <c r="Z671" s="10">
        <v>1065.48</v>
      </c>
    </row>
    <row r="672" spans="1:26" ht="16.5" thickTop="1" thickBot="1">
      <c r="C672" s="15"/>
      <c r="D672" s="462"/>
      <c r="E672" s="463"/>
      <c r="F672" s="15"/>
      <c r="G672" s="462" t="s">
        <v>33</v>
      </c>
      <c r="H672" s="464"/>
      <c r="I672" s="63">
        <f>12.25+16.63+13.22</f>
        <v>42.1</v>
      </c>
      <c r="J672" s="462" t="s">
        <v>377</v>
      </c>
      <c r="K672" s="464"/>
      <c r="L672" s="76"/>
      <c r="M672" s="25"/>
      <c r="N672" s="292"/>
      <c r="O672" s="141" t="s">
        <v>322</v>
      </c>
      <c r="P672" s="133">
        <f>P671/29</f>
        <v>3.4482758620689653</v>
      </c>
      <c r="Q672" s="10">
        <f>Q671/29</f>
        <v>3.4482758620689653</v>
      </c>
      <c r="R672" s="144" t="s">
        <v>422</v>
      </c>
      <c r="S672" s="465">
        <v>-1290.0300000000002</v>
      </c>
      <c r="T672" s="466"/>
      <c r="U672" s="467">
        <v>-1018.5298920751832</v>
      </c>
      <c r="V672" s="468"/>
      <c r="W672" s="289" t="s">
        <v>12</v>
      </c>
      <c r="X672" s="38">
        <v>164.25</v>
      </c>
      <c r="Y672" s="470" t="s">
        <v>374</v>
      </c>
      <c r="Z672" s="471"/>
    </row>
    <row r="673" spans="1:26" ht="15.75" thickTop="1">
      <c r="C673" s="15"/>
      <c r="D673" s="462"/>
      <c r="E673" s="463"/>
      <c r="F673" s="15">
        <f>278-232</f>
        <v>46</v>
      </c>
      <c r="G673" s="462" t="s">
        <v>953</v>
      </c>
      <c r="H673" s="464"/>
      <c r="I673" s="20">
        <v>4</v>
      </c>
      <c r="J673" s="462" t="s">
        <v>950</v>
      </c>
      <c r="K673" s="464"/>
      <c r="L673" s="76"/>
      <c r="M673" s="25"/>
      <c r="N673" s="293"/>
      <c r="O673" s="136" t="s">
        <v>325</v>
      </c>
      <c r="P673" s="319">
        <f>P656+P674</f>
        <v>1063.8800000000001</v>
      </c>
      <c r="Q673" s="320">
        <f>Z671</f>
        <v>1065.48</v>
      </c>
      <c r="R673" s="143" t="s">
        <v>421</v>
      </c>
      <c r="S673" s="465">
        <v>-1234.9000000000001</v>
      </c>
      <c r="T673" s="466"/>
      <c r="U673" s="467">
        <v>-773.664156947062</v>
      </c>
      <c r="V673" s="468"/>
      <c r="W673" s="282" t="s">
        <v>373</v>
      </c>
      <c r="X673" s="281">
        <v>2000</v>
      </c>
      <c r="Y673" s="321" t="s">
        <v>181</v>
      </c>
      <c r="Z673" s="322">
        <v>0.66</v>
      </c>
    </row>
    <row r="674" spans="1:26" ht="15.75" thickBot="1">
      <c r="C674" s="266"/>
      <c r="D674" s="448"/>
      <c r="E674" s="469"/>
      <c r="F674" s="15"/>
      <c r="G674" s="462"/>
      <c r="H674" s="464"/>
      <c r="I674" s="20">
        <v>10</v>
      </c>
      <c r="J674" s="462" t="s">
        <v>954</v>
      </c>
      <c r="K674" s="464"/>
      <c r="L674" s="76"/>
      <c r="M674" s="25"/>
      <c r="N674" s="295"/>
      <c r="O674" s="140" t="s">
        <v>321</v>
      </c>
      <c r="P674" s="132">
        <f>SUM(M665:M678)</f>
        <v>0</v>
      </c>
      <c r="Q674" s="72">
        <f>Q673-Q656</f>
        <v>0.36000000000012733</v>
      </c>
      <c r="R674" s="144" t="s">
        <v>418</v>
      </c>
      <c r="S674" s="465">
        <v>-1052.5999999999999</v>
      </c>
      <c r="T674" s="466"/>
      <c r="U674" s="467">
        <v>-1052.5999999999999</v>
      </c>
      <c r="V674" s="468"/>
      <c r="W674" s="282" t="s">
        <v>378</v>
      </c>
      <c r="X674" s="281">
        <v>1835.75</v>
      </c>
      <c r="Y674" s="146" t="s">
        <v>553</v>
      </c>
      <c r="Z674" s="10">
        <v>0.65999999999986514</v>
      </c>
    </row>
    <row r="675" spans="1:26" ht="15.75" thickBot="1">
      <c r="C675" s="266"/>
      <c r="D675" s="448"/>
      <c r="E675" s="469"/>
      <c r="F675" s="15"/>
      <c r="G675" s="462"/>
      <c r="H675" s="464"/>
      <c r="I675" s="20">
        <v>22.99</v>
      </c>
      <c r="J675" s="462" t="s">
        <v>61</v>
      </c>
      <c r="K675" s="464"/>
      <c r="L675" s="76"/>
      <c r="M675" s="25"/>
      <c r="N675" s="293"/>
      <c r="O675" s="141" t="s">
        <v>322</v>
      </c>
      <c r="P675" s="133">
        <f>P674/29</f>
        <v>0</v>
      </c>
      <c r="Q675" s="10">
        <f>Q674/29</f>
        <v>1.2413793103452666E-2</v>
      </c>
      <c r="R675" s="144" t="s">
        <v>438</v>
      </c>
      <c r="S675" s="465">
        <v>-1052.5999999999999</v>
      </c>
      <c r="T675" s="466"/>
      <c r="U675" s="472"/>
      <c r="V675" s="473"/>
      <c r="W675" s="289" t="s">
        <v>379</v>
      </c>
      <c r="X675" s="281">
        <v>0</v>
      </c>
      <c r="Y675" s="266"/>
      <c r="Z675" s="16"/>
    </row>
    <row r="676" spans="1:26" ht="15.75" thickBot="1">
      <c r="C676" s="15"/>
      <c r="D676" s="448"/>
      <c r="E676" s="469"/>
      <c r="F676" s="15"/>
      <c r="G676" s="462"/>
      <c r="H676" s="464"/>
      <c r="I676" s="20">
        <v>756.62</v>
      </c>
      <c r="J676" s="462" t="s">
        <v>206</v>
      </c>
      <c r="K676" s="464"/>
      <c r="L676" s="76"/>
      <c r="M676" s="25"/>
      <c r="N676" s="295"/>
      <c r="O676" s="136" t="s">
        <v>323</v>
      </c>
      <c r="P676" s="319">
        <f>P659+P677</f>
        <v>2632.2473044585295</v>
      </c>
      <c r="Q676" s="320">
        <f>S665+U665</f>
        <v>2205.7057351281219</v>
      </c>
      <c r="R676" s="144" t="s">
        <v>380</v>
      </c>
      <c r="S676" s="291">
        <v>237.43000000000029</v>
      </c>
      <c r="T676" s="327">
        <v>0.11223404506757315</v>
      </c>
      <c r="U676" s="291">
        <v>-34.070107924816739</v>
      </c>
      <c r="V676" s="329">
        <v>-3.066174503730654E-2</v>
      </c>
      <c r="W676" s="146" t="s">
        <v>375</v>
      </c>
      <c r="X676" s="326">
        <v>0.74</v>
      </c>
      <c r="Y676" s="266"/>
      <c r="Z676" s="16"/>
    </row>
    <row r="677" spans="1:26">
      <c r="C677" s="15"/>
      <c r="D677" s="462"/>
      <c r="E677" s="463"/>
      <c r="F677" s="15"/>
      <c r="G677" s="503"/>
      <c r="H677" s="504"/>
      <c r="I677" s="20"/>
      <c r="J677" s="503"/>
      <c r="K677" s="504"/>
      <c r="L677" s="76"/>
      <c r="M677" s="25"/>
      <c r="N677" s="293"/>
      <c r="O677" s="140" t="s">
        <v>321</v>
      </c>
      <c r="P677" s="132">
        <f>SUM(N665:N678)</f>
        <v>198.78</v>
      </c>
      <c r="Q677" s="72">
        <f>Q676-Q659</f>
        <v>293.01747018069773</v>
      </c>
      <c r="R677" s="144" t="s">
        <v>381</v>
      </c>
      <c r="S677" s="291">
        <v>-182.30000000000018</v>
      </c>
      <c r="T677" s="327">
        <v>-8.7868972564443745E-2</v>
      </c>
      <c r="U677" s="291">
        <v>278.93584305293791</v>
      </c>
      <c r="V677" s="366">
        <v>8.1109833797420396</v>
      </c>
      <c r="W677" s="337" t="s">
        <v>410</v>
      </c>
      <c r="X677" s="1" t="s">
        <v>558</v>
      </c>
      <c r="Y677" s="266"/>
      <c r="Z677" s="16"/>
    </row>
    <row r="678" spans="1:26" ht="15.75" thickBot="1">
      <c r="C678" s="17"/>
      <c r="D678" s="459"/>
      <c r="E678" s="460"/>
      <c r="F678" s="17"/>
      <c r="G678" s="459"/>
      <c r="H678" s="461"/>
      <c r="I678" s="21"/>
      <c r="J678" s="459"/>
      <c r="K678" s="461"/>
      <c r="L678" s="42"/>
      <c r="M678" s="5"/>
      <c r="N678" s="21"/>
      <c r="O678" s="137" t="s">
        <v>322</v>
      </c>
      <c r="P678" s="138">
        <f>P677/29</f>
        <v>6.8544827586206898</v>
      </c>
      <c r="Q678" s="24">
        <f>Q677/29</f>
        <v>10.104050695886128</v>
      </c>
      <c r="R678" s="153" t="s">
        <v>410</v>
      </c>
      <c r="S678" s="296">
        <v>55.130000000000109</v>
      </c>
      <c r="T678" s="328">
        <v>1.3156984084177994E-2</v>
      </c>
      <c r="U678" s="296">
        <v>244.86573512812117</v>
      </c>
      <c r="V678" s="330">
        <v>0.21375386070282495</v>
      </c>
      <c r="W678" s="296">
        <v>299.99573512812128</v>
      </c>
      <c r="X678" s="330">
        <v>5.6224040078587612E-2</v>
      </c>
      <c r="Y678" s="290"/>
      <c r="Z678" s="18"/>
    </row>
    <row r="679" spans="1:26" ht="17.25" thickTop="1" thickBot="1">
      <c r="A679" s="14"/>
      <c r="B679" s="14" t="s">
        <v>31</v>
      </c>
      <c r="C679" s="264">
        <v>45778</v>
      </c>
      <c r="D679" s="3"/>
      <c r="E679" s="3"/>
      <c r="F679" s="3"/>
      <c r="G679" s="3"/>
      <c r="H679" s="3"/>
      <c r="I679" s="3"/>
      <c r="J679" s="3"/>
      <c r="K679" s="3"/>
      <c r="L679" s="3"/>
      <c r="M679" s="3"/>
      <c r="N679" s="3"/>
      <c r="O679" s="3"/>
      <c r="P679" s="3"/>
      <c r="Q679" s="3"/>
      <c r="R679" s="3"/>
      <c r="S679" s="3"/>
      <c r="T679" s="3"/>
      <c r="U679" s="3"/>
      <c r="V679" s="3"/>
      <c r="W679" s="3"/>
      <c r="X679" s="3"/>
      <c r="Y679" s="3"/>
      <c r="Z679" s="3"/>
    </row>
    <row r="680" spans="1:26" ht="17.25" thickTop="1" thickBot="1">
      <c r="C680" s="480" t="s">
        <v>386</v>
      </c>
      <c r="D680" s="481"/>
      <c r="E680" s="482"/>
      <c r="F680" s="483" t="s">
        <v>387</v>
      </c>
      <c r="G680" s="484"/>
      <c r="H680" s="484"/>
      <c r="I680" s="484"/>
      <c r="J680" s="484"/>
      <c r="K680" s="484"/>
      <c r="L680" s="484"/>
      <c r="M680" s="484"/>
      <c r="N680" s="485"/>
      <c r="O680" s="261" t="s">
        <v>320</v>
      </c>
      <c r="P680" s="262" t="s">
        <v>257</v>
      </c>
      <c r="Q680" s="263" t="s">
        <v>319</v>
      </c>
      <c r="R680" s="486" t="s">
        <v>144</v>
      </c>
      <c r="S680" s="487"/>
      <c r="T680" s="487"/>
      <c r="U680" s="487"/>
      <c r="V680" s="487"/>
      <c r="W680" s="487"/>
      <c r="X680" s="487"/>
      <c r="Y680" s="487"/>
      <c r="Z680" s="488"/>
    </row>
    <row r="681" spans="1:26" ht="15.75" thickBot="1">
      <c r="C681" s="265"/>
      <c r="D681" s="489"/>
      <c r="E681" s="490"/>
      <c r="F681" s="470" t="s">
        <v>3</v>
      </c>
      <c r="G681" s="491"/>
      <c r="H681" s="492"/>
      <c r="I681" s="493" t="s">
        <v>4</v>
      </c>
      <c r="J681" s="491"/>
      <c r="K681" s="492"/>
      <c r="L681" s="267" t="s">
        <v>324</v>
      </c>
      <c r="M681" s="267" t="s">
        <v>325</v>
      </c>
      <c r="N681" s="267" t="s">
        <v>323</v>
      </c>
      <c r="O681" s="316" t="s">
        <v>5</v>
      </c>
      <c r="P681" s="317">
        <f>P684+P687+P690+P693</f>
        <v>4924.6573044585266</v>
      </c>
      <c r="Q681" s="318">
        <f>Q690+Q687+Q684+Q693</f>
        <v>5380.5015937695453</v>
      </c>
      <c r="R681" s="268" t="s">
        <v>323</v>
      </c>
      <c r="S681" s="493" t="s">
        <v>317</v>
      </c>
      <c r="T681" s="492"/>
      <c r="U681" s="493" t="s">
        <v>369</v>
      </c>
      <c r="V681" s="471"/>
      <c r="W681" s="491" t="s">
        <v>310</v>
      </c>
      <c r="X681" s="471"/>
      <c r="Y681" s="470" t="s">
        <v>13</v>
      </c>
      <c r="Z681" s="471"/>
    </row>
    <row r="682" spans="1:26" ht="16.5" thickTop="1" thickBot="1">
      <c r="C682" s="15"/>
      <c r="D682" s="494"/>
      <c r="E682" s="495"/>
      <c r="G682" s="496"/>
      <c r="H682" s="497"/>
      <c r="J682" s="496"/>
      <c r="K682" s="497"/>
      <c r="L682" s="76"/>
      <c r="M682" s="25"/>
      <c r="N682" s="292"/>
      <c r="O682" s="258" t="s">
        <v>321</v>
      </c>
      <c r="P682" s="315">
        <f>SUM(C682:C695)-SUM(F682:F695)-SUM(I682:I695)</f>
        <v>-63.129999999999882</v>
      </c>
      <c r="Q682" s="12">
        <f>Q681-Q664</f>
        <v>395.85585864142286</v>
      </c>
      <c r="R682" s="307" t="s">
        <v>343</v>
      </c>
      <c r="S682" s="498">
        <v>2398.84</v>
      </c>
      <c r="T682" s="499"/>
      <c r="U682" s="498">
        <v>274.72159376954562</v>
      </c>
      <c r="V682" s="500"/>
      <c r="W682" s="501" t="s">
        <v>326</v>
      </c>
      <c r="X682" s="502"/>
      <c r="Y682" s="143" t="s">
        <v>17</v>
      </c>
      <c r="Z682" s="12">
        <v>29</v>
      </c>
    </row>
    <row r="683" spans="1:26" ht="16.5" thickTop="1" thickBot="1">
      <c r="C683" s="15">
        <v>2526.4899999999998</v>
      </c>
      <c r="D683" s="462" t="s">
        <v>11</v>
      </c>
      <c r="E683" s="463"/>
      <c r="F683" s="6">
        <f>20.6+10.41+18.55+18.55+10.41+16.82+8.32+16+11+8.32+15.84+10.41+10.41+10.41+15.84+10.41+16</f>
        <v>228.29999999999998</v>
      </c>
      <c r="G683" s="462" t="s">
        <v>223</v>
      </c>
      <c r="H683" s="464"/>
      <c r="I683" s="20">
        <v>11.99</v>
      </c>
      <c r="J683" s="462" t="s">
        <v>385</v>
      </c>
      <c r="K683" s="464"/>
      <c r="L683" s="76">
        <v>-100</v>
      </c>
      <c r="M683" s="25">
        <v>-500</v>
      </c>
      <c r="N683" s="362">
        <v>50</v>
      </c>
      <c r="O683" s="141" t="s">
        <v>322</v>
      </c>
      <c r="P683" s="133">
        <f>P682/29</f>
        <v>-2.1768965517241337</v>
      </c>
      <c r="Q683" s="10">
        <f>Q682/29</f>
        <v>13.65020202211803</v>
      </c>
      <c r="R683" s="308" t="s">
        <v>382</v>
      </c>
      <c r="S683" s="474">
        <v>4490.17</v>
      </c>
      <c r="T683" s="475"/>
      <c r="U683" s="467">
        <v>1145.5500000000002</v>
      </c>
      <c r="V683" s="468"/>
      <c r="W683" s="289" t="s">
        <v>12</v>
      </c>
      <c r="X683" s="315">
        <v>1462.9</v>
      </c>
      <c r="Y683" s="144" t="s">
        <v>18</v>
      </c>
      <c r="Z683" s="72">
        <v>44</v>
      </c>
    </row>
    <row r="684" spans="1:26">
      <c r="C684" s="15">
        <f>C667</f>
        <v>711.26000000000022</v>
      </c>
      <c r="D684" s="462" t="s">
        <v>11</v>
      </c>
      <c r="E684" s="463"/>
      <c r="F684" s="15">
        <f>37.9+35.89+38.01</f>
        <v>111.79999999999998</v>
      </c>
      <c r="G684" s="462" t="s">
        <v>9</v>
      </c>
      <c r="H684" s="464"/>
      <c r="I684" s="63">
        <v>11.99</v>
      </c>
      <c r="J684" s="462" t="s">
        <v>22</v>
      </c>
      <c r="K684" s="464"/>
      <c r="L684" s="76">
        <v>-300</v>
      </c>
      <c r="M684" s="25">
        <v>500</v>
      </c>
      <c r="N684" s="294">
        <v>50</v>
      </c>
      <c r="O684" s="136" t="s">
        <v>12</v>
      </c>
      <c r="P684" s="319">
        <f>P667+P682-SUM(L682:L695)-SUM(M682:M695)-SUM(N682:N695)</f>
        <v>293.52999999999724</v>
      </c>
      <c r="Q684" s="320">
        <f>Z682+Z687+Z690</f>
        <v>1011.1499999999999</v>
      </c>
      <c r="R684" s="308" t="s">
        <v>383</v>
      </c>
      <c r="S684" s="474">
        <v>2480.88</v>
      </c>
      <c r="T684" s="475"/>
      <c r="U684" s="467">
        <v>1148.0199999999998</v>
      </c>
      <c r="V684" s="468"/>
      <c r="W684" s="282" t="s">
        <v>373</v>
      </c>
      <c r="X684" s="132">
        <v>5000</v>
      </c>
      <c r="Y684" s="144" t="s">
        <v>19</v>
      </c>
      <c r="Z684" s="72">
        <v>36</v>
      </c>
    </row>
    <row r="685" spans="1:26" ht="15.75" thickBot="1">
      <c r="C685" s="15">
        <v>17.96</v>
      </c>
      <c r="D685" s="462" t="s">
        <v>390</v>
      </c>
      <c r="E685" s="463"/>
      <c r="F685" s="15">
        <v>115</v>
      </c>
      <c r="G685" s="462" t="s">
        <v>6</v>
      </c>
      <c r="H685" s="464"/>
      <c r="I685" s="20">
        <v>20</v>
      </c>
      <c r="J685" s="462" t="s">
        <v>920</v>
      </c>
      <c r="K685" s="464"/>
      <c r="L685" s="76">
        <v>400</v>
      </c>
      <c r="M685" s="25"/>
      <c r="N685" s="294">
        <f>200</f>
        <v>200</v>
      </c>
      <c r="O685" s="140" t="s">
        <v>321</v>
      </c>
      <c r="P685" s="132">
        <f>SUM(C682:C695)-SUM(F682:F695)-SUM(I682:I695)-P688-P691-P694</f>
        <v>-363.12999999999988</v>
      </c>
      <c r="Q685" s="72">
        <f>Q684-Q667</f>
        <v>-72.310000000000173</v>
      </c>
      <c r="R685" s="308" t="s">
        <v>424</v>
      </c>
      <c r="S685" s="474">
        <v>2213.39</v>
      </c>
      <c r="T685" s="475"/>
      <c r="U685" s="467">
        <v>1153.9391137246405</v>
      </c>
      <c r="V685" s="468"/>
      <c r="W685" s="282" t="s">
        <v>378</v>
      </c>
      <c r="X685" s="132">
        <v>4119.5</v>
      </c>
      <c r="Y685" s="145" t="s">
        <v>324</v>
      </c>
      <c r="Z685" s="135">
        <v>550</v>
      </c>
    </row>
    <row r="686" spans="1:26" ht="15.75" thickBot="1">
      <c r="C686" s="15"/>
      <c r="D686" s="455"/>
      <c r="E686" s="456"/>
      <c r="F686" s="15">
        <v>300</v>
      </c>
      <c r="G686" s="462" t="s">
        <v>97</v>
      </c>
      <c r="H686" s="464"/>
      <c r="I686" s="20">
        <v>11.9</v>
      </c>
      <c r="J686" s="462" t="s">
        <v>249</v>
      </c>
      <c r="K686" s="464"/>
      <c r="L686" s="76"/>
      <c r="M686" s="25"/>
      <c r="N686" s="294"/>
      <c r="O686" s="141" t="s">
        <v>322</v>
      </c>
      <c r="P686" s="133">
        <f>P685/29</f>
        <v>-12.521724137931031</v>
      </c>
      <c r="Q686" s="10">
        <f>Q685/29</f>
        <v>-2.4934482758620748</v>
      </c>
      <c r="R686" s="143" t="s">
        <v>12</v>
      </c>
      <c r="S686" s="476">
        <v>2009.29</v>
      </c>
      <c r="T686" s="477"/>
      <c r="U686" s="478">
        <v>-2.4699999999995725</v>
      </c>
      <c r="V686" s="479"/>
      <c r="W686" s="289" t="s">
        <v>379</v>
      </c>
      <c r="X686" s="132">
        <v>1462.9</v>
      </c>
      <c r="Y686" s="470" t="s">
        <v>14</v>
      </c>
      <c r="Z686" s="471"/>
    </row>
    <row r="687" spans="1:26" ht="15.75" thickBot="1">
      <c r="C687" s="15"/>
      <c r="D687" s="455"/>
      <c r="E687" s="456"/>
      <c r="F687" s="15">
        <v>906.67</v>
      </c>
      <c r="G687" s="462" t="s">
        <v>658</v>
      </c>
      <c r="H687" s="464"/>
      <c r="I687" s="20">
        <v>164.25</v>
      </c>
      <c r="J687" s="462" t="s">
        <v>105</v>
      </c>
      <c r="K687" s="464"/>
      <c r="L687" s="76"/>
      <c r="M687" s="25"/>
      <c r="N687" s="293"/>
      <c r="O687" s="136" t="s">
        <v>324</v>
      </c>
      <c r="P687" s="319">
        <f>P670+P688</f>
        <v>635</v>
      </c>
      <c r="Q687" s="320">
        <f>Z683+Z684+Z685</f>
        <v>630</v>
      </c>
      <c r="R687" s="144" t="s">
        <v>425</v>
      </c>
      <c r="S687" s="465">
        <v>2276.7800000000002</v>
      </c>
      <c r="T687" s="466"/>
      <c r="U687" s="467">
        <v>-8.3891137246403105</v>
      </c>
      <c r="V687" s="468"/>
      <c r="W687" s="146" t="s">
        <v>375</v>
      </c>
      <c r="X687" s="325">
        <v>0</v>
      </c>
      <c r="Y687" s="143" t="s">
        <v>15</v>
      </c>
      <c r="Z687" s="12">
        <f>1902.78-572.19-400-160+11.99</f>
        <v>782.57999999999993</v>
      </c>
    </row>
    <row r="688" spans="1:26" ht="15.75" thickBot="1">
      <c r="C688" s="15"/>
      <c r="D688" s="462"/>
      <c r="E688" s="463"/>
      <c r="F688" s="15">
        <v>160</v>
      </c>
      <c r="G688" s="457" t="s">
        <v>659</v>
      </c>
      <c r="H688" s="458"/>
      <c r="I688" s="20">
        <f>200-36+120+300-42</f>
        <v>542</v>
      </c>
      <c r="J688" s="462" t="s">
        <v>98</v>
      </c>
      <c r="K688" s="464"/>
      <c r="L688" s="76"/>
      <c r="M688" s="25"/>
      <c r="N688" s="294"/>
      <c r="O688" s="140" t="s">
        <v>321</v>
      </c>
      <c r="P688" s="132">
        <f>SUM(L682:L695)</f>
        <v>0</v>
      </c>
      <c r="Q688" s="72">
        <f>Q687-Q670</f>
        <v>0</v>
      </c>
      <c r="R688" s="144" t="s">
        <v>426</v>
      </c>
      <c r="S688" s="465">
        <v>784.69</v>
      </c>
      <c r="T688" s="466"/>
      <c r="U688" s="467">
        <v>-1227.0699999999995</v>
      </c>
      <c r="V688" s="468"/>
      <c r="W688" s="470" t="s">
        <v>376</v>
      </c>
      <c r="X688" s="471"/>
      <c r="Y688" s="146" t="s">
        <v>325</v>
      </c>
      <c r="Z688" s="10">
        <v>1065.79</v>
      </c>
    </row>
    <row r="689" spans="1:29" ht="16.5" thickTop="1" thickBot="1">
      <c r="C689" s="15"/>
      <c r="D689" s="462"/>
      <c r="E689" s="463"/>
      <c r="F689" s="15">
        <v>30</v>
      </c>
      <c r="G689" s="462" t="s">
        <v>33</v>
      </c>
      <c r="H689" s="464"/>
      <c r="I689" s="63">
        <f>9.75+10+11.54+9.35+12.04</f>
        <v>52.68</v>
      </c>
      <c r="J689" s="462" t="s">
        <v>377</v>
      </c>
      <c r="K689" s="464"/>
      <c r="L689" s="76"/>
      <c r="M689" s="25"/>
      <c r="N689" s="292"/>
      <c r="O689" s="141" t="s">
        <v>322</v>
      </c>
      <c r="P689" s="133">
        <f>P688/29</f>
        <v>0</v>
      </c>
      <c r="Q689" s="10">
        <f>Q688/29</f>
        <v>0</v>
      </c>
      <c r="R689" s="144" t="s">
        <v>422</v>
      </c>
      <c r="S689" s="465">
        <v>-1492.0900000000001</v>
      </c>
      <c r="T689" s="466"/>
      <c r="U689" s="467">
        <v>-1218.6808862753592</v>
      </c>
      <c r="V689" s="468"/>
      <c r="W689" s="289" t="s">
        <v>12</v>
      </c>
      <c r="X689" s="38">
        <v>149.47</v>
      </c>
      <c r="Y689" s="470" t="s">
        <v>374</v>
      </c>
      <c r="Z689" s="471"/>
    </row>
    <row r="690" spans="1:29" ht="15.75" thickTop="1">
      <c r="C690" s="15"/>
      <c r="D690" s="462"/>
      <c r="E690" s="463"/>
      <c r="F690" s="15">
        <v>40.07</v>
      </c>
      <c r="G690" s="462" t="s">
        <v>962</v>
      </c>
      <c r="H690" s="464"/>
      <c r="I690" s="20">
        <v>40</v>
      </c>
      <c r="J690" s="462" t="s">
        <v>235</v>
      </c>
      <c r="K690" s="464"/>
      <c r="L690" s="76"/>
      <c r="M690" s="25"/>
      <c r="N690" s="293"/>
      <c r="O690" s="136" t="s">
        <v>325</v>
      </c>
      <c r="P690" s="319">
        <f>P673+P691</f>
        <v>1063.8800000000001</v>
      </c>
      <c r="Q690" s="320">
        <f>Z688</f>
        <v>1065.79</v>
      </c>
      <c r="R690" s="143" t="s">
        <v>421</v>
      </c>
      <c r="S690" s="465">
        <v>-1102.54</v>
      </c>
      <c r="T690" s="466"/>
      <c r="U690" s="467">
        <v>-941.48929250581398</v>
      </c>
      <c r="V690" s="468"/>
      <c r="W690" s="282" t="s">
        <v>373</v>
      </c>
      <c r="X690" s="281">
        <v>2000</v>
      </c>
      <c r="Y690" s="321" t="s">
        <v>181</v>
      </c>
      <c r="Z690" s="322">
        <v>199.57</v>
      </c>
    </row>
    <row r="691" spans="1:29" ht="15.75" thickBot="1">
      <c r="C691" s="266"/>
      <c r="D691" s="448"/>
      <c r="E691" s="469"/>
      <c r="F691" s="15"/>
      <c r="G691" s="462"/>
      <c r="H691" s="464"/>
      <c r="I691" s="20">
        <v>572.19000000000005</v>
      </c>
      <c r="J691" s="462" t="s">
        <v>206</v>
      </c>
      <c r="K691" s="464"/>
      <c r="L691" s="76"/>
      <c r="M691" s="25"/>
      <c r="N691" s="295"/>
      <c r="O691" s="140" t="s">
        <v>321</v>
      </c>
      <c r="P691" s="132">
        <f>SUM(M682:M695)</f>
        <v>0</v>
      </c>
      <c r="Q691" s="72">
        <f>Q690-Q673</f>
        <v>0.30999999999994543</v>
      </c>
      <c r="R691" s="144" t="s">
        <v>418</v>
      </c>
      <c r="S691" s="465">
        <v>-1224.5999999999999</v>
      </c>
      <c r="T691" s="466"/>
      <c r="U691" s="467">
        <v>-1224.5999999999999</v>
      </c>
      <c r="V691" s="468"/>
      <c r="W691" s="282" t="s">
        <v>378</v>
      </c>
      <c r="X691" s="281">
        <v>1850.53</v>
      </c>
      <c r="Y691" s="146" t="s">
        <v>553</v>
      </c>
      <c r="Z691" s="10">
        <v>199.56999999999971</v>
      </c>
      <c r="AA691" t="s">
        <v>369</v>
      </c>
      <c r="AB691" t="s">
        <v>317</v>
      </c>
    </row>
    <row r="692" spans="1:29" ht="15.75" thickBot="1">
      <c r="C692" s="266"/>
      <c r="D692" s="448"/>
      <c r="E692" s="469"/>
      <c r="F692" s="15"/>
      <c r="G692" s="462"/>
      <c r="H692" s="464"/>
      <c r="I692" s="20"/>
      <c r="J692" s="462"/>
      <c r="K692" s="464"/>
      <c r="L692" s="76"/>
      <c r="M692" s="25"/>
      <c r="N692" s="293"/>
      <c r="O692" s="141" t="s">
        <v>322</v>
      </c>
      <c r="P692" s="133">
        <f>P691/29</f>
        <v>0</v>
      </c>
      <c r="Q692" s="10">
        <f>Q691/29</f>
        <v>1.0689655172411912E-2</v>
      </c>
      <c r="R692" s="144" t="s">
        <v>438</v>
      </c>
      <c r="S692" s="465">
        <v>-1224.5999999999999</v>
      </c>
      <c r="T692" s="466"/>
      <c r="U692" s="472"/>
      <c r="V692" s="473"/>
      <c r="W692" s="289" t="s">
        <v>379</v>
      </c>
      <c r="X692" s="281">
        <v>0</v>
      </c>
      <c r="Y692" s="266"/>
      <c r="Z692" s="16"/>
      <c r="AA692" s="382">
        <f>U693/U686</f>
        <v>2.3964023176687297</v>
      </c>
      <c r="AB692" s="382">
        <f>S693/S686</f>
        <v>0.13312662681842852</v>
      </c>
      <c r="AC692" t="s">
        <v>960</v>
      </c>
    </row>
    <row r="693" spans="1:29" ht="15.75" thickBot="1">
      <c r="C693" s="15"/>
      <c r="D693" s="448"/>
      <c r="E693" s="469"/>
      <c r="F693" s="15"/>
      <c r="G693" s="462"/>
      <c r="H693" s="464"/>
      <c r="I693" s="20"/>
      <c r="J693" s="462"/>
      <c r="K693" s="464"/>
      <c r="L693" s="76"/>
      <c r="M693" s="25"/>
      <c r="N693" s="295"/>
      <c r="O693" s="136" t="s">
        <v>323</v>
      </c>
      <c r="P693" s="319">
        <f>P676+P694</f>
        <v>2932.2473044585295</v>
      </c>
      <c r="Q693" s="320">
        <f>S682+U682</f>
        <v>2673.5615937695457</v>
      </c>
      <c r="R693" s="144" t="s">
        <v>380</v>
      </c>
      <c r="S693" s="291">
        <v>267.49000000000024</v>
      </c>
      <c r="T693" s="327">
        <v>0.1208508215904112</v>
      </c>
      <c r="U693" s="291">
        <v>-5.9191137246407379</v>
      </c>
      <c r="V693" s="329">
        <v>-5.1294853032022199E-3</v>
      </c>
      <c r="W693" s="146" t="s">
        <v>375</v>
      </c>
      <c r="X693" s="326">
        <v>7.48</v>
      </c>
      <c r="Y693" s="266"/>
      <c r="Z693" s="16"/>
      <c r="AA693">
        <f>1/AA692</f>
        <v>0.41729220199253558</v>
      </c>
      <c r="AB693">
        <f>1/AB692</f>
        <v>7.5116452951512143</v>
      </c>
      <c r="AC693" t="s">
        <v>961</v>
      </c>
    </row>
    <row r="694" spans="1:29">
      <c r="C694" s="15"/>
      <c r="D694" s="462"/>
      <c r="E694" s="463"/>
      <c r="F694" s="15"/>
      <c r="G694" s="503"/>
      <c r="H694" s="504"/>
      <c r="I694" s="20"/>
      <c r="J694" s="503"/>
      <c r="K694" s="504"/>
      <c r="L694" s="76"/>
      <c r="M694" s="25"/>
      <c r="N694" s="293"/>
      <c r="O694" s="140" t="s">
        <v>321</v>
      </c>
      <c r="P694" s="132">
        <f>SUM(N682:N695)</f>
        <v>300</v>
      </c>
      <c r="Q694" s="72">
        <f>Q693-Q676</f>
        <v>467.85585864142377</v>
      </c>
      <c r="R694" s="144" t="s">
        <v>381</v>
      </c>
      <c r="S694" s="291">
        <v>122.05999999999995</v>
      </c>
      <c r="T694" s="327">
        <v>5.3610801219265779E-2</v>
      </c>
      <c r="U694" s="291">
        <v>283.11070749418593</v>
      </c>
      <c r="V694" s="366">
        <v>-33.747391773059377</v>
      </c>
      <c r="W694" s="337" t="s">
        <v>410</v>
      </c>
      <c r="X694" s="1" t="s">
        <v>558</v>
      </c>
      <c r="Y694" s="266"/>
      <c r="Z694" s="16"/>
    </row>
    <row r="695" spans="1:29" ht="15.75" thickBot="1">
      <c r="C695" s="17"/>
      <c r="D695" s="459"/>
      <c r="E695" s="460"/>
      <c r="F695" s="17"/>
      <c r="G695" s="459"/>
      <c r="H695" s="461"/>
      <c r="I695" s="21"/>
      <c r="J695" s="459"/>
      <c r="K695" s="461"/>
      <c r="L695" s="42"/>
      <c r="M695" s="5"/>
      <c r="N695" s="21"/>
      <c r="O695" s="137" t="s">
        <v>322</v>
      </c>
      <c r="P695" s="138">
        <f>P694/29</f>
        <v>10.344827586206897</v>
      </c>
      <c r="Q695" s="24">
        <f>Q694/29</f>
        <v>16.132960642807717</v>
      </c>
      <c r="R695" s="153" t="s">
        <v>410</v>
      </c>
      <c r="S695" s="296">
        <v>389.55000000000018</v>
      </c>
      <c r="T695" s="328">
        <v>8.6756180723669737E-2</v>
      </c>
      <c r="U695" s="296">
        <v>277.19159376954519</v>
      </c>
      <c r="V695" s="330">
        <v>0.24197249685264297</v>
      </c>
      <c r="W695" s="296">
        <v>666.74159376954537</v>
      </c>
      <c r="X695" s="330">
        <v>0.11830637323528226</v>
      </c>
      <c r="Y695" s="290"/>
      <c r="Z695" s="18"/>
    </row>
    <row r="696" spans="1:29" ht="17.25" thickTop="1" thickBot="1">
      <c r="A696" s="14"/>
      <c r="B696" s="14" t="s">
        <v>31</v>
      </c>
      <c r="C696" s="264">
        <v>45809</v>
      </c>
      <c r="D696" s="3"/>
      <c r="E696" s="3"/>
      <c r="F696" s="3"/>
      <c r="G696" s="3"/>
      <c r="H696" s="3"/>
      <c r="I696" s="3"/>
      <c r="J696" s="3"/>
      <c r="K696" s="3"/>
      <c r="L696" s="3"/>
      <c r="M696" s="3"/>
      <c r="N696" s="3"/>
      <c r="O696" s="3"/>
      <c r="P696" s="3"/>
      <c r="Q696" s="3"/>
      <c r="R696" s="3"/>
      <c r="S696" s="3"/>
      <c r="T696" s="3"/>
      <c r="U696" s="3"/>
      <c r="V696" s="3"/>
      <c r="W696" s="3"/>
      <c r="X696" s="3"/>
      <c r="Y696" s="3"/>
      <c r="Z696" s="3"/>
    </row>
    <row r="697" spans="1:29" ht="17.25" thickTop="1" thickBot="1">
      <c r="C697" s="480" t="s">
        <v>386</v>
      </c>
      <c r="D697" s="481"/>
      <c r="E697" s="482"/>
      <c r="F697" s="483" t="s">
        <v>387</v>
      </c>
      <c r="G697" s="484"/>
      <c r="H697" s="484"/>
      <c r="I697" s="484"/>
      <c r="J697" s="484"/>
      <c r="K697" s="484"/>
      <c r="L697" s="484"/>
      <c r="M697" s="484"/>
      <c r="N697" s="485"/>
      <c r="O697" s="261" t="s">
        <v>320</v>
      </c>
      <c r="P697" s="262" t="s">
        <v>257</v>
      </c>
      <c r="Q697" s="263" t="s">
        <v>319</v>
      </c>
      <c r="R697" s="486" t="s">
        <v>144</v>
      </c>
      <c r="S697" s="487"/>
      <c r="T697" s="487"/>
      <c r="U697" s="487"/>
      <c r="V697" s="487"/>
      <c r="W697" s="487"/>
      <c r="X697" s="487"/>
      <c r="Y697" s="487"/>
      <c r="Z697" s="488"/>
    </row>
    <row r="698" spans="1:29" ht="15.75" thickBot="1">
      <c r="C698" s="265"/>
      <c r="D698" s="489"/>
      <c r="E698" s="490"/>
      <c r="F698" s="470" t="s">
        <v>3</v>
      </c>
      <c r="G698" s="491"/>
      <c r="H698" s="492"/>
      <c r="I698" s="493" t="s">
        <v>4</v>
      </c>
      <c r="J698" s="491"/>
      <c r="K698" s="492"/>
      <c r="L698" s="267" t="s">
        <v>324</v>
      </c>
      <c r="M698" s="267" t="s">
        <v>325</v>
      </c>
      <c r="N698" s="267" t="s">
        <v>323</v>
      </c>
      <c r="O698" s="316" t="s">
        <v>5</v>
      </c>
      <c r="P698" s="317">
        <f>P701+P704+P707+P710</f>
        <v>5285.1573044585266</v>
      </c>
      <c r="Q698" s="318">
        <f>Q707+Q704+Q701+Q710</f>
        <v>6149.8598910606397</v>
      </c>
      <c r="R698" s="268" t="s">
        <v>323</v>
      </c>
      <c r="S698" s="493" t="s">
        <v>317</v>
      </c>
      <c r="T698" s="492"/>
      <c r="U698" s="493" t="s">
        <v>369</v>
      </c>
      <c r="V698" s="471"/>
      <c r="W698" s="491" t="s">
        <v>310</v>
      </c>
      <c r="X698" s="471"/>
      <c r="Y698" s="470" t="s">
        <v>13</v>
      </c>
      <c r="Z698" s="471"/>
    </row>
    <row r="699" spans="1:29" ht="16.5" thickTop="1" thickBot="1">
      <c r="C699" s="15"/>
      <c r="D699" s="494"/>
      <c r="E699" s="495"/>
      <c r="G699" s="496"/>
      <c r="H699" s="497"/>
      <c r="J699" s="496"/>
      <c r="K699" s="497"/>
      <c r="L699" s="76"/>
      <c r="M699" s="25"/>
      <c r="N699" s="292"/>
      <c r="O699" s="258" t="s">
        <v>321</v>
      </c>
      <c r="P699" s="315">
        <f>SUM(C699:C712)-SUM(F699:F712)-SUM(I699:I712)</f>
        <v>360.5</v>
      </c>
      <c r="Q699" s="12">
        <f>Q698-Q681</f>
        <v>769.35829729109446</v>
      </c>
      <c r="R699" s="307" t="s">
        <v>343</v>
      </c>
      <c r="S699" s="498">
        <v>3092.75</v>
      </c>
      <c r="T699" s="499"/>
      <c r="U699" s="498">
        <v>281.65989106064035</v>
      </c>
      <c r="V699" s="500"/>
      <c r="W699" s="501" t="s">
        <v>326</v>
      </c>
      <c r="X699" s="502"/>
      <c r="Y699" s="143" t="s">
        <v>17</v>
      </c>
      <c r="Z699" s="12">
        <v>47</v>
      </c>
    </row>
    <row r="700" spans="1:29" ht="16.5" thickTop="1" thickBot="1">
      <c r="C700" s="15">
        <v>2526.4899999999998</v>
      </c>
      <c r="D700" s="462" t="s">
        <v>11</v>
      </c>
      <c r="E700" s="463"/>
      <c r="F700" s="6">
        <f>15.84+12.45+12.04+16+9.34+12.45+12.45+16.82+12.45+18.68+15.84+12.45+6.23+12.45+12.45</f>
        <v>197.93999999999997</v>
      </c>
      <c r="G700" s="462" t="s">
        <v>223</v>
      </c>
      <c r="H700" s="464"/>
      <c r="I700" s="20">
        <v>11.99</v>
      </c>
      <c r="J700" s="462" t="s">
        <v>385</v>
      </c>
      <c r="K700" s="464"/>
      <c r="L700" s="76">
        <v>-300</v>
      </c>
      <c r="M700" s="25">
        <v>-400</v>
      </c>
      <c r="N700" s="362">
        <v>50</v>
      </c>
      <c r="O700" s="141" t="s">
        <v>322</v>
      </c>
      <c r="P700" s="133">
        <f>P699/29</f>
        <v>12.431034482758621</v>
      </c>
      <c r="Q700" s="10">
        <f>Q699/29</f>
        <v>26.529596458313602</v>
      </c>
      <c r="R700" s="308" t="s">
        <v>382</v>
      </c>
      <c r="S700" s="474">
        <v>5050.17</v>
      </c>
      <c r="T700" s="475"/>
      <c r="U700" s="467">
        <v>1145.5500000000002</v>
      </c>
      <c r="V700" s="468"/>
      <c r="W700" s="289" t="s">
        <v>12</v>
      </c>
      <c r="X700" s="315">
        <v>1311.65</v>
      </c>
      <c r="Y700" s="144" t="s">
        <v>18</v>
      </c>
      <c r="Z700" s="72">
        <v>44</v>
      </c>
    </row>
    <row r="701" spans="1:29">
      <c r="C701" s="15">
        <f>4037.38-C700</f>
        <v>1510.8900000000003</v>
      </c>
      <c r="D701" s="462" t="s">
        <v>11</v>
      </c>
      <c r="E701" s="463"/>
      <c r="F701" s="15">
        <f>37.2+5.42+41.75</f>
        <v>84.37</v>
      </c>
      <c r="G701" s="462" t="s">
        <v>9</v>
      </c>
      <c r="H701" s="464"/>
      <c r="I701" s="20">
        <v>11.99</v>
      </c>
      <c r="J701" s="462" t="s">
        <v>22</v>
      </c>
      <c r="K701" s="464"/>
      <c r="L701" s="76">
        <v>100</v>
      </c>
      <c r="M701" s="25">
        <v>-200</v>
      </c>
      <c r="N701" s="294">
        <v>100</v>
      </c>
      <c r="O701" s="136" t="s">
        <v>12</v>
      </c>
      <c r="P701" s="319">
        <f>P684+P699-SUM(L699:L712)-SUM(M699:M712)-SUM(N699:N712)</f>
        <v>664.02999999999724</v>
      </c>
      <c r="Q701" s="320">
        <f>Z699+Z704+Z707</f>
        <v>1419.3600000000001</v>
      </c>
      <c r="R701" s="308" t="s">
        <v>383</v>
      </c>
      <c r="S701" s="474">
        <v>2794.32</v>
      </c>
      <c r="T701" s="475"/>
      <c r="U701" s="467">
        <v>1148.0199999999998</v>
      </c>
      <c r="V701" s="468"/>
      <c r="W701" s="282" t="s">
        <v>373</v>
      </c>
      <c r="X701" s="132">
        <v>5000</v>
      </c>
      <c r="Y701" s="144" t="s">
        <v>19</v>
      </c>
      <c r="Z701" s="72">
        <v>36</v>
      </c>
    </row>
    <row r="702" spans="1:29" ht="15.75" thickBot="1">
      <c r="C702" s="15">
        <f>18.87+6.38</f>
        <v>25.25</v>
      </c>
      <c r="D702" s="462" t="s">
        <v>390</v>
      </c>
      <c r="E702" s="463"/>
      <c r="F702" s="15">
        <v>115</v>
      </c>
      <c r="G702" s="462" t="s">
        <v>6</v>
      </c>
      <c r="H702" s="464"/>
      <c r="I702" s="63">
        <v>20</v>
      </c>
      <c r="J702" s="462" t="s">
        <v>920</v>
      </c>
      <c r="K702" s="464"/>
      <c r="L702" s="76">
        <v>-140</v>
      </c>
      <c r="M702" s="25">
        <v>600</v>
      </c>
      <c r="N702" s="362">
        <v>50</v>
      </c>
      <c r="O702" s="140" t="s">
        <v>321</v>
      </c>
      <c r="P702" s="132">
        <f>SUM(C699:C712)-SUM(F699:F712)-SUM(I699:I712)-P705-P708-P711</f>
        <v>370.5</v>
      </c>
      <c r="Q702" s="72">
        <f>Q701-Q684</f>
        <v>408.21000000000026</v>
      </c>
      <c r="R702" s="308" t="s">
        <v>424</v>
      </c>
      <c r="S702" s="474">
        <v>2444.6999999999998</v>
      </c>
      <c r="T702" s="475"/>
      <c r="U702" s="467">
        <v>1153.9391137246405</v>
      </c>
      <c r="V702" s="468"/>
      <c r="W702" s="282" t="s">
        <v>378</v>
      </c>
      <c r="X702" s="132">
        <v>2897.38</v>
      </c>
      <c r="Y702" s="145" t="s">
        <v>324</v>
      </c>
      <c r="Z702" s="135">
        <v>210</v>
      </c>
    </row>
    <row r="703" spans="1:29" ht="15.75" thickBot="1">
      <c r="C703" s="15"/>
      <c r="D703" s="455"/>
      <c r="E703" s="456"/>
      <c r="F703" s="15">
        <v>300</v>
      </c>
      <c r="G703" s="462" t="s">
        <v>97</v>
      </c>
      <c r="H703" s="464"/>
      <c r="I703" s="20">
        <v>11.9</v>
      </c>
      <c r="J703" s="462" t="s">
        <v>249</v>
      </c>
      <c r="K703" s="464"/>
      <c r="L703" s="76"/>
      <c r="M703" s="25"/>
      <c r="N703" s="294">
        <v>50</v>
      </c>
      <c r="O703" s="141" t="s">
        <v>322</v>
      </c>
      <c r="P703" s="133">
        <f>P702/29</f>
        <v>12.775862068965518</v>
      </c>
      <c r="Q703" s="10">
        <f>Q702/29</f>
        <v>14.076206896551733</v>
      </c>
      <c r="R703" s="143" t="s">
        <v>12</v>
      </c>
      <c r="S703" s="476">
        <v>2255.85</v>
      </c>
      <c r="T703" s="477"/>
      <c r="U703" s="478">
        <v>-2.4699999999995725</v>
      </c>
      <c r="V703" s="479"/>
      <c r="W703" s="289" t="s">
        <v>379</v>
      </c>
      <c r="X703" s="132">
        <v>1304.08</v>
      </c>
      <c r="Y703" s="470" t="s">
        <v>14</v>
      </c>
      <c r="Z703" s="471"/>
    </row>
    <row r="704" spans="1:29" ht="15.75" thickBot="1">
      <c r="C704" s="15"/>
      <c r="D704" s="455"/>
      <c r="E704" s="456"/>
      <c r="F704" s="15">
        <v>910</v>
      </c>
      <c r="G704" s="462" t="s">
        <v>717</v>
      </c>
      <c r="H704" s="464"/>
      <c r="I704" s="20">
        <f>14.03+12+11.54+10+19</f>
        <v>66.569999999999993</v>
      </c>
      <c r="J704" s="462" t="s">
        <v>377</v>
      </c>
      <c r="K704" s="464"/>
      <c r="L704" s="76"/>
      <c r="M704" s="25"/>
      <c r="N704" s="362">
        <v>80</v>
      </c>
      <c r="O704" s="136" t="s">
        <v>324</v>
      </c>
      <c r="P704" s="319">
        <f>P687+P705</f>
        <v>295</v>
      </c>
      <c r="Q704" s="320">
        <f>Z700+Z701+Z702</f>
        <v>290</v>
      </c>
      <c r="R704" s="144" t="s">
        <v>425</v>
      </c>
      <c r="S704" s="465">
        <v>2605.4700000000003</v>
      </c>
      <c r="T704" s="466"/>
      <c r="U704" s="467">
        <v>-8.3891137246403105</v>
      </c>
      <c r="V704" s="468"/>
      <c r="W704" s="146" t="s">
        <v>375</v>
      </c>
      <c r="X704" s="325">
        <v>0</v>
      </c>
      <c r="Y704" s="143" t="s">
        <v>15</v>
      </c>
      <c r="Z704" s="12">
        <v>1085.6300000000001</v>
      </c>
    </row>
    <row r="705" spans="1:26" ht="15.75" thickBot="1">
      <c r="C705" s="15"/>
      <c r="D705" s="462"/>
      <c r="E705" s="463"/>
      <c r="F705" s="15">
        <v>140</v>
      </c>
      <c r="G705" s="457" t="s">
        <v>963</v>
      </c>
      <c r="H705" s="458"/>
      <c r="I705" s="20">
        <f>200-36+160-26</f>
        <v>298</v>
      </c>
      <c r="J705" s="462" t="s">
        <v>98</v>
      </c>
      <c r="K705" s="464"/>
      <c r="L705" s="76"/>
      <c r="M705" s="25"/>
      <c r="N705" s="294"/>
      <c r="O705" s="140" t="s">
        <v>321</v>
      </c>
      <c r="P705" s="132">
        <f>SUM(L699:L712)</f>
        <v>-340</v>
      </c>
      <c r="Q705" s="72">
        <f>Q704-Q687</f>
        <v>-340</v>
      </c>
      <c r="R705" s="144" t="s">
        <v>426</v>
      </c>
      <c r="S705" s="465">
        <v>784.73999999999978</v>
      </c>
      <c r="T705" s="466"/>
      <c r="U705" s="467">
        <v>-1473.5799999999997</v>
      </c>
      <c r="V705" s="468"/>
      <c r="W705" s="470" t="s">
        <v>376</v>
      </c>
      <c r="X705" s="471"/>
      <c r="Y705" s="146" t="s">
        <v>325</v>
      </c>
      <c r="Z705" s="10">
        <v>1066.0899999999999</v>
      </c>
    </row>
    <row r="706" spans="1:26" ht="16.5" thickTop="1" thickBot="1">
      <c r="C706" s="15"/>
      <c r="D706" s="462"/>
      <c r="E706" s="463"/>
      <c r="F706" s="15">
        <v>30</v>
      </c>
      <c r="G706" s="462" t="s">
        <v>33</v>
      </c>
      <c r="H706" s="464"/>
      <c r="I706" s="63">
        <v>34.99</v>
      </c>
      <c r="J706" s="462" t="s">
        <v>965</v>
      </c>
      <c r="K706" s="464"/>
      <c r="L706" s="76"/>
      <c r="M706" s="25"/>
      <c r="N706" s="292"/>
      <c r="O706" s="141" t="s">
        <v>322</v>
      </c>
      <c r="P706" s="133">
        <f>P705/29</f>
        <v>-11.724137931034482</v>
      </c>
      <c r="Q706" s="10">
        <f>Q705/29</f>
        <v>-11.724137931034482</v>
      </c>
      <c r="R706" s="144" t="s">
        <v>422</v>
      </c>
      <c r="S706" s="465">
        <v>-1820.7300000000005</v>
      </c>
      <c r="T706" s="466"/>
      <c r="U706" s="467">
        <v>-1465.1908862753594</v>
      </c>
      <c r="V706" s="468"/>
      <c r="W706" s="289" t="s">
        <v>12</v>
      </c>
      <c r="X706" s="38">
        <v>249.95</v>
      </c>
      <c r="Y706" s="470" t="s">
        <v>374</v>
      </c>
      <c r="Z706" s="471"/>
    </row>
    <row r="707" spans="1:26" ht="15.75" thickTop="1">
      <c r="C707" s="15"/>
      <c r="D707" s="462"/>
      <c r="E707" s="463"/>
      <c r="F707" s="15">
        <v>6.48</v>
      </c>
      <c r="G707" s="462" t="s">
        <v>964</v>
      </c>
      <c r="H707" s="464"/>
      <c r="I707" s="20">
        <v>1462.9</v>
      </c>
      <c r="J707" s="462" t="s">
        <v>966</v>
      </c>
      <c r="K707" s="464"/>
      <c r="L707" s="76"/>
      <c r="M707" s="25"/>
      <c r="N707" s="293"/>
      <c r="O707" s="136" t="s">
        <v>325</v>
      </c>
      <c r="P707" s="319">
        <f>P690+P708</f>
        <v>1063.8800000000001</v>
      </c>
      <c r="Q707" s="320">
        <f>Z705</f>
        <v>1066.0899999999999</v>
      </c>
      <c r="R707" s="143" t="s">
        <v>421</v>
      </c>
      <c r="S707" s="465">
        <v>-983.83000000000038</v>
      </c>
      <c r="T707" s="466"/>
      <c r="U707" s="467">
        <v>-1181.0609952147195</v>
      </c>
      <c r="V707" s="468"/>
      <c r="W707" s="282" t="s">
        <v>373</v>
      </c>
      <c r="X707" s="281">
        <v>2000</v>
      </c>
      <c r="Y707" s="321" t="s">
        <v>181</v>
      </c>
      <c r="Z707" s="322">
        <v>286.73</v>
      </c>
    </row>
    <row r="708" spans="1:26" ht="15.75" thickBot="1">
      <c r="C708" s="266"/>
      <c r="D708" s="448"/>
      <c r="E708" s="469"/>
      <c r="F708" s="15"/>
      <c r="G708" s="462"/>
      <c r="H708" s="464"/>
      <c r="I708" s="20"/>
      <c r="J708" s="462"/>
      <c r="K708" s="464"/>
      <c r="L708" s="76"/>
      <c r="M708" s="25"/>
      <c r="N708" s="295"/>
      <c r="O708" s="140" t="s">
        <v>321</v>
      </c>
      <c r="P708" s="132">
        <f>SUM(M699:M712)</f>
        <v>0</v>
      </c>
      <c r="Q708" s="72">
        <f>Q707-Q690</f>
        <v>0.29999999999995453</v>
      </c>
      <c r="R708" s="144" t="s">
        <v>418</v>
      </c>
      <c r="S708" s="465">
        <v>-1471.1100000000001</v>
      </c>
      <c r="T708" s="466"/>
      <c r="U708" s="467">
        <v>-1471.1100000000001</v>
      </c>
      <c r="V708" s="468"/>
      <c r="W708" s="282" t="s">
        <v>378</v>
      </c>
      <c r="X708" s="281">
        <f>X707-X706</f>
        <v>1750.05</v>
      </c>
      <c r="Y708" s="146" t="s">
        <v>553</v>
      </c>
      <c r="Z708" s="10">
        <v>286.73</v>
      </c>
    </row>
    <row r="709" spans="1:26" ht="15.75" thickBot="1">
      <c r="C709" s="266"/>
      <c r="D709" s="448"/>
      <c r="E709" s="469"/>
      <c r="F709" s="15"/>
      <c r="G709" s="462"/>
      <c r="H709" s="464"/>
      <c r="I709" s="20"/>
      <c r="J709" s="462"/>
      <c r="K709" s="464"/>
      <c r="L709" s="76"/>
      <c r="M709" s="25"/>
      <c r="N709" s="293"/>
      <c r="O709" s="141" t="s">
        <v>322</v>
      </c>
      <c r="P709" s="133">
        <f>P708/29</f>
        <v>0</v>
      </c>
      <c r="Q709" s="10">
        <f>Q708/29</f>
        <v>1.0344827586205328E-2</v>
      </c>
      <c r="R709" s="144" t="s">
        <v>438</v>
      </c>
      <c r="S709" s="465">
        <v>-1471.1100000000001</v>
      </c>
      <c r="T709" s="466"/>
      <c r="U709" s="472"/>
      <c r="V709" s="473"/>
      <c r="W709" s="289" t="s">
        <v>379</v>
      </c>
      <c r="X709" s="281">
        <v>0</v>
      </c>
      <c r="Y709" s="266"/>
      <c r="Z709" s="16"/>
    </row>
    <row r="710" spans="1:26" ht="15.75" thickBot="1">
      <c r="C710" s="15"/>
      <c r="D710" s="448"/>
      <c r="E710" s="469"/>
      <c r="F710" s="15"/>
      <c r="G710" s="462"/>
      <c r="H710" s="464"/>
      <c r="I710" s="20"/>
      <c r="J710" s="462"/>
      <c r="K710" s="464"/>
      <c r="L710" s="76"/>
      <c r="M710" s="25"/>
      <c r="N710" s="295"/>
      <c r="O710" s="136" t="s">
        <v>323</v>
      </c>
      <c r="P710" s="319">
        <f>P693+P711</f>
        <v>3262.2473044585295</v>
      </c>
      <c r="Q710" s="320">
        <f>S699+U699</f>
        <v>3374.4098910606403</v>
      </c>
      <c r="R710" s="144" t="s">
        <v>380</v>
      </c>
      <c r="S710" s="291">
        <v>349.62000000000035</v>
      </c>
      <c r="T710" s="327">
        <v>0.14301141244324472</v>
      </c>
      <c r="U710" s="291">
        <v>-5.9191137246407379</v>
      </c>
      <c r="V710" s="329">
        <v>-5.1294853032022199E-3</v>
      </c>
      <c r="W710" s="146" t="s">
        <v>375</v>
      </c>
      <c r="X710" s="326">
        <v>9.56</v>
      </c>
      <c r="Y710" s="266"/>
      <c r="Z710" s="16"/>
    </row>
    <row r="711" spans="1:26">
      <c r="C711" s="15"/>
      <c r="D711" s="462"/>
      <c r="E711" s="463"/>
      <c r="F711" s="15"/>
      <c r="G711" s="503"/>
      <c r="H711" s="504"/>
      <c r="I711" s="20"/>
      <c r="J711" s="503"/>
      <c r="K711" s="504"/>
      <c r="L711" s="76"/>
      <c r="M711" s="25"/>
      <c r="N711" s="293"/>
      <c r="O711" s="140" t="s">
        <v>321</v>
      </c>
      <c r="P711" s="132">
        <f>SUM(N699:N712)</f>
        <v>330</v>
      </c>
      <c r="Q711" s="72">
        <f>Q710-Q693</f>
        <v>700.8482972910947</v>
      </c>
      <c r="R711" s="144" t="s">
        <v>381</v>
      </c>
      <c r="S711" s="291">
        <v>487.27999999999975</v>
      </c>
      <c r="T711" s="327">
        <v>0.18702191926984371</v>
      </c>
      <c r="U711" s="291">
        <v>290.04900478528066</v>
      </c>
      <c r="V711" s="366">
        <v>-34.574451402816898</v>
      </c>
      <c r="W711" s="337" t="s">
        <v>410</v>
      </c>
      <c r="X711" s="1" t="s">
        <v>558</v>
      </c>
      <c r="Y711" s="266"/>
      <c r="Z711" s="16"/>
    </row>
    <row r="712" spans="1:26" ht="15.75" thickBot="1">
      <c r="C712" s="17"/>
      <c r="D712" s="459"/>
      <c r="E712" s="460"/>
      <c r="F712" s="17"/>
      <c r="G712" s="459"/>
      <c r="H712" s="461"/>
      <c r="I712" s="21"/>
      <c r="J712" s="459"/>
      <c r="K712" s="461"/>
      <c r="L712" s="42"/>
      <c r="M712" s="5"/>
      <c r="N712" s="21"/>
      <c r="O712" s="137" t="s">
        <v>322</v>
      </c>
      <c r="P712" s="138">
        <f>P711/29</f>
        <v>11.379310344827585</v>
      </c>
      <c r="Q712" s="24">
        <f>Q711/29</f>
        <v>24.167182665210163</v>
      </c>
      <c r="R712" s="153" t="s">
        <v>410</v>
      </c>
      <c r="S712" s="296">
        <v>836.90000000000009</v>
      </c>
      <c r="T712" s="328">
        <v>0.16571719367862867</v>
      </c>
      <c r="U712" s="296">
        <v>284.12989106063992</v>
      </c>
      <c r="V712" s="330">
        <v>0.24802923579122682</v>
      </c>
      <c r="W712" s="296">
        <v>1121.02989106064</v>
      </c>
      <c r="X712" s="330">
        <v>0.18093617708041032</v>
      </c>
      <c r="Y712" s="290"/>
      <c r="Z712" s="18"/>
    </row>
    <row r="713" spans="1:26" ht="17.25" thickTop="1" thickBot="1">
      <c r="A713" s="14"/>
      <c r="B713" s="14" t="s">
        <v>31</v>
      </c>
      <c r="C713" s="264">
        <v>45839</v>
      </c>
      <c r="D713" s="3"/>
      <c r="E713" s="3"/>
      <c r="F713" s="3"/>
      <c r="G713" s="3"/>
      <c r="H713" s="3"/>
      <c r="I713" s="3"/>
      <c r="J713" s="3"/>
      <c r="K713" s="3"/>
      <c r="L713" s="3"/>
      <c r="M713" s="3"/>
      <c r="N713" s="3"/>
      <c r="O713" s="3"/>
      <c r="P713" s="3"/>
      <c r="Q713" s="3"/>
      <c r="R713" s="3"/>
      <c r="S713" s="3"/>
      <c r="T713" s="3"/>
      <c r="U713" s="3"/>
      <c r="V713" s="3"/>
      <c r="W713" s="3"/>
      <c r="X713" s="3"/>
      <c r="Y713" s="3"/>
      <c r="Z713" s="3"/>
    </row>
    <row r="714" spans="1:26" ht="17.25" thickTop="1" thickBot="1">
      <c r="C714" s="480" t="s">
        <v>386</v>
      </c>
      <c r="D714" s="481"/>
      <c r="E714" s="482"/>
      <c r="F714" s="483" t="s">
        <v>387</v>
      </c>
      <c r="G714" s="484"/>
      <c r="H714" s="484"/>
      <c r="I714" s="484"/>
      <c r="J714" s="484"/>
      <c r="K714" s="484"/>
      <c r="L714" s="484"/>
      <c r="M714" s="484"/>
      <c r="N714" s="485"/>
      <c r="O714" s="261" t="s">
        <v>320</v>
      </c>
      <c r="P714" s="262" t="s">
        <v>257</v>
      </c>
      <c r="Q714" s="263" t="s">
        <v>319</v>
      </c>
      <c r="R714" s="486" t="s">
        <v>144</v>
      </c>
      <c r="S714" s="487"/>
      <c r="T714" s="487"/>
      <c r="U714" s="487"/>
      <c r="V714" s="487"/>
      <c r="W714" s="487"/>
      <c r="X714" s="487"/>
      <c r="Y714" s="487"/>
      <c r="Z714" s="488"/>
    </row>
    <row r="715" spans="1:26" ht="15.75" thickBot="1">
      <c r="C715" s="265"/>
      <c r="D715" s="489"/>
      <c r="E715" s="490"/>
      <c r="F715" s="470" t="s">
        <v>3</v>
      </c>
      <c r="G715" s="491"/>
      <c r="H715" s="492"/>
      <c r="I715" s="493" t="s">
        <v>4</v>
      </c>
      <c r="J715" s="491"/>
      <c r="K715" s="492"/>
      <c r="L715" s="267" t="s">
        <v>324</v>
      </c>
      <c r="M715" s="267" t="s">
        <v>325</v>
      </c>
      <c r="N715" s="267" t="s">
        <v>323</v>
      </c>
      <c r="O715" s="316" t="s">
        <v>5</v>
      </c>
      <c r="P715" s="317">
        <f>P718+P721+P724+P727</f>
        <v>5308.2673044585263</v>
      </c>
      <c r="Q715" s="318">
        <f>Q724+Q721+Q718+Q727</f>
        <v>6375.0683082704236</v>
      </c>
      <c r="R715" s="268" t="s">
        <v>323</v>
      </c>
      <c r="S715" s="493" t="s">
        <v>317</v>
      </c>
      <c r="T715" s="492"/>
      <c r="U715" s="493" t="s">
        <v>369</v>
      </c>
      <c r="V715" s="471"/>
      <c r="W715" s="491" t="s">
        <v>310</v>
      </c>
      <c r="X715" s="471"/>
      <c r="Y715" s="470" t="s">
        <v>13</v>
      </c>
      <c r="Z715" s="471"/>
    </row>
    <row r="716" spans="1:26" ht="16.5" thickTop="1" thickBot="1">
      <c r="C716" s="15"/>
      <c r="D716" s="494"/>
      <c r="E716" s="495"/>
      <c r="G716" s="496"/>
      <c r="H716" s="497"/>
      <c r="J716" s="496"/>
      <c r="K716" s="497"/>
      <c r="L716" s="76"/>
      <c r="M716" s="25"/>
      <c r="N716" s="292"/>
      <c r="O716" s="258" t="s">
        <v>321</v>
      </c>
      <c r="P716" s="315">
        <f>SUM(C716:C729)-SUM(F716:F729)-SUM(I716:I729)</f>
        <v>23.1099999999999</v>
      </c>
      <c r="Q716" s="12">
        <f>Q715-Q698</f>
        <v>225.20841720978387</v>
      </c>
      <c r="R716" s="307" t="s">
        <v>343</v>
      </c>
      <c r="S716" s="498">
        <v>4108.66</v>
      </c>
      <c r="T716" s="499"/>
      <c r="U716" s="498">
        <v>254.3783082704241</v>
      </c>
      <c r="V716" s="500"/>
      <c r="W716" s="501" t="s">
        <v>326</v>
      </c>
      <c r="X716" s="502"/>
      <c r="Y716" s="143" t="s">
        <v>17</v>
      </c>
      <c r="Z716" s="12">
        <v>79</v>
      </c>
    </row>
    <row r="717" spans="1:26" ht="16.5" thickTop="1" thickBot="1">
      <c r="C717" s="15">
        <v>2526.4899999999998</v>
      </c>
      <c r="D717" s="462" t="s">
        <v>11</v>
      </c>
      <c r="E717" s="463"/>
      <c r="F717" s="6">
        <f>18.68+15.84+15.84+18.68+3.11+16+10.41+11+16+8.32+10.38+15.84+10.41+15.84+15.62+13.48+13.01+13.53+15.84+15.56+19.25+15.84+15.62</f>
        <v>324.09999999999997</v>
      </c>
      <c r="G717" s="462" t="s">
        <v>223</v>
      </c>
      <c r="H717" s="464"/>
      <c r="I717" s="20">
        <v>11.99</v>
      </c>
      <c r="J717" s="462" t="s">
        <v>385</v>
      </c>
      <c r="K717" s="464"/>
      <c r="L717" s="76">
        <v>-160</v>
      </c>
      <c r="M717" s="25">
        <v>-500</v>
      </c>
      <c r="N717" s="362">
        <v>30</v>
      </c>
      <c r="O717" s="141" t="s">
        <v>322</v>
      </c>
      <c r="P717" s="133">
        <f>P716/29</f>
        <v>0.79689655172413443</v>
      </c>
      <c r="Q717" s="10">
        <f>Q716/29</f>
        <v>7.7658074899925476</v>
      </c>
      <c r="R717" s="308" t="s">
        <v>382</v>
      </c>
      <c r="S717" s="474">
        <v>6000.17</v>
      </c>
      <c r="T717" s="475"/>
      <c r="U717" s="467">
        <v>1145.5500000000002</v>
      </c>
      <c r="V717" s="468"/>
      <c r="W717" s="289" t="s">
        <v>12</v>
      </c>
      <c r="X717" s="315">
        <v>425.6</v>
      </c>
      <c r="Y717" s="144" t="s">
        <v>18</v>
      </c>
      <c r="Z717" s="72">
        <v>44</v>
      </c>
    </row>
    <row r="718" spans="1:26">
      <c r="C718" s="15">
        <f>C701</f>
        <v>1510.8900000000003</v>
      </c>
      <c r="D718" s="462" t="s">
        <v>11</v>
      </c>
      <c r="E718" s="463"/>
      <c r="F718" s="15">
        <f>34.89+39.57+37.41</f>
        <v>111.87</v>
      </c>
      <c r="G718" s="462" t="s">
        <v>9</v>
      </c>
      <c r="H718" s="464"/>
      <c r="I718" s="63">
        <v>11.99</v>
      </c>
      <c r="J718" s="462" t="s">
        <v>22</v>
      </c>
      <c r="K718" s="464"/>
      <c r="L718" s="76"/>
      <c r="M718" s="25">
        <v>-400</v>
      </c>
      <c r="N718" s="362">
        <v>50</v>
      </c>
      <c r="O718" s="136" t="s">
        <v>12</v>
      </c>
      <c r="P718" s="319">
        <f>P701+P716-SUM(L716:L729)-SUM(M716:M729)-SUM(N716:N729)</f>
        <v>312.13999999999714</v>
      </c>
      <c r="Q718" s="320">
        <f>Z716+Z721+Z724</f>
        <v>815.63999999999965</v>
      </c>
      <c r="R718" s="308" t="s">
        <v>383</v>
      </c>
      <c r="S718" s="474">
        <v>2884.29</v>
      </c>
      <c r="T718" s="475"/>
      <c r="U718" s="467">
        <v>1196.5299999999997</v>
      </c>
      <c r="V718" s="468"/>
      <c r="W718" s="282" t="s">
        <v>373</v>
      </c>
      <c r="X718" s="132">
        <v>5000</v>
      </c>
      <c r="Y718" s="144" t="s">
        <v>19</v>
      </c>
      <c r="Z718" s="72">
        <v>36</v>
      </c>
    </row>
    <row r="719" spans="1:26" ht="15.75" thickBot="1">
      <c r="C719" s="15">
        <v>8.34</v>
      </c>
      <c r="D719" s="462" t="s">
        <v>390</v>
      </c>
      <c r="E719" s="463"/>
      <c r="F719" s="15">
        <v>115</v>
      </c>
      <c r="G719" s="462" t="s">
        <v>6</v>
      </c>
      <c r="H719" s="464"/>
      <c r="I719" s="20">
        <v>20</v>
      </c>
      <c r="J719" s="462" t="s">
        <v>920</v>
      </c>
      <c r="K719" s="464"/>
      <c r="L719" s="76"/>
      <c r="M719" s="25">
        <v>900</v>
      </c>
      <c r="N719" s="362">
        <v>150</v>
      </c>
      <c r="O719" s="140" t="s">
        <v>321</v>
      </c>
      <c r="P719" s="132">
        <f>SUM(C716:C729)-SUM(F716:F729)-SUM(I716:I729)-P722-P725-P728</f>
        <v>-351.8900000000001</v>
      </c>
      <c r="Q719" s="72">
        <f>Q718-Q701</f>
        <v>-603.72000000000048</v>
      </c>
      <c r="R719" s="308" t="s">
        <v>424</v>
      </c>
      <c r="S719" s="474">
        <v>2502.02</v>
      </c>
      <c r="T719" s="475"/>
      <c r="U719" s="467">
        <v>1180.8568600451094</v>
      </c>
      <c r="V719" s="468"/>
      <c r="W719" s="282" t="s">
        <v>378</v>
      </c>
      <c r="X719" s="132">
        <v>4574.3999999999996</v>
      </c>
      <c r="Y719" s="145" t="s">
        <v>324</v>
      </c>
      <c r="Z719" s="135">
        <v>50</v>
      </c>
    </row>
    <row r="720" spans="1:26" ht="15.75" thickBot="1">
      <c r="C720" s="15"/>
      <c r="D720" s="455"/>
      <c r="E720" s="456"/>
      <c r="F720" s="15">
        <v>400</v>
      </c>
      <c r="G720" s="462" t="s">
        <v>97</v>
      </c>
      <c r="H720" s="464"/>
      <c r="I720" s="20">
        <v>11.9</v>
      </c>
      <c r="J720" s="462" t="s">
        <v>249</v>
      </c>
      <c r="K720" s="464"/>
      <c r="L720" s="76"/>
      <c r="M720" s="25"/>
      <c r="N720" s="362">
        <v>30</v>
      </c>
      <c r="O720" s="141" t="s">
        <v>322</v>
      </c>
      <c r="P720" s="133">
        <f>P719/29</f>
        <v>-12.134137931034486</v>
      </c>
      <c r="Q720" s="10">
        <f>Q719/29</f>
        <v>-20.817931034482775</v>
      </c>
      <c r="R720" s="143" t="s">
        <v>12</v>
      </c>
      <c r="S720" s="476">
        <v>3115.88</v>
      </c>
      <c r="T720" s="477"/>
      <c r="U720" s="478">
        <v>-50.979999999999563</v>
      </c>
      <c r="V720" s="479"/>
      <c r="W720" s="289" t="s">
        <v>379</v>
      </c>
      <c r="X720" s="132">
        <v>396.75</v>
      </c>
      <c r="Y720" s="470" t="s">
        <v>14</v>
      </c>
      <c r="Z720" s="471"/>
    </row>
    <row r="721" spans="1:26" ht="15.75" thickBot="1">
      <c r="C721" s="15"/>
      <c r="D721" s="455"/>
      <c r="E721" s="456"/>
      <c r="F721" s="15">
        <v>910</v>
      </c>
      <c r="G721" s="462" t="s">
        <v>695</v>
      </c>
      <c r="H721" s="464"/>
      <c r="I721" s="63">
        <v>200</v>
      </c>
      <c r="J721" s="462" t="s">
        <v>105</v>
      </c>
      <c r="K721" s="464"/>
      <c r="L721" s="76"/>
      <c r="M721" s="25"/>
      <c r="N721" s="362">
        <f>100</f>
        <v>100</v>
      </c>
      <c r="O721" s="136" t="s">
        <v>324</v>
      </c>
      <c r="P721" s="319">
        <f>P704+P722</f>
        <v>135</v>
      </c>
      <c r="Q721" s="320">
        <f>Z717+Z718+Z719</f>
        <v>130</v>
      </c>
      <c r="R721" s="144" t="s">
        <v>425</v>
      </c>
      <c r="S721" s="465">
        <v>3498.15</v>
      </c>
      <c r="T721" s="466"/>
      <c r="U721" s="467">
        <v>-35.306860045109261</v>
      </c>
      <c r="V721" s="468"/>
      <c r="W721" s="146" t="s">
        <v>375</v>
      </c>
      <c r="X721" s="325">
        <v>0</v>
      </c>
      <c r="Y721" s="143" t="s">
        <v>15</v>
      </c>
      <c r="Z721" s="12">
        <f>3104.99+11.99-37.41-34.51+27.3-132.94-900-1304.08</f>
        <v>735.33999999999969</v>
      </c>
    </row>
    <row r="722" spans="1:26" ht="15.75" thickBot="1">
      <c r="C722" s="15"/>
      <c r="D722" s="462"/>
      <c r="E722" s="463"/>
      <c r="F722" s="15">
        <v>100</v>
      </c>
      <c r="G722" s="457" t="s">
        <v>718</v>
      </c>
      <c r="H722" s="458"/>
      <c r="I722" s="20">
        <f>20+100+90</f>
        <v>210</v>
      </c>
      <c r="J722" s="462" t="s">
        <v>967</v>
      </c>
      <c r="K722" s="464"/>
      <c r="L722" s="76"/>
      <c r="M722" s="25"/>
      <c r="N722" s="362">
        <v>50</v>
      </c>
      <c r="O722" s="140" t="s">
        <v>321</v>
      </c>
      <c r="P722" s="132">
        <f>SUM(L716:L729)</f>
        <v>-160</v>
      </c>
      <c r="Q722" s="72">
        <f>Q721-Q704</f>
        <v>-160</v>
      </c>
      <c r="R722" s="144" t="s">
        <v>426</v>
      </c>
      <c r="S722" s="465">
        <v>784.77</v>
      </c>
      <c r="T722" s="466"/>
      <c r="U722" s="467">
        <v>-2382.0899999999997</v>
      </c>
      <c r="V722" s="468"/>
      <c r="W722" s="470" t="s">
        <v>376</v>
      </c>
      <c r="X722" s="471"/>
      <c r="Y722" s="146" t="s">
        <v>325</v>
      </c>
      <c r="Z722" s="10">
        <v>1066.3900000000001</v>
      </c>
    </row>
    <row r="723" spans="1:26" ht="16.5" thickTop="1" thickBot="1">
      <c r="C723" s="15"/>
      <c r="D723" s="462"/>
      <c r="E723" s="463"/>
      <c r="F723" s="15">
        <v>30</v>
      </c>
      <c r="G723" s="462" t="s">
        <v>33</v>
      </c>
      <c r="H723" s="464"/>
      <c r="I723" s="63">
        <f>19+16+19.23+40</f>
        <v>94.23</v>
      </c>
      <c r="J723" s="462" t="s">
        <v>377</v>
      </c>
      <c r="K723" s="464"/>
      <c r="L723" s="76"/>
      <c r="M723" s="25"/>
      <c r="N723" s="362">
        <v>50</v>
      </c>
      <c r="O723" s="141" t="s">
        <v>322</v>
      </c>
      <c r="P723" s="133">
        <f>P722/29</f>
        <v>-5.5172413793103452</v>
      </c>
      <c r="Q723" s="10">
        <f>Q722/29</f>
        <v>-5.5172413793103452</v>
      </c>
      <c r="R723" s="144" t="s">
        <v>422</v>
      </c>
      <c r="S723" s="465">
        <v>-2713.38</v>
      </c>
      <c r="T723" s="466"/>
      <c r="U723" s="467">
        <v>-2346.7831399548904</v>
      </c>
      <c r="V723" s="468"/>
      <c r="W723" s="289" t="s">
        <v>12</v>
      </c>
      <c r="X723" s="38">
        <v>458.61</v>
      </c>
      <c r="Y723" s="470" t="s">
        <v>374</v>
      </c>
      <c r="Z723" s="471"/>
    </row>
    <row r="724" spans="1:26" ht="15.75" thickTop="1">
      <c r="C724" s="15"/>
      <c r="D724" s="462"/>
      <c r="E724" s="463"/>
      <c r="F724" s="15"/>
      <c r="G724" s="462"/>
      <c r="H724" s="464"/>
      <c r="I724" s="20">
        <v>1304.08</v>
      </c>
      <c r="J724" s="462" t="s">
        <v>206</v>
      </c>
      <c r="K724" s="464"/>
      <c r="L724" s="76"/>
      <c r="M724" s="25"/>
      <c r="N724" s="362">
        <v>75</v>
      </c>
      <c r="O724" s="136" t="s">
        <v>325</v>
      </c>
      <c r="P724" s="319">
        <f>P707+P725</f>
        <v>1063.8800000000001</v>
      </c>
      <c r="Q724" s="320">
        <f>Z722</f>
        <v>1066.3900000000001</v>
      </c>
      <c r="R724" s="143" t="s">
        <v>421</v>
      </c>
      <c r="S724" s="465">
        <v>-1720.6000000000004</v>
      </c>
      <c r="T724" s="466"/>
      <c r="U724" s="467">
        <v>-2041.4248316844669</v>
      </c>
      <c r="V724" s="468"/>
      <c r="W724" s="282" t="s">
        <v>373</v>
      </c>
      <c r="X724" s="281">
        <v>2000</v>
      </c>
      <c r="Y724" s="321" t="s">
        <v>181</v>
      </c>
      <c r="Z724" s="322">
        <v>1.3</v>
      </c>
    </row>
    <row r="725" spans="1:26" ht="15.75" thickBot="1">
      <c r="C725" s="266"/>
      <c r="D725" s="448"/>
      <c r="E725" s="469"/>
      <c r="F725" s="15"/>
      <c r="G725" s="462"/>
      <c r="H725" s="464"/>
      <c r="I725" s="20">
        <v>34.51</v>
      </c>
      <c r="J725" s="462" t="s">
        <v>107</v>
      </c>
      <c r="K725" s="464"/>
      <c r="L725" s="76"/>
      <c r="M725" s="25"/>
      <c r="N725" s="362"/>
      <c r="O725" s="140" t="s">
        <v>321</v>
      </c>
      <c r="P725" s="132">
        <f>SUM(M716:M729)</f>
        <v>0</v>
      </c>
      <c r="Q725" s="72">
        <f>Q724-Q707</f>
        <v>0.3000000000001819</v>
      </c>
      <c r="R725" s="144" t="s">
        <v>418</v>
      </c>
      <c r="S725" s="465">
        <v>-2331.11</v>
      </c>
      <c r="T725" s="466"/>
      <c r="U725" s="467">
        <v>-2331.11</v>
      </c>
      <c r="V725" s="468"/>
      <c r="W725" s="282" t="s">
        <v>378</v>
      </c>
      <c r="X725" s="281">
        <v>1541.3899999999999</v>
      </c>
      <c r="Y725" s="146" t="s">
        <v>553</v>
      </c>
      <c r="Z725" s="10">
        <f>Stocks!$S$19</f>
        <v>1259.129999999999</v>
      </c>
    </row>
    <row r="726" spans="1:26" ht="15.75" thickBot="1">
      <c r="C726" s="266"/>
      <c r="D726" s="448"/>
      <c r="E726" s="469"/>
      <c r="F726" s="15"/>
      <c r="G726" s="462"/>
      <c r="H726" s="464"/>
      <c r="I726" s="20">
        <v>132.94</v>
      </c>
      <c r="J726" s="462" t="s">
        <v>974</v>
      </c>
      <c r="K726" s="464"/>
      <c r="L726" s="76"/>
      <c r="M726" s="25"/>
      <c r="N726" s="362"/>
      <c r="O726" s="141" t="s">
        <v>322</v>
      </c>
      <c r="P726" s="133">
        <f>P725/29</f>
        <v>0</v>
      </c>
      <c r="Q726" s="10">
        <f>Q725/29</f>
        <v>1.0344827586213169E-2</v>
      </c>
      <c r="R726" s="144" t="s">
        <v>438</v>
      </c>
      <c r="S726" s="465">
        <v>-2331.11</v>
      </c>
      <c r="T726" s="466"/>
      <c r="U726" s="472"/>
      <c r="V726" s="473"/>
      <c r="W726" s="289" t="s">
        <v>379</v>
      </c>
      <c r="X726" s="281"/>
      <c r="Y726" s="266"/>
      <c r="Z726" s="16"/>
    </row>
    <row r="727" spans="1:26" ht="15.75" thickBot="1">
      <c r="C727" s="15"/>
      <c r="D727" s="448"/>
      <c r="E727" s="469"/>
      <c r="F727" s="15"/>
      <c r="G727" s="462"/>
      <c r="H727" s="464"/>
      <c r="I727" s="20"/>
      <c r="J727" s="462"/>
      <c r="K727" s="464"/>
      <c r="L727" s="76"/>
      <c r="M727" s="25"/>
      <c r="N727" s="362"/>
      <c r="O727" s="136" t="s">
        <v>323</v>
      </c>
      <c r="P727" s="319">
        <f>P710+P728</f>
        <v>3797.2473044585295</v>
      </c>
      <c r="Q727" s="320">
        <f>S716+U716</f>
        <v>4363.0383082704238</v>
      </c>
      <c r="R727" s="144" t="s">
        <v>380</v>
      </c>
      <c r="S727" s="291">
        <v>382.27</v>
      </c>
      <c r="T727" s="327">
        <v>0.15278455008353251</v>
      </c>
      <c r="U727" s="291">
        <v>15.673139954890303</v>
      </c>
      <c r="V727" s="329">
        <v>1.3272684001930242E-2</v>
      </c>
      <c r="W727" s="146" t="s">
        <v>375</v>
      </c>
      <c r="X727" s="326">
        <v>3.58</v>
      </c>
      <c r="Y727" s="266"/>
      <c r="Z727" s="16"/>
    </row>
    <row r="728" spans="1:26">
      <c r="C728" s="15"/>
      <c r="D728" s="462"/>
      <c r="E728" s="463"/>
      <c r="F728" s="15"/>
      <c r="G728" s="503"/>
      <c r="H728" s="504"/>
      <c r="I728" s="20"/>
      <c r="J728" s="503"/>
      <c r="K728" s="504"/>
      <c r="L728" s="76"/>
      <c r="M728" s="25"/>
      <c r="N728" s="362"/>
      <c r="O728" s="140" t="s">
        <v>321</v>
      </c>
      <c r="P728" s="132">
        <f>SUM(N716:N729)</f>
        <v>535</v>
      </c>
      <c r="Q728" s="72">
        <f>Q727-Q710</f>
        <v>988.62841720978349</v>
      </c>
      <c r="R728" s="144" t="s">
        <v>381</v>
      </c>
      <c r="S728" s="291">
        <v>610.50999999999976</v>
      </c>
      <c r="T728" s="327">
        <v>0.17452367680059452</v>
      </c>
      <c r="U728" s="291">
        <v>289.68516831553336</v>
      </c>
      <c r="V728" s="366">
        <v>-8.2047842245224185</v>
      </c>
      <c r="W728" s="337" t="s">
        <v>410</v>
      </c>
      <c r="X728" s="1" t="s">
        <v>558</v>
      </c>
      <c r="Y728" s="266"/>
      <c r="Z728" s="16"/>
    </row>
    <row r="729" spans="1:26" ht="15.75" thickBot="1">
      <c r="C729" s="17"/>
      <c r="D729" s="459"/>
      <c r="E729" s="460"/>
      <c r="F729" s="17"/>
      <c r="G729" s="459"/>
      <c r="H729" s="461"/>
      <c r="I729" s="21"/>
      <c r="J729" s="459"/>
      <c r="K729" s="461"/>
      <c r="L729" s="42"/>
      <c r="M729" s="5"/>
      <c r="N729" s="21"/>
      <c r="O729" s="137" t="s">
        <v>322</v>
      </c>
      <c r="P729" s="138">
        <f>P728/29</f>
        <v>18.448275862068964</v>
      </c>
      <c r="Q729" s="24">
        <f>Q728/29</f>
        <v>34.090635076199433</v>
      </c>
      <c r="R729" s="153" t="s">
        <v>410</v>
      </c>
      <c r="S729" s="296">
        <v>992.77999999999975</v>
      </c>
      <c r="T729" s="328">
        <v>0.16545864533838203</v>
      </c>
      <c r="U729" s="296">
        <v>305.35830827042366</v>
      </c>
      <c r="V729" s="330">
        <v>0.2665604367076283</v>
      </c>
      <c r="W729" s="296">
        <v>1298.1383082704233</v>
      </c>
      <c r="X729" s="330">
        <v>0.18166655120413666</v>
      </c>
      <c r="Y729" s="290"/>
      <c r="Z729" s="18"/>
    </row>
    <row r="730" spans="1:26" ht="17.25" thickTop="1" thickBot="1">
      <c r="A730" s="14"/>
      <c r="B730" s="14" t="s">
        <v>31</v>
      </c>
      <c r="C730" s="264">
        <v>45870</v>
      </c>
      <c r="D730" s="3"/>
      <c r="E730" s="3"/>
      <c r="F730" s="3"/>
      <c r="G730" s="3"/>
      <c r="H730" s="3"/>
      <c r="I730" s="3"/>
      <c r="J730" s="3"/>
      <c r="K730" s="3"/>
      <c r="L730" s="3"/>
      <c r="M730" s="3"/>
      <c r="N730" s="3"/>
      <c r="O730" s="3"/>
      <c r="P730" s="3"/>
      <c r="Q730" s="3"/>
      <c r="R730" s="3"/>
      <c r="S730" s="3"/>
      <c r="T730" s="3"/>
      <c r="U730" s="3"/>
      <c r="V730" s="3"/>
      <c r="W730" s="3"/>
      <c r="X730" s="3"/>
      <c r="Y730" s="3"/>
      <c r="Z730" s="3"/>
    </row>
    <row r="731" spans="1:26" ht="17.25" thickTop="1" thickBot="1">
      <c r="C731" s="480" t="s">
        <v>386</v>
      </c>
      <c r="D731" s="481"/>
      <c r="E731" s="482"/>
      <c r="F731" s="483" t="s">
        <v>387</v>
      </c>
      <c r="G731" s="484"/>
      <c r="H731" s="484"/>
      <c r="I731" s="484"/>
      <c r="J731" s="484"/>
      <c r="K731" s="484"/>
      <c r="L731" s="484"/>
      <c r="M731" s="484"/>
      <c r="N731" s="485"/>
      <c r="O731" s="261" t="s">
        <v>320</v>
      </c>
      <c r="P731" s="262" t="s">
        <v>257</v>
      </c>
      <c r="Q731" s="263" t="s">
        <v>319</v>
      </c>
      <c r="R731" s="486" t="s">
        <v>144</v>
      </c>
      <c r="S731" s="487"/>
      <c r="T731" s="487"/>
      <c r="U731" s="487"/>
      <c r="V731" s="487"/>
      <c r="W731" s="487"/>
      <c r="X731" s="487"/>
      <c r="Y731" s="487"/>
      <c r="Z731" s="488"/>
    </row>
    <row r="732" spans="1:26" ht="15.75" thickBot="1">
      <c r="C732" s="265"/>
      <c r="D732" s="489"/>
      <c r="E732" s="490"/>
      <c r="F732" s="470" t="s">
        <v>3</v>
      </c>
      <c r="G732" s="491"/>
      <c r="H732" s="492"/>
      <c r="I732" s="493" t="s">
        <v>4</v>
      </c>
      <c r="J732" s="491"/>
      <c r="K732" s="492"/>
      <c r="L732" s="267" t="s">
        <v>324</v>
      </c>
      <c r="M732" s="267" t="s">
        <v>325</v>
      </c>
      <c r="N732" s="267" t="s">
        <v>323</v>
      </c>
      <c r="O732" s="316" t="s">
        <v>5</v>
      </c>
      <c r="P732" s="317">
        <f>P735+P738+P741+P744</f>
        <v>7067.5773044585258</v>
      </c>
      <c r="Q732" s="318">
        <f>Q741+Q738+Q735+Q744</f>
        <v>8117.7670232685396</v>
      </c>
      <c r="R732" s="268" t="s">
        <v>323</v>
      </c>
      <c r="S732" s="493" t="s">
        <v>317</v>
      </c>
      <c r="T732" s="492"/>
      <c r="U732" s="493" t="s">
        <v>369</v>
      </c>
      <c r="V732" s="471"/>
      <c r="W732" s="491" t="s">
        <v>310</v>
      </c>
      <c r="X732" s="471"/>
      <c r="Y732" s="470" t="s">
        <v>13</v>
      </c>
      <c r="Z732" s="471"/>
    </row>
    <row r="733" spans="1:26" ht="16.5" thickTop="1" thickBot="1">
      <c r="C733" s="15"/>
      <c r="D733" s="494"/>
      <c r="E733" s="495"/>
      <c r="G733" s="496"/>
      <c r="H733" s="497"/>
      <c r="J733" s="496"/>
      <c r="K733" s="497"/>
      <c r="L733" s="76"/>
      <c r="M733" s="25"/>
      <c r="N733" s="292"/>
      <c r="O733" s="258" t="s">
        <v>321</v>
      </c>
      <c r="P733" s="315">
        <f>SUM(C733:C746)-SUM(F733:F746)-SUM(I733:I746)</f>
        <v>1759.3099999999995</v>
      </c>
      <c r="Q733" s="12">
        <f>Q732-Q715</f>
        <v>1742.698714998116</v>
      </c>
      <c r="R733" s="307" t="s">
        <v>343</v>
      </c>
      <c r="S733" s="498">
        <v>4929.92</v>
      </c>
      <c r="T733" s="499"/>
      <c r="U733" s="498">
        <v>236.94702326853948</v>
      </c>
      <c r="V733" s="500"/>
      <c r="W733" s="501" t="s">
        <v>326</v>
      </c>
      <c r="X733" s="502"/>
      <c r="Y733" s="143" t="s">
        <v>17</v>
      </c>
      <c r="Z733" s="12">
        <v>204</v>
      </c>
    </row>
    <row r="734" spans="1:26" ht="16.5" thickTop="1" thickBot="1">
      <c r="C734" s="15">
        <v>4722.82</v>
      </c>
      <c r="D734" s="462" t="s">
        <v>11</v>
      </c>
      <c r="E734" s="463"/>
      <c r="F734" s="6">
        <f>3.11+15.84+3.1+9.34+16+15.57+16+9.34+19+16+12.58+9.34+16+6.2+9.34+15.84+16+16+15.84+21.37+12</f>
        <v>273.81</v>
      </c>
      <c r="G734" s="462" t="s">
        <v>223</v>
      </c>
      <c r="H734" s="464"/>
      <c r="I734" s="20">
        <v>11.99</v>
      </c>
      <c r="J734" s="462" t="s">
        <v>385</v>
      </c>
      <c r="K734" s="464"/>
      <c r="L734" s="76">
        <v>400</v>
      </c>
      <c r="M734" s="25">
        <v>-400</v>
      </c>
      <c r="N734" s="362">
        <v>23.7</v>
      </c>
      <c r="O734" s="141" t="s">
        <v>322</v>
      </c>
      <c r="P734" s="133">
        <f>P733/29</f>
        <v>60.665862068965502</v>
      </c>
      <c r="Q734" s="10">
        <f>Q733/29</f>
        <v>60.093059137866071</v>
      </c>
      <c r="R734" s="308" t="s">
        <v>382</v>
      </c>
      <c r="S734" s="474">
        <v>7034.17</v>
      </c>
      <c r="T734" s="475"/>
      <c r="U734" s="467">
        <v>1145.5500000000002</v>
      </c>
      <c r="V734" s="468"/>
      <c r="W734" s="289" t="s">
        <v>12</v>
      </c>
      <c r="X734" s="315">
        <v>731.42</v>
      </c>
      <c r="Y734" s="144" t="s">
        <v>18</v>
      </c>
      <c r="Z734" s="72">
        <v>44</v>
      </c>
    </row>
    <row r="735" spans="1:26">
      <c r="C735" s="15">
        <v>1.49</v>
      </c>
      <c r="D735" s="462" t="s">
        <v>390</v>
      </c>
      <c r="E735" s="463"/>
      <c r="F735" s="15">
        <f>35.38+34.98+41.62</f>
        <v>111.97999999999999</v>
      </c>
      <c r="G735" s="462" t="s">
        <v>9</v>
      </c>
      <c r="H735" s="464"/>
      <c r="I735" s="63">
        <v>11.99</v>
      </c>
      <c r="J735" s="462" t="s">
        <v>22</v>
      </c>
      <c r="K735" s="464"/>
      <c r="L735" s="76"/>
      <c r="M735" s="25">
        <v>-500</v>
      </c>
      <c r="N735" s="294">
        <v>85</v>
      </c>
      <c r="O735" s="136" t="s">
        <v>12</v>
      </c>
      <c r="P735" s="319">
        <f>P718+P733-SUM(L733:L746)-SUM(M733:M746)-SUM(N733:N746)</f>
        <v>822.41999999999666</v>
      </c>
      <c r="Q735" s="320">
        <f>Z733+Z738+Z741</f>
        <v>1404.41</v>
      </c>
      <c r="R735" s="308" t="s">
        <v>383</v>
      </c>
      <c r="S735" s="474">
        <v>3118.95</v>
      </c>
      <c r="T735" s="475"/>
      <c r="U735" s="467">
        <v>1196.5299999999997</v>
      </c>
      <c r="V735" s="468"/>
      <c r="W735" s="282" t="s">
        <v>373</v>
      </c>
      <c r="X735" s="132">
        <v>5000</v>
      </c>
      <c r="Y735" s="144" t="s">
        <v>19</v>
      </c>
      <c r="Z735" s="72">
        <v>36</v>
      </c>
    </row>
    <row r="736" spans="1:26" ht="15.75" thickBot="1">
      <c r="C736" s="15">
        <v>2</v>
      </c>
      <c r="D736" s="462" t="s">
        <v>975</v>
      </c>
      <c r="E736" s="463"/>
      <c r="F736" s="15">
        <v>115</v>
      </c>
      <c r="G736" s="462" t="s">
        <v>6</v>
      </c>
      <c r="H736" s="464"/>
      <c r="I736" s="20">
        <v>20</v>
      </c>
      <c r="J736" s="462" t="s">
        <v>920</v>
      </c>
      <c r="K736" s="464"/>
      <c r="L736" s="76"/>
      <c r="M736" s="25">
        <v>-160</v>
      </c>
      <c r="N736" s="362">
        <v>50</v>
      </c>
      <c r="O736" s="140" t="s">
        <v>321</v>
      </c>
      <c r="P736" s="132">
        <f>SUM(C733:C746)-SUM(F733:F746)-SUM(I733:I746)-P739-P742-P745</f>
        <v>510.27999999999952</v>
      </c>
      <c r="Q736" s="72">
        <f>Q735-Q718</f>
        <v>588.77000000000044</v>
      </c>
      <c r="R736" s="308" t="s">
        <v>424</v>
      </c>
      <c r="S736" s="474">
        <v>2692.04</v>
      </c>
      <c r="T736" s="475"/>
      <c r="U736" s="467">
        <v>1180.8568600451094</v>
      </c>
      <c r="V736" s="468"/>
      <c r="W736" s="282" t="s">
        <v>378</v>
      </c>
      <c r="X736" s="132">
        <v>4334.67</v>
      </c>
      <c r="Y736" s="145" t="s">
        <v>324</v>
      </c>
      <c r="Z736" s="135">
        <v>400</v>
      </c>
    </row>
    <row r="737" spans="1:26" ht="15.75" thickBot="1">
      <c r="C737" s="15">
        <f>10.49+1.95</f>
        <v>12.44</v>
      </c>
      <c r="D737" s="455" t="s">
        <v>390</v>
      </c>
      <c r="E737" s="456"/>
      <c r="F737" s="15">
        <v>400</v>
      </c>
      <c r="G737" s="462" t="s">
        <v>97</v>
      </c>
      <c r="H737" s="464"/>
      <c r="I737" s="20">
        <v>11.9</v>
      </c>
      <c r="J737" s="462" t="s">
        <v>249</v>
      </c>
      <c r="K737" s="464"/>
      <c r="L737" s="76"/>
      <c r="M737" s="25">
        <v>1060</v>
      </c>
      <c r="N737" s="294">
        <v>1</v>
      </c>
      <c r="O737" s="141" t="s">
        <v>322</v>
      </c>
      <c r="P737" s="133">
        <f>P736/29</f>
        <v>17.595862068965502</v>
      </c>
      <c r="Q737" s="10">
        <f>Q736/29</f>
        <v>20.302413793103462</v>
      </c>
      <c r="R737" s="143" t="s">
        <v>12</v>
      </c>
      <c r="S737" s="476">
        <v>3915.2200000000003</v>
      </c>
      <c r="T737" s="477"/>
      <c r="U737" s="478">
        <v>-50.979999999999563</v>
      </c>
      <c r="V737" s="479"/>
      <c r="W737" s="289" t="s">
        <v>379</v>
      </c>
      <c r="X737" s="132">
        <v>731.42</v>
      </c>
      <c r="Y737" s="470" t="s">
        <v>14</v>
      </c>
      <c r="Z737" s="471"/>
    </row>
    <row r="738" spans="1:26" ht="15.75" thickBot="1">
      <c r="C738" s="15"/>
      <c r="D738" s="455"/>
      <c r="E738" s="456"/>
      <c r="F738" s="15">
        <v>910</v>
      </c>
      <c r="G738" s="462" t="s">
        <v>777</v>
      </c>
      <c r="H738" s="464"/>
      <c r="I738" s="63">
        <v>396.75</v>
      </c>
      <c r="J738" s="462" t="s">
        <v>206</v>
      </c>
      <c r="K738" s="464"/>
      <c r="L738" s="76"/>
      <c r="M738" s="25"/>
      <c r="N738" s="362">
        <v>50</v>
      </c>
      <c r="O738" s="136" t="s">
        <v>324</v>
      </c>
      <c r="P738" s="319">
        <f>P721+P739</f>
        <v>535</v>
      </c>
      <c r="Q738" s="320">
        <f>Z734+Z735+Z736</f>
        <v>480</v>
      </c>
      <c r="R738" s="144" t="s">
        <v>425</v>
      </c>
      <c r="S738" s="465">
        <v>4342.13</v>
      </c>
      <c r="T738" s="466"/>
      <c r="U738" s="467">
        <v>-35.306860045109261</v>
      </c>
      <c r="V738" s="468"/>
      <c r="W738" s="146" t="s">
        <v>375</v>
      </c>
      <c r="X738" s="325">
        <v>0</v>
      </c>
      <c r="Y738" s="143" t="s">
        <v>15</v>
      </c>
      <c r="Z738" s="12">
        <f>2258.2-396.75-600-41.62-21.37+1.95</f>
        <v>1200.4100000000001</v>
      </c>
    </row>
    <row r="739" spans="1:26" ht="15.75" thickBot="1">
      <c r="C739" s="15"/>
      <c r="D739" s="462"/>
      <c r="E739" s="463"/>
      <c r="F739" s="15">
        <v>141.94999999999999</v>
      </c>
      <c r="G739" s="457" t="s">
        <v>869</v>
      </c>
      <c r="H739" s="458"/>
      <c r="I739" s="20">
        <v>360.03</v>
      </c>
      <c r="J739" s="462" t="s">
        <v>105</v>
      </c>
      <c r="K739" s="464"/>
      <c r="L739" s="76"/>
      <c r="M739" s="25"/>
      <c r="N739" s="294">
        <v>100</v>
      </c>
      <c r="O739" s="140" t="s">
        <v>321</v>
      </c>
      <c r="P739" s="132">
        <f>SUM(L733:L746)</f>
        <v>400</v>
      </c>
      <c r="Q739" s="72">
        <f>Q738-Q721</f>
        <v>350</v>
      </c>
      <c r="R739" s="144" t="s">
        <v>426</v>
      </c>
      <c r="S739" s="465">
        <v>784.81</v>
      </c>
      <c r="T739" s="466"/>
      <c r="U739" s="467">
        <v>-3181.39</v>
      </c>
      <c r="V739" s="468"/>
      <c r="W739" s="470" t="s">
        <v>376</v>
      </c>
      <c r="X739" s="471"/>
      <c r="Y739" s="146" t="s">
        <v>325</v>
      </c>
      <c r="Z739" s="10">
        <v>1066.49</v>
      </c>
    </row>
    <row r="740" spans="1:26" ht="16.5" thickTop="1" thickBot="1">
      <c r="C740" s="15"/>
      <c r="D740" s="462"/>
      <c r="E740" s="463"/>
      <c r="F740" s="15">
        <v>30</v>
      </c>
      <c r="G740" s="462" t="s">
        <v>33</v>
      </c>
      <c r="H740" s="464"/>
      <c r="I740" s="63">
        <v>0</v>
      </c>
      <c r="J740" s="462" t="s">
        <v>974</v>
      </c>
      <c r="K740" s="464"/>
      <c r="L740" s="76"/>
      <c r="M740" s="25"/>
      <c r="N740" s="362">
        <v>20</v>
      </c>
      <c r="O740" s="141" t="s">
        <v>322</v>
      </c>
      <c r="P740" s="133">
        <f>P739/29</f>
        <v>13.793103448275861</v>
      </c>
      <c r="Q740" s="10">
        <f>Q739/29</f>
        <v>12.068965517241379</v>
      </c>
      <c r="R740" s="144" t="s">
        <v>422</v>
      </c>
      <c r="S740" s="465">
        <v>-3557.32</v>
      </c>
      <c r="T740" s="466"/>
      <c r="U740" s="467">
        <v>-3146.0831399548906</v>
      </c>
      <c r="V740" s="468"/>
      <c r="W740" s="289" t="s">
        <v>12</v>
      </c>
      <c r="X740" s="38">
        <v>366.4</v>
      </c>
      <c r="Y740" s="470" t="s">
        <v>374</v>
      </c>
      <c r="Z740" s="471"/>
    </row>
    <row r="741" spans="1:26" ht="15.75" thickTop="1">
      <c r="C741" s="15"/>
      <c r="D741" s="462"/>
      <c r="E741" s="463"/>
      <c r="F741" s="15"/>
      <c r="G741" s="462"/>
      <c r="H741" s="464"/>
      <c r="I741" s="20">
        <v>160</v>
      </c>
      <c r="J741" s="462" t="s">
        <v>967</v>
      </c>
      <c r="K741" s="464"/>
      <c r="L741" s="76"/>
      <c r="M741" s="25"/>
      <c r="N741" s="294">
        <f>50+25+60+15+50+10+100+50+60+99.33</f>
        <v>519.33000000000004</v>
      </c>
      <c r="O741" s="136" t="s">
        <v>325</v>
      </c>
      <c r="P741" s="319">
        <f>P724+P742</f>
        <v>1063.8800000000001</v>
      </c>
      <c r="Q741" s="320">
        <f>Z739</f>
        <v>1066.49</v>
      </c>
      <c r="R741" s="143" t="s">
        <v>421</v>
      </c>
      <c r="S741" s="465">
        <v>-2542.6200000000003</v>
      </c>
      <c r="T741" s="466"/>
      <c r="U741" s="467">
        <v>-2858.1561166863517</v>
      </c>
      <c r="V741" s="468"/>
      <c r="W741" s="282" t="s">
        <v>373</v>
      </c>
      <c r="X741" s="281">
        <v>2000</v>
      </c>
      <c r="Y741" s="321" t="s">
        <v>181</v>
      </c>
      <c r="Z741" s="322">
        <v>0</v>
      </c>
    </row>
    <row r="742" spans="1:26" ht="15.75" thickBot="1">
      <c r="C742" s="266"/>
      <c r="D742" s="448"/>
      <c r="E742" s="469"/>
      <c r="F742" s="15"/>
      <c r="G742" s="462"/>
      <c r="H742" s="464"/>
      <c r="I742" s="20">
        <f>12+12.04</f>
        <v>24.04</v>
      </c>
      <c r="J742" s="462" t="s">
        <v>377</v>
      </c>
      <c r="K742" s="464"/>
      <c r="L742" s="76"/>
      <c r="M742" s="25"/>
      <c r="N742" s="362"/>
      <c r="O742" s="140" t="s">
        <v>321</v>
      </c>
      <c r="P742" s="132">
        <f>SUM(M733:M746)</f>
        <v>0</v>
      </c>
      <c r="Q742" s="72">
        <f>Q741-Q724</f>
        <v>9.9999999999909051E-2</v>
      </c>
      <c r="R742" s="144" t="s">
        <v>418</v>
      </c>
      <c r="S742" s="465">
        <v>-3130.4100000000003</v>
      </c>
      <c r="T742" s="466"/>
      <c r="U742" s="467">
        <v>-3130.4100000000003</v>
      </c>
      <c r="V742" s="468"/>
      <c r="W742" s="282" t="s">
        <v>378</v>
      </c>
      <c r="X742" s="281">
        <v>1633.6</v>
      </c>
      <c r="Y742" s="146" t="s">
        <v>553</v>
      </c>
      <c r="Z742" s="10">
        <v>-3.4461322684364859E-13</v>
      </c>
    </row>
    <row r="743" spans="1:26" ht="15.75" thickBot="1">
      <c r="C743" s="266"/>
      <c r="D743" s="448"/>
      <c r="E743" s="469"/>
      <c r="F743" s="15"/>
      <c r="G743" s="462"/>
      <c r="H743" s="464"/>
      <c r="I743" s="20"/>
      <c r="J743" s="462"/>
      <c r="K743" s="464"/>
      <c r="L743" s="76"/>
      <c r="M743" s="25"/>
      <c r="N743" s="294"/>
      <c r="O743" s="141" t="s">
        <v>322</v>
      </c>
      <c r="P743" s="133">
        <f>P742/29</f>
        <v>0</v>
      </c>
      <c r="Q743" s="10">
        <f>Q742/29</f>
        <v>3.4482758620658295E-3</v>
      </c>
      <c r="R743" s="144" t="s">
        <v>438</v>
      </c>
      <c r="S743" s="465">
        <v>-3130.4100000000003</v>
      </c>
      <c r="T743" s="466"/>
      <c r="U743" s="472"/>
      <c r="V743" s="473"/>
      <c r="W743" s="289" t="s">
        <v>379</v>
      </c>
      <c r="X743" s="281"/>
      <c r="Y743" s="266"/>
      <c r="Z743" s="16"/>
    </row>
    <row r="744" spans="1:26" ht="15.75" thickBot="1">
      <c r="C744" s="15"/>
      <c r="D744" s="448"/>
      <c r="E744" s="469"/>
      <c r="F744" s="15"/>
      <c r="G744" s="462"/>
      <c r="H744" s="464"/>
      <c r="I744" s="20"/>
      <c r="J744" s="462"/>
      <c r="K744" s="464"/>
      <c r="L744" s="76"/>
      <c r="M744" s="25"/>
      <c r="N744" s="362"/>
      <c r="O744" s="136" t="s">
        <v>323</v>
      </c>
      <c r="P744" s="319">
        <f>P727+P745</f>
        <v>4646.2773044585292</v>
      </c>
      <c r="Q744" s="320">
        <f>S733+U733</f>
        <v>5166.8670232685399</v>
      </c>
      <c r="R744" s="144" t="s">
        <v>380</v>
      </c>
      <c r="S744" s="291">
        <v>426.90999999999985</v>
      </c>
      <c r="T744" s="327">
        <v>0.15858233904399632</v>
      </c>
      <c r="U744" s="291">
        <v>15.673139954890303</v>
      </c>
      <c r="V744" s="329">
        <v>1.3272684001930242E-2</v>
      </c>
      <c r="W744" s="146" t="s">
        <v>375</v>
      </c>
      <c r="X744" s="326">
        <v>4.72</v>
      </c>
      <c r="Y744" s="266"/>
      <c r="Z744" s="16"/>
    </row>
    <row r="745" spans="1:26">
      <c r="C745" s="15"/>
      <c r="D745" s="462"/>
      <c r="E745" s="463"/>
      <c r="F745" s="15"/>
      <c r="G745" s="503"/>
      <c r="H745" s="504"/>
      <c r="I745" s="20"/>
      <c r="J745" s="503"/>
      <c r="K745" s="504"/>
      <c r="L745" s="76"/>
      <c r="M745" s="25"/>
      <c r="N745" s="294"/>
      <c r="O745" s="140" t="s">
        <v>321</v>
      </c>
      <c r="P745" s="132">
        <f>SUM(N733:N746)</f>
        <v>849.03</v>
      </c>
      <c r="Q745" s="72">
        <f>Q744-Q727</f>
        <v>803.82871499811608</v>
      </c>
      <c r="R745" s="144" t="s">
        <v>381</v>
      </c>
      <c r="S745" s="291">
        <v>587.79</v>
      </c>
      <c r="T745" s="327">
        <v>0.13536904698845956</v>
      </c>
      <c r="U745" s="291">
        <v>272.25388331364877</v>
      </c>
      <c r="V745" s="366">
        <v>7.7110760618703509</v>
      </c>
      <c r="W745" s="337" t="s">
        <v>410</v>
      </c>
      <c r="X745" s="1" t="s">
        <v>558</v>
      </c>
      <c r="Y745" s="266"/>
      <c r="Z745" s="16"/>
    </row>
    <row r="746" spans="1:26" ht="15.75" thickBot="1">
      <c r="C746" s="17"/>
      <c r="D746" s="459"/>
      <c r="E746" s="460"/>
      <c r="F746" s="17"/>
      <c r="G746" s="459"/>
      <c r="H746" s="461"/>
      <c r="I746" s="21"/>
      <c r="J746" s="459"/>
      <c r="K746" s="461"/>
      <c r="L746" s="42"/>
      <c r="M746" s="5"/>
      <c r="N746" s="21"/>
      <c r="O746" s="137" t="s">
        <v>322</v>
      </c>
      <c r="P746" s="138">
        <f>P745/29</f>
        <v>29.276896551724136</v>
      </c>
      <c r="Q746" s="24">
        <f>Q745/29</f>
        <v>27.718231551659176</v>
      </c>
      <c r="R746" s="153" t="s">
        <v>410</v>
      </c>
      <c r="S746" s="296">
        <v>1014.6999999999998</v>
      </c>
      <c r="T746" s="328">
        <v>0.14425298222818042</v>
      </c>
      <c r="U746" s="296">
        <v>287.92702326853907</v>
      </c>
      <c r="V746" s="330">
        <v>0.25134391625729041</v>
      </c>
      <c r="W746" s="296">
        <v>1302.6270232685388</v>
      </c>
      <c r="X746" s="330">
        <v>0.15925080849571116</v>
      </c>
      <c r="Y746" s="290"/>
      <c r="Z746" s="18"/>
    </row>
    <row r="747" spans="1:26" ht="17.25" thickTop="1" thickBot="1">
      <c r="A747" s="14"/>
      <c r="B747" s="14" t="s">
        <v>31</v>
      </c>
      <c r="C747" s="264">
        <v>45901</v>
      </c>
      <c r="D747" s="3"/>
      <c r="E747" s="3"/>
      <c r="F747" s="3"/>
      <c r="G747" s="3"/>
      <c r="H747" s="3"/>
      <c r="I747" s="3"/>
      <c r="J747" s="3"/>
      <c r="K747" s="3"/>
      <c r="L747" s="3"/>
      <c r="M747" s="3"/>
      <c r="N747" s="3"/>
      <c r="O747" s="3"/>
      <c r="P747" s="3"/>
      <c r="Q747" s="3"/>
      <c r="R747" s="3"/>
      <c r="S747" s="3"/>
      <c r="T747" s="3"/>
      <c r="U747" s="3"/>
      <c r="V747" s="3"/>
      <c r="W747" s="3"/>
      <c r="X747" s="3"/>
      <c r="Y747" s="3"/>
      <c r="Z747" s="3"/>
    </row>
    <row r="748" spans="1:26" ht="17.25" thickTop="1" thickBot="1">
      <c r="C748" s="480" t="s">
        <v>386</v>
      </c>
      <c r="D748" s="481"/>
      <c r="E748" s="482"/>
      <c r="F748" s="483" t="s">
        <v>387</v>
      </c>
      <c r="G748" s="484"/>
      <c r="H748" s="484"/>
      <c r="I748" s="484"/>
      <c r="J748" s="484"/>
      <c r="K748" s="484"/>
      <c r="L748" s="484"/>
      <c r="M748" s="484"/>
      <c r="N748" s="485"/>
      <c r="O748" s="261" t="s">
        <v>320</v>
      </c>
      <c r="P748" s="262" t="s">
        <v>257</v>
      </c>
      <c r="Q748" s="263" t="s">
        <v>319</v>
      </c>
      <c r="R748" s="486" t="s">
        <v>144</v>
      </c>
      <c r="S748" s="487"/>
      <c r="T748" s="487"/>
      <c r="U748" s="487"/>
      <c r="V748" s="487"/>
      <c r="W748" s="487"/>
      <c r="X748" s="487"/>
      <c r="Y748" s="487"/>
      <c r="Z748" s="488"/>
    </row>
    <row r="749" spans="1:26" ht="15.75" thickBot="1">
      <c r="C749" s="265"/>
      <c r="D749" s="489"/>
      <c r="E749" s="490"/>
      <c r="F749" s="470" t="s">
        <v>3</v>
      </c>
      <c r="G749" s="491"/>
      <c r="H749" s="492"/>
      <c r="I749" s="493" t="s">
        <v>4</v>
      </c>
      <c r="J749" s="491"/>
      <c r="K749" s="492"/>
      <c r="L749" s="267" t="s">
        <v>324</v>
      </c>
      <c r="M749" s="267" t="s">
        <v>325</v>
      </c>
      <c r="N749" s="267" t="s">
        <v>323</v>
      </c>
      <c r="O749" s="316" t="s">
        <v>5</v>
      </c>
      <c r="P749" s="317">
        <f>P752+P755+P758+P761</f>
        <v>8252.8573044585264</v>
      </c>
      <c r="Q749" s="318">
        <f>Q758+Q755+Q752+Q761</f>
        <v>9965.8154197173062</v>
      </c>
      <c r="R749" s="268" t="s">
        <v>323</v>
      </c>
      <c r="S749" s="493" t="s">
        <v>317</v>
      </c>
      <c r="T749" s="492"/>
      <c r="U749" s="493" t="s">
        <v>369</v>
      </c>
      <c r="V749" s="471"/>
      <c r="W749" s="470" t="s">
        <v>310</v>
      </c>
      <c r="X749" s="471"/>
      <c r="Y749" s="470" t="s">
        <v>13</v>
      </c>
      <c r="Z749" s="471"/>
    </row>
    <row r="750" spans="1:26" ht="16.5" thickTop="1" thickBot="1">
      <c r="C750" s="15"/>
      <c r="D750" s="494"/>
      <c r="E750" s="495"/>
      <c r="G750" s="496"/>
      <c r="H750" s="497"/>
      <c r="J750" s="496"/>
      <c r="K750" s="497"/>
      <c r="L750" s="76"/>
      <c r="M750" s="25"/>
      <c r="N750" s="292"/>
      <c r="O750" s="258" t="s">
        <v>321</v>
      </c>
      <c r="P750" s="315">
        <f>SUM(C750:C763)-SUM(F750:F763)-SUM(I750:I763)</f>
        <v>1185.2800000000002</v>
      </c>
      <c r="Q750" s="12">
        <f>Q749-Q732</f>
        <v>1848.0483964487667</v>
      </c>
      <c r="R750" s="307" t="s">
        <v>343</v>
      </c>
      <c r="S750" s="498">
        <v>6364.54</v>
      </c>
      <c r="T750" s="499"/>
      <c r="U750" s="498">
        <v>251.67541971730708</v>
      </c>
      <c r="V750" s="500"/>
      <c r="W750" s="501" t="s">
        <v>326</v>
      </c>
      <c r="X750" s="502"/>
      <c r="Y750" s="143" t="s">
        <v>17</v>
      </c>
      <c r="Z750" s="12">
        <v>44</v>
      </c>
    </row>
    <row r="751" spans="1:26" ht="16.5" thickTop="1" thickBot="1">
      <c r="C751" s="15">
        <v>5274.47</v>
      </c>
      <c r="D751" s="455" t="s">
        <v>11</v>
      </c>
      <c r="E751" s="456"/>
      <c r="F751" s="6">
        <f>3.11+12.41+15.84+12.45+16.09+12.41+21.37+12.41+12.63+12.45+22+18.61+19.33+9.86+22+9.75+6.2+16</f>
        <v>254.91999999999996</v>
      </c>
      <c r="G751" s="462" t="s">
        <v>223</v>
      </c>
      <c r="H751" s="464"/>
      <c r="I751" s="20">
        <v>11.99</v>
      </c>
      <c r="J751" s="462" t="s">
        <v>385</v>
      </c>
      <c r="K751" s="464"/>
      <c r="L751" s="76"/>
      <c r="M751" s="25">
        <v>-500</v>
      </c>
      <c r="N751" s="294">
        <v>26</v>
      </c>
      <c r="O751" s="141" t="s">
        <v>322</v>
      </c>
      <c r="P751" s="133">
        <f>P750/29</f>
        <v>40.871724137931039</v>
      </c>
      <c r="Q751" s="10">
        <f>Q750/29</f>
        <v>63.725806774095403</v>
      </c>
      <c r="R751" s="308" t="s">
        <v>382</v>
      </c>
      <c r="S751" s="474">
        <v>7985.17</v>
      </c>
      <c r="T751" s="475"/>
      <c r="U751" s="467">
        <v>1145.5500000000002</v>
      </c>
      <c r="V751" s="468"/>
      <c r="W751" s="289" t="s">
        <v>12</v>
      </c>
      <c r="X751" s="315">
        <v>897.56</v>
      </c>
      <c r="Y751" s="144" t="s">
        <v>18</v>
      </c>
      <c r="Z751" s="72">
        <v>44</v>
      </c>
    </row>
    <row r="752" spans="1:26">
      <c r="C752" s="15">
        <v>17.739999999999998</v>
      </c>
      <c r="D752" s="455" t="s">
        <v>390</v>
      </c>
      <c r="E752" s="456"/>
      <c r="F752" s="15">
        <f>41.66+36.07</f>
        <v>77.72999999999999</v>
      </c>
      <c r="G752" s="462" t="s">
        <v>9</v>
      </c>
      <c r="H752" s="464"/>
      <c r="I752" s="63">
        <v>11.99</v>
      </c>
      <c r="J752" s="462" t="s">
        <v>22</v>
      </c>
      <c r="K752" s="464"/>
      <c r="L752" s="76"/>
      <c r="M752" s="25">
        <v>-500</v>
      </c>
      <c r="N752" s="20">
        <v>48.72</v>
      </c>
      <c r="O752" s="136" t="s">
        <v>12</v>
      </c>
      <c r="P752" s="319">
        <f>P735+P750-SUM(L750:L763)-SUM(M750:M763)-SUM(N750:N763)</f>
        <v>1221.5599999999968</v>
      </c>
      <c r="Q752" s="320">
        <f>Z750+Z755+Z758</f>
        <v>1802.9299999999994</v>
      </c>
      <c r="R752" s="308" t="s">
        <v>383</v>
      </c>
      <c r="S752" s="474">
        <v>3278.93</v>
      </c>
      <c r="T752" s="475"/>
      <c r="U752" s="467">
        <v>1196.5299999999997</v>
      </c>
      <c r="V752" s="468"/>
      <c r="W752" s="282" t="s">
        <v>373</v>
      </c>
      <c r="X752" s="132">
        <v>5000</v>
      </c>
      <c r="Y752" s="144" t="s">
        <v>19</v>
      </c>
      <c r="Z752" s="72">
        <v>36</v>
      </c>
    </row>
    <row r="753" spans="1:26" ht="15.75" thickBot="1">
      <c r="C753" s="15"/>
      <c r="D753" s="462"/>
      <c r="E753" s="463"/>
      <c r="F753" s="15">
        <v>115</v>
      </c>
      <c r="G753" s="462" t="s">
        <v>6</v>
      </c>
      <c r="H753" s="464"/>
      <c r="I753" s="20">
        <v>20</v>
      </c>
      <c r="J753" s="462" t="s">
        <v>920</v>
      </c>
      <c r="K753" s="464"/>
      <c r="L753" s="76"/>
      <c r="M753" s="25">
        <v>1000</v>
      </c>
      <c r="N753" s="362">
        <f>39.72+75+25+50+100+50</f>
        <v>339.72</v>
      </c>
      <c r="O753" s="140" t="s">
        <v>321</v>
      </c>
      <c r="P753" s="132">
        <f>SUM(C750:C763)-SUM(F750:F763)-SUM(I750:I763)-P756-P759-P762</f>
        <v>399.1400000000001</v>
      </c>
      <c r="Q753" s="72">
        <f>Q752-Q735</f>
        <v>398.5199999999993</v>
      </c>
      <c r="R753" s="308" t="s">
        <v>424</v>
      </c>
      <c r="S753" s="474">
        <v>2755.78</v>
      </c>
      <c r="T753" s="475"/>
      <c r="U753" s="467">
        <v>1180.8568600451094</v>
      </c>
      <c r="V753" s="468"/>
      <c r="W753" s="282" t="s">
        <v>378</v>
      </c>
      <c r="X753" s="132">
        <v>4193.9400000000005</v>
      </c>
      <c r="Y753" s="145" t="s">
        <v>324</v>
      </c>
      <c r="Z753" s="135">
        <v>400</v>
      </c>
    </row>
    <row r="754" spans="1:26" ht="15.75" thickBot="1">
      <c r="C754" s="15"/>
      <c r="D754" s="455"/>
      <c r="E754" s="456"/>
      <c r="F754" s="15">
        <v>400</v>
      </c>
      <c r="G754" s="462" t="s">
        <v>97</v>
      </c>
      <c r="H754" s="464"/>
      <c r="I754" s="20">
        <v>11.9</v>
      </c>
      <c r="J754" s="462" t="s">
        <v>249</v>
      </c>
      <c r="K754" s="464"/>
      <c r="L754" s="76"/>
      <c r="M754" s="25"/>
      <c r="N754" s="294">
        <f>50+50+50+50+50+25+50</f>
        <v>325</v>
      </c>
      <c r="O754" s="141" t="s">
        <v>322</v>
      </c>
      <c r="P754" s="133">
        <f>P753/29</f>
        <v>13.763448275862073</v>
      </c>
      <c r="Q754" s="10">
        <f>Q753/29</f>
        <v>13.742068965517218</v>
      </c>
      <c r="R754" s="143" t="s">
        <v>12</v>
      </c>
      <c r="S754" s="476">
        <v>4706.24</v>
      </c>
      <c r="T754" s="477"/>
      <c r="U754" s="478">
        <v>-50.979999999999563</v>
      </c>
      <c r="V754" s="479"/>
      <c r="W754" s="289" t="s">
        <v>379</v>
      </c>
      <c r="X754" s="132">
        <v>897.56</v>
      </c>
      <c r="Y754" s="470" t="s">
        <v>14</v>
      </c>
      <c r="Z754" s="471"/>
    </row>
    <row r="755" spans="1:26" ht="15.75" thickBot="1">
      <c r="C755" s="15"/>
      <c r="D755" s="455"/>
      <c r="E755" s="456"/>
      <c r="F755" s="15">
        <v>1803.34</v>
      </c>
      <c r="G755" s="462" t="s">
        <v>778</v>
      </c>
      <c r="H755" s="464"/>
      <c r="I755" s="63">
        <v>97.62</v>
      </c>
      <c r="J755" s="462" t="s">
        <v>974</v>
      </c>
      <c r="K755" s="464"/>
      <c r="L755" s="76"/>
      <c r="M755" s="25"/>
      <c r="N755" s="294">
        <v>46.7</v>
      </c>
      <c r="O755" s="136" t="s">
        <v>324</v>
      </c>
      <c r="P755" s="319">
        <f>P738+P756</f>
        <v>535</v>
      </c>
      <c r="Q755" s="320">
        <f>Z751+Z752+Z753</f>
        <v>480</v>
      </c>
      <c r="R755" s="144" t="s">
        <v>425</v>
      </c>
      <c r="S755" s="465">
        <v>5229.3899999999994</v>
      </c>
      <c r="T755" s="466"/>
      <c r="U755" s="467">
        <v>-35.306860045109261</v>
      </c>
      <c r="V755" s="468"/>
      <c r="W755" s="146" t="s">
        <v>375</v>
      </c>
      <c r="X755" s="325">
        <v>0</v>
      </c>
      <c r="Y755" s="143" t="s">
        <v>15</v>
      </c>
      <c r="Z755" s="12">
        <f>5259.69-1803.34-1000-697.42</f>
        <v>1758.9299999999994</v>
      </c>
    </row>
    <row r="756" spans="1:26" ht="15.75" thickBot="1">
      <c r="C756" s="15"/>
      <c r="D756" s="462"/>
      <c r="E756" s="463"/>
      <c r="F756" s="15"/>
      <c r="G756" s="457" t="s">
        <v>868</v>
      </c>
      <c r="H756" s="458"/>
      <c r="I756" s="20">
        <v>284.22000000000003</v>
      </c>
      <c r="J756" s="462" t="s">
        <v>105</v>
      </c>
      <c r="K756" s="464"/>
      <c r="L756" s="76"/>
      <c r="M756" s="25"/>
      <c r="N756" s="294"/>
      <c r="O756" s="140" t="s">
        <v>321</v>
      </c>
      <c r="P756" s="132">
        <f>SUM(L750:L763)</f>
        <v>0</v>
      </c>
      <c r="Q756" s="72">
        <f>Q755-Q738</f>
        <v>0</v>
      </c>
      <c r="R756" s="144" t="s">
        <v>426</v>
      </c>
      <c r="S756" s="465">
        <v>784.82999999999947</v>
      </c>
      <c r="T756" s="466"/>
      <c r="U756" s="467">
        <v>-3972.39</v>
      </c>
      <c r="V756" s="468"/>
      <c r="W756" s="470" t="s">
        <v>376</v>
      </c>
      <c r="X756" s="471"/>
      <c r="Y756" s="146" t="s">
        <v>325</v>
      </c>
      <c r="Z756" s="10">
        <v>1066.67</v>
      </c>
    </row>
    <row r="757" spans="1:26" ht="16.5" thickTop="1" thickBot="1">
      <c r="C757" s="15"/>
      <c r="D757" s="462"/>
      <c r="E757" s="463"/>
      <c r="F757" s="15">
        <v>30</v>
      </c>
      <c r="G757" s="462" t="s">
        <v>33</v>
      </c>
      <c r="H757" s="464"/>
      <c r="I757" s="63">
        <v>25</v>
      </c>
      <c r="J757" s="462" t="s">
        <v>980</v>
      </c>
      <c r="K757" s="464"/>
      <c r="L757" s="76"/>
      <c r="M757" s="25"/>
      <c r="N757" s="292"/>
      <c r="O757" s="141" t="s">
        <v>322</v>
      </c>
      <c r="P757" s="133">
        <f>P756/29</f>
        <v>0</v>
      </c>
      <c r="Q757" s="10">
        <f>Q756/29</f>
        <v>0</v>
      </c>
      <c r="R757" s="144" t="s">
        <v>422</v>
      </c>
      <c r="S757" s="465">
        <v>-4444.5599999999995</v>
      </c>
      <c r="T757" s="466"/>
      <c r="U757" s="467">
        <v>-3937.0831399548906</v>
      </c>
      <c r="V757" s="468"/>
      <c r="W757" s="289" t="s">
        <v>12</v>
      </c>
      <c r="X757" s="38">
        <v>82.17999999999995</v>
      </c>
      <c r="Y757" s="470" t="s">
        <v>374</v>
      </c>
      <c r="Z757" s="471"/>
    </row>
    <row r="758" spans="1:26" ht="15.75" thickTop="1">
      <c r="C758" s="15"/>
      <c r="D758" s="462"/>
      <c r="E758" s="463"/>
      <c r="F758" s="15"/>
      <c r="G758" s="462"/>
      <c r="H758" s="464"/>
      <c r="I758" s="20">
        <f>16.05+9.75</f>
        <v>25.8</v>
      </c>
      <c r="J758" s="462" t="s">
        <v>377</v>
      </c>
      <c r="K758" s="464"/>
      <c r="L758" s="76"/>
      <c r="M758" s="25"/>
      <c r="N758" s="293"/>
      <c r="O758" s="136" t="s">
        <v>325</v>
      </c>
      <c r="P758" s="319">
        <f>P741+P759</f>
        <v>1063.8800000000001</v>
      </c>
      <c r="Q758" s="320">
        <f>Z756</f>
        <v>1066.67</v>
      </c>
      <c r="R758" s="143" t="s">
        <v>421</v>
      </c>
      <c r="S758" s="465">
        <v>-2786.2599999999993</v>
      </c>
      <c r="T758" s="466"/>
      <c r="U758" s="467">
        <v>-3634.4277202375838</v>
      </c>
      <c r="V758" s="468"/>
      <c r="W758" s="282" t="s">
        <v>373</v>
      </c>
      <c r="X758" s="281">
        <v>2000</v>
      </c>
      <c r="Y758" s="321" t="s">
        <v>181</v>
      </c>
      <c r="Z758" s="322">
        <v>0</v>
      </c>
    </row>
    <row r="759" spans="1:26" ht="15.75" thickBot="1">
      <c r="C759" s="266"/>
      <c r="D759" s="448"/>
      <c r="E759" s="469"/>
      <c r="F759" s="15"/>
      <c r="G759" s="462"/>
      <c r="H759" s="464"/>
      <c r="I759" s="20">
        <f>140+100</f>
        <v>240</v>
      </c>
      <c r="J759" s="462" t="s">
        <v>981</v>
      </c>
      <c r="K759" s="464"/>
      <c r="L759" s="76"/>
      <c r="M759" s="25"/>
      <c r="N759" s="295"/>
      <c r="O759" s="140" t="s">
        <v>321</v>
      </c>
      <c r="P759" s="132">
        <f>SUM(M750:M763)</f>
        <v>0</v>
      </c>
      <c r="Q759" s="72">
        <f>Q758-Q741</f>
        <v>0.18000000000006366</v>
      </c>
      <c r="R759" s="144" t="s">
        <v>418</v>
      </c>
      <c r="S759" s="465">
        <v>-3921.4100000000003</v>
      </c>
      <c r="T759" s="466"/>
      <c r="U759" s="467">
        <v>-3921.4100000000003</v>
      </c>
      <c r="V759" s="468"/>
      <c r="W759" s="282" t="s">
        <v>378</v>
      </c>
      <c r="X759" s="281">
        <v>1917.8200000000002</v>
      </c>
      <c r="Y759" s="146" t="s">
        <v>553</v>
      </c>
      <c r="Z759" s="10">
        <v>-3.4461322684364859E-13</v>
      </c>
    </row>
    <row r="760" spans="1:26" ht="15.75" thickBot="1">
      <c r="C760" s="266"/>
      <c r="D760" s="448"/>
      <c r="E760" s="469"/>
      <c r="F760" s="15"/>
      <c r="G760" s="462"/>
      <c r="H760" s="464"/>
      <c r="I760" s="20">
        <v>697.42</v>
      </c>
      <c r="J760" s="462" t="s">
        <v>206</v>
      </c>
      <c r="K760" s="464"/>
      <c r="L760" s="76"/>
      <c r="M760" s="25"/>
      <c r="N760" s="293"/>
      <c r="O760" s="141" t="s">
        <v>322</v>
      </c>
      <c r="P760" s="133">
        <f>P759/29</f>
        <v>0</v>
      </c>
      <c r="Q760" s="10">
        <f>Q759/29</f>
        <v>6.206896551726333E-3</v>
      </c>
      <c r="R760" s="144" t="s">
        <v>438</v>
      </c>
      <c r="S760" s="465">
        <v>-3921.4100000000003</v>
      </c>
      <c r="T760" s="466"/>
      <c r="U760" s="472"/>
      <c r="V760" s="473"/>
      <c r="W760" s="289" t="s">
        <v>379</v>
      </c>
      <c r="X760" s="281"/>
      <c r="Y760" s="266"/>
      <c r="Z760" s="16"/>
    </row>
    <row r="761" spans="1:26" ht="15.75" thickBot="1">
      <c r="C761" s="15"/>
      <c r="D761" s="448"/>
      <c r="E761" s="469"/>
      <c r="F761" s="15"/>
      <c r="G761" s="462"/>
      <c r="H761" s="464"/>
      <c r="I761" s="20"/>
      <c r="J761" s="462"/>
      <c r="K761" s="464"/>
      <c r="L761" s="76"/>
      <c r="M761" s="25"/>
      <c r="N761" s="295"/>
      <c r="O761" s="136" t="s">
        <v>323</v>
      </c>
      <c r="P761" s="319">
        <f>P744+P762</f>
        <v>5432.4173044585295</v>
      </c>
      <c r="Q761" s="320">
        <f>S750+U750</f>
        <v>6616.2154197173068</v>
      </c>
      <c r="R761" s="144" t="s">
        <v>380</v>
      </c>
      <c r="S761" s="291">
        <v>523.14999999999964</v>
      </c>
      <c r="T761" s="327">
        <v>0.18983736002148197</v>
      </c>
      <c r="U761" s="291">
        <v>15.673139954890303</v>
      </c>
      <c r="V761" s="329">
        <v>1.3272684001930242E-2</v>
      </c>
      <c r="W761" s="146" t="s">
        <v>375</v>
      </c>
      <c r="X761" s="326">
        <v>0.36</v>
      </c>
      <c r="Y761" s="266"/>
      <c r="Z761" s="16"/>
    </row>
    <row r="762" spans="1:26">
      <c r="C762" s="15"/>
      <c r="D762" s="462"/>
      <c r="E762" s="463"/>
      <c r="F762" s="15"/>
      <c r="G762" s="503"/>
      <c r="H762" s="504"/>
      <c r="I762" s="20"/>
      <c r="J762" s="462"/>
      <c r="K762" s="464"/>
      <c r="L762" s="76"/>
      <c r="M762" s="25"/>
      <c r="N762" s="293"/>
      <c r="O762" s="140" t="s">
        <v>321</v>
      </c>
      <c r="P762" s="132">
        <f>SUM(N750:N763)</f>
        <v>786.1400000000001</v>
      </c>
      <c r="Q762" s="72">
        <f>Q761-Q744</f>
        <v>1449.3483964487668</v>
      </c>
      <c r="R762" s="144" t="s">
        <v>381</v>
      </c>
      <c r="S762" s="291">
        <v>1135.1500000000005</v>
      </c>
      <c r="T762" s="327">
        <v>0.21707120715800518</v>
      </c>
      <c r="U762" s="291">
        <v>286.98227976241634</v>
      </c>
      <c r="V762" s="366">
        <v>8.1282300209012615</v>
      </c>
      <c r="W762" s="337" t="s">
        <v>410</v>
      </c>
      <c r="X762" s="1" t="s">
        <v>558</v>
      </c>
      <c r="Y762" s="266"/>
      <c r="Z762" s="16"/>
    </row>
    <row r="763" spans="1:26" ht="15.75" thickBot="1">
      <c r="C763" s="17"/>
      <c r="D763" s="459"/>
      <c r="E763" s="460"/>
      <c r="F763" s="17"/>
      <c r="G763" s="459"/>
      <c r="H763" s="461"/>
      <c r="I763" s="21"/>
      <c r="J763" s="459"/>
      <c r="K763" s="461"/>
      <c r="L763" s="42"/>
      <c r="M763" s="5"/>
      <c r="N763" s="21"/>
      <c r="O763" s="137" t="s">
        <v>322</v>
      </c>
      <c r="P763" s="138">
        <f>P762/29</f>
        <v>27.108275862068968</v>
      </c>
      <c r="Q763" s="24">
        <f>Q762/29</f>
        <v>49.977530912026445</v>
      </c>
      <c r="R763" s="153" t="s">
        <v>410</v>
      </c>
      <c r="S763" s="296">
        <v>1658.3000000000002</v>
      </c>
      <c r="T763" s="328">
        <v>0.20767247284653928</v>
      </c>
      <c r="U763" s="296">
        <v>302.65541971730664</v>
      </c>
      <c r="V763" s="330">
        <v>0.26420096872009652</v>
      </c>
      <c r="W763" s="296">
        <f>S763+U763</f>
        <v>1960.9554197173068</v>
      </c>
      <c r="X763" s="330">
        <f>(W763+S751+U751)/(S751+U751)-1</f>
        <v>0.21476459903680167</v>
      </c>
      <c r="Y763" s="290"/>
      <c r="Z763" s="18"/>
    </row>
    <row r="764" spans="1:26" ht="17.25" thickTop="1" thickBot="1">
      <c r="A764" s="14"/>
      <c r="B764" s="14" t="s">
        <v>31</v>
      </c>
      <c r="C764" s="264">
        <v>45931</v>
      </c>
      <c r="D764" s="3"/>
      <c r="E764" s="3"/>
      <c r="F764" s="3"/>
      <c r="G764" s="3"/>
      <c r="H764" s="3"/>
      <c r="I764" s="3"/>
      <c r="J764" s="3"/>
      <c r="K764" s="3"/>
      <c r="L764" s="3"/>
      <c r="M764" s="3"/>
      <c r="N764" s="3"/>
      <c r="O764" s="3"/>
      <c r="P764" s="3"/>
      <c r="Q764" s="3"/>
      <c r="R764" s="3"/>
      <c r="S764" s="3"/>
      <c r="T764" s="3"/>
      <c r="U764" s="3"/>
      <c r="V764" s="3"/>
      <c r="W764" s="3"/>
      <c r="X764" s="3"/>
      <c r="Y764" s="3"/>
      <c r="Z764" s="3"/>
    </row>
    <row r="765" spans="1:26" ht="17.25" thickTop="1" thickBot="1">
      <c r="C765" s="480" t="s">
        <v>386</v>
      </c>
      <c r="D765" s="481"/>
      <c r="E765" s="482"/>
      <c r="F765" s="483" t="s">
        <v>387</v>
      </c>
      <c r="G765" s="484"/>
      <c r="H765" s="484"/>
      <c r="I765" s="484"/>
      <c r="J765" s="484"/>
      <c r="K765" s="484"/>
      <c r="L765" s="484"/>
      <c r="M765" s="484"/>
      <c r="N765" s="485"/>
      <c r="O765" s="261" t="s">
        <v>320</v>
      </c>
      <c r="P765" s="262" t="s">
        <v>257</v>
      </c>
      <c r="Q765" s="263" t="s">
        <v>319</v>
      </c>
      <c r="R765" s="486" t="s">
        <v>144</v>
      </c>
      <c r="S765" s="487"/>
      <c r="T765" s="487"/>
      <c r="U765" s="487"/>
      <c r="V765" s="487"/>
      <c r="W765" s="487"/>
      <c r="X765" s="487"/>
      <c r="Y765" s="487"/>
      <c r="Z765" s="488"/>
    </row>
    <row r="766" spans="1:26" ht="15.75" thickBot="1">
      <c r="C766" s="265"/>
      <c r="D766" s="489"/>
      <c r="E766" s="490"/>
      <c r="F766" s="470" t="s">
        <v>3</v>
      </c>
      <c r="G766" s="491"/>
      <c r="H766" s="492"/>
      <c r="I766" s="493" t="s">
        <v>4</v>
      </c>
      <c r="J766" s="491"/>
      <c r="K766" s="492"/>
      <c r="L766" s="267" t="s">
        <v>324</v>
      </c>
      <c r="M766" s="267" t="s">
        <v>325</v>
      </c>
      <c r="N766" s="267" t="s">
        <v>323</v>
      </c>
      <c r="O766" s="316" t="s">
        <v>5</v>
      </c>
      <c r="P766" s="317">
        <f>P769+P772+P775+P778</f>
        <v>9248.2273044585272</v>
      </c>
      <c r="Q766" s="318">
        <f>Q775+Q772+Q769+Q778</f>
        <v>11844.417093045793</v>
      </c>
      <c r="R766" s="268" t="s">
        <v>323</v>
      </c>
      <c r="S766" s="493" t="s">
        <v>317</v>
      </c>
      <c r="T766" s="492"/>
      <c r="U766" s="493" t="s">
        <v>369</v>
      </c>
      <c r="V766" s="471"/>
      <c r="W766" s="491" t="s">
        <v>310</v>
      </c>
      <c r="X766" s="471"/>
      <c r="Y766" s="470" t="s">
        <v>13</v>
      </c>
      <c r="Z766" s="471"/>
    </row>
    <row r="767" spans="1:26" ht="16.5" thickTop="1" thickBot="1">
      <c r="C767" s="15"/>
      <c r="D767" s="494"/>
      <c r="E767" s="495"/>
      <c r="G767" s="496"/>
      <c r="H767" s="497"/>
      <c r="J767" s="496"/>
      <c r="K767" s="497"/>
      <c r="L767" s="76"/>
      <c r="M767" s="25"/>
      <c r="N767" s="292"/>
      <c r="O767" s="258" t="s">
        <v>321</v>
      </c>
      <c r="P767" s="315">
        <f>SUM(C767:C780)-SUM(F767:F780)-SUM(I767:I780)</f>
        <v>995.37000000000057</v>
      </c>
      <c r="Q767" s="12">
        <f>Q766-Q749</f>
        <v>1878.6016733284869</v>
      </c>
      <c r="R767" s="307" t="s">
        <v>343</v>
      </c>
      <c r="S767" s="498">
        <v>9063.65</v>
      </c>
      <c r="T767" s="499"/>
      <c r="U767" s="498">
        <v>242.60709304579424</v>
      </c>
      <c r="V767" s="500"/>
      <c r="W767" s="501" t="s">
        <v>326</v>
      </c>
      <c r="X767" s="502"/>
      <c r="Y767" s="143" t="s">
        <v>17</v>
      </c>
      <c r="Z767" s="12">
        <v>10</v>
      </c>
    </row>
    <row r="768" spans="1:26" ht="16.5" thickTop="1" thickBot="1">
      <c r="C768" s="15">
        <v>5274.49</v>
      </c>
      <c r="D768" s="455" t="s">
        <v>11</v>
      </c>
      <c r="E768" s="456"/>
      <c r="F768" s="6">
        <f>15.62+21.37+1.4+1.9+1.9+20.71+6.23+20.83+15.62+9.73+16.05+23.85+21.37+15.62+15.62+27.04</f>
        <v>234.86</v>
      </c>
      <c r="G768" s="462" t="s">
        <v>223</v>
      </c>
      <c r="H768" s="464"/>
      <c r="I768" s="20">
        <v>11.99</v>
      </c>
      <c r="J768" s="462" t="s">
        <v>385</v>
      </c>
      <c r="K768" s="464"/>
      <c r="L768" s="76">
        <v>-240</v>
      </c>
      <c r="M768" s="25">
        <v>-700</v>
      </c>
      <c r="N768" s="294">
        <v>1</v>
      </c>
      <c r="O768" s="141" t="s">
        <v>322</v>
      </c>
      <c r="P768" s="133">
        <f>P767/29</f>
        <v>34.32310344827588</v>
      </c>
      <c r="Q768" s="10">
        <f>Q767/29</f>
        <v>64.779368045809889</v>
      </c>
      <c r="R768" s="308" t="s">
        <v>382</v>
      </c>
      <c r="S768" s="474">
        <v>10135.17</v>
      </c>
      <c r="T768" s="475"/>
      <c r="U768" s="467">
        <v>1145.5500000000002</v>
      </c>
      <c r="V768" s="468"/>
      <c r="W768" s="289" t="s">
        <v>12</v>
      </c>
      <c r="X768" s="315">
        <v>818.3</v>
      </c>
      <c r="Y768" s="144" t="s">
        <v>18</v>
      </c>
      <c r="Z768" s="72">
        <v>44</v>
      </c>
    </row>
    <row r="769" spans="1:26">
      <c r="C769" s="15">
        <v>15.56</v>
      </c>
      <c r="D769" s="455" t="s">
        <v>390</v>
      </c>
      <c r="E769" s="456"/>
      <c r="F769" s="15">
        <f>39.48+37.65</f>
        <v>77.13</v>
      </c>
      <c r="G769" s="462" t="s">
        <v>9</v>
      </c>
      <c r="H769" s="464"/>
      <c r="I769" s="63">
        <v>11.99</v>
      </c>
      <c r="J769" s="462" t="s">
        <v>22</v>
      </c>
      <c r="K769" s="464"/>
      <c r="L769" s="76"/>
      <c r="M769" s="25"/>
      <c r="N769" s="294">
        <f>48.16+50+50+50+50</f>
        <v>248.16</v>
      </c>
      <c r="O769" s="136" t="s">
        <v>12</v>
      </c>
      <c r="P769" s="319">
        <f>P752+P767-SUM(L767:L780)-SUM(M767:M780)-SUM(N767:N780)</f>
        <v>1459.4899999999975</v>
      </c>
      <c r="Q769" s="320">
        <f>Z767+Z772+Z775</f>
        <v>1931.31</v>
      </c>
      <c r="R769" s="308" t="s">
        <v>383</v>
      </c>
      <c r="S769" s="474">
        <v>3728.85</v>
      </c>
      <c r="T769" s="475"/>
      <c r="U769" s="467">
        <v>1196.5299999999997</v>
      </c>
      <c r="V769" s="468"/>
      <c r="W769" s="282" t="s">
        <v>373</v>
      </c>
      <c r="X769" s="132">
        <v>5000</v>
      </c>
      <c r="Y769" s="144" t="s">
        <v>19</v>
      </c>
      <c r="Z769" s="72">
        <v>36</v>
      </c>
    </row>
    <row r="770" spans="1:26" ht="15.75" thickBot="1">
      <c r="C770" s="15"/>
      <c r="D770" s="462"/>
      <c r="E770" s="463"/>
      <c r="F770" s="15">
        <v>0</v>
      </c>
      <c r="G770" s="462" t="s">
        <v>6</v>
      </c>
      <c r="H770" s="464"/>
      <c r="I770" s="20">
        <v>20</v>
      </c>
      <c r="J770" s="462" t="s">
        <v>920</v>
      </c>
      <c r="K770" s="464"/>
      <c r="L770" s="76"/>
      <c r="M770" s="25"/>
      <c r="N770" s="294">
        <v>400</v>
      </c>
      <c r="O770" s="140" t="s">
        <v>321</v>
      </c>
      <c r="P770" s="132">
        <f>SUM(C767:C780)-SUM(F767:F780)-SUM(I767:I780)-P773-P776-P779</f>
        <v>237.93000000000052</v>
      </c>
      <c r="Q770" s="72">
        <f>Q769-Q752</f>
        <v>128.38000000000056</v>
      </c>
      <c r="R770" s="308" t="s">
        <v>424</v>
      </c>
      <c r="S770" s="474">
        <v>2905.78</v>
      </c>
      <c r="T770" s="475"/>
      <c r="U770" s="467">
        <v>1180.8568600451094</v>
      </c>
      <c r="V770" s="468"/>
      <c r="W770" s="282" t="s">
        <v>378</v>
      </c>
      <c r="X770" s="132">
        <v>4181.7</v>
      </c>
      <c r="Y770" s="145" t="s">
        <v>324</v>
      </c>
      <c r="Z770" s="135">
        <v>160</v>
      </c>
    </row>
    <row r="771" spans="1:26" ht="15.75" thickBot="1">
      <c r="C771" s="15"/>
      <c r="D771" s="455"/>
      <c r="E771" s="456"/>
      <c r="F771" s="15">
        <v>300</v>
      </c>
      <c r="G771" s="462" t="s">
        <v>97</v>
      </c>
      <c r="H771" s="464"/>
      <c r="I771" s="20">
        <v>11.9</v>
      </c>
      <c r="J771" s="462" t="s">
        <v>249</v>
      </c>
      <c r="K771" s="464"/>
      <c r="L771" s="76"/>
      <c r="M771" s="25"/>
      <c r="N771" s="20">
        <v>100</v>
      </c>
      <c r="O771" s="141" t="s">
        <v>322</v>
      </c>
      <c r="P771" s="133">
        <f>P770/29</f>
        <v>8.2044827586207081</v>
      </c>
      <c r="Q771" s="10">
        <f>Q770/29</f>
        <v>4.4268965517241572</v>
      </c>
      <c r="R771" s="143" t="s">
        <v>12</v>
      </c>
      <c r="S771" s="476">
        <v>6406.32</v>
      </c>
      <c r="T771" s="477"/>
      <c r="U771" s="478">
        <v>-50.979999999999563</v>
      </c>
      <c r="V771" s="479"/>
      <c r="W771" s="289" t="s">
        <v>379</v>
      </c>
      <c r="X771" s="132">
        <v>818.3</v>
      </c>
      <c r="Y771" s="470" t="s">
        <v>14</v>
      </c>
      <c r="Z771" s="471"/>
    </row>
    <row r="772" spans="1:26" ht="15.75" thickBot="1">
      <c r="C772" s="15"/>
      <c r="D772" s="455"/>
      <c r="E772" s="456"/>
      <c r="F772" s="15">
        <v>1850</v>
      </c>
      <c r="G772" s="462" t="s">
        <v>282</v>
      </c>
      <c r="H772" s="464"/>
      <c r="I772" s="63">
        <v>341.35</v>
      </c>
      <c r="J772" s="462" t="s">
        <v>974</v>
      </c>
      <c r="K772" s="464"/>
      <c r="L772" s="76"/>
      <c r="M772" s="25"/>
      <c r="N772" s="362">
        <f>50.01+50+50+50</f>
        <v>200.01</v>
      </c>
      <c r="O772" s="136" t="s">
        <v>324</v>
      </c>
      <c r="P772" s="319">
        <f>P755+P773</f>
        <v>295</v>
      </c>
      <c r="Q772" s="320">
        <f>Z768+Z769+Z770</f>
        <v>240</v>
      </c>
      <c r="R772" s="144" t="s">
        <v>425</v>
      </c>
      <c r="S772" s="465">
        <v>7229.3899999999994</v>
      </c>
      <c r="T772" s="466"/>
      <c r="U772" s="467">
        <v>-35.306860045109261</v>
      </c>
      <c r="V772" s="468"/>
      <c r="W772" s="146" t="s">
        <v>375</v>
      </c>
      <c r="X772" s="325">
        <v>0</v>
      </c>
      <c r="Y772" s="143" t="s">
        <v>15</v>
      </c>
      <c r="Z772" s="12">
        <f>1958.96-37.65</f>
        <v>1921.31</v>
      </c>
    </row>
    <row r="773" spans="1:26" ht="15.75" thickBot="1">
      <c r="C773" s="15"/>
      <c r="D773" s="462"/>
      <c r="E773" s="463"/>
      <c r="F773" s="15">
        <f>28+70</f>
        <v>98</v>
      </c>
      <c r="G773" s="462" t="s">
        <v>982</v>
      </c>
      <c r="H773" s="464"/>
      <c r="I773" s="63">
        <v>157.62</v>
      </c>
      <c r="J773" s="462" t="s">
        <v>105</v>
      </c>
      <c r="K773" s="464"/>
      <c r="L773" s="76"/>
      <c r="M773" s="25"/>
      <c r="N773" s="294">
        <f>49.75+50+50+48.52</f>
        <v>198.27</v>
      </c>
      <c r="O773" s="140" t="s">
        <v>321</v>
      </c>
      <c r="P773" s="132">
        <f>SUM(L767:L780)</f>
        <v>-240</v>
      </c>
      <c r="Q773" s="72">
        <f>Q772-Q755</f>
        <v>-240</v>
      </c>
      <c r="R773" s="144" t="s">
        <v>426</v>
      </c>
      <c r="S773" s="465">
        <v>784.90999999999985</v>
      </c>
      <c r="T773" s="466"/>
      <c r="U773" s="467">
        <v>-5672.3899999999994</v>
      </c>
      <c r="V773" s="468"/>
      <c r="W773" s="470" t="s">
        <v>376</v>
      </c>
      <c r="X773" s="471"/>
      <c r="Y773" s="146" t="s">
        <v>325</v>
      </c>
      <c r="Z773" s="10">
        <v>366.85</v>
      </c>
    </row>
    <row r="774" spans="1:26" ht="16.5" thickTop="1" thickBot="1">
      <c r="C774" s="15"/>
      <c r="D774" s="462"/>
      <c r="E774" s="463"/>
      <c r="F774" s="15">
        <v>0</v>
      </c>
      <c r="G774" s="462" t="s">
        <v>926</v>
      </c>
      <c r="H774" s="464"/>
      <c r="I774" s="20">
        <v>897.56</v>
      </c>
      <c r="J774" s="462" t="s">
        <v>206</v>
      </c>
      <c r="K774" s="464"/>
      <c r="L774" s="76"/>
      <c r="M774" s="25"/>
      <c r="N774" s="294">
        <f>50+50+50+50+50+100+50+100+50</f>
        <v>550</v>
      </c>
      <c r="O774" s="141" t="s">
        <v>322</v>
      </c>
      <c r="P774" s="133">
        <f>P773/29</f>
        <v>-8.2758620689655178</v>
      </c>
      <c r="Q774" s="10">
        <f>Q773/29</f>
        <v>-8.2758620689655178</v>
      </c>
      <c r="R774" s="144" t="s">
        <v>422</v>
      </c>
      <c r="S774" s="465">
        <v>-6444.48</v>
      </c>
      <c r="T774" s="466"/>
      <c r="U774" s="467">
        <v>-5637.0831399548897</v>
      </c>
      <c r="V774" s="468"/>
      <c r="W774" s="289" t="s">
        <v>12</v>
      </c>
      <c r="X774" s="38">
        <v>355.75</v>
      </c>
      <c r="Y774" s="470" t="s">
        <v>374</v>
      </c>
      <c r="Z774" s="471"/>
    </row>
    <row r="775" spans="1:26" ht="15.75" thickTop="1">
      <c r="C775" s="15"/>
      <c r="D775" s="462"/>
      <c r="E775" s="463"/>
      <c r="F775" s="385">
        <v>0</v>
      </c>
      <c r="G775" s="462" t="s">
        <v>927</v>
      </c>
      <c r="H775" s="464"/>
      <c r="I775" s="20">
        <v>240</v>
      </c>
      <c r="J775" s="462" t="s">
        <v>967</v>
      </c>
      <c r="K775" s="464"/>
      <c r="L775" s="76"/>
      <c r="M775" s="25"/>
      <c r="N775" s="293"/>
      <c r="O775" s="136" t="s">
        <v>325</v>
      </c>
      <c r="P775" s="319">
        <f>P758+P776</f>
        <v>363.88000000000011</v>
      </c>
      <c r="Q775" s="320">
        <f>Z773</f>
        <v>366.85</v>
      </c>
      <c r="R775" s="143" t="s">
        <v>421</v>
      </c>
      <c r="S775" s="465">
        <v>-3787.1499999999996</v>
      </c>
      <c r="T775" s="466"/>
      <c r="U775" s="467">
        <v>-5343.4960469090956</v>
      </c>
      <c r="V775" s="468"/>
      <c r="W775" s="282" t="s">
        <v>373</v>
      </c>
      <c r="X775" s="281">
        <v>2000</v>
      </c>
      <c r="Y775" s="321" t="s">
        <v>181</v>
      </c>
      <c r="Z775" s="322">
        <v>0</v>
      </c>
    </row>
    <row r="776" spans="1:26" ht="15.75" thickBot="1">
      <c r="C776" s="266"/>
      <c r="D776" s="448"/>
      <c r="E776" s="469"/>
      <c r="F776" s="15">
        <v>0</v>
      </c>
      <c r="G776" s="462" t="s">
        <v>925</v>
      </c>
      <c r="H776" s="464"/>
      <c r="I776" s="20">
        <f>9.75+8.03+9.75+14.75</f>
        <v>42.28</v>
      </c>
      <c r="J776" s="25" t="s">
        <v>377</v>
      </c>
      <c r="K776" s="76"/>
      <c r="L776" s="76"/>
      <c r="M776" s="25"/>
      <c r="N776" s="295"/>
      <c r="O776" s="140" t="s">
        <v>321</v>
      </c>
      <c r="P776" s="132">
        <f>SUM(M767:M780)</f>
        <v>-700</v>
      </c>
      <c r="Q776" s="72">
        <f>Q775-Q758</f>
        <v>-699.82</v>
      </c>
      <c r="R776" s="144" t="s">
        <v>418</v>
      </c>
      <c r="S776" s="465">
        <v>-5621.41</v>
      </c>
      <c r="T776" s="466"/>
      <c r="U776" s="467">
        <v>-5621.41</v>
      </c>
      <c r="V776" s="468"/>
      <c r="W776" s="282" t="s">
        <v>378</v>
      </c>
      <c r="X776" s="281">
        <v>1644.25</v>
      </c>
      <c r="Y776" s="146" t="s">
        <v>553</v>
      </c>
      <c r="Z776" s="10">
        <v>0</v>
      </c>
    </row>
    <row r="777" spans="1:26" ht="15.75" thickBot="1">
      <c r="C777" s="266"/>
      <c r="D777" s="448"/>
      <c r="E777" s="469"/>
      <c r="F777" s="15">
        <v>0</v>
      </c>
      <c r="G777" s="462" t="s">
        <v>33</v>
      </c>
      <c r="H777" s="464"/>
      <c r="I777" s="20"/>
      <c r="J777" s="462"/>
      <c r="K777" s="464"/>
      <c r="L777" s="76"/>
      <c r="M777" s="25"/>
      <c r="N777" s="293"/>
      <c r="O777" s="141" t="s">
        <v>322</v>
      </c>
      <c r="P777" s="133">
        <f>P776/29</f>
        <v>-24.137931034482758</v>
      </c>
      <c r="Q777" s="10">
        <f>Q776/29</f>
        <v>-24.131724137931037</v>
      </c>
      <c r="R777" s="144" t="s">
        <v>438</v>
      </c>
      <c r="S777" s="465">
        <v>-5621.41</v>
      </c>
      <c r="T777" s="466"/>
      <c r="U777" s="472"/>
      <c r="V777" s="473"/>
      <c r="W777" s="289" t="s">
        <v>379</v>
      </c>
      <c r="X777" s="281"/>
      <c r="Y777" s="266"/>
      <c r="Z777" s="16"/>
    </row>
    <row r="778" spans="1:26" ht="15.75" thickBot="1">
      <c r="C778" s="15"/>
      <c r="D778" s="448"/>
      <c r="E778" s="469"/>
      <c r="F778" s="15"/>
      <c r="G778" s="448"/>
      <c r="H778" s="505"/>
      <c r="I778" s="20"/>
      <c r="J778" s="462"/>
      <c r="K778" s="464"/>
      <c r="L778" s="76"/>
      <c r="M778" s="25"/>
      <c r="N778" s="295"/>
      <c r="O778" s="136" t="s">
        <v>323</v>
      </c>
      <c r="P778" s="319">
        <f>P761+P779</f>
        <v>7129.8573044585301</v>
      </c>
      <c r="Q778" s="320">
        <f>S767+U767</f>
        <v>9306.2570930457932</v>
      </c>
      <c r="R778" s="144" t="s">
        <v>380</v>
      </c>
      <c r="S778" s="291">
        <v>823.06999999999971</v>
      </c>
      <c r="T778" s="327">
        <v>0.28325268946719973</v>
      </c>
      <c r="U778" s="291">
        <v>15.673139954890303</v>
      </c>
      <c r="V778" s="329">
        <v>1.3272684001930242E-2</v>
      </c>
      <c r="W778" s="146" t="s">
        <v>375</v>
      </c>
      <c r="X778" s="326">
        <v>7.74</v>
      </c>
      <c r="Y778" s="266"/>
      <c r="Z778" s="16"/>
    </row>
    <row r="779" spans="1:26">
      <c r="C779" s="15"/>
      <c r="D779" s="462"/>
      <c r="E779" s="463"/>
      <c r="F779" s="15"/>
      <c r="G779" s="448"/>
      <c r="H779" s="505"/>
      <c r="I779" s="20"/>
      <c r="J779" s="503"/>
      <c r="K779" s="504"/>
      <c r="L779" s="76"/>
      <c r="M779" s="25"/>
      <c r="N779" s="293"/>
      <c r="O779" s="140" t="s">
        <v>321</v>
      </c>
      <c r="P779" s="132">
        <f>SUM(N767:N780)</f>
        <v>1697.44</v>
      </c>
      <c r="Q779" s="72">
        <f>Q778-Q761</f>
        <v>2690.0416733284865</v>
      </c>
      <c r="R779" s="144" t="s">
        <v>381</v>
      </c>
      <c r="S779" s="291">
        <v>1834.2600000000002</v>
      </c>
      <c r="T779" s="327">
        <v>0.25372265156534651</v>
      </c>
      <c r="U779" s="291">
        <v>277.91395309090353</v>
      </c>
      <c r="V779" s="366">
        <v>7.8713868278241419</v>
      </c>
      <c r="W779" s="337" t="s">
        <v>410</v>
      </c>
      <c r="X779" s="1" t="s">
        <v>558</v>
      </c>
      <c r="Y779" s="266"/>
      <c r="Z779" s="16"/>
    </row>
    <row r="780" spans="1:26" ht="15.75" thickBot="1">
      <c r="C780" s="17"/>
      <c r="D780" s="459"/>
      <c r="E780" s="460"/>
      <c r="F780" s="17"/>
      <c r="G780" s="459"/>
      <c r="H780" s="461"/>
      <c r="I780" s="21"/>
      <c r="J780" s="459"/>
      <c r="K780" s="461"/>
      <c r="L780" s="42"/>
      <c r="M780" s="5"/>
      <c r="N780" s="21"/>
      <c r="O780" s="137" t="s">
        <v>322</v>
      </c>
      <c r="P780" s="138">
        <f>P779/29</f>
        <v>58.532413793103451</v>
      </c>
      <c r="Q780" s="24">
        <f>Q779/29</f>
        <v>92.760057700982287</v>
      </c>
      <c r="R780" s="153" t="s">
        <v>410</v>
      </c>
      <c r="S780" s="296">
        <v>2657.33</v>
      </c>
      <c r="T780" s="328">
        <v>0.2621889914032029</v>
      </c>
      <c r="U780" s="296">
        <v>293.58709304579384</v>
      </c>
      <c r="V780" s="330">
        <v>0.25628483527196</v>
      </c>
      <c r="W780" s="296">
        <v>2950.917093045794</v>
      </c>
      <c r="X780" s="330">
        <v>0.26158942807248042</v>
      </c>
      <c r="Y780" s="290"/>
      <c r="Z780" s="18"/>
    </row>
    <row r="781" spans="1:26" ht="17.25" thickTop="1" thickBot="1">
      <c r="A781" s="14"/>
      <c r="B781" s="14" t="s">
        <v>31</v>
      </c>
      <c r="C781" s="264">
        <v>45962</v>
      </c>
      <c r="D781" s="3"/>
      <c r="E781" s="3"/>
      <c r="F781" s="3"/>
      <c r="G781" s="3"/>
      <c r="H781" s="3"/>
      <c r="I781" s="3"/>
      <c r="J781" s="3"/>
      <c r="K781" s="3"/>
      <c r="L781" s="3"/>
      <c r="M781" s="3"/>
      <c r="N781" s="3"/>
      <c r="O781" s="3"/>
      <c r="P781" s="3"/>
      <c r="Q781" s="3"/>
      <c r="R781" s="3"/>
      <c r="S781" s="3"/>
      <c r="T781" s="3"/>
      <c r="U781" s="3"/>
      <c r="V781" s="3"/>
      <c r="W781" s="3"/>
      <c r="X781" s="3"/>
      <c r="Y781" s="3"/>
      <c r="Z781" s="3"/>
    </row>
    <row r="782" spans="1:26" ht="17.25" thickTop="1" thickBot="1">
      <c r="C782" s="480" t="s">
        <v>386</v>
      </c>
      <c r="D782" s="481"/>
      <c r="E782" s="482"/>
      <c r="F782" s="483" t="s">
        <v>387</v>
      </c>
      <c r="G782" s="484"/>
      <c r="H782" s="484"/>
      <c r="I782" s="484"/>
      <c r="J782" s="484"/>
      <c r="K782" s="484"/>
      <c r="L782" s="484"/>
      <c r="M782" s="484"/>
      <c r="N782" s="485"/>
      <c r="O782" s="261" t="s">
        <v>320</v>
      </c>
      <c r="P782" s="262" t="s">
        <v>257</v>
      </c>
      <c r="Q782" s="263" t="s">
        <v>319</v>
      </c>
      <c r="R782" s="486" t="s">
        <v>144</v>
      </c>
      <c r="S782" s="487"/>
      <c r="T782" s="487"/>
      <c r="U782" s="487"/>
      <c r="V782" s="487"/>
      <c r="W782" s="487"/>
      <c r="X782" s="487"/>
      <c r="Y782" s="487"/>
      <c r="Z782" s="488"/>
    </row>
    <row r="783" spans="1:26" ht="15.75" thickBot="1">
      <c r="C783" s="265"/>
      <c r="D783" s="489"/>
      <c r="E783" s="490"/>
      <c r="F783" s="470" t="s">
        <v>3</v>
      </c>
      <c r="G783" s="491"/>
      <c r="H783" s="492"/>
      <c r="I783" s="493" t="s">
        <v>4</v>
      </c>
      <c r="J783" s="491"/>
      <c r="K783" s="492"/>
      <c r="L783" s="267" t="s">
        <v>324</v>
      </c>
      <c r="M783" s="267" t="s">
        <v>325</v>
      </c>
      <c r="N783" s="267" t="s">
        <v>323</v>
      </c>
      <c r="O783" s="316" t="s">
        <v>5</v>
      </c>
      <c r="P783" s="317">
        <f>P786+P789+P792+P795</f>
        <v>10014.807304458529</v>
      </c>
      <c r="Q783" s="318">
        <f>Q792+Q789+Q786+Q795</f>
        <v>11578.014941589654</v>
      </c>
      <c r="R783" s="268" t="s">
        <v>323</v>
      </c>
      <c r="S783" s="493" t="s">
        <v>317</v>
      </c>
      <c r="T783" s="492"/>
      <c r="U783" s="493" t="s">
        <v>369</v>
      </c>
      <c r="V783" s="471"/>
      <c r="W783" s="491" t="s">
        <v>310</v>
      </c>
      <c r="X783" s="471"/>
      <c r="Y783" s="470" t="s">
        <v>13</v>
      </c>
      <c r="Z783" s="471"/>
    </row>
    <row r="784" spans="1:26" ht="16.5" thickTop="1" thickBot="1">
      <c r="C784" s="15"/>
      <c r="D784" s="494"/>
      <c r="E784" s="495"/>
      <c r="G784" s="496"/>
      <c r="H784" s="497"/>
      <c r="J784" s="496"/>
      <c r="K784" s="497"/>
      <c r="L784" s="76"/>
      <c r="M784" s="25"/>
      <c r="N784" s="292"/>
      <c r="O784" s="258" t="s">
        <v>321</v>
      </c>
      <c r="P784" s="315">
        <f>SUM(C784:C797)-SUM(F784:F797)-SUM(I784:I797)</f>
        <v>766.57999999999993</v>
      </c>
      <c r="Q784" s="12">
        <f>Q783-Q766</f>
        <v>-266.40215145613911</v>
      </c>
      <c r="R784" s="307" t="s">
        <v>343</v>
      </c>
      <c r="S784" s="498">
        <v>9069.2099999999991</v>
      </c>
      <c r="T784" s="499"/>
      <c r="U784" s="498">
        <v>189.35494158965452</v>
      </c>
      <c r="V784" s="500"/>
      <c r="W784" s="501" t="s">
        <v>326</v>
      </c>
      <c r="X784" s="502"/>
      <c r="Y784" s="143" t="s">
        <v>17</v>
      </c>
      <c r="Z784" s="12">
        <v>10</v>
      </c>
    </row>
    <row r="785" spans="1:26" ht="16.5" thickTop="1" thickBot="1">
      <c r="C785" s="15">
        <v>5274.47</v>
      </c>
      <c r="D785" s="455" t="s">
        <v>11</v>
      </c>
      <c r="E785" s="456"/>
      <c r="F785" s="63">
        <f>9.35+15.56+15.62+16.05+0+0+0+16+5.19+5.21+21.37+13.53+20.82+10.41+21.37+32.45+3.11+3.1</f>
        <v>209.14000000000001</v>
      </c>
      <c r="G785" s="462" t="s">
        <v>223</v>
      </c>
      <c r="H785" s="464"/>
      <c r="I785" s="20">
        <v>11.99</v>
      </c>
      <c r="J785" s="462" t="s">
        <v>385</v>
      </c>
      <c r="K785" s="464"/>
      <c r="L785" s="76">
        <v>-40</v>
      </c>
      <c r="M785" s="25">
        <v>-300</v>
      </c>
      <c r="N785" s="295">
        <f>50*8+100*2+49.93</f>
        <v>649.92999999999995</v>
      </c>
      <c r="O785" s="141" t="s">
        <v>322</v>
      </c>
      <c r="P785" s="133">
        <f>P784/29</f>
        <v>26.433793103448274</v>
      </c>
      <c r="Q785" s="10">
        <f>Q784/29</f>
        <v>-9.1862810846944516</v>
      </c>
      <c r="R785" s="308" t="s">
        <v>382</v>
      </c>
      <c r="S785" s="474">
        <v>12305.17</v>
      </c>
      <c r="T785" s="475"/>
      <c r="U785" s="467">
        <v>1145.5500000000002</v>
      </c>
      <c r="V785" s="468"/>
      <c r="W785" s="289" t="s">
        <v>12</v>
      </c>
      <c r="X785" s="315">
        <v>919.9</v>
      </c>
      <c r="Y785" s="144" t="s">
        <v>18</v>
      </c>
      <c r="Z785" s="72">
        <v>44</v>
      </c>
    </row>
    <row r="786" spans="1:26">
      <c r="C786" s="15">
        <v>15.48</v>
      </c>
      <c r="D786" s="455" t="s">
        <v>390</v>
      </c>
      <c r="E786" s="456"/>
      <c r="F786" s="15">
        <v>37.71</v>
      </c>
      <c r="G786" s="462" t="s">
        <v>9</v>
      </c>
      <c r="H786" s="464"/>
      <c r="I786" s="63">
        <v>11.99</v>
      </c>
      <c r="J786" s="462" t="s">
        <v>22</v>
      </c>
      <c r="K786" s="464"/>
      <c r="L786" s="76">
        <v>-120</v>
      </c>
      <c r="M786" s="25">
        <v>-50</v>
      </c>
      <c r="N786" s="294">
        <f>50*8+100</f>
        <v>500</v>
      </c>
      <c r="O786" s="136" t="s">
        <v>12</v>
      </c>
      <c r="P786" s="319">
        <f>P769+P784-SUM(L784:L797)-SUM(M784:M797)-SUM(N784:N797)</f>
        <v>884.8899999999976</v>
      </c>
      <c r="Q786" s="320">
        <f>Z784+Z789+Z792</f>
        <v>1727.5500000000009</v>
      </c>
      <c r="R786" s="308" t="s">
        <v>383</v>
      </c>
      <c r="S786" s="474">
        <v>4857.1400000000003</v>
      </c>
      <c r="T786" s="475"/>
      <c r="U786" s="467">
        <v>1196.5299999999997</v>
      </c>
      <c r="V786" s="468"/>
      <c r="W786" s="282" t="s">
        <v>373</v>
      </c>
      <c r="X786" s="132">
        <v>5000</v>
      </c>
      <c r="Y786" s="144" t="s">
        <v>19</v>
      </c>
      <c r="Z786" s="72">
        <v>36</v>
      </c>
    </row>
    <row r="787" spans="1:26" ht="15.75" thickBot="1">
      <c r="C787" s="15"/>
      <c r="D787" s="462"/>
      <c r="E787" s="463"/>
      <c r="F787" s="15">
        <v>0</v>
      </c>
      <c r="G787" s="462" t="s">
        <v>6</v>
      </c>
      <c r="H787" s="464"/>
      <c r="I787" s="20">
        <v>20</v>
      </c>
      <c r="J787" s="462" t="s">
        <v>920</v>
      </c>
      <c r="K787" s="464"/>
      <c r="L787" s="76"/>
      <c r="M787" s="25">
        <v>-5</v>
      </c>
      <c r="N787" s="294">
        <f>190+16.25</f>
        <v>206.25</v>
      </c>
      <c r="O787" s="140" t="s">
        <v>321</v>
      </c>
      <c r="P787" s="132">
        <f>SUM(C784:C797)-SUM(F784:F797)-SUM(I784:I797)-P790-P793-P796</f>
        <v>-574.59999999999991</v>
      </c>
      <c r="Q787" s="72">
        <f>Q786-Q769</f>
        <v>-203.75999999999908</v>
      </c>
      <c r="R787" s="308" t="s">
        <v>424</v>
      </c>
      <c r="S787" s="474">
        <v>3787.12</v>
      </c>
      <c r="T787" s="475"/>
      <c r="U787" s="467">
        <v>1180.8568600451094</v>
      </c>
      <c r="V787" s="468"/>
      <c r="W787" s="282" t="s">
        <v>378</v>
      </c>
      <c r="X787" s="132">
        <v>4080.1</v>
      </c>
      <c r="Y787" s="145" t="s">
        <v>324</v>
      </c>
      <c r="Z787" s="135">
        <v>0</v>
      </c>
    </row>
    <row r="788" spans="1:26" ht="15.75" thickBot="1">
      <c r="C788" s="15"/>
      <c r="D788" s="455"/>
      <c r="E788" s="456"/>
      <c r="F788" s="15">
        <v>250</v>
      </c>
      <c r="G788" s="462" t="s">
        <v>97</v>
      </c>
      <c r="H788" s="464"/>
      <c r="I788" s="20">
        <v>11.9</v>
      </c>
      <c r="J788" s="462" t="s">
        <v>249</v>
      </c>
      <c r="K788" s="464"/>
      <c r="L788" s="76"/>
      <c r="M788" s="25">
        <v>500</v>
      </c>
      <c r="N788" s="292"/>
      <c r="O788" s="141" t="s">
        <v>322</v>
      </c>
      <c r="P788" s="133">
        <f>P787/29</f>
        <v>-19.813793103448273</v>
      </c>
      <c r="Q788" s="10">
        <f>Q787/29</f>
        <v>-7.0262068965516926</v>
      </c>
      <c r="R788" s="143" t="s">
        <v>12</v>
      </c>
      <c r="S788" s="476">
        <v>7448.03</v>
      </c>
      <c r="T788" s="477"/>
      <c r="U788" s="478">
        <v>-50.979999999999563</v>
      </c>
      <c r="V788" s="479"/>
      <c r="W788" s="289" t="s">
        <v>379</v>
      </c>
      <c r="X788" s="132">
        <v>919.9</v>
      </c>
      <c r="Y788" s="470" t="s">
        <v>14</v>
      </c>
      <c r="Z788" s="471"/>
    </row>
    <row r="789" spans="1:26" ht="15.75" thickBot="1">
      <c r="C789" s="15"/>
      <c r="D789" s="455"/>
      <c r="E789" s="456"/>
      <c r="F789" s="15">
        <v>1860.75</v>
      </c>
      <c r="G789" s="462" t="s">
        <v>285</v>
      </c>
      <c r="H789" s="464"/>
      <c r="I789" s="63">
        <v>244.72</v>
      </c>
      <c r="J789" s="462" t="s">
        <v>974</v>
      </c>
      <c r="K789" s="464"/>
      <c r="L789" s="76"/>
      <c r="M789" s="25"/>
      <c r="N789" s="293"/>
      <c r="O789" s="136" t="s">
        <v>324</v>
      </c>
      <c r="P789" s="319">
        <f>P772+P790</f>
        <v>135</v>
      </c>
      <c r="Q789" s="320">
        <f>Z785+Z786+Z787</f>
        <v>80</v>
      </c>
      <c r="R789" s="144" t="s">
        <v>425</v>
      </c>
      <c r="S789" s="465">
        <v>8518.0499999999993</v>
      </c>
      <c r="T789" s="466"/>
      <c r="U789" s="467">
        <v>-35.306860045109261</v>
      </c>
      <c r="V789" s="468"/>
      <c r="W789" s="146" t="s">
        <v>375</v>
      </c>
      <c r="X789" s="325">
        <v>0</v>
      </c>
      <c r="Y789" s="143" t="s">
        <v>15</v>
      </c>
      <c r="Z789" s="12">
        <v>1717.5500000000009</v>
      </c>
    </row>
    <row r="790" spans="1:26" ht="15.75" thickBot="1">
      <c r="C790" s="15"/>
      <c r="D790" s="462"/>
      <c r="E790" s="463"/>
      <c r="F790" s="15">
        <v>70</v>
      </c>
      <c r="G790" s="462" t="s">
        <v>982</v>
      </c>
      <c r="H790" s="464"/>
      <c r="I790" s="20">
        <v>352.4</v>
      </c>
      <c r="J790" s="462" t="s">
        <v>105</v>
      </c>
      <c r="K790" s="464"/>
      <c r="L790" s="76"/>
      <c r="M790" s="25"/>
      <c r="N790" s="292"/>
      <c r="O790" s="140" t="s">
        <v>321</v>
      </c>
      <c r="P790" s="132">
        <f>SUM(L784:L797)</f>
        <v>-160</v>
      </c>
      <c r="Q790" s="72">
        <f>Q789-Q772</f>
        <v>-160</v>
      </c>
      <c r="R790" s="144" t="s">
        <v>426</v>
      </c>
      <c r="S790" s="465">
        <v>785.02999999999975</v>
      </c>
      <c r="T790" s="466"/>
      <c r="U790" s="467">
        <v>-6713.98</v>
      </c>
      <c r="V790" s="468"/>
      <c r="W790" s="470" t="s">
        <v>376</v>
      </c>
      <c r="X790" s="471"/>
      <c r="Y790" s="146" t="s">
        <v>325</v>
      </c>
      <c r="Z790" s="10">
        <v>511.9</v>
      </c>
    </row>
    <row r="791" spans="1:26" ht="16.5" thickTop="1" thickBot="1">
      <c r="C791" s="15"/>
      <c r="D791" s="462"/>
      <c r="E791" s="463"/>
      <c r="F791" s="15">
        <v>82.16</v>
      </c>
      <c r="G791" s="462" t="s">
        <v>926</v>
      </c>
      <c r="H791" s="464"/>
      <c r="I791" s="63">
        <v>818.3</v>
      </c>
      <c r="J791" s="462" t="s">
        <v>206</v>
      </c>
      <c r="K791" s="464"/>
      <c r="L791" s="76"/>
      <c r="M791" s="25"/>
      <c r="N791" s="292"/>
      <c r="O791" s="141" t="s">
        <v>322</v>
      </c>
      <c r="P791" s="133">
        <f>P790/29</f>
        <v>-5.5172413793103452</v>
      </c>
      <c r="Q791" s="10">
        <f>Q790/29</f>
        <v>-5.5172413793103452</v>
      </c>
      <c r="R791" s="144" t="s">
        <v>422</v>
      </c>
      <c r="S791" s="465">
        <v>-7733.0199999999995</v>
      </c>
      <c r="T791" s="466"/>
      <c r="U791" s="467">
        <v>-6678.6731399548898</v>
      </c>
      <c r="V791" s="468"/>
      <c r="W791" s="289" t="s">
        <v>12</v>
      </c>
      <c r="X791" s="38">
        <v>625.11</v>
      </c>
      <c r="Y791" s="470" t="s">
        <v>374</v>
      </c>
      <c r="Z791" s="471"/>
    </row>
    <row r="792" spans="1:26" ht="15.75" thickTop="1">
      <c r="C792" s="15"/>
      <c r="D792" s="462"/>
      <c r="E792" s="463"/>
      <c r="F792" s="63">
        <v>153.69</v>
      </c>
      <c r="G792" s="462" t="s">
        <v>927</v>
      </c>
      <c r="H792" s="464"/>
      <c r="I792" s="20">
        <f>40+220</f>
        <v>260</v>
      </c>
      <c r="J792" s="462" t="s">
        <v>967</v>
      </c>
      <c r="K792" s="464"/>
      <c r="L792" s="76"/>
      <c r="M792" s="25"/>
      <c r="N792" s="293"/>
      <c r="O792" s="136" t="s">
        <v>325</v>
      </c>
      <c r="P792" s="319">
        <f>P775+P793</f>
        <v>508.88000000000011</v>
      </c>
      <c r="Q792" s="320">
        <f>Z790</f>
        <v>511.9</v>
      </c>
      <c r="R792" s="143" t="s">
        <v>421</v>
      </c>
      <c r="S792" s="465">
        <v>-6111.8399999999992</v>
      </c>
      <c r="T792" s="466"/>
      <c r="U792" s="467">
        <v>-6438.3381983652362</v>
      </c>
      <c r="V792" s="468"/>
      <c r="W792" s="282" t="s">
        <v>373</v>
      </c>
      <c r="X792" s="281">
        <v>2000</v>
      </c>
      <c r="Y792" s="321" t="s">
        <v>181</v>
      </c>
      <c r="Z792" s="322">
        <v>0</v>
      </c>
    </row>
    <row r="793" spans="1:26" ht="15.75" thickBot="1">
      <c r="C793" s="266"/>
      <c r="D793" s="448"/>
      <c r="E793" s="469"/>
      <c r="F793" s="15">
        <v>0</v>
      </c>
      <c r="G793" s="462" t="s">
        <v>925</v>
      </c>
      <c r="H793" s="464"/>
      <c r="I793" s="63">
        <v>5</v>
      </c>
      <c r="J793" s="462" t="s">
        <v>944</v>
      </c>
      <c r="K793" s="464"/>
      <c r="L793" s="76"/>
      <c r="M793" s="25"/>
      <c r="N793" s="295"/>
      <c r="O793" s="140" t="s">
        <v>321</v>
      </c>
      <c r="P793" s="132">
        <f>SUM(M784:M797)</f>
        <v>145</v>
      </c>
      <c r="Q793" s="72">
        <f>Q792-Q775</f>
        <v>145.04999999999995</v>
      </c>
      <c r="R793" s="144" t="s">
        <v>418</v>
      </c>
      <c r="S793" s="465">
        <v>-6663</v>
      </c>
      <c r="T793" s="466"/>
      <c r="U793" s="467">
        <v>-6663</v>
      </c>
      <c r="V793" s="468"/>
      <c r="W793" s="282" t="s">
        <v>378</v>
      </c>
      <c r="X793" s="281">
        <v>1374.8899999999999</v>
      </c>
      <c r="Y793" s="146" t="s">
        <v>553</v>
      </c>
      <c r="Z793" s="10">
        <v>0</v>
      </c>
    </row>
    <row r="794" spans="1:26" ht="15.75" thickBot="1">
      <c r="C794" s="266"/>
      <c r="D794" s="448"/>
      <c r="E794" s="469"/>
      <c r="F794" s="15">
        <v>30</v>
      </c>
      <c r="G794" s="462" t="s">
        <v>33</v>
      </c>
      <c r="H794" s="464"/>
      <c r="I794" s="20">
        <v>25</v>
      </c>
      <c r="J794" s="462" t="s">
        <v>989</v>
      </c>
      <c r="K794" s="464"/>
      <c r="L794" s="76"/>
      <c r="M794" s="25"/>
      <c r="N794" s="293"/>
      <c r="O794" s="141" t="s">
        <v>322</v>
      </c>
      <c r="P794" s="133">
        <f>P793/29</f>
        <v>5</v>
      </c>
      <c r="Q794" s="10">
        <f>Q793/29</f>
        <v>5.0017241379310331</v>
      </c>
      <c r="R794" s="144" t="s">
        <v>438</v>
      </c>
      <c r="S794" s="465">
        <v>-6663</v>
      </c>
      <c r="T794" s="466"/>
      <c r="U794" s="472"/>
      <c r="V794" s="473"/>
      <c r="W794" s="289" t="s">
        <v>379</v>
      </c>
      <c r="X794" s="281"/>
      <c r="Y794" s="266"/>
      <c r="Z794" s="16"/>
    </row>
    <row r="795" spans="1:26" ht="15.75" thickBot="1">
      <c r="C795" s="15"/>
      <c r="D795" s="448"/>
      <c r="E795" s="469"/>
      <c r="F795" s="15">
        <v>28.63</v>
      </c>
      <c r="G795" s="462" t="s">
        <v>991</v>
      </c>
      <c r="H795" s="464"/>
      <c r="I795" s="20">
        <v>39.99</v>
      </c>
      <c r="J795" s="462" t="s">
        <v>990</v>
      </c>
      <c r="K795" s="464"/>
      <c r="L795" s="76"/>
      <c r="M795" s="25"/>
      <c r="N795" s="295"/>
      <c r="O795" s="136" t="s">
        <v>323</v>
      </c>
      <c r="P795" s="319">
        <f>P778+P796</f>
        <v>8486.0373044585303</v>
      </c>
      <c r="Q795" s="320">
        <f>S784+U784</f>
        <v>9258.5649415896532</v>
      </c>
      <c r="R795" s="144" t="s">
        <v>380</v>
      </c>
      <c r="S795" s="291">
        <v>1070.0200000000004</v>
      </c>
      <c r="T795" s="327">
        <v>0.28254187878915915</v>
      </c>
      <c r="U795" s="291">
        <v>15.673139954890303</v>
      </c>
      <c r="V795" s="329">
        <v>1.3272684001930242E-2</v>
      </c>
      <c r="W795" s="146" t="s">
        <v>375</v>
      </c>
      <c r="X795" s="326">
        <v>3.22</v>
      </c>
      <c r="Y795" s="266"/>
      <c r="Z795" s="16"/>
    </row>
    <row r="796" spans="1:26">
      <c r="C796" s="15"/>
      <c r="D796" s="462"/>
      <c r="E796" s="463"/>
      <c r="F796" s="15"/>
      <c r="G796" s="503"/>
      <c r="H796" s="504"/>
      <c r="I796" s="20"/>
      <c r="J796" s="503"/>
      <c r="K796" s="504"/>
      <c r="L796" s="76"/>
      <c r="M796" s="25"/>
      <c r="N796" s="293"/>
      <c r="O796" s="140" t="s">
        <v>321</v>
      </c>
      <c r="P796" s="132">
        <f>SUM(N784:N797)</f>
        <v>1356.1799999999998</v>
      </c>
      <c r="Q796" s="72">
        <f>Q795-Q778</f>
        <v>-47.692151456139982</v>
      </c>
      <c r="R796" s="144" t="s">
        <v>381</v>
      </c>
      <c r="S796" s="291">
        <v>551.15999999999985</v>
      </c>
      <c r="T796" s="327">
        <v>6.4704950076602027E-2</v>
      </c>
      <c r="U796" s="291">
        <v>224.66180163476378</v>
      </c>
      <c r="V796" s="366">
        <v>6.3631204062816158</v>
      </c>
      <c r="W796" s="337" t="s">
        <v>410</v>
      </c>
      <c r="X796" s="1" t="s">
        <v>558</v>
      </c>
      <c r="Y796" s="266"/>
      <c r="Z796" s="16"/>
    </row>
    <row r="797" spans="1:26" ht="15.75" thickBot="1">
      <c r="C797" s="17"/>
      <c r="D797" s="459"/>
      <c r="E797" s="460"/>
      <c r="F797" s="17"/>
      <c r="G797" s="459"/>
      <c r="H797" s="461"/>
      <c r="I797" s="21"/>
      <c r="J797" s="459"/>
      <c r="K797" s="461"/>
      <c r="L797" s="42"/>
      <c r="M797" s="5"/>
      <c r="N797" s="21"/>
      <c r="O797" s="137" t="s">
        <v>322</v>
      </c>
      <c r="P797" s="138">
        <f>P796/29</f>
        <v>46.764827586206891</v>
      </c>
      <c r="Q797" s="24">
        <f>Q796/29</f>
        <v>-1.6445569467634475</v>
      </c>
      <c r="R797" s="153" t="s">
        <v>410</v>
      </c>
      <c r="S797" s="296">
        <v>1621.1800000000003</v>
      </c>
      <c r="T797" s="328">
        <v>0.13174787508014926</v>
      </c>
      <c r="U797" s="296">
        <v>240.33494158965408</v>
      </c>
      <c r="V797" s="330">
        <v>0.20979873562014231</v>
      </c>
      <c r="W797" s="296">
        <v>1861.5149415896544</v>
      </c>
      <c r="X797" s="330">
        <v>0.1383951893719928</v>
      </c>
      <c r="Y797" s="290"/>
      <c r="Z797" s="18"/>
    </row>
    <row r="798" spans="1:26" ht="17.25" thickTop="1" thickBot="1">
      <c r="A798" s="14"/>
      <c r="B798" s="14" t="s">
        <v>31</v>
      </c>
      <c r="C798" s="264">
        <v>45992</v>
      </c>
      <c r="D798" s="3"/>
      <c r="E798" s="3"/>
      <c r="F798" s="3"/>
      <c r="G798" s="3"/>
      <c r="H798" s="3"/>
      <c r="I798" s="3"/>
      <c r="J798" s="3"/>
      <c r="K798" s="3"/>
      <c r="L798" s="3"/>
      <c r="M798" s="3"/>
      <c r="N798" s="3"/>
      <c r="O798" s="3"/>
      <c r="P798" s="3"/>
      <c r="Q798" s="3"/>
      <c r="R798" s="3"/>
      <c r="S798" s="3"/>
      <c r="T798" s="3"/>
      <c r="U798" s="3"/>
      <c r="V798" s="3"/>
      <c r="W798" s="3"/>
      <c r="X798" s="3"/>
      <c r="Y798" s="3"/>
      <c r="Z798" s="3"/>
    </row>
    <row r="799" spans="1:26" ht="17.25" thickTop="1" thickBot="1">
      <c r="C799" s="480" t="s">
        <v>386</v>
      </c>
      <c r="D799" s="481"/>
      <c r="E799" s="482"/>
      <c r="F799" s="483" t="s">
        <v>387</v>
      </c>
      <c r="G799" s="484"/>
      <c r="H799" s="484"/>
      <c r="I799" s="484"/>
      <c r="J799" s="484"/>
      <c r="K799" s="484"/>
      <c r="L799" s="484"/>
      <c r="M799" s="484"/>
      <c r="N799" s="485"/>
      <c r="O799" s="261" t="s">
        <v>320</v>
      </c>
      <c r="P799" s="262" t="s">
        <v>257</v>
      </c>
      <c r="Q799" s="263" t="s">
        <v>319</v>
      </c>
      <c r="R799" s="486" t="s">
        <v>144</v>
      </c>
      <c r="S799" s="487"/>
      <c r="T799" s="487"/>
      <c r="U799" s="487"/>
      <c r="V799" s="487"/>
      <c r="W799" s="487"/>
      <c r="X799" s="487"/>
      <c r="Y799" s="487"/>
      <c r="Z799" s="488"/>
    </row>
    <row r="800" spans="1:26" ht="15.75" thickBot="1">
      <c r="C800" s="265"/>
      <c r="D800" s="489"/>
      <c r="E800" s="490"/>
      <c r="F800" s="470" t="s">
        <v>3</v>
      </c>
      <c r="G800" s="491"/>
      <c r="H800" s="492"/>
      <c r="I800" s="493" t="s">
        <v>4</v>
      </c>
      <c r="J800" s="491"/>
      <c r="K800" s="492"/>
      <c r="L800" s="267" t="s">
        <v>324</v>
      </c>
      <c r="M800" s="267" t="s">
        <v>325</v>
      </c>
      <c r="N800" s="267" t="s">
        <v>323</v>
      </c>
      <c r="O800" s="316" t="s">
        <v>5</v>
      </c>
      <c r="P800" s="317">
        <f>P803+P806+P809+P812</f>
        <v>10186.287304458527</v>
      </c>
      <c r="Q800" s="318">
        <f>Q809+Q806+Q803+Q812</f>
        <v>11837.537089878568</v>
      </c>
      <c r="R800" s="268" t="s">
        <v>323</v>
      </c>
      <c r="S800" s="493" t="s">
        <v>317</v>
      </c>
      <c r="T800" s="492"/>
      <c r="U800" s="493" t="s">
        <v>369</v>
      </c>
      <c r="V800" s="471"/>
      <c r="W800" s="470" t="s">
        <v>310</v>
      </c>
      <c r="X800" s="471"/>
      <c r="Y800" s="470" t="s">
        <v>13</v>
      </c>
      <c r="Z800" s="471"/>
    </row>
    <row r="801" spans="1:26" ht="16.5" thickTop="1" thickBot="1">
      <c r="C801" s="15"/>
      <c r="D801" s="494"/>
      <c r="E801" s="495"/>
      <c r="G801" s="496"/>
      <c r="H801" s="497"/>
      <c r="J801" s="496"/>
      <c r="K801" s="497"/>
      <c r="L801" s="76"/>
      <c r="M801" s="25"/>
      <c r="N801" s="292"/>
      <c r="O801" s="258" t="s">
        <v>321</v>
      </c>
      <c r="P801" s="315">
        <f>SUM(C801:C814)-SUM(F801:F814)-SUM(I801:I814)</f>
        <v>171.47999999999979</v>
      </c>
      <c r="Q801" s="12">
        <f>Q800-Q783</f>
        <v>259.52214828891374</v>
      </c>
      <c r="R801" s="307" t="s">
        <v>343</v>
      </c>
      <c r="S801" s="498">
        <v>10083.15</v>
      </c>
      <c r="T801" s="499"/>
      <c r="U801" s="498">
        <v>192.57708987856796</v>
      </c>
      <c r="V801" s="500"/>
      <c r="W801" s="501" t="s">
        <v>326</v>
      </c>
      <c r="X801" s="502"/>
      <c r="Y801" s="143" t="s">
        <v>17</v>
      </c>
      <c r="Z801" s="12">
        <v>0</v>
      </c>
    </row>
    <row r="802" spans="1:26" ht="16.5" thickTop="1" thickBot="1">
      <c r="C802" s="15">
        <v>5274.56</v>
      </c>
      <c r="D802" s="455" t="s">
        <v>11</v>
      </c>
      <c r="E802" s="456"/>
      <c r="F802" s="6">
        <f>3.11+16+5.21+3.11+20.75+13.53+21.37+18.76+32.45+20</f>
        <v>154.29000000000002</v>
      </c>
      <c r="G802" s="462" t="s">
        <v>223</v>
      </c>
      <c r="H802" s="464"/>
      <c r="I802" s="20">
        <v>11.99</v>
      </c>
      <c r="J802" s="462" t="s">
        <v>385</v>
      </c>
      <c r="K802" s="464"/>
      <c r="L802" s="76"/>
      <c r="M802" s="25">
        <v>-450</v>
      </c>
      <c r="N802" s="295">
        <f>50+50+50+50+50+25+50</f>
        <v>325</v>
      </c>
      <c r="O802" s="141" t="s">
        <v>322</v>
      </c>
      <c r="P802" s="133">
        <f>P801/29</f>
        <v>5.9131034482758551</v>
      </c>
      <c r="Q802" s="10">
        <f>Q801/29</f>
        <v>8.94903959616944</v>
      </c>
      <c r="R802" s="308" t="s">
        <v>382</v>
      </c>
      <c r="S802" s="474">
        <v>13835.23</v>
      </c>
      <c r="T802" s="475"/>
      <c r="U802" s="467">
        <v>1145.5500000000002</v>
      </c>
      <c r="V802" s="468"/>
      <c r="W802" s="289" t="s">
        <v>12</v>
      </c>
      <c r="X802" s="315">
        <v>623.63</v>
      </c>
      <c r="Y802" s="144" t="s">
        <v>18</v>
      </c>
      <c r="Z802" s="72">
        <v>44</v>
      </c>
    </row>
    <row r="803" spans="1:26">
      <c r="C803" s="15">
        <v>10.4</v>
      </c>
      <c r="D803" s="455" t="s">
        <v>390</v>
      </c>
      <c r="E803" s="456"/>
      <c r="F803" s="15">
        <f>35.93+36.86</f>
        <v>72.789999999999992</v>
      </c>
      <c r="G803" s="462" t="s">
        <v>9</v>
      </c>
      <c r="H803" s="464"/>
      <c r="I803" s="63">
        <v>11.99</v>
      </c>
      <c r="J803" s="462" t="s">
        <v>22</v>
      </c>
      <c r="K803" s="464"/>
      <c r="L803" s="76"/>
      <c r="M803" s="25">
        <v>100</v>
      </c>
      <c r="N803" s="294">
        <f>40+50+50+25+50+50+70+50</f>
        <v>385</v>
      </c>
      <c r="O803" s="136" t="s">
        <v>12</v>
      </c>
      <c r="P803" s="319">
        <f>P786+P801-SUM(L801:L814)-SUM(M801:M814)-SUM(N801:N814)</f>
        <v>387.98999999999751</v>
      </c>
      <c r="Q803" s="320">
        <f>Z801+Z806+Z809</f>
        <v>1319.8400000000001</v>
      </c>
      <c r="R803" s="308" t="s">
        <v>383</v>
      </c>
      <c r="S803" s="474">
        <v>5432.7699999999995</v>
      </c>
      <c r="T803" s="475"/>
      <c r="U803" s="467">
        <v>1196.5299999999997</v>
      </c>
      <c r="V803" s="468"/>
      <c r="W803" s="282" t="s">
        <v>373</v>
      </c>
      <c r="X803" s="132">
        <v>5000</v>
      </c>
      <c r="Y803" s="144" t="s">
        <v>19</v>
      </c>
      <c r="Z803" s="72">
        <v>36</v>
      </c>
    </row>
    <row r="804" spans="1:26" ht="15.75" thickBot="1">
      <c r="C804" s="15"/>
      <c r="D804" s="462"/>
      <c r="E804" s="463"/>
      <c r="F804" s="15">
        <v>0</v>
      </c>
      <c r="G804" s="462" t="s">
        <v>6</v>
      </c>
      <c r="H804" s="464"/>
      <c r="I804" s="20">
        <v>20</v>
      </c>
      <c r="J804" s="462" t="s">
        <v>920</v>
      </c>
      <c r="K804" s="464"/>
      <c r="L804" s="76"/>
      <c r="M804" s="25"/>
      <c r="N804" s="20">
        <f>-88.42+(-327.76)</f>
        <v>-416.18</v>
      </c>
      <c r="O804" s="140" t="s">
        <v>321</v>
      </c>
      <c r="P804" s="132">
        <f>SUM(C801:C814)-SUM(F801:F814)-SUM(I801:I814)-P807-P810-P813</f>
        <v>-496.90000000000009</v>
      </c>
      <c r="Q804" s="72">
        <f>Q803-Q786</f>
        <v>-407.71000000000072</v>
      </c>
      <c r="R804" s="308" t="s">
        <v>424</v>
      </c>
      <c r="S804" s="474">
        <v>4251.2</v>
      </c>
      <c r="T804" s="475"/>
      <c r="U804" s="467">
        <v>1180.8568600451094</v>
      </c>
      <c r="V804" s="468"/>
      <c r="W804" s="282" t="s">
        <v>378</v>
      </c>
      <c r="X804" s="132">
        <f>X803-X802</f>
        <v>4376.37</v>
      </c>
      <c r="Y804" s="145" t="s">
        <v>324</v>
      </c>
      <c r="Z804" s="135">
        <v>0</v>
      </c>
    </row>
    <row r="805" spans="1:26" ht="15.75" thickBot="1">
      <c r="C805" s="15"/>
      <c r="D805" s="455"/>
      <c r="E805" s="456"/>
      <c r="F805" s="15">
        <f>285.51+300.01</f>
        <v>585.52</v>
      </c>
      <c r="G805" s="462" t="s">
        <v>97</v>
      </c>
      <c r="H805" s="464"/>
      <c r="I805" s="20">
        <v>11.9</v>
      </c>
      <c r="J805" s="462" t="s">
        <v>249</v>
      </c>
      <c r="K805" s="464"/>
      <c r="L805" s="76"/>
      <c r="M805" s="25"/>
      <c r="N805" s="294">
        <f>46.51+25+30+88.33+53+35.51+50+50+46.22+50</f>
        <v>474.56999999999994</v>
      </c>
      <c r="O805" s="141" t="s">
        <v>322</v>
      </c>
      <c r="P805" s="133">
        <f>P804/29</f>
        <v>-17.134482758620692</v>
      </c>
      <c r="Q805" s="10">
        <f>Q804/29</f>
        <v>-14.058965517241404</v>
      </c>
      <c r="R805" s="143" t="s">
        <v>12</v>
      </c>
      <c r="S805" s="476">
        <v>8402.4599999999991</v>
      </c>
      <c r="T805" s="477"/>
      <c r="U805" s="478">
        <v>-50.979999999999563</v>
      </c>
      <c r="V805" s="479"/>
      <c r="W805" s="289" t="s">
        <v>379</v>
      </c>
      <c r="X805" s="132">
        <v>623.63</v>
      </c>
      <c r="Y805" s="470" t="s">
        <v>14</v>
      </c>
      <c r="Z805" s="471"/>
    </row>
    <row r="806" spans="1:26" ht="15.75" thickBot="1">
      <c r="C806" s="15"/>
      <c r="D806" s="455"/>
      <c r="E806" s="456"/>
      <c r="F806" s="15">
        <v>1860.75</v>
      </c>
      <c r="G806" s="462" t="s">
        <v>304</v>
      </c>
      <c r="H806" s="464"/>
      <c r="I806" s="63">
        <f>7.94</f>
        <v>7.94</v>
      </c>
      <c r="J806" s="462" t="s">
        <v>974</v>
      </c>
      <c r="K806" s="464"/>
      <c r="L806" s="76"/>
      <c r="M806" s="25"/>
      <c r="N806" s="294">
        <f>25+25</f>
        <v>50</v>
      </c>
      <c r="O806" s="136" t="s">
        <v>324</v>
      </c>
      <c r="P806" s="319">
        <f>P789+P807</f>
        <v>135</v>
      </c>
      <c r="Q806" s="320">
        <f>Z802+Z803+Z804</f>
        <v>80</v>
      </c>
      <c r="R806" s="144" t="s">
        <v>425</v>
      </c>
      <c r="S806" s="465">
        <v>9584.0299999999988</v>
      </c>
      <c r="T806" s="466"/>
      <c r="U806" s="467">
        <v>-35.306860045109261</v>
      </c>
      <c r="V806" s="468"/>
      <c r="W806" s="146" t="s">
        <v>375</v>
      </c>
      <c r="X806" s="325">
        <v>0</v>
      </c>
      <c r="Y806" s="143" t="s">
        <v>15</v>
      </c>
      <c r="Z806" s="12">
        <f>1444.71+11.99-36.86-100</f>
        <v>1319.8400000000001</v>
      </c>
    </row>
    <row r="807" spans="1:26" ht="15.75" thickBot="1">
      <c r="C807" s="15"/>
      <c r="D807" s="462"/>
      <c r="E807" s="463"/>
      <c r="F807" s="15">
        <v>70</v>
      </c>
      <c r="G807" s="462" t="s">
        <v>982</v>
      </c>
      <c r="H807" s="464"/>
      <c r="I807" s="20">
        <v>462.66</v>
      </c>
      <c r="J807" s="462" t="s">
        <v>105</v>
      </c>
      <c r="K807" s="464"/>
      <c r="L807" s="76"/>
      <c r="M807" s="25"/>
      <c r="N807" s="294">
        <f>50+50+50+49.99</f>
        <v>199.99</v>
      </c>
      <c r="O807" s="140" t="s">
        <v>321</v>
      </c>
      <c r="P807" s="132">
        <f>SUM(L801:L814)</f>
        <v>0</v>
      </c>
      <c r="Q807" s="72">
        <f>Q806-Q789</f>
        <v>0</v>
      </c>
      <c r="R807" s="144" t="s">
        <v>426</v>
      </c>
      <c r="S807" s="465">
        <v>785.08999999999924</v>
      </c>
      <c r="T807" s="466"/>
      <c r="U807" s="467">
        <v>-7668.3499999999995</v>
      </c>
      <c r="V807" s="468"/>
      <c r="W807" s="470" t="s">
        <v>376</v>
      </c>
      <c r="X807" s="471"/>
      <c r="Y807" s="146" t="s">
        <v>325</v>
      </c>
      <c r="Z807" s="10">
        <v>161.97</v>
      </c>
    </row>
    <row r="808" spans="1:26" ht="16.5" thickTop="1" thickBot="1">
      <c r="C808" s="15"/>
      <c r="D808" s="462"/>
      <c r="E808" s="463"/>
      <c r="F808" s="15">
        <v>39.83</v>
      </c>
      <c r="G808" s="462" t="s">
        <v>926</v>
      </c>
      <c r="H808" s="464"/>
      <c r="I808" s="20">
        <v>919.9</v>
      </c>
      <c r="J808" s="462" t="s">
        <v>206</v>
      </c>
      <c r="K808" s="464"/>
      <c r="L808" s="76"/>
      <c r="M808" s="25"/>
      <c r="N808" s="292"/>
      <c r="O808" s="141" t="s">
        <v>322</v>
      </c>
      <c r="P808" s="133">
        <f>P807/29</f>
        <v>0</v>
      </c>
      <c r="Q808" s="10">
        <f>Q807/29</f>
        <v>0</v>
      </c>
      <c r="R808" s="144" t="s">
        <v>422</v>
      </c>
      <c r="S808" s="465">
        <v>-8798.9399999999987</v>
      </c>
      <c r="T808" s="466"/>
      <c r="U808" s="467">
        <v>-7633.0431399548906</v>
      </c>
      <c r="V808" s="468"/>
      <c r="W808" s="289" t="s">
        <v>12</v>
      </c>
      <c r="X808" s="38">
        <v>850.39</v>
      </c>
      <c r="Y808" s="470" t="s">
        <v>374</v>
      </c>
      <c r="Z808" s="471"/>
    </row>
    <row r="809" spans="1:26" ht="16.5" thickTop="1" thickBot="1">
      <c r="C809" s="15"/>
      <c r="D809" s="462"/>
      <c r="E809" s="463"/>
      <c r="F809" s="63">
        <v>134.96</v>
      </c>
      <c r="G809" s="462" t="s">
        <v>927</v>
      </c>
      <c r="H809" s="464"/>
      <c r="I809" s="20">
        <v>12.99</v>
      </c>
      <c r="J809" s="462" t="s">
        <v>955</v>
      </c>
      <c r="K809" s="464"/>
      <c r="L809" s="76"/>
      <c r="M809" s="25"/>
      <c r="N809" s="293"/>
      <c r="O809" s="136" t="s">
        <v>325</v>
      </c>
      <c r="P809" s="319">
        <f>P792+P810</f>
        <v>158.88000000000011</v>
      </c>
      <c r="Q809" s="320">
        <f>Z807</f>
        <v>161.97</v>
      </c>
      <c r="R809" s="143" t="s">
        <v>421</v>
      </c>
      <c r="S809" s="465">
        <v>-7118.2499999999982</v>
      </c>
      <c r="T809" s="466"/>
      <c r="U809" s="467">
        <v>-7389.4860500763234</v>
      </c>
      <c r="V809" s="468"/>
      <c r="W809" s="282" t="s">
        <v>373</v>
      </c>
      <c r="X809" s="281">
        <v>2000</v>
      </c>
      <c r="Y809" s="321" t="s">
        <v>181</v>
      </c>
      <c r="Z809" s="322">
        <v>0</v>
      </c>
    </row>
    <row r="810" spans="1:26">
      <c r="C810" s="266"/>
      <c r="D810" s="448"/>
      <c r="E810" s="469"/>
      <c r="F810" s="15">
        <v>152.74</v>
      </c>
      <c r="G810" s="462" t="s">
        <v>925</v>
      </c>
      <c r="H810" s="464"/>
      <c r="I810" s="20">
        <f>240+160+160</f>
        <v>560</v>
      </c>
      <c r="J810" s="462" t="s">
        <v>967</v>
      </c>
      <c r="K810" s="464"/>
      <c r="L810" s="76"/>
      <c r="M810" s="25"/>
      <c r="N810" s="295"/>
      <c r="O810" s="140" t="s">
        <v>321</v>
      </c>
      <c r="P810" s="132">
        <f>SUM(M801:M814)</f>
        <v>-350</v>
      </c>
      <c r="Q810" s="72">
        <f>Q809-Q792</f>
        <v>-349.92999999999995</v>
      </c>
      <c r="R810" s="144" t="s">
        <v>418</v>
      </c>
      <c r="S810" s="465">
        <v>-7617.37</v>
      </c>
      <c r="T810" s="466"/>
      <c r="U810" s="467">
        <v>-7617.37</v>
      </c>
      <c r="V810" s="468"/>
      <c r="W810" s="282" t="s">
        <v>378</v>
      </c>
      <c r="X810" s="281">
        <f>X809-X808</f>
        <v>1149.6100000000001</v>
      </c>
      <c r="Y810" s="323"/>
      <c r="Z810" s="324"/>
    </row>
    <row r="811" spans="1:26" ht="15.75" thickBot="1">
      <c r="C811" s="266"/>
      <c r="D811" s="448"/>
      <c r="E811" s="469"/>
      <c r="F811" s="15">
        <v>0</v>
      </c>
      <c r="G811" s="462" t="s">
        <v>33</v>
      </c>
      <c r="H811" s="464"/>
      <c r="I811" s="20">
        <v>12.99</v>
      </c>
      <c r="J811" s="462" t="s">
        <v>995</v>
      </c>
      <c r="K811" s="464"/>
      <c r="L811" s="76"/>
      <c r="M811" s="25"/>
      <c r="N811" s="293"/>
      <c r="O811" s="141" t="s">
        <v>322</v>
      </c>
      <c r="P811" s="133">
        <f>P810/29</f>
        <v>-12.068965517241379</v>
      </c>
      <c r="Q811" s="10">
        <f>Q810/29</f>
        <v>-12.066551724137929</v>
      </c>
      <c r="R811" s="144" t="s">
        <v>438</v>
      </c>
      <c r="S811" s="465">
        <v>-7617.37</v>
      </c>
      <c r="T811" s="466"/>
      <c r="U811" s="472"/>
      <c r="V811" s="473"/>
      <c r="W811" s="289" t="s">
        <v>379</v>
      </c>
      <c r="X811" s="281"/>
      <c r="Y811" s="266"/>
      <c r="Z811" s="16"/>
    </row>
    <row r="812" spans="1:26" ht="15.75" thickBot="1">
      <c r="C812" s="15"/>
      <c r="D812" s="448"/>
      <c r="E812" s="469"/>
      <c r="F812" s="15"/>
      <c r="G812" s="462"/>
      <c r="H812" s="464"/>
      <c r="I812" s="20">
        <f>327.76-322.02</f>
        <v>5.7400000000000091</v>
      </c>
      <c r="J812" s="462" t="s">
        <v>996</v>
      </c>
      <c r="K812" s="464"/>
      <c r="L812" s="76"/>
      <c r="M812" s="25"/>
      <c r="N812" s="295"/>
      <c r="O812" s="136" t="s">
        <v>323</v>
      </c>
      <c r="P812" s="319">
        <f>P795+P813</f>
        <v>9504.4173044585295</v>
      </c>
      <c r="Q812" s="320">
        <f>S801+U801</f>
        <v>10275.727089878568</v>
      </c>
      <c r="R812" s="144" t="s">
        <v>380</v>
      </c>
      <c r="S812" s="291">
        <v>1181.5699999999997</v>
      </c>
      <c r="T812" s="327">
        <v>0.27793799397817082</v>
      </c>
      <c r="U812" s="291">
        <v>15.673139954890303</v>
      </c>
      <c r="V812" s="329">
        <v>1.3272684001930242E-2</v>
      </c>
      <c r="W812" s="146" t="s">
        <v>375</v>
      </c>
      <c r="X812" s="326">
        <v>21.31</v>
      </c>
      <c r="Y812" s="266"/>
      <c r="Z812" s="16"/>
    </row>
    <row r="813" spans="1:26">
      <c r="C813" s="15"/>
      <c r="D813" s="462"/>
      <c r="E813" s="463"/>
      <c r="F813" s="15"/>
      <c r="G813" s="503"/>
      <c r="H813" s="504"/>
      <c r="I813" s="20">
        <v>4.5</v>
      </c>
      <c r="J813" s="457" t="s">
        <v>989</v>
      </c>
      <c r="K813" s="458"/>
      <c r="L813" s="76"/>
      <c r="M813" s="25"/>
      <c r="N813" s="293"/>
      <c r="O813" s="140" t="s">
        <v>321</v>
      </c>
      <c r="P813" s="132">
        <f>SUM(N801:N814)</f>
        <v>1018.3799999999999</v>
      </c>
      <c r="Q813" s="72">
        <f>Q812-Q795</f>
        <v>1017.162148288915</v>
      </c>
      <c r="R813" s="144" t="s">
        <v>381</v>
      </c>
      <c r="S813" s="291">
        <v>499.1200000000008</v>
      </c>
      <c r="T813" s="327">
        <v>5.2078301090459946E-2</v>
      </c>
      <c r="U813" s="291">
        <v>227.88394992367722</v>
      </c>
      <c r="V813" s="366">
        <v>6.4543816593297967</v>
      </c>
      <c r="W813" s="337" t="s">
        <v>410</v>
      </c>
      <c r="X813" s="1" t="s">
        <v>558</v>
      </c>
      <c r="Y813" s="266"/>
      <c r="Z813" s="16"/>
    </row>
    <row r="814" spans="1:26" ht="15.75" thickBot="1">
      <c r="C814" s="17"/>
      <c r="D814" s="459"/>
      <c r="E814" s="460"/>
      <c r="F814" s="17"/>
      <c r="G814" s="459"/>
      <c r="H814" s="461"/>
      <c r="I814" s="21"/>
      <c r="J814" s="459"/>
      <c r="K814" s="461"/>
      <c r="L814" s="42"/>
      <c r="M814" s="5"/>
      <c r="N814" s="21"/>
      <c r="O814" s="137" t="s">
        <v>322</v>
      </c>
      <c r="P814" s="138">
        <f>P813/29</f>
        <v>35.116551724137928</v>
      </c>
      <c r="Q814" s="24">
        <f>Q813/29</f>
        <v>35.074556837548791</v>
      </c>
      <c r="R814" s="153" t="s">
        <v>410</v>
      </c>
      <c r="S814" s="296">
        <v>1680.6900000000005</v>
      </c>
      <c r="T814" s="328">
        <v>0.12147900685424098</v>
      </c>
      <c r="U814" s="296">
        <v>243.55708987856752</v>
      </c>
      <c r="V814" s="330">
        <v>0.21261148782555758</v>
      </c>
      <c r="W814" s="296">
        <f>S814+U814</f>
        <v>1924.247089878568</v>
      </c>
      <c r="X814" s="330">
        <f>(W814+S802+U802)/(S802+U802)-1</f>
        <v>0.12844772367517376</v>
      </c>
      <c r="Y814" s="290"/>
      <c r="Z814" s="18"/>
    </row>
    <row r="815" spans="1:26" ht="17.25" thickTop="1" thickBot="1">
      <c r="A815" s="14" t="s">
        <v>31</v>
      </c>
      <c r="B815" s="14" t="s">
        <v>31</v>
      </c>
      <c r="C815" s="264">
        <v>46023</v>
      </c>
      <c r="D815" s="3"/>
      <c r="E815" s="3"/>
      <c r="F815" s="3"/>
      <c r="G815" s="3"/>
      <c r="H815" s="3"/>
      <c r="I815" s="3"/>
      <c r="J815" s="3"/>
      <c r="K815" s="3"/>
      <c r="L815" s="3"/>
      <c r="M815" s="3"/>
      <c r="N815" s="3"/>
      <c r="O815" s="3"/>
      <c r="P815" s="3"/>
      <c r="Q815" s="3"/>
      <c r="R815" s="3"/>
      <c r="S815" s="3"/>
      <c r="T815" s="3"/>
      <c r="U815" s="3"/>
      <c r="V815" s="3"/>
      <c r="W815" s="3"/>
      <c r="X815" s="3"/>
      <c r="Y815" s="3"/>
      <c r="Z815" s="3"/>
    </row>
    <row r="816" spans="1:26" ht="17.25" thickTop="1" thickBot="1">
      <c r="C816" s="480" t="s">
        <v>386</v>
      </c>
      <c r="D816" s="481"/>
      <c r="E816" s="482"/>
      <c r="F816" s="483" t="s">
        <v>387</v>
      </c>
      <c r="G816" s="484"/>
      <c r="H816" s="484"/>
      <c r="I816" s="484"/>
      <c r="J816" s="484"/>
      <c r="K816" s="484"/>
      <c r="L816" s="484"/>
      <c r="M816" s="484"/>
      <c r="N816" s="485"/>
      <c r="O816" s="261" t="s">
        <v>320</v>
      </c>
      <c r="P816" s="262" t="s">
        <v>257</v>
      </c>
      <c r="Q816" s="263" t="s">
        <v>319</v>
      </c>
      <c r="R816" s="486" t="s">
        <v>144</v>
      </c>
      <c r="S816" s="487"/>
      <c r="T816" s="487"/>
      <c r="U816" s="487"/>
      <c r="V816" s="487"/>
      <c r="W816" s="487"/>
      <c r="X816" s="487"/>
      <c r="Y816" s="487"/>
      <c r="Z816" s="488"/>
    </row>
    <row r="817" spans="1:26" ht="15.75" thickBot="1">
      <c r="C817" s="265"/>
      <c r="D817" s="489"/>
      <c r="E817" s="490"/>
      <c r="F817" s="470" t="s">
        <v>3</v>
      </c>
      <c r="G817" s="491"/>
      <c r="H817" s="492"/>
      <c r="I817" s="493" t="s">
        <v>4</v>
      </c>
      <c r="J817" s="491"/>
      <c r="K817" s="492"/>
      <c r="L817" s="267" t="s">
        <v>324</v>
      </c>
      <c r="M817" s="267" t="s">
        <v>325</v>
      </c>
      <c r="N817" s="267" t="s">
        <v>323</v>
      </c>
      <c r="O817" s="316" t="s">
        <v>5</v>
      </c>
      <c r="P817" s="317">
        <f>P820+P823+P826+P829</f>
        <v>10659.787304458529</v>
      </c>
      <c r="Q817" s="318">
        <f>Q826+Q823+Q820+Q829</f>
        <v>12768.810905551683</v>
      </c>
      <c r="R817" s="268" t="s">
        <v>323</v>
      </c>
      <c r="S817" s="493" t="s">
        <v>317</v>
      </c>
      <c r="T817" s="492"/>
      <c r="U817" s="493" t="s">
        <v>369</v>
      </c>
      <c r="V817" s="471"/>
      <c r="W817" s="470" t="s">
        <v>310</v>
      </c>
      <c r="X817" s="471"/>
      <c r="Y817" s="470" t="s">
        <v>13</v>
      </c>
      <c r="Z817" s="471"/>
    </row>
    <row r="818" spans="1:26" ht="16.5" thickTop="1" thickBot="1">
      <c r="C818" s="15"/>
      <c r="D818" s="494"/>
      <c r="E818" s="495"/>
      <c r="G818" s="496"/>
      <c r="H818" s="497"/>
      <c r="J818" s="496"/>
      <c r="K818" s="497"/>
      <c r="L818" s="76"/>
      <c r="M818" s="25"/>
      <c r="N818" s="292"/>
      <c r="O818" s="258" t="s">
        <v>321</v>
      </c>
      <c r="P818" s="315">
        <f>SUM(C818:C831)-SUM(F818:F831)-SUM(I818:I831)</f>
        <v>473.5</v>
      </c>
      <c r="Q818" s="12">
        <f>Q817-Q800</f>
        <v>931.27381567311568</v>
      </c>
      <c r="R818" s="307" t="s">
        <v>343</v>
      </c>
      <c r="S818" s="498">
        <v>10615.62</v>
      </c>
      <c r="T818" s="499"/>
      <c r="U818" s="498">
        <v>173.65090555168163</v>
      </c>
      <c r="V818" s="500"/>
      <c r="W818" s="501" t="s">
        <v>326</v>
      </c>
      <c r="X818" s="502"/>
      <c r="Y818" s="143" t="s">
        <v>17</v>
      </c>
      <c r="Z818" s="12">
        <v>0</v>
      </c>
    </row>
    <row r="819" spans="1:26" ht="16.5" thickTop="1" thickBot="1">
      <c r="C819" s="15">
        <v>4775.66</v>
      </c>
      <c r="D819" s="455" t="s">
        <v>11</v>
      </c>
      <c r="E819" s="456"/>
      <c r="F819" s="6">
        <f>21.8+35+16.27+16.27+16.27</f>
        <v>105.60999999999999</v>
      </c>
      <c r="G819" s="462" t="s">
        <v>223</v>
      </c>
      <c r="H819" s="464"/>
      <c r="I819" s="20">
        <v>11.99</v>
      </c>
      <c r="J819" s="462" t="s">
        <v>385</v>
      </c>
      <c r="K819" s="464"/>
      <c r="L819" s="76"/>
      <c r="M819" s="25">
        <v>-150</v>
      </c>
      <c r="N819" s="295">
        <v>48.16</v>
      </c>
      <c r="O819" s="141" t="s">
        <v>322</v>
      </c>
      <c r="P819" s="133">
        <f>P818/29</f>
        <v>16.327586206896552</v>
      </c>
      <c r="Q819" s="10">
        <f>Q818/29</f>
        <v>32.112890195624679</v>
      </c>
      <c r="R819" s="308" t="s">
        <v>382</v>
      </c>
      <c r="S819" s="474">
        <v>13957.4</v>
      </c>
      <c r="T819" s="475"/>
      <c r="U819" s="467">
        <v>1145.5500000000002</v>
      </c>
      <c r="V819" s="468"/>
      <c r="W819" s="289" t="s">
        <v>12</v>
      </c>
      <c r="X819" s="315">
        <v>844.17</v>
      </c>
      <c r="Y819" s="144" t="s">
        <v>18</v>
      </c>
      <c r="Z819" s="72">
        <v>44</v>
      </c>
    </row>
    <row r="820" spans="1:26">
      <c r="C820" s="15">
        <v>13.36</v>
      </c>
      <c r="D820" s="455" t="s">
        <v>390</v>
      </c>
      <c r="E820" s="456"/>
      <c r="F820" s="15">
        <f>33.6+38.31</f>
        <v>71.91</v>
      </c>
      <c r="G820" s="462" t="s">
        <v>9</v>
      </c>
      <c r="H820" s="464"/>
      <c r="I820" s="63">
        <v>11.99</v>
      </c>
      <c r="J820" s="462" t="s">
        <v>22</v>
      </c>
      <c r="K820" s="464"/>
      <c r="L820" s="76"/>
      <c r="M820" s="25"/>
      <c r="N820" s="294">
        <v>19.86</v>
      </c>
      <c r="O820" s="136" t="s">
        <v>12</v>
      </c>
      <c r="P820" s="319">
        <f>P803+P818-SUM(L818:L831)-SUM(M818:M831)-SUM(N818:N831)</f>
        <v>943.46999999999753</v>
      </c>
      <c r="Q820" s="320">
        <f>Z818+Z823+Z826</f>
        <v>1887.5300000000004</v>
      </c>
      <c r="R820" s="308" t="s">
        <v>383</v>
      </c>
      <c r="S820" s="474">
        <v>5432.7699999999995</v>
      </c>
      <c r="T820" s="475"/>
      <c r="U820" s="467">
        <v>1196.5299999999997</v>
      </c>
      <c r="V820" s="468"/>
      <c r="W820" s="282" t="s">
        <v>373</v>
      </c>
      <c r="X820" s="132">
        <v>5000</v>
      </c>
      <c r="Y820" s="144" t="s">
        <v>19</v>
      </c>
      <c r="Z820" s="72">
        <v>36</v>
      </c>
    </row>
    <row r="821" spans="1:26" ht="15.75" thickBot="1">
      <c r="C821" s="15">
        <v>160</v>
      </c>
      <c r="D821" s="462" t="s">
        <v>1355</v>
      </c>
      <c r="E821" s="463"/>
      <c r="F821" s="15"/>
      <c r="G821" s="462" t="s">
        <v>6</v>
      </c>
      <c r="H821" s="464"/>
      <c r="I821" s="20">
        <v>20</v>
      </c>
      <c r="J821" s="462" t="s">
        <v>920</v>
      </c>
      <c r="K821" s="464"/>
      <c r="L821" s="76"/>
      <c r="M821" s="25"/>
      <c r="N821" s="20"/>
      <c r="O821" s="140" t="s">
        <v>321</v>
      </c>
      <c r="P821" s="132">
        <f>SUM(C818:C831)-SUM(F818:F831)-SUM(I818:I831)-P824-P827-P830</f>
        <v>555.48</v>
      </c>
      <c r="Q821" s="72">
        <f>Q820-Q803</f>
        <v>567.69000000000028</v>
      </c>
      <c r="R821" s="308" t="s">
        <v>424</v>
      </c>
      <c r="S821" s="474">
        <v>4251.2</v>
      </c>
      <c r="T821" s="475"/>
      <c r="U821" s="467">
        <v>1180.8568600451094</v>
      </c>
      <c r="V821" s="468"/>
      <c r="W821" s="282" t="s">
        <v>378</v>
      </c>
      <c r="X821" s="132">
        <v>4155.83</v>
      </c>
      <c r="Y821" s="145" t="s">
        <v>324</v>
      </c>
      <c r="Z821" s="135">
        <v>0</v>
      </c>
    </row>
    <row r="822" spans="1:26" ht="15.75" thickBot="1">
      <c r="C822" s="15"/>
      <c r="D822" s="455"/>
      <c r="E822" s="456"/>
      <c r="F822" s="15">
        <v>172.47</v>
      </c>
      <c r="G822" s="462" t="s">
        <v>97</v>
      </c>
      <c r="H822" s="464"/>
      <c r="I822" s="20">
        <v>11.9</v>
      </c>
      <c r="J822" s="462" t="s">
        <v>249</v>
      </c>
      <c r="K822" s="464"/>
      <c r="L822" s="76"/>
      <c r="M822" s="25"/>
      <c r="N822" s="294"/>
      <c r="O822" s="141" t="s">
        <v>322</v>
      </c>
      <c r="P822" s="133">
        <f>P821/29</f>
        <v>19.154482758620691</v>
      </c>
      <c r="Q822" s="10">
        <f>Q821/29</f>
        <v>19.57551724137932</v>
      </c>
      <c r="R822" s="143" t="s">
        <v>12</v>
      </c>
      <c r="S822" s="476">
        <v>8524.630000000001</v>
      </c>
      <c r="T822" s="477"/>
      <c r="U822" s="478">
        <v>-50.979999999999563</v>
      </c>
      <c r="V822" s="479"/>
      <c r="W822" s="289" t="s">
        <v>379</v>
      </c>
      <c r="X822" s="132">
        <v>820.88</v>
      </c>
      <c r="Y822" s="470" t="s">
        <v>14</v>
      </c>
      <c r="Z822" s="471"/>
    </row>
    <row r="823" spans="1:26" ht="15.75" thickBot="1">
      <c r="C823" s="15"/>
      <c r="D823" s="455"/>
      <c r="E823" s="456"/>
      <c r="F823" s="63">
        <v>1860.75</v>
      </c>
      <c r="G823" s="462" t="s">
        <v>327</v>
      </c>
      <c r="H823" s="464"/>
      <c r="I823" s="63">
        <f>260.46</f>
        <v>260.45999999999998</v>
      </c>
      <c r="J823" s="462" t="s">
        <v>974</v>
      </c>
      <c r="K823" s="464"/>
      <c r="L823" s="76"/>
      <c r="M823" s="25"/>
      <c r="N823" s="294"/>
      <c r="O823" s="136" t="s">
        <v>324</v>
      </c>
      <c r="P823" s="319">
        <f>P806+P824</f>
        <v>135</v>
      </c>
      <c r="Q823" s="320">
        <f>Z819+Z820+Z821</f>
        <v>80</v>
      </c>
      <c r="R823" s="144" t="s">
        <v>425</v>
      </c>
      <c r="S823" s="465">
        <v>9706.2000000000007</v>
      </c>
      <c r="T823" s="466"/>
      <c r="U823" s="467">
        <v>-35.306860045109261</v>
      </c>
      <c r="V823" s="468"/>
      <c r="W823" s="146" t="s">
        <v>375</v>
      </c>
      <c r="X823" s="325">
        <v>13.63</v>
      </c>
      <c r="Y823" s="143" t="s">
        <v>15</v>
      </c>
      <c r="Z823" s="12">
        <f>4694.55-46.51-1860.75-71.91-35-(38.31)-121.95-(32.5)-623.23</f>
        <v>1864.3900000000003</v>
      </c>
    </row>
    <row r="824" spans="1:26" ht="15.75" thickBot="1">
      <c r="C824" s="15"/>
      <c r="D824" s="462"/>
      <c r="E824" s="463"/>
      <c r="F824" s="63">
        <v>70</v>
      </c>
      <c r="G824" s="462" t="s">
        <v>982</v>
      </c>
      <c r="H824" s="464"/>
      <c r="I824" s="20">
        <f>297.79</f>
        <v>297.79000000000002</v>
      </c>
      <c r="J824" s="462" t="s">
        <v>105</v>
      </c>
      <c r="K824" s="464"/>
      <c r="L824" s="76"/>
      <c r="M824" s="25"/>
      <c r="N824" s="294"/>
      <c r="O824" s="140" t="s">
        <v>321</v>
      </c>
      <c r="P824" s="132">
        <f>SUM(L818:L831)</f>
        <v>0</v>
      </c>
      <c r="Q824" s="72">
        <f>Q823-Q806</f>
        <v>0</v>
      </c>
      <c r="R824" s="144" t="s">
        <v>426</v>
      </c>
      <c r="S824" s="465">
        <v>785.09000000000106</v>
      </c>
      <c r="T824" s="466"/>
      <c r="U824" s="467">
        <v>-7790.5199999999995</v>
      </c>
      <c r="V824" s="468"/>
      <c r="W824" s="470" t="s">
        <v>376</v>
      </c>
      <c r="X824" s="471"/>
      <c r="Y824" s="146" t="s">
        <v>325</v>
      </c>
      <c r="Z824" s="10">
        <v>12.01</v>
      </c>
    </row>
    <row r="825" spans="1:26" ht="16.5" thickTop="1" thickBot="1">
      <c r="C825" s="15"/>
      <c r="D825" s="462"/>
      <c r="E825" s="463"/>
      <c r="F825" s="63">
        <v>46.52</v>
      </c>
      <c r="G825" s="462" t="s">
        <v>926</v>
      </c>
      <c r="H825" s="464"/>
      <c r="I825" s="20">
        <v>623.63</v>
      </c>
      <c r="J825" s="462" t="s">
        <v>206</v>
      </c>
      <c r="K825" s="464"/>
      <c r="L825" s="76"/>
      <c r="M825" s="25"/>
      <c r="N825" s="292"/>
      <c r="O825" s="141" t="s">
        <v>322</v>
      </c>
      <c r="P825" s="133">
        <f>P824/29</f>
        <v>0</v>
      </c>
      <c r="Q825" s="10">
        <f>Q824/29</f>
        <v>0</v>
      </c>
      <c r="R825" s="144" t="s">
        <v>422</v>
      </c>
      <c r="S825" s="465">
        <v>-8921.11</v>
      </c>
      <c r="T825" s="466"/>
      <c r="U825" s="467">
        <v>-7755.2131399548907</v>
      </c>
      <c r="V825" s="468"/>
      <c r="W825" s="289" t="s">
        <v>12</v>
      </c>
      <c r="X825" s="38">
        <v>677.99</v>
      </c>
      <c r="Y825" s="470" t="s">
        <v>374</v>
      </c>
      <c r="Z825" s="471"/>
    </row>
    <row r="826" spans="1:26" ht="16.5" thickTop="1" thickBot="1">
      <c r="C826" s="15"/>
      <c r="D826" s="462"/>
      <c r="E826" s="463"/>
      <c r="F826" s="63">
        <v>100.9</v>
      </c>
      <c r="G826" s="462" t="s">
        <v>927</v>
      </c>
      <c r="H826" s="464"/>
      <c r="I826" s="20">
        <v>12.99</v>
      </c>
      <c r="J826" s="462" t="s">
        <v>955</v>
      </c>
      <c r="K826" s="464"/>
      <c r="L826" s="76"/>
      <c r="M826" s="25"/>
      <c r="N826" s="293"/>
      <c r="O826" s="136" t="s">
        <v>325</v>
      </c>
      <c r="P826" s="319">
        <f>P809+P827</f>
        <v>8.8800000000001091</v>
      </c>
      <c r="Q826" s="320">
        <f>Z824</f>
        <v>12.01</v>
      </c>
      <c r="R826" s="143" t="s">
        <v>421</v>
      </c>
      <c r="S826" s="465">
        <v>1</v>
      </c>
      <c r="T826" s="466"/>
      <c r="U826" s="467">
        <v>-7530.5822344032094</v>
      </c>
      <c r="V826" s="468"/>
      <c r="W826" s="282" t="s">
        <v>373</v>
      </c>
      <c r="X826" s="281">
        <v>2000</v>
      </c>
      <c r="Y826" s="321" t="s">
        <v>181</v>
      </c>
      <c r="Z826" s="322">
        <v>23.14</v>
      </c>
    </row>
    <row r="827" spans="1:26" ht="15.75" thickBot="1">
      <c r="C827" s="266"/>
      <c r="D827" s="448"/>
      <c r="E827" s="469"/>
      <c r="F827" s="63">
        <v>92.16</v>
      </c>
      <c r="G827" s="462" t="s">
        <v>925</v>
      </c>
      <c r="H827" s="464"/>
      <c r="I827" s="20">
        <f>225+100+160</f>
        <v>485</v>
      </c>
      <c r="J827" s="462" t="s">
        <v>967</v>
      </c>
      <c r="K827" s="464"/>
      <c r="L827" s="76"/>
      <c r="M827" s="25"/>
      <c r="N827" s="295"/>
      <c r="O827" s="140" t="s">
        <v>321</v>
      </c>
      <c r="P827" s="132">
        <f>SUM(M818:M831)</f>
        <v>-150</v>
      </c>
      <c r="Q827" s="72">
        <f>Q826-Q809</f>
        <v>-149.96</v>
      </c>
      <c r="R827" s="144" t="s">
        <v>418</v>
      </c>
      <c r="S827" s="465">
        <v>-7739.54</v>
      </c>
      <c r="T827" s="466"/>
      <c r="U827" s="467">
        <v>-7739.54</v>
      </c>
      <c r="V827" s="468"/>
      <c r="W827" s="282" t="s">
        <v>378</v>
      </c>
      <c r="X827" s="281">
        <v>1322.01</v>
      </c>
      <c r="Y827" s="470" t="s">
        <v>1000</v>
      </c>
      <c r="Z827" s="471"/>
    </row>
    <row r="828" spans="1:26" ht="16.5" thickTop="1" thickBot="1">
      <c r="C828" s="266"/>
      <c r="D828" s="448"/>
      <c r="E828" s="469"/>
      <c r="F828" s="15">
        <v>40</v>
      </c>
      <c r="G828" s="462" t="s">
        <v>33</v>
      </c>
      <c r="H828" s="464"/>
      <c r="I828" s="20">
        <v>25</v>
      </c>
      <c r="J828" s="462" t="s">
        <v>989</v>
      </c>
      <c r="K828" s="464"/>
      <c r="L828" s="76"/>
      <c r="M828" s="25"/>
      <c r="N828" s="293"/>
      <c r="O828" s="141" t="s">
        <v>322</v>
      </c>
      <c r="P828" s="133">
        <f>P827/29</f>
        <v>-5.1724137931034484</v>
      </c>
      <c r="Q828" s="10">
        <f>Q827/29</f>
        <v>-5.1710344827586212</v>
      </c>
      <c r="R828" s="144" t="s">
        <v>438</v>
      </c>
      <c r="S828" s="465">
        <v>-7739.54</v>
      </c>
      <c r="T828" s="466"/>
      <c r="U828" s="472"/>
      <c r="V828" s="473"/>
      <c r="W828" s="289" t="s">
        <v>379</v>
      </c>
      <c r="X828" s="281"/>
      <c r="Y828" s="143" t="s">
        <v>12</v>
      </c>
      <c r="Z828" s="12"/>
    </row>
    <row r="829" spans="1:26" ht="15.75" thickBot="1">
      <c r="C829" s="15"/>
      <c r="D829" s="455"/>
      <c r="E829" s="456"/>
      <c r="F829" s="15">
        <f>121.95+32.5</f>
        <v>154.44999999999999</v>
      </c>
      <c r="G829" s="462" t="s">
        <v>1356</v>
      </c>
      <c r="H829" s="464"/>
      <c r="I829" s="20"/>
      <c r="J829" s="462"/>
      <c r="K829" s="464"/>
      <c r="L829" s="76"/>
      <c r="M829" s="25"/>
      <c r="N829" s="295"/>
      <c r="O829" s="136" t="s">
        <v>323</v>
      </c>
      <c r="P829" s="319">
        <f>P812+P830</f>
        <v>9572.43730445853</v>
      </c>
      <c r="Q829" s="320">
        <f>S818+U818</f>
        <v>10789.270905551683</v>
      </c>
      <c r="R829" s="144" t="s">
        <v>380</v>
      </c>
      <c r="S829" s="291">
        <v>1181.5699999999997</v>
      </c>
      <c r="T829" s="327">
        <v>0.27793799397817082</v>
      </c>
      <c r="U829" s="291">
        <v>15.673139954890303</v>
      </c>
      <c r="V829" s="329">
        <v>1.3272684001930242E-2</v>
      </c>
      <c r="W829" s="146" t="s">
        <v>375</v>
      </c>
      <c r="X829" s="326">
        <v>21.31</v>
      </c>
      <c r="Y829" s="144" t="s">
        <v>373</v>
      </c>
      <c r="Z829" s="72">
        <v>4000</v>
      </c>
    </row>
    <row r="830" spans="1:26">
      <c r="C830" s="15"/>
      <c r="D830" s="455"/>
      <c r="E830" s="456"/>
      <c r="F830" s="15"/>
      <c r="G830" s="457"/>
      <c r="H830" s="458"/>
      <c r="I830" s="20"/>
      <c r="J830" s="457"/>
      <c r="K830" s="458"/>
      <c r="L830" s="76"/>
      <c r="M830" s="25"/>
      <c r="N830" s="293"/>
      <c r="O830" s="140" t="s">
        <v>321</v>
      </c>
      <c r="P830" s="132">
        <f>SUM(N818:N831)</f>
        <v>68.02</v>
      </c>
      <c r="Q830" s="72">
        <f>Q829-Q812</f>
        <v>513.5438156731143</v>
      </c>
      <c r="R830" s="144" t="s">
        <v>381</v>
      </c>
      <c r="S830" s="291">
        <v>909.42000000000007</v>
      </c>
      <c r="T830" s="327">
        <v>9.3694751808122645E-2</v>
      </c>
      <c r="U830" s="291">
        <v>208.95776559679089</v>
      </c>
      <c r="V830" s="366">
        <v>5.918333302078385</v>
      </c>
      <c r="W830" s="386" t="s">
        <v>410</v>
      </c>
      <c r="X830" s="387" t="s">
        <v>558</v>
      </c>
      <c r="Y830" s="144" t="s">
        <v>379</v>
      </c>
      <c r="Z830" s="72"/>
    </row>
    <row r="831" spans="1:26" ht="15.75" thickBot="1">
      <c r="C831" s="17"/>
      <c r="D831" s="459"/>
      <c r="E831" s="460"/>
      <c r="F831" s="17"/>
      <c r="G831" s="459"/>
      <c r="H831" s="461"/>
      <c r="I831" s="21"/>
      <c r="J831" s="459"/>
      <c r="K831" s="461"/>
      <c r="L831" s="42"/>
      <c r="M831" s="5"/>
      <c r="N831" s="21"/>
      <c r="O831" s="137" t="s">
        <v>322</v>
      </c>
      <c r="P831" s="138">
        <f>P830/29</f>
        <v>2.3455172413793104</v>
      </c>
      <c r="Q831" s="24">
        <f>Q830/29</f>
        <v>17.708407437003942</v>
      </c>
      <c r="R831" s="153" t="s">
        <v>410</v>
      </c>
      <c r="S831" s="296">
        <v>2090.9899999999998</v>
      </c>
      <c r="T831" s="328">
        <v>0.14981228595583704</v>
      </c>
      <c r="U831" s="296">
        <v>224.6309055516812</v>
      </c>
      <c r="V831" s="330">
        <v>0.19609000528277348</v>
      </c>
      <c r="W831" s="388">
        <v>2315.6209055516811</v>
      </c>
      <c r="X831" s="330">
        <v>0.15332242413248287</v>
      </c>
      <c r="Y831" s="153" t="s">
        <v>375</v>
      </c>
      <c r="Z831" s="389"/>
    </row>
    <row r="832" spans="1:26" ht="17.25" thickTop="1" thickBot="1">
      <c r="A832" s="14" t="s">
        <v>31</v>
      </c>
      <c r="B832" s="14" t="s">
        <v>31</v>
      </c>
      <c r="C832" s="264">
        <v>46054</v>
      </c>
      <c r="D832" s="3"/>
      <c r="E832" s="3"/>
      <c r="F832" s="3"/>
      <c r="G832" s="3"/>
      <c r="H832" s="3"/>
      <c r="I832" s="3"/>
      <c r="J832" s="3"/>
      <c r="K832" s="3"/>
      <c r="L832" s="3"/>
      <c r="M832" s="3"/>
      <c r="N832" s="3"/>
      <c r="O832" s="3"/>
      <c r="P832" s="3"/>
      <c r="Q832" s="3"/>
      <c r="R832" s="3"/>
      <c r="S832" s="3"/>
      <c r="T832" s="3"/>
      <c r="U832" s="3"/>
      <c r="V832" s="3"/>
      <c r="W832" s="3"/>
      <c r="X832" s="3"/>
      <c r="Y832" s="3"/>
      <c r="Z832" s="3"/>
    </row>
    <row r="833" spans="3:26" ht="17.25" thickTop="1" thickBot="1">
      <c r="C833" s="480" t="s">
        <v>386</v>
      </c>
      <c r="D833" s="481"/>
      <c r="E833" s="482"/>
      <c r="F833" s="483" t="s">
        <v>387</v>
      </c>
      <c r="G833" s="484"/>
      <c r="H833" s="484"/>
      <c r="I833" s="484"/>
      <c r="J833" s="484"/>
      <c r="K833" s="484"/>
      <c r="L833" s="484"/>
      <c r="M833" s="484"/>
      <c r="N833" s="485"/>
      <c r="O833" s="261" t="s">
        <v>320</v>
      </c>
      <c r="P833" s="262" t="s">
        <v>257</v>
      </c>
      <c r="Q833" s="263" t="s">
        <v>319</v>
      </c>
      <c r="R833" s="486" t="s">
        <v>144</v>
      </c>
      <c r="S833" s="487"/>
      <c r="T833" s="487"/>
      <c r="U833" s="487"/>
      <c r="V833" s="487"/>
      <c r="W833" s="487"/>
      <c r="X833" s="487"/>
      <c r="Y833" s="487"/>
      <c r="Z833" s="488"/>
    </row>
    <row r="834" spans="3:26" ht="15.75" thickBot="1">
      <c r="C834" s="265"/>
      <c r="D834" s="489"/>
      <c r="E834" s="490"/>
      <c r="F834" s="470" t="s">
        <v>3</v>
      </c>
      <c r="G834" s="491"/>
      <c r="H834" s="492"/>
      <c r="I834" s="493" t="s">
        <v>4</v>
      </c>
      <c r="J834" s="491"/>
      <c r="K834" s="492"/>
      <c r="L834" s="267" t="s">
        <v>324</v>
      </c>
      <c r="M834" s="267" t="s">
        <v>325</v>
      </c>
      <c r="N834" s="267" t="s">
        <v>323</v>
      </c>
      <c r="O834" s="316" t="s">
        <v>5</v>
      </c>
      <c r="P834" s="317">
        <f>P837+P840+P843+P846</f>
        <v>11074.437304458528</v>
      </c>
      <c r="Q834" s="318">
        <f>Q843+Q840+Q837+Q846</f>
        <v>11384.587572923638</v>
      </c>
      <c r="R834" s="268" t="s">
        <v>323</v>
      </c>
      <c r="S834" s="493" t="s">
        <v>317</v>
      </c>
      <c r="T834" s="492"/>
      <c r="U834" s="493" t="s">
        <v>369</v>
      </c>
      <c r="V834" s="471"/>
      <c r="W834" s="470" t="s">
        <v>310</v>
      </c>
      <c r="X834" s="471"/>
      <c r="Y834" s="470" t="s">
        <v>13</v>
      </c>
      <c r="Z834" s="471"/>
    </row>
    <row r="835" spans="3:26" ht="16.5" thickTop="1" thickBot="1">
      <c r="C835" s="15"/>
      <c r="D835" s="494"/>
      <c r="E835" s="495"/>
      <c r="G835" s="496"/>
      <c r="H835" s="497"/>
      <c r="J835" s="496"/>
      <c r="K835" s="497"/>
      <c r="L835" s="76"/>
      <c r="M835" s="25"/>
      <c r="N835" s="292"/>
      <c r="O835" s="258" t="s">
        <v>321</v>
      </c>
      <c r="P835" s="315">
        <f>SUM(C835:C848)-SUM(F835:F848)-SUM(I835:I848)</f>
        <v>414.64999999999964</v>
      </c>
      <c r="Q835" s="12">
        <f>Q834-Q817</f>
        <v>-1384.2233326280457</v>
      </c>
      <c r="R835" s="307" t="s">
        <v>343</v>
      </c>
      <c r="S835" s="498">
        <f>Stocks!$D$8</f>
        <v>10755.35</v>
      </c>
      <c r="T835" s="499"/>
      <c r="U835" s="498">
        <f>Bitcoin!$C$8</f>
        <v>153.5675729236367</v>
      </c>
      <c r="V835" s="500"/>
      <c r="W835" s="501" t="s">
        <v>326</v>
      </c>
      <c r="X835" s="502"/>
      <c r="Y835" s="143" t="s">
        <v>17</v>
      </c>
      <c r="Z835" s="12">
        <v>0</v>
      </c>
    </row>
    <row r="836" spans="3:26" ht="16.5" thickTop="1" thickBot="1">
      <c r="C836" s="15"/>
      <c r="D836" s="455" t="s">
        <v>11</v>
      </c>
      <c r="E836" s="456"/>
      <c r="F836" s="6">
        <f>15.62+19.19+11.63+10.41+5.98</f>
        <v>62.830000000000013</v>
      </c>
      <c r="G836" s="462" t="s">
        <v>223</v>
      </c>
      <c r="H836" s="464"/>
      <c r="I836" s="20">
        <v>11.99</v>
      </c>
      <c r="J836" s="462" t="s">
        <v>385</v>
      </c>
      <c r="K836" s="464"/>
      <c r="L836" s="76"/>
      <c r="M836" s="25">
        <v>100</v>
      </c>
      <c r="N836" s="295">
        <f>26.76+31.57+50</f>
        <v>108.33</v>
      </c>
      <c r="O836" s="141" t="s">
        <v>322</v>
      </c>
      <c r="P836" s="133">
        <f>P835/29</f>
        <v>14.298275862068953</v>
      </c>
      <c r="Q836" s="10">
        <f>Q835/29</f>
        <v>-47.731839056139506</v>
      </c>
      <c r="R836" s="308" t="s">
        <v>382</v>
      </c>
      <c r="S836" s="474">
        <f>Stocks!$D$5</f>
        <v>14320.56</v>
      </c>
      <c r="T836" s="475"/>
      <c r="U836" s="467">
        <f>Bitcoin!$C$5</f>
        <v>1145.5500000000002</v>
      </c>
      <c r="V836" s="468"/>
      <c r="W836" s="289" t="s">
        <v>12</v>
      </c>
      <c r="X836" s="315">
        <v>1007.51</v>
      </c>
      <c r="Y836" s="144" t="s">
        <v>18</v>
      </c>
      <c r="Z836" s="72">
        <v>44</v>
      </c>
    </row>
    <row r="837" spans="3:26">
      <c r="C837" s="15"/>
      <c r="D837" s="455" t="s">
        <v>390</v>
      </c>
      <c r="E837" s="456"/>
      <c r="F837" s="15"/>
      <c r="G837" s="462" t="s">
        <v>9</v>
      </c>
      <c r="H837" s="464"/>
      <c r="I837" s="63"/>
      <c r="J837" s="462" t="s">
        <v>22</v>
      </c>
      <c r="K837" s="464"/>
      <c r="L837" s="76"/>
      <c r="M837" s="25"/>
      <c r="N837" s="294">
        <f>231.69</f>
        <v>231.69</v>
      </c>
      <c r="O837" s="136" t="s">
        <v>12</v>
      </c>
      <c r="P837" s="319">
        <f>P820+P835-SUM(L835:L848)-SUM(M835:M848)-SUM(N835:N848)</f>
        <v>918.09999999999718</v>
      </c>
      <c r="Q837" s="320">
        <f>Z835+Z840+Z843</f>
        <v>283.66000000000003</v>
      </c>
      <c r="R837" s="308" t="s">
        <v>383</v>
      </c>
      <c r="S837" s="474">
        <f>Stocks!$F$6</f>
        <v>5432.7699999999995</v>
      </c>
      <c r="T837" s="475"/>
      <c r="U837" s="467">
        <f>Bitcoin!$E$6</f>
        <v>1196.5299999999997</v>
      </c>
      <c r="V837" s="468"/>
      <c r="W837" s="282" t="s">
        <v>373</v>
      </c>
      <c r="X837" s="132">
        <v>5000</v>
      </c>
      <c r="Y837" s="144" t="s">
        <v>19</v>
      </c>
      <c r="Z837" s="72">
        <v>36</v>
      </c>
    </row>
    <row r="838" spans="3:26" ht="15.75" thickBot="1">
      <c r="C838" s="15">
        <v>55.12</v>
      </c>
      <c r="D838" s="462" t="s">
        <v>1360</v>
      </c>
      <c r="E838" s="463"/>
      <c r="F838" s="15"/>
      <c r="G838" s="462" t="s">
        <v>6</v>
      </c>
      <c r="H838" s="464"/>
      <c r="I838" s="20"/>
      <c r="J838" s="462" t="s">
        <v>920</v>
      </c>
      <c r="K838" s="464"/>
      <c r="L838" s="76"/>
      <c r="M838" s="25"/>
      <c r="N838" s="20"/>
      <c r="O838" s="140" t="s">
        <v>321</v>
      </c>
      <c r="P838" s="132">
        <f>SUM(C835:C848)-SUM(F835:F848)-SUM(I835:I848)-P841-P844-P847</f>
        <v>-25.370000000000346</v>
      </c>
      <c r="Q838" s="72">
        <f>Q837-Q820</f>
        <v>-1603.8700000000003</v>
      </c>
      <c r="R838" s="308" t="s">
        <v>424</v>
      </c>
      <c r="S838" s="474">
        <f>Stocks!$M$4</f>
        <v>4251.2</v>
      </c>
      <c r="T838" s="475"/>
      <c r="U838" s="467">
        <f>Bitcoin!$T$13</f>
        <v>1180.8568600451094</v>
      </c>
      <c r="V838" s="468"/>
      <c r="W838" s="282" t="s">
        <v>378</v>
      </c>
      <c r="X838" s="132">
        <f>X837-X836</f>
        <v>3992.49</v>
      </c>
      <c r="Y838" s="145" t="s">
        <v>324</v>
      </c>
      <c r="Z838" s="135">
        <v>0</v>
      </c>
    </row>
    <row r="839" spans="3:26" ht="15.75" thickBot="1">
      <c r="C839" s="15"/>
      <c r="D839" s="455"/>
      <c r="E839" s="456"/>
      <c r="F839" s="15">
        <v>227.1</v>
      </c>
      <c r="G839" s="462" t="s">
        <v>97</v>
      </c>
      <c r="H839" s="464"/>
      <c r="I839" s="20"/>
      <c r="J839" s="462" t="s">
        <v>249</v>
      </c>
      <c r="K839" s="464"/>
      <c r="L839" s="76"/>
      <c r="M839" s="25"/>
      <c r="N839" s="294"/>
      <c r="O839" s="141" t="s">
        <v>322</v>
      </c>
      <c r="P839" s="133">
        <f>P838/29</f>
        <v>-0.87482758620690848</v>
      </c>
      <c r="Q839" s="10">
        <f>Q838/29</f>
        <v>-55.305862068965531</v>
      </c>
      <c r="R839" s="143" t="s">
        <v>12</v>
      </c>
      <c r="S839" s="476">
        <f>S836-S837</f>
        <v>8887.7900000000009</v>
      </c>
      <c r="T839" s="477"/>
      <c r="U839" s="478">
        <f>U836-U837</f>
        <v>-50.979999999999563</v>
      </c>
      <c r="V839" s="479"/>
      <c r="W839" s="289" t="s">
        <v>379</v>
      </c>
      <c r="X839" s="132">
        <f>X836-I847</f>
        <v>186.63</v>
      </c>
      <c r="Y839" s="470" t="s">
        <v>14</v>
      </c>
      <c r="Z839" s="471"/>
    </row>
    <row r="840" spans="3:26" ht="15.75" thickBot="1">
      <c r="C840" s="15"/>
      <c r="D840" s="455"/>
      <c r="E840" s="456"/>
      <c r="F840" s="15"/>
      <c r="G840" s="462" t="s">
        <v>497</v>
      </c>
      <c r="H840" s="464"/>
      <c r="I840" s="63">
        <f>119.85-38.31-32.5</f>
        <v>49.039999999999992</v>
      </c>
      <c r="J840" s="462" t="s">
        <v>974</v>
      </c>
      <c r="K840" s="464"/>
      <c r="L840" s="76"/>
      <c r="M840" s="25"/>
      <c r="N840" s="294"/>
      <c r="O840" s="136" t="s">
        <v>324</v>
      </c>
      <c r="P840" s="319">
        <f>P823+P841</f>
        <v>135</v>
      </c>
      <c r="Q840" s="320">
        <f>Z836+Z837+Z838</f>
        <v>80</v>
      </c>
      <c r="R840" s="144" t="s">
        <v>425</v>
      </c>
      <c r="S840" s="465">
        <f>S836-S838</f>
        <v>10069.36</v>
      </c>
      <c r="T840" s="466"/>
      <c r="U840" s="467">
        <f>U836-U838</f>
        <v>-35.306860045109261</v>
      </c>
      <c r="V840" s="468"/>
      <c r="W840" s="146" t="s">
        <v>375</v>
      </c>
      <c r="X840" s="325">
        <v>2.94</v>
      </c>
      <c r="Y840" s="143" t="s">
        <v>15</v>
      </c>
      <c r="Z840" s="12">
        <v>283.66000000000003</v>
      </c>
    </row>
    <row r="841" spans="3:26" ht="15.75" thickBot="1">
      <c r="C841" s="15"/>
      <c r="D841" s="462"/>
      <c r="E841" s="463"/>
      <c r="F841" s="15">
        <v>70</v>
      </c>
      <c r="G841" s="462" t="s">
        <v>982</v>
      </c>
      <c r="H841" s="464"/>
      <c r="I841" s="20">
        <v>588.16999999999996</v>
      </c>
      <c r="J841" s="462" t="s">
        <v>105</v>
      </c>
      <c r="K841" s="464"/>
      <c r="L841" s="76"/>
      <c r="M841" s="25"/>
      <c r="N841" s="294"/>
      <c r="O841" s="140" t="s">
        <v>321</v>
      </c>
      <c r="P841" s="132">
        <f>SUM(L835:L848)</f>
        <v>0</v>
      </c>
      <c r="Q841" s="72">
        <f>Q840-Q823</f>
        <v>0</v>
      </c>
      <c r="R841" s="144" t="s">
        <v>426</v>
      </c>
      <c r="S841" s="465">
        <f>S839+S845</f>
        <v>785.09000000000106</v>
      </c>
      <c r="T841" s="466"/>
      <c r="U841" s="467">
        <f>U839+S845</f>
        <v>-8153.6799999999994</v>
      </c>
      <c r="V841" s="468"/>
      <c r="W841" s="470" t="s">
        <v>376</v>
      </c>
      <c r="X841" s="471"/>
      <c r="Y841" s="146" t="s">
        <v>325</v>
      </c>
      <c r="Z841" s="10">
        <v>112.01</v>
      </c>
    </row>
    <row r="842" spans="3:26" ht="16.5" thickTop="1" thickBot="1">
      <c r="C842" s="15"/>
      <c r="D842" s="462"/>
      <c r="E842" s="463"/>
      <c r="F842" s="15"/>
      <c r="G842" s="462" t="s">
        <v>926</v>
      </c>
      <c r="H842" s="464"/>
      <c r="I842" s="20"/>
      <c r="J842" s="462" t="s">
        <v>206</v>
      </c>
      <c r="K842" s="464"/>
      <c r="L842" s="76"/>
      <c r="M842" s="25"/>
      <c r="N842" s="292"/>
      <c r="O842" s="141" t="s">
        <v>322</v>
      </c>
      <c r="P842" s="133">
        <f>P841/29</f>
        <v>0</v>
      </c>
      <c r="Q842" s="10">
        <f>Q841/29</f>
        <v>0</v>
      </c>
      <c r="R842" s="144" t="s">
        <v>422</v>
      </c>
      <c r="S842" s="465">
        <f>S841-S840</f>
        <v>-9284.27</v>
      </c>
      <c r="T842" s="466"/>
      <c r="U842" s="467">
        <f>U841-U840</f>
        <v>-8118.3731399548906</v>
      </c>
      <c r="V842" s="468"/>
      <c r="W842" s="289" t="s">
        <v>12</v>
      </c>
      <c r="X842" s="38">
        <v>138.30000000000001</v>
      </c>
      <c r="Y842" s="470" t="s">
        <v>374</v>
      </c>
      <c r="Z842" s="471"/>
    </row>
    <row r="843" spans="3:26" ht="16.5" thickTop="1" thickBot="1">
      <c r="C843" s="15"/>
      <c r="D843" s="462"/>
      <c r="E843" s="463"/>
      <c r="F843" s="63">
        <v>101.57</v>
      </c>
      <c r="G843" s="462" t="s">
        <v>927</v>
      </c>
      <c r="H843" s="464"/>
      <c r="I843" s="20">
        <v>12.99</v>
      </c>
      <c r="J843" s="462" t="s">
        <v>955</v>
      </c>
      <c r="K843" s="464"/>
      <c r="L843" s="76"/>
      <c r="M843" s="25"/>
      <c r="N843" s="293"/>
      <c r="O843" s="136" t="s">
        <v>325</v>
      </c>
      <c r="P843" s="319">
        <f>P826+P844</f>
        <v>108.88000000000011</v>
      </c>
      <c r="Q843" s="320">
        <f>Z841</f>
        <v>112.01</v>
      </c>
      <c r="R843" s="143" t="s">
        <v>421</v>
      </c>
      <c r="S843" s="465">
        <v>1</v>
      </c>
      <c r="T843" s="466"/>
      <c r="U843" s="467">
        <f>U848+U842</f>
        <v>-7913.8255670312546</v>
      </c>
      <c r="V843" s="468"/>
      <c r="W843" s="282" t="s">
        <v>373</v>
      </c>
      <c r="X843" s="281">
        <v>2000</v>
      </c>
      <c r="Y843" s="321" t="s">
        <v>181</v>
      </c>
      <c r="Z843" s="322">
        <v>0</v>
      </c>
    </row>
    <row r="844" spans="3:26" ht="15.75" thickBot="1">
      <c r="C844" s="266"/>
      <c r="D844" s="448"/>
      <c r="E844" s="469"/>
      <c r="F844" s="15">
        <v>81.92</v>
      </c>
      <c r="G844" s="462" t="s">
        <v>925</v>
      </c>
      <c r="H844" s="464"/>
      <c r="I844" s="20">
        <v>5</v>
      </c>
      <c r="J844" s="462" t="s">
        <v>1359</v>
      </c>
      <c r="K844" s="464"/>
      <c r="L844" s="76"/>
      <c r="M844" s="25"/>
      <c r="N844" s="295"/>
      <c r="O844" s="140" t="s">
        <v>321</v>
      </c>
      <c r="P844" s="132">
        <f>SUM(M835:M848)</f>
        <v>100</v>
      </c>
      <c r="Q844" s="72">
        <f>Q843-Q826</f>
        <v>100</v>
      </c>
      <c r="R844" s="144" t="s">
        <v>418</v>
      </c>
      <c r="S844" s="465">
        <f>S841-S839</f>
        <v>-8102.7</v>
      </c>
      <c r="T844" s="466"/>
      <c r="U844" s="467">
        <f>U841-U839</f>
        <v>-8102.7</v>
      </c>
      <c r="V844" s="468"/>
      <c r="W844" s="282" t="s">
        <v>378</v>
      </c>
      <c r="X844" s="281">
        <f>X843-X842</f>
        <v>1861.7</v>
      </c>
      <c r="Y844" s="470" t="s">
        <v>1000</v>
      </c>
      <c r="Z844" s="471"/>
    </row>
    <row r="845" spans="3:26" ht="16.5" thickTop="1" thickBot="1">
      <c r="C845" s="266"/>
      <c r="D845" s="448"/>
      <c r="E845" s="469"/>
      <c r="F845" s="15"/>
      <c r="G845" s="462" t="s">
        <v>33</v>
      </c>
      <c r="H845" s="464"/>
      <c r="I845" s="20"/>
      <c r="J845" s="462"/>
      <c r="K845" s="464"/>
      <c r="L845" s="76"/>
      <c r="M845" s="25"/>
      <c r="N845" s="293"/>
      <c r="O845" s="141" t="s">
        <v>322</v>
      </c>
      <c r="P845" s="133">
        <f>P844/29</f>
        <v>3.4482758620689653</v>
      </c>
      <c r="Q845" s="10">
        <f>Q844/29</f>
        <v>3.4482758620689653</v>
      </c>
      <c r="R845" s="144" t="s">
        <v>438</v>
      </c>
      <c r="S845" s="465">
        <f>'Calculation Definitions'!$L$18</f>
        <v>-8102.7</v>
      </c>
      <c r="T845" s="466"/>
      <c r="U845" s="472"/>
      <c r="V845" s="473"/>
      <c r="W845" s="289" t="s">
        <v>379</v>
      </c>
      <c r="X845" s="281"/>
      <c r="Y845" s="143" t="s">
        <v>12</v>
      </c>
      <c r="Z845" s="12">
        <f>356.98-55.12</f>
        <v>301.86</v>
      </c>
    </row>
    <row r="846" spans="3:26" ht="15.75" thickBot="1">
      <c r="C846" s="15">
        <v>4775.66</v>
      </c>
      <c r="D846" s="455" t="s">
        <v>11</v>
      </c>
      <c r="E846" s="456"/>
      <c r="F846" s="15"/>
      <c r="G846" s="462"/>
      <c r="H846" s="464"/>
      <c r="I846" s="20">
        <f>11.99+20+11.9</f>
        <v>43.89</v>
      </c>
      <c r="J846" s="462" t="s">
        <v>1358</v>
      </c>
      <c r="K846" s="464"/>
      <c r="L846" s="76"/>
      <c r="M846" s="25"/>
      <c r="N846" s="295"/>
      <c r="O846" s="136" t="s">
        <v>323</v>
      </c>
      <c r="P846" s="319">
        <f>P829+P847</f>
        <v>9912.4573044585304</v>
      </c>
      <c r="Q846" s="320">
        <f>S835+U835</f>
        <v>10908.917572923638</v>
      </c>
      <c r="R846" s="144" t="s">
        <v>380</v>
      </c>
      <c r="S846" s="291">
        <f>S837-S838</f>
        <v>1181.5699999999997</v>
      </c>
      <c r="T846" s="327">
        <f>S846/S838</f>
        <v>0.27793799397817082</v>
      </c>
      <c r="U846" s="291">
        <f>U837-U838</f>
        <v>15.673139954890303</v>
      </c>
      <c r="V846" s="329">
        <f>U846/U838</f>
        <v>1.3272684001930242E-2</v>
      </c>
      <c r="W846" s="146" t="s">
        <v>375</v>
      </c>
      <c r="X846" s="326">
        <v>1.78</v>
      </c>
      <c r="Y846" s="144" t="s">
        <v>373</v>
      </c>
      <c r="Z846" s="72">
        <v>9000</v>
      </c>
    </row>
    <row r="847" spans="3:26">
      <c r="C847" s="15"/>
      <c r="D847" s="455"/>
      <c r="E847" s="456"/>
      <c r="F847" s="15">
        <f>200+100+1860.75+150+30</f>
        <v>2340.75</v>
      </c>
      <c r="G847" s="457" t="s">
        <v>38</v>
      </c>
      <c r="H847" s="458"/>
      <c r="I847" s="20">
        <v>820.88</v>
      </c>
      <c r="J847" s="457" t="s">
        <v>38</v>
      </c>
      <c r="K847" s="458"/>
      <c r="L847" s="76"/>
      <c r="M847" s="25"/>
      <c r="N847" s="293"/>
      <c r="O847" s="140" t="s">
        <v>321</v>
      </c>
      <c r="P847" s="132">
        <f>SUM(N835:N848)</f>
        <v>340.02</v>
      </c>
      <c r="Q847" s="72">
        <f>Q846-Q829</f>
        <v>119.64666737195512</v>
      </c>
      <c r="R847" s="144" t="s">
        <v>381</v>
      </c>
      <c r="S847" s="291">
        <f>S835-S840</f>
        <v>685.98999999999978</v>
      </c>
      <c r="T847" s="327">
        <f>S847/S840</f>
        <v>6.8126474770988404E-2</v>
      </c>
      <c r="U847" s="291">
        <f>U835-U840</f>
        <v>188.87443296874596</v>
      </c>
      <c r="V847" s="366">
        <f>U847/ABS(U840)</f>
        <v>5.3495109088554882</v>
      </c>
      <c r="W847" s="386" t="s">
        <v>410</v>
      </c>
      <c r="X847" s="387" t="s">
        <v>558</v>
      </c>
      <c r="Y847" s="144" t="s">
        <v>379</v>
      </c>
      <c r="Z847" s="72"/>
    </row>
    <row r="848" spans="3:26" ht="15.75" thickBot="1">
      <c r="C848" s="17"/>
      <c r="D848" s="459"/>
      <c r="E848" s="460"/>
      <c r="F848" s="17"/>
      <c r="G848" s="459"/>
      <c r="H848" s="461"/>
      <c r="I848" s="21"/>
      <c r="J848" s="459"/>
      <c r="K848" s="461"/>
      <c r="L848" s="42"/>
      <c r="M848" s="5"/>
      <c r="N848" s="21"/>
      <c r="O848" s="137" t="s">
        <v>322</v>
      </c>
      <c r="P848" s="138">
        <f>P847/29</f>
        <v>11.724827586206896</v>
      </c>
      <c r="Q848" s="24">
        <f>Q847/29</f>
        <v>4.1257471507570731</v>
      </c>
      <c r="R848" s="153" t="s">
        <v>410</v>
      </c>
      <c r="S848" s="296">
        <f>S846+S847</f>
        <v>1867.5599999999995</v>
      </c>
      <c r="T848" s="328">
        <f>S848/S836</f>
        <v>0.13041110124185085</v>
      </c>
      <c r="U848" s="296">
        <f>U847+U846</f>
        <v>204.54757292363627</v>
      </c>
      <c r="V848" s="330">
        <f>U848/U836</f>
        <v>0.17855839808269935</v>
      </c>
      <c r="W848" s="388">
        <f>S848+U848</f>
        <v>2072.1075729236359</v>
      </c>
      <c r="X848" s="330">
        <f>(W848+S836+U836)/(S836+U836)-1</f>
        <v>0.13397729441492601</v>
      </c>
      <c r="Y848" s="153" t="s">
        <v>375</v>
      </c>
      <c r="Z848" s="389">
        <v>0</v>
      </c>
    </row>
    <row r="849" spans="1:26" ht="17.25" thickTop="1" thickBot="1">
      <c r="A849" s="272" t="str">
        <f>"--EDIT FOR FORECASTING"</f>
        <v>--EDIT FOR FORECASTING</v>
      </c>
      <c r="C849" s="264">
        <v>46082</v>
      </c>
      <c r="D849" s="3"/>
      <c r="E849" s="3"/>
      <c r="F849" s="3"/>
      <c r="G849" s="3"/>
      <c r="H849" s="3"/>
      <c r="I849" s="3"/>
      <c r="J849" s="3"/>
      <c r="K849" s="3"/>
      <c r="L849" s="3"/>
      <c r="M849" s="3"/>
      <c r="N849" s="3"/>
      <c r="O849" s="3"/>
      <c r="P849" s="3"/>
      <c r="Q849" s="3"/>
      <c r="R849" s="3"/>
      <c r="S849" s="3"/>
      <c r="T849" s="3"/>
      <c r="U849" s="3"/>
      <c r="V849" s="3"/>
      <c r="W849" s="3"/>
      <c r="X849" s="3"/>
      <c r="Y849" s="3"/>
      <c r="Z849" s="3"/>
    </row>
    <row r="850" spans="1:26" ht="17.25" thickTop="1" thickBot="1">
      <c r="C850" s="480" t="s">
        <v>386</v>
      </c>
      <c r="D850" s="481"/>
      <c r="E850" s="482"/>
      <c r="F850" s="483" t="s">
        <v>387</v>
      </c>
      <c r="G850" s="484"/>
      <c r="H850" s="484"/>
      <c r="I850" s="484"/>
      <c r="J850" s="484"/>
      <c r="K850" s="484"/>
      <c r="L850" s="484"/>
      <c r="M850" s="484"/>
      <c r="N850" s="485"/>
      <c r="O850" s="261" t="s">
        <v>320</v>
      </c>
      <c r="P850" s="262" t="s">
        <v>257</v>
      </c>
      <c r="Q850" s="263" t="s">
        <v>319</v>
      </c>
      <c r="R850" s="486" t="s">
        <v>144</v>
      </c>
      <c r="S850" s="487"/>
      <c r="T850" s="487"/>
      <c r="U850" s="487"/>
      <c r="V850" s="487"/>
      <c r="W850" s="487"/>
      <c r="X850" s="487"/>
      <c r="Y850" s="487"/>
      <c r="Z850" s="488"/>
    </row>
    <row r="851" spans="1:26" ht="15.75" thickBot="1">
      <c r="C851" s="265"/>
      <c r="D851" s="489"/>
      <c r="E851" s="490"/>
      <c r="F851" s="470" t="s">
        <v>3</v>
      </c>
      <c r="G851" s="491"/>
      <c r="H851" s="492"/>
      <c r="I851" s="493" t="s">
        <v>4</v>
      </c>
      <c r="J851" s="491"/>
      <c r="K851" s="492"/>
      <c r="L851" s="267" t="s">
        <v>324</v>
      </c>
      <c r="M851" s="267" t="s">
        <v>325</v>
      </c>
      <c r="N851" s="267" t="s">
        <v>323</v>
      </c>
      <c r="O851" s="316" t="s">
        <v>5</v>
      </c>
      <c r="P851" s="317">
        <f>P854+P857+P860+P863</f>
        <v>11136.677304458528</v>
      </c>
      <c r="Q851" s="318">
        <f>Q860+Q857+Q854+Q863</f>
        <v>0</v>
      </c>
      <c r="R851" s="268" t="s">
        <v>323</v>
      </c>
      <c r="S851" s="493" t="s">
        <v>317</v>
      </c>
      <c r="T851" s="492"/>
      <c r="U851" s="493" t="s">
        <v>369</v>
      </c>
      <c r="V851" s="471"/>
      <c r="W851" s="470" t="s">
        <v>310</v>
      </c>
      <c r="X851" s="471"/>
      <c r="Y851" s="470" t="s">
        <v>13</v>
      </c>
      <c r="Z851" s="471"/>
    </row>
    <row r="852" spans="1:26" ht="16.5" thickTop="1" thickBot="1">
      <c r="C852" s="15"/>
      <c r="D852" s="494"/>
      <c r="E852" s="495"/>
      <c r="G852" s="496"/>
      <c r="H852" s="497"/>
      <c r="J852" s="496"/>
      <c r="K852" s="497"/>
      <c r="L852" s="76"/>
      <c r="M852" s="25"/>
      <c r="N852" s="292"/>
      <c r="O852" s="258" t="s">
        <v>321</v>
      </c>
      <c r="P852" s="315">
        <f>SUM(C852:C865)-SUM(F852:F865)-SUM(I852:I865)</f>
        <v>62.239999999999782</v>
      </c>
      <c r="Q852" s="12">
        <f>Q851-Q834</f>
        <v>-11384.587572923638</v>
      </c>
      <c r="R852" s="307" t="s">
        <v>343</v>
      </c>
      <c r="S852" s="498"/>
      <c r="T852" s="499"/>
      <c r="U852" s="498"/>
      <c r="V852" s="500"/>
      <c r="W852" s="501" t="s">
        <v>326</v>
      </c>
      <c r="X852" s="502"/>
      <c r="Y852" s="143" t="s">
        <v>17</v>
      </c>
      <c r="Z852" s="12"/>
    </row>
    <row r="853" spans="1:26" ht="16.5" thickTop="1" thickBot="1">
      <c r="C853" s="15"/>
      <c r="D853" s="455" t="s">
        <v>11</v>
      </c>
      <c r="E853" s="456"/>
      <c r="F853" s="6">
        <v>400</v>
      </c>
      <c r="G853" s="462" t="s">
        <v>223</v>
      </c>
      <c r="H853" s="464"/>
      <c r="I853" s="20">
        <v>11.99</v>
      </c>
      <c r="J853" s="462" t="s">
        <v>385</v>
      </c>
      <c r="K853" s="464"/>
      <c r="L853" s="76">
        <v>200</v>
      </c>
      <c r="M853" s="25">
        <v>150</v>
      </c>
      <c r="N853" s="295">
        <v>200</v>
      </c>
      <c r="O853" s="141" t="s">
        <v>322</v>
      </c>
      <c r="P853" s="133">
        <f>P852/29</f>
        <v>2.1462068965517167</v>
      </c>
      <c r="Q853" s="10">
        <f>Q852/29</f>
        <v>-392.5719852732289</v>
      </c>
      <c r="R853" s="308" t="s">
        <v>382</v>
      </c>
      <c r="S853" s="474"/>
      <c r="T853" s="475"/>
      <c r="U853" s="467"/>
      <c r="V853" s="468"/>
      <c r="W853" s="289" t="s">
        <v>12</v>
      </c>
      <c r="X853" s="315"/>
      <c r="Y853" s="144" t="s">
        <v>18</v>
      </c>
      <c r="Z853" s="72"/>
    </row>
    <row r="854" spans="1:26">
      <c r="C854" s="15"/>
      <c r="D854" s="455" t="s">
        <v>390</v>
      </c>
      <c r="E854" s="456"/>
      <c r="F854" s="6">
        <v>100</v>
      </c>
      <c r="G854" s="462" t="s">
        <v>9</v>
      </c>
      <c r="H854" s="464"/>
      <c r="I854" s="63">
        <v>11.99</v>
      </c>
      <c r="J854" s="462" t="s">
        <v>22</v>
      </c>
      <c r="K854" s="464"/>
      <c r="L854" s="76"/>
      <c r="M854" s="25"/>
      <c r="N854" s="294"/>
      <c r="O854" s="136" t="s">
        <v>12</v>
      </c>
      <c r="P854" s="319">
        <f>P837+P852-SUM(L852:L865)-SUM(M852:M865)-SUM(N852:N865)</f>
        <v>430.33999999999696</v>
      </c>
      <c r="Q854" s="320">
        <f>Z852+Z857+Z860</f>
        <v>0</v>
      </c>
      <c r="R854" s="308" t="s">
        <v>383</v>
      </c>
      <c r="S854" s="474"/>
      <c r="T854" s="475"/>
      <c r="U854" s="467"/>
      <c r="V854" s="468"/>
      <c r="W854" s="282" t="s">
        <v>373</v>
      </c>
      <c r="X854" s="132"/>
      <c r="Y854" s="144" t="s">
        <v>19</v>
      </c>
      <c r="Z854" s="72"/>
    </row>
    <row r="855" spans="1:26" ht="15.75" thickBot="1">
      <c r="C855" s="15"/>
      <c r="D855" s="462"/>
      <c r="E855" s="463"/>
      <c r="F855" s="6">
        <v>150</v>
      </c>
      <c r="G855" s="462" t="s">
        <v>6</v>
      </c>
      <c r="H855" s="464"/>
      <c r="I855" s="20">
        <v>20</v>
      </c>
      <c r="J855" s="462" t="s">
        <v>920</v>
      </c>
      <c r="K855" s="464"/>
      <c r="L855" s="76"/>
      <c r="M855" s="25"/>
      <c r="N855" s="20"/>
      <c r="O855" s="140" t="s">
        <v>321</v>
      </c>
      <c r="P855" s="132">
        <f>SUM(C852:C865)-SUM(F852:F865)-SUM(I852:I865)-P858-P861-P864</f>
        <v>-487.76000000000022</v>
      </c>
      <c r="Q855" s="72">
        <f>Q854-Q837</f>
        <v>-283.66000000000003</v>
      </c>
      <c r="R855" s="308" t="s">
        <v>424</v>
      </c>
      <c r="S855" s="474"/>
      <c r="T855" s="475"/>
      <c r="U855" s="467"/>
      <c r="V855" s="468"/>
      <c r="W855" s="282" t="s">
        <v>378</v>
      </c>
      <c r="X855" s="132"/>
      <c r="Y855" s="145" t="s">
        <v>324</v>
      </c>
      <c r="Z855" s="135"/>
    </row>
    <row r="856" spans="1:26" ht="15.75" thickBot="1">
      <c r="C856" s="15"/>
      <c r="D856" s="455"/>
      <c r="E856" s="456"/>
      <c r="F856" s="6">
        <v>370</v>
      </c>
      <c r="G856" s="462" t="s">
        <v>97</v>
      </c>
      <c r="H856" s="464"/>
      <c r="I856" s="20">
        <v>11.9</v>
      </c>
      <c r="J856" s="462" t="s">
        <v>249</v>
      </c>
      <c r="K856" s="464"/>
      <c r="L856" s="76"/>
      <c r="M856" s="25"/>
      <c r="N856" s="294"/>
      <c r="O856" s="141" t="s">
        <v>322</v>
      </c>
      <c r="P856" s="133">
        <f>P855/29</f>
        <v>-16.819310344827592</v>
      </c>
      <c r="Q856" s="10">
        <f>Q855/29</f>
        <v>-9.7813793103448283</v>
      </c>
      <c r="R856" s="143" t="s">
        <v>12</v>
      </c>
      <c r="S856" s="476"/>
      <c r="T856" s="477"/>
      <c r="U856" s="478"/>
      <c r="V856" s="479"/>
      <c r="W856" s="289" t="s">
        <v>379</v>
      </c>
      <c r="X856" s="132"/>
      <c r="Y856" s="470" t="s">
        <v>14</v>
      </c>
      <c r="Z856" s="471"/>
    </row>
    <row r="857" spans="1:26" ht="15.75" thickBot="1">
      <c r="C857" s="15"/>
      <c r="D857" s="455"/>
      <c r="E857" s="456"/>
      <c r="F857" s="6">
        <v>1860.75</v>
      </c>
      <c r="G857" s="462" t="s">
        <v>304</v>
      </c>
      <c r="H857" s="464"/>
      <c r="I857" s="63">
        <v>400</v>
      </c>
      <c r="J857" s="462" t="s">
        <v>974</v>
      </c>
      <c r="K857" s="464"/>
      <c r="L857" s="76"/>
      <c r="M857" s="25"/>
      <c r="N857" s="294"/>
      <c r="O857" s="136" t="s">
        <v>324</v>
      </c>
      <c r="P857" s="319">
        <f>P840+P858</f>
        <v>335</v>
      </c>
      <c r="Q857" s="320">
        <f>Z853+Z854+Z855</f>
        <v>0</v>
      </c>
      <c r="R857" s="144" t="s">
        <v>425</v>
      </c>
      <c r="S857" s="465"/>
      <c r="T857" s="466"/>
      <c r="U857" s="467"/>
      <c r="V857" s="468"/>
      <c r="W857" s="146" t="s">
        <v>375</v>
      </c>
      <c r="X857" s="325"/>
      <c r="Y857" s="143" t="s">
        <v>15</v>
      </c>
      <c r="Z857" s="12"/>
    </row>
    <row r="858" spans="1:26" ht="15.75" thickBot="1">
      <c r="C858" s="15"/>
      <c r="D858" s="462"/>
      <c r="E858" s="463"/>
      <c r="F858" s="6">
        <v>70</v>
      </c>
      <c r="G858" s="462" t="s">
        <v>982</v>
      </c>
      <c r="H858" s="464"/>
      <c r="I858" s="20">
        <v>100</v>
      </c>
      <c r="J858" s="462" t="s">
        <v>105</v>
      </c>
      <c r="K858" s="464"/>
      <c r="L858" s="76"/>
      <c r="M858" s="25"/>
      <c r="N858" s="294"/>
      <c r="O858" s="140" t="s">
        <v>321</v>
      </c>
      <c r="P858" s="132">
        <f>SUM(L852:L865)</f>
        <v>200</v>
      </c>
      <c r="Q858" s="72">
        <f>Q857-Q840</f>
        <v>-80</v>
      </c>
      <c r="R858" s="144" t="s">
        <v>426</v>
      </c>
      <c r="S858" s="465"/>
      <c r="T858" s="466"/>
      <c r="U858" s="467"/>
      <c r="V858" s="468"/>
      <c r="W858" s="470" t="s">
        <v>376</v>
      </c>
      <c r="X858" s="471"/>
      <c r="Y858" s="146" t="s">
        <v>325</v>
      </c>
      <c r="Z858" s="10"/>
    </row>
    <row r="859" spans="1:26" ht="16.5" thickTop="1" thickBot="1">
      <c r="C859" s="15"/>
      <c r="D859" s="462"/>
      <c r="E859" s="463"/>
      <c r="F859" s="6">
        <v>50</v>
      </c>
      <c r="G859" s="462" t="s">
        <v>926</v>
      </c>
      <c r="H859" s="464"/>
      <c r="I859" s="20">
        <v>200</v>
      </c>
      <c r="J859" s="462" t="s">
        <v>206</v>
      </c>
      <c r="K859" s="464"/>
      <c r="L859" s="76"/>
      <c r="M859" s="25"/>
      <c r="N859" s="292"/>
      <c r="O859" s="141" t="s">
        <v>322</v>
      </c>
      <c r="P859" s="133">
        <f>P858/29</f>
        <v>6.8965517241379306</v>
      </c>
      <c r="Q859" s="10">
        <f>Q858/29</f>
        <v>-2.7586206896551726</v>
      </c>
      <c r="R859" s="144" t="s">
        <v>422</v>
      </c>
      <c r="S859" s="465"/>
      <c r="T859" s="466"/>
      <c r="U859" s="467"/>
      <c r="V859" s="468"/>
      <c r="W859" s="289" t="s">
        <v>12</v>
      </c>
      <c r="X859" s="38"/>
      <c r="Y859" s="470" t="s">
        <v>374</v>
      </c>
      <c r="Z859" s="471"/>
    </row>
    <row r="860" spans="1:26" ht="16.5" thickTop="1" thickBot="1">
      <c r="C860" s="15"/>
      <c r="D860" s="462"/>
      <c r="E860" s="463"/>
      <c r="F860" s="6">
        <v>150</v>
      </c>
      <c r="G860" s="462" t="s">
        <v>927</v>
      </c>
      <c r="H860" s="464"/>
      <c r="I860" s="20"/>
      <c r="J860" s="462"/>
      <c r="K860" s="464"/>
      <c r="L860" s="76"/>
      <c r="M860" s="25"/>
      <c r="N860" s="293"/>
      <c r="O860" s="136" t="s">
        <v>325</v>
      </c>
      <c r="P860" s="319">
        <f>P843+P861</f>
        <v>258.88000000000011</v>
      </c>
      <c r="Q860" s="320">
        <f>Z858</f>
        <v>0</v>
      </c>
      <c r="R860" s="143" t="s">
        <v>421</v>
      </c>
      <c r="S860" s="465"/>
      <c r="T860" s="466"/>
      <c r="U860" s="467"/>
      <c r="V860" s="468"/>
      <c r="W860" s="282" t="s">
        <v>373</v>
      </c>
      <c r="X860" s="281"/>
      <c r="Y860" s="321" t="s">
        <v>181</v>
      </c>
      <c r="Z860" s="322">
        <v>0</v>
      </c>
    </row>
    <row r="861" spans="1:26" ht="15.75" thickBot="1">
      <c r="C861" s="266"/>
      <c r="D861" s="448"/>
      <c r="E861" s="469"/>
      <c r="F861" s="6">
        <v>150</v>
      </c>
      <c r="G861" s="462" t="s">
        <v>925</v>
      </c>
      <c r="H861" s="464"/>
      <c r="I861" s="20"/>
      <c r="J861" s="462"/>
      <c r="K861" s="464"/>
      <c r="L861" s="76"/>
      <c r="M861" s="25"/>
      <c r="N861" s="295"/>
      <c r="O861" s="140" t="s">
        <v>321</v>
      </c>
      <c r="P861" s="132">
        <f>SUM(M852:M865)</f>
        <v>150</v>
      </c>
      <c r="Q861" s="72">
        <f>Q860-Q843</f>
        <v>-112.01</v>
      </c>
      <c r="R861" s="144" t="s">
        <v>418</v>
      </c>
      <c r="S861" s="465"/>
      <c r="T861" s="466"/>
      <c r="U861" s="467"/>
      <c r="V861" s="468"/>
      <c r="W861" s="282" t="s">
        <v>378</v>
      </c>
      <c r="X861" s="281"/>
      <c r="Y861" s="470" t="s">
        <v>1000</v>
      </c>
      <c r="Z861" s="471"/>
    </row>
    <row r="862" spans="1:26" ht="16.5" thickTop="1" thickBot="1">
      <c r="C862" s="266"/>
      <c r="D862" s="448" t="s">
        <v>1001</v>
      </c>
      <c r="E862" s="469"/>
      <c r="F862" s="6">
        <v>30</v>
      </c>
      <c r="G862" s="462" t="s">
        <v>33</v>
      </c>
      <c r="H862" s="464"/>
      <c r="I862" s="20"/>
      <c r="J862" s="462"/>
      <c r="K862" s="464"/>
      <c r="L862" s="76"/>
      <c r="M862" s="25"/>
      <c r="N862" s="293"/>
      <c r="O862" s="141" t="s">
        <v>322</v>
      </c>
      <c r="P862" s="133">
        <f>P861/29</f>
        <v>5.1724137931034484</v>
      </c>
      <c r="Q862" s="10">
        <f>Q861/29</f>
        <v>-3.8624137931034483</v>
      </c>
      <c r="R862" s="144" t="s">
        <v>438</v>
      </c>
      <c r="S862" s="465"/>
      <c r="T862" s="466"/>
      <c r="U862" s="472"/>
      <c r="V862" s="473"/>
      <c r="W862" s="289" t="s">
        <v>379</v>
      </c>
      <c r="X862" s="281"/>
      <c r="Y862" s="143" t="s">
        <v>12</v>
      </c>
      <c r="Z862" s="12"/>
    </row>
    <row r="863" spans="1:26" ht="15.75" thickBot="1">
      <c r="C863" s="15">
        <f>C846</f>
        <v>4775.66</v>
      </c>
      <c r="D863" s="455" t="s">
        <v>11</v>
      </c>
      <c r="E863" s="456"/>
      <c r="F863" s="15"/>
      <c r="G863" s="462"/>
      <c r="H863" s="464"/>
      <c r="I863" s="20"/>
      <c r="J863" s="462"/>
      <c r="K863" s="464"/>
      <c r="L863" s="76"/>
      <c r="M863" s="25"/>
      <c r="N863" s="295"/>
      <c r="O863" s="136" t="s">
        <v>323</v>
      </c>
      <c r="P863" s="319">
        <f>P846+P864</f>
        <v>10112.45730445853</v>
      </c>
      <c r="Q863" s="320">
        <f>S852+U852</f>
        <v>0</v>
      </c>
      <c r="R863" s="144" t="s">
        <v>380</v>
      </c>
      <c r="S863" s="291">
        <f>S854-S855</f>
        <v>0</v>
      </c>
      <c r="T863" s="327" t="e">
        <f>S863/S855</f>
        <v>#DIV/0!</v>
      </c>
      <c r="U863" s="291">
        <f>U854-U855</f>
        <v>0</v>
      </c>
      <c r="V863" s="329" t="e">
        <f>U863/U855</f>
        <v>#DIV/0!</v>
      </c>
      <c r="W863" s="146" t="s">
        <v>375</v>
      </c>
      <c r="X863" s="326"/>
      <c r="Y863" s="144" t="s">
        <v>373</v>
      </c>
      <c r="Z863" s="72"/>
    </row>
    <row r="864" spans="1:26">
      <c r="C864" s="15"/>
      <c r="D864" s="455" t="s">
        <v>390</v>
      </c>
      <c r="E864" s="456"/>
      <c r="F864" s="15"/>
      <c r="G864" s="457" t="s">
        <v>38</v>
      </c>
      <c r="H864" s="458"/>
      <c r="I864" s="20">
        <f>X842+X839+Z845</f>
        <v>626.79</v>
      </c>
      <c r="J864" s="457" t="s">
        <v>38</v>
      </c>
      <c r="K864" s="458"/>
      <c r="L864" s="76"/>
      <c r="M864" s="25"/>
      <c r="N864" s="293"/>
      <c r="O864" s="140" t="s">
        <v>321</v>
      </c>
      <c r="P864" s="132">
        <f>SUM(N852:N865)</f>
        <v>200</v>
      </c>
      <c r="Q864" s="72">
        <f>Q863-Q846</f>
        <v>-10908.917572923638</v>
      </c>
      <c r="R864" s="144" t="s">
        <v>381</v>
      </c>
      <c r="S864" s="291">
        <f>S852-S857</f>
        <v>0</v>
      </c>
      <c r="T864" s="327" t="e">
        <f>S864/S857</f>
        <v>#DIV/0!</v>
      </c>
      <c r="U864" s="291">
        <f>U852-U857</f>
        <v>0</v>
      </c>
      <c r="V864" s="366" t="e">
        <f>U864/ABS(U857)</f>
        <v>#DIV/0!</v>
      </c>
      <c r="W864" s="337" t="s">
        <v>410</v>
      </c>
      <c r="X864" s="1" t="s">
        <v>558</v>
      </c>
      <c r="Y864" s="144" t="s">
        <v>379</v>
      </c>
      <c r="Z864" s="72"/>
    </row>
    <row r="865" spans="3:26" ht="15.75" thickBot="1">
      <c r="C865" s="17"/>
      <c r="D865" s="459"/>
      <c r="E865" s="460"/>
      <c r="F865" s="17"/>
      <c r="G865" s="459"/>
      <c r="H865" s="461"/>
      <c r="I865" s="21"/>
      <c r="J865" s="459"/>
      <c r="K865" s="461"/>
      <c r="L865" s="42"/>
      <c r="M865" s="5"/>
      <c r="N865" s="21"/>
      <c r="O865" s="137" t="s">
        <v>322</v>
      </c>
      <c r="P865" s="138">
        <f>P864/29</f>
        <v>6.8965517241379306</v>
      </c>
      <c r="Q865" s="24">
        <f>Q864/29</f>
        <v>-376.16957148012546</v>
      </c>
      <c r="R865" s="153" t="s">
        <v>410</v>
      </c>
      <c r="S865" s="296">
        <f>S863+S864</f>
        <v>0</v>
      </c>
      <c r="T865" s="328" t="e">
        <f>S865/S853</f>
        <v>#DIV/0!</v>
      </c>
      <c r="U865" s="296">
        <f>U864+U863</f>
        <v>0</v>
      </c>
      <c r="V865" s="330" t="e">
        <f>U865/U853</f>
        <v>#DIV/0!</v>
      </c>
      <c r="W865" s="296">
        <f>S865+U865</f>
        <v>0</v>
      </c>
      <c r="X865" s="330" t="e">
        <f>(W865+S853+U853)/(S853+U853)-1</f>
        <v>#DIV/0!</v>
      </c>
      <c r="Y865" s="153" t="s">
        <v>375</v>
      </c>
      <c r="Z865" s="389"/>
    </row>
    <row r="866" spans="3:26" ht="17.25" thickTop="1" thickBot="1">
      <c r="C866" s="264">
        <v>46113</v>
      </c>
      <c r="D866" s="3"/>
      <c r="E866" s="3"/>
      <c r="F866" s="3"/>
      <c r="G866" s="3"/>
      <c r="H866" s="3"/>
      <c r="I866" s="3"/>
      <c r="J866" s="3"/>
      <c r="K866" s="3"/>
      <c r="L866" s="3"/>
      <c r="M866" s="3"/>
      <c r="N866" s="3"/>
      <c r="O866" s="3"/>
      <c r="P866" s="3"/>
      <c r="Q866" s="3"/>
      <c r="R866" s="3"/>
      <c r="S866" s="3"/>
      <c r="T866" s="3"/>
      <c r="U866" s="3"/>
      <c r="V866" s="3"/>
      <c r="W866" s="3"/>
      <c r="X866" s="3"/>
      <c r="Y866" s="3"/>
      <c r="Z866" s="3"/>
    </row>
    <row r="867" spans="3:26" ht="17.25" thickTop="1" thickBot="1">
      <c r="C867" s="480" t="s">
        <v>386</v>
      </c>
      <c r="D867" s="481"/>
      <c r="E867" s="482"/>
      <c r="F867" s="483" t="s">
        <v>387</v>
      </c>
      <c r="G867" s="484"/>
      <c r="H867" s="484"/>
      <c r="I867" s="484"/>
      <c r="J867" s="484"/>
      <c r="K867" s="484"/>
      <c r="L867" s="484"/>
      <c r="M867" s="484"/>
      <c r="N867" s="485"/>
      <c r="O867" s="261" t="s">
        <v>320</v>
      </c>
      <c r="P867" s="262" t="s">
        <v>257</v>
      </c>
      <c r="Q867" s="263" t="s">
        <v>319</v>
      </c>
      <c r="R867" s="486" t="s">
        <v>144</v>
      </c>
      <c r="S867" s="487"/>
      <c r="T867" s="487"/>
      <c r="U867" s="487"/>
      <c r="V867" s="487"/>
      <c r="W867" s="487"/>
      <c r="X867" s="487"/>
      <c r="Y867" s="487"/>
      <c r="Z867" s="488"/>
    </row>
    <row r="868" spans="3:26" ht="15.75" thickBot="1">
      <c r="C868" s="265"/>
      <c r="D868" s="489"/>
      <c r="E868" s="490"/>
      <c r="F868" s="470" t="s">
        <v>3</v>
      </c>
      <c r="G868" s="491"/>
      <c r="H868" s="492"/>
      <c r="I868" s="493" t="s">
        <v>4</v>
      </c>
      <c r="J868" s="491"/>
      <c r="K868" s="492"/>
      <c r="L868" s="267" t="s">
        <v>324</v>
      </c>
      <c r="M868" s="267" t="s">
        <v>325</v>
      </c>
      <c r="N868" s="267" t="s">
        <v>323</v>
      </c>
      <c r="O868" s="316" t="s">
        <v>5</v>
      </c>
      <c r="P868" s="317">
        <f>P871+P874+P877+P880</f>
        <v>11825.707304458527</v>
      </c>
      <c r="Q868" s="318">
        <f>Q877+Q874+Q871+Q880</f>
        <v>0</v>
      </c>
      <c r="R868" s="268" t="s">
        <v>323</v>
      </c>
      <c r="S868" s="493" t="s">
        <v>317</v>
      </c>
      <c r="T868" s="492"/>
      <c r="U868" s="493" t="s">
        <v>369</v>
      </c>
      <c r="V868" s="471"/>
      <c r="W868" s="470" t="s">
        <v>310</v>
      </c>
      <c r="X868" s="471"/>
      <c r="Y868" s="470" t="s">
        <v>13</v>
      </c>
      <c r="Z868" s="471"/>
    </row>
    <row r="869" spans="3:26" ht="16.5" thickTop="1" thickBot="1">
      <c r="C869" s="15"/>
      <c r="D869" s="494"/>
      <c r="E869" s="495"/>
      <c r="G869" s="496"/>
      <c r="H869" s="497"/>
      <c r="J869" s="496"/>
      <c r="K869" s="497"/>
      <c r="L869" s="76"/>
      <c r="M869" s="25"/>
      <c r="N869" s="292"/>
      <c r="O869" s="258" t="s">
        <v>321</v>
      </c>
      <c r="P869" s="315">
        <f>SUM(C869:C882)-SUM(F869:F882)-SUM(I869:I882)</f>
        <v>689.02999999999986</v>
      </c>
      <c r="Q869" s="12">
        <f>Q868-Q851</f>
        <v>0</v>
      </c>
      <c r="R869" s="307" t="s">
        <v>343</v>
      </c>
      <c r="S869" s="498"/>
      <c r="T869" s="499"/>
      <c r="U869" s="498"/>
      <c r="V869" s="500"/>
      <c r="W869" s="501" t="s">
        <v>326</v>
      </c>
      <c r="X869" s="502"/>
      <c r="Y869" s="143" t="s">
        <v>17</v>
      </c>
      <c r="Z869" s="12"/>
    </row>
    <row r="870" spans="3:26" ht="16.5" thickTop="1" thickBot="1">
      <c r="C870" s="15"/>
      <c r="D870" s="455" t="s">
        <v>11</v>
      </c>
      <c r="E870" s="456"/>
      <c r="F870" s="6">
        <f t="shared" ref="F870:F879" si="0">F853</f>
        <v>400</v>
      </c>
      <c r="G870" s="462" t="s">
        <v>223</v>
      </c>
      <c r="H870" s="464"/>
      <c r="I870" s="20">
        <f>I853</f>
        <v>11.99</v>
      </c>
      <c r="J870" s="462" t="s">
        <v>385</v>
      </c>
      <c r="K870" s="464"/>
      <c r="L870" s="76">
        <f>L853</f>
        <v>200</v>
      </c>
      <c r="M870" s="76">
        <f>M853</f>
        <v>150</v>
      </c>
      <c r="N870" s="76">
        <f>N853</f>
        <v>200</v>
      </c>
      <c r="O870" s="141" t="s">
        <v>322</v>
      </c>
      <c r="P870" s="133">
        <f>P869/29</f>
        <v>23.759655172413787</v>
      </c>
      <c r="Q870" s="10">
        <f>Q869/29</f>
        <v>0</v>
      </c>
      <c r="R870" s="308" t="s">
        <v>382</v>
      </c>
      <c r="S870" s="474"/>
      <c r="T870" s="475"/>
      <c r="U870" s="467"/>
      <c r="V870" s="468"/>
      <c r="W870" s="289" t="s">
        <v>12</v>
      </c>
      <c r="X870" s="315"/>
      <c r="Y870" s="144" t="s">
        <v>18</v>
      </c>
      <c r="Z870" s="72"/>
    </row>
    <row r="871" spans="3:26">
      <c r="C871" s="15"/>
      <c r="D871" s="455" t="s">
        <v>390</v>
      </c>
      <c r="E871" s="456"/>
      <c r="F871" s="6">
        <f t="shared" si="0"/>
        <v>100</v>
      </c>
      <c r="G871" s="462" t="s">
        <v>9</v>
      </c>
      <c r="H871" s="464"/>
      <c r="I871" s="20">
        <f t="shared" ref="I871:I876" si="1">I854</f>
        <v>11.99</v>
      </c>
      <c r="J871" s="462" t="s">
        <v>22</v>
      </c>
      <c r="K871" s="464"/>
      <c r="L871" s="76"/>
      <c r="M871" s="25"/>
      <c r="N871" s="294"/>
      <c r="O871" s="136" t="s">
        <v>12</v>
      </c>
      <c r="P871" s="319">
        <f>P854+P869-SUM(L869:L882)-SUM(M869:M882)-SUM(N869:N882)</f>
        <v>569.36999999999671</v>
      </c>
      <c r="Q871" s="320">
        <f>Z869+Z874+Z877</f>
        <v>0</v>
      </c>
      <c r="R871" s="308" t="s">
        <v>383</v>
      </c>
      <c r="S871" s="474"/>
      <c r="T871" s="475"/>
      <c r="U871" s="467"/>
      <c r="V871" s="468"/>
      <c r="W871" s="282" t="s">
        <v>373</v>
      </c>
      <c r="X871" s="132"/>
      <c r="Y871" s="144" t="s">
        <v>19</v>
      </c>
      <c r="Z871" s="72"/>
    </row>
    <row r="872" spans="3:26" ht="15.75" thickBot="1">
      <c r="C872" s="15"/>
      <c r="D872" s="462"/>
      <c r="E872" s="463"/>
      <c r="F872" s="6">
        <f t="shared" si="0"/>
        <v>150</v>
      </c>
      <c r="G872" s="462" t="s">
        <v>6</v>
      </c>
      <c r="H872" s="464"/>
      <c r="I872" s="20">
        <f t="shared" si="1"/>
        <v>20</v>
      </c>
      <c r="J872" s="462" t="s">
        <v>920</v>
      </c>
      <c r="K872" s="464"/>
      <c r="L872" s="76"/>
      <c r="M872" s="25"/>
      <c r="N872" s="20"/>
      <c r="O872" s="140" t="s">
        <v>321</v>
      </c>
      <c r="P872" s="132">
        <f>SUM(C869:C882)-SUM(F869:F882)-SUM(I869:I882)-P875-P878-P881</f>
        <v>139.02999999999986</v>
      </c>
      <c r="Q872" s="72">
        <f>Q871-Q854</f>
        <v>0</v>
      </c>
      <c r="R872" s="308" t="s">
        <v>424</v>
      </c>
      <c r="S872" s="474"/>
      <c r="T872" s="475"/>
      <c r="U872" s="467"/>
      <c r="V872" s="468"/>
      <c r="W872" s="282" t="s">
        <v>378</v>
      </c>
      <c r="X872" s="132"/>
      <c r="Y872" s="145" t="s">
        <v>324</v>
      </c>
      <c r="Z872" s="135"/>
    </row>
    <row r="873" spans="3:26" ht="15.75" thickBot="1">
      <c r="C873" s="15"/>
      <c r="D873" s="455"/>
      <c r="E873" s="456"/>
      <c r="F873" s="6">
        <f t="shared" si="0"/>
        <v>370</v>
      </c>
      <c r="G873" s="462" t="s">
        <v>97</v>
      </c>
      <c r="H873" s="464"/>
      <c r="I873" s="20">
        <f t="shared" si="1"/>
        <v>11.9</v>
      </c>
      <c r="J873" s="462" t="s">
        <v>249</v>
      </c>
      <c r="K873" s="464"/>
      <c r="L873" s="76"/>
      <c r="M873" s="25"/>
      <c r="N873" s="294"/>
      <c r="O873" s="141" t="s">
        <v>322</v>
      </c>
      <c r="P873" s="133">
        <f>P872/29</f>
        <v>4.7941379310344781</v>
      </c>
      <c r="Q873" s="10">
        <f>Q872/29</f>
        <v>0</v>
      </c>
      <c r="R873" s="143" t="s">
        <v>12</v>
      </c>
      <c r="S873" s="476"/>
      <c r="T873" s="477"/>
      <c r="U873" s="478"/>
      <c r="V873" s="479"/>
      <c r="W873" s="289" t="s">
        <v>379</v>
      </c>
      <c r="X873" s="132"/>
      <c r="Y873" s="470" t="s">
        <v>14</v>
      </c>
      <c r="Z873" s="471"/>
    </row>
    <row r="874" spans="3:26" ht="15.75" thickBot="1">
      <c r="C874" s="15"/>
      <c r="D874" s="455"/>
      <c r="E874" s="456"/>
      <c r="F874" s="6">
        <f t="shared" si="0"/>
        <v>1860.75</v>
      </c>
      <c r="G874" s="462" t="s">
        <v>304</v>
      </c>
      <c r="H874" s="464"/>
      <c r="I874" s="20">
        <f t="shared" si="1"/>
        <v>400</v>
      </c>
      <c r="J874" s="462" t="s">
        <v>974</v>
      </c>
      <c r="K874" s="464"/>
      <c r="L874" s="76"/>
      <c r="M874" s="25"/>
      <c r="N874" s="294"/>
      <c r="O874" s="136" t="s">
        <v>324</v>
      </c>
      <c r="P874" s="319">
        <f>P857+P875</f>
        <v>535</v>
      </c>
      <c r="Q874" s="320">
        <f>Z870+Z871+Z872</f>
        <v>0</v>
      </c>
      <c r="R874" s="144" t="s">
        <v>425</v>
      </c>
      <c r="S874" s="465"/>
      <c r="T874" s="466"/>
      <c r="U874" s="467"/>
      <c r="V874" s="468"/>
      <c r="W874" s="146" t="s">
        <v>375</v>
      </c>
      <c r="X874" s="325"/>
      <c r="Y874" s="143" t="s">
        <v>15</v>
      </c>
      <c r="Z874" s="12"/>
    </row>
    <row r="875" spans="3:26" ht="15.75" thickBot="1">
      <c r="C875" s="15"/>
      <c r="D875" s="462"/>
      <c r="E875" s="463"/>
      <c r="F875" s="6">
        <f t="shared" si="0"/>
        <v>70</v>
      </c>
      <c r="G875" s="462" t="s">
        <v>982</v>
      </c>
      <c r="H875" s="464"/>
      <c r="I875" s="20">
        <f t="shared" si="1"/>
        <v>100</v>
      </c>
      <c r="J875" s="462" t="s">
        <v>105</v>
      </c>
      <c r="K875" s="464"/>
      <c r="L875" s="76"/>
      <c r="M875" s="25"/>
      <c r="N875" s="294"/>
      <c r="O875" s="140" t="s">
        <v>321</v>
      </c>
      <c r="P875" s="132">
        <f>SUM(L869:L882)</f>
        <v>200</v>
      </c>
      <c r="Q875" s="72">
        <f>Q874-Q857</f>
        <v>0</v>
      </c>
      <c r="R875" s="144" t="s">
        <v>426</v>
      </c>
      <c r="S875" s="465"/>
      <c r="T875" s="466"/>
      <c r="U875" s="467"/>
      <c r="V875" s="468"/>
      <c r="W875" s="470" t="s">
        <v>376</v>
      </c>
      <c r="X875" s="471"/>
      <c r="Y875" s="146" t="s">
        <v>325</v>
      </c>
      <c r="Z875" s="10"/>
    </row>
    <row r="876" spans="3:26" ht="16.5" thickTop="1" thickBot="1">
      <c r="C876" s="15"/>
      <c r="D876" s="462"/>
      <c r="E876" s="463"/>
      <c r="F876" s="6">
        <f t="shared" si="0"/>
        <v>50</v>
      </c>
      <c r="G876" s="462" t="s">
        <v>926</v>
      </c>
      <c r="H876" s="464"/>
      <c r="I876" s="20">
        <f t="shared" si="1"/>
        <v>200</v>
      </c>
      <c r="J876" s="462" t="s">
        <v>206</v>
      </c>
      <c r="K876" s="464"/>
      <c r="L876" s="76"/>
      <c r="M876" s="25"/>
      <c r="N876" s="292"/>
      <c r="O876" s="141" t="s">
        <v>322</v>
      </c>
      <c r="P876" s="133">
        <f>P875/29</f>
        <v>6.8965517241379306</v>
      </c>
      <c r="Q876" s="10">
        <f>Q875/29</f>
        <v>0</v>
      </c>
      <c r="R876" s="144" t="s">
        <v>422</v>
      </c>
      <c r="S876" s="465"/>
      <c r="T876" s="466"/>
      <c r="U876" s="467"/>
      <c r="V876" s="468"/>
      <c r="W876" s="289" t="s">
        <v>12</v>
      </c>
      <c r="X876" s="38"/>
      <c r="Y876" s="470" t="s">
        <v>374</v>
      </c>
      <c r="Z876" s="471"/>
    </row>
    <row r="877" spans="3:26" ht="16.5" thickTop="1" thickBot="1">
      <c r="C877" s="15"/>
      <c r="D877" s="462"/>
      <c r="E877" s="463"/>
      <c r="F877" s="6">
        <f t="shared" si="0"/>
        <v>150</v>
      </c>
      <c r="G877" s="462" t="s">
        <v>927</v>
      </c>
      <c r="H877" s="464"/>
      <c r="I877" s="20"/>
      <c r="J877" s="462"/>
      <c r="K877" s="464"/>
      <c r="L877" s="76"/>
      <c r="M877" s="25"/>
      <c r="N877" s="293"/>
      <c r="O877" s="136" t="s">
        <v>325</v>
      </c>
      <c r="P877" s="319">
        <f>P860+P878</f>
        <v>408.88000000000011</v>
      </c>
      <c r="Q877" s="320">
        <f>Z875</f>
        <v>0</v>
      </c>
      <c r="R877" s="143" t="s">
        <v>421</v>
      </c>
      <c r="S877" s="465"/>
      <c r="T877" s="466"/>
      <c r="U877" s="467"/>
      <c r="V877" s="468"/>
      <c r="W877" s="282" t="s">
        <v>373</v>
      </c>
      <c r="X877" s="281"/>
      <c r="Y877" s="321" t="s">
        <v>181</v>
      </c>
      <c r="Z877" s="322">
        <v>0</v>
      </c>
    </row>
    <row r="878" spans="3:26" ht="15.75" thickBot="1">
      <c r="C878" s="266"/>
      <c r="D878" s="448"/>
      <c r="E878" s="469"/>
      <c r="F878" s="6">
        <f t="shared" si="0"/>
        <v>150</v>
      </c>
      <c r="G878" s="462" t="s">
        <v>925</v>
      </c>
      <c r="H878" s="464"/>
      <c r="I878" s="20"/>
      <c r="J878" s="462"/>
      <c r="K878" s="464"/>
      <c r="L878" s="76"/>
      <c r="M878" s="25"/>
      <c r="N878" s="295"/>
      <c r="O878" s="140" t="s">
        <v>321</v>
      </c>
      <c r="P878" s="132">
        <f>SUM(M869:M882)</f>
        <v>150</v>
      </c>
      <c r="Q878" s="72">
        <f>Q877-Q860</f>
        <v>0</v>
      </c>
      <c r="R878" s="144" t="s">
        <v>418</v>
      </c>
      <c r="S878" s="465"/>
      <c r="T878" s="466"/>
      <c r="U878" s="467"/>
      <c r="V878" s="468"/>
      <c r="W878" s="282" t="s">
        <v>378</v>
      </c>
      <c r="X878" s="281"/>
      <c r="Y878" s="470" t="s">
        <v>1000</v>
      </c>
      <c r="Z878" s="471"/>
    </row>
    <row r="879" spans="3:26" ht="16.5" thickTop="1" thickBot="1">
      <c r="C879" s="266"/>
      <c r="D879" s="448" t="s">
        <v>1001</v>
      </c>
      <c r="E879" s="469"/>
      <c r="F879" s="6">
        <f t="shared" si="0"/>
        <v>30</v>
      </c>
      <c r="G879" s="462" t="s">
        <v>33</v>
      </c>
      <c r="H879" s="464"/>
      <c r="I879" s="20"/>
      <c r="J879" s="462"/>
      <c r="K879" s="464"/>
      <c r="L879" s="76"/>
      <c r="M879" s="25"/>
      <c r="N879" s="293"/>
      <c r="O879" s="141" t="s">
        <v>322</v>
      </c>
      <c r="P879" s="133">
        <f>P878/29</f>
        <v>5.1724137931034484</v>
      </c>
      <c r="Q879" s="10">
        <f>Q878/29</f>
        <v>0</v>
      </c>
      <c r="R879" s="144" t="s">
        <v>438</v>
      </c>
      <c r="S879" s="465"/>
      <c r="T879" s="466"/>
      <c r="U879" s="472"/>
      <c r="V879" s="473"/>
      <c r="W879" s="289" t="s">
        <v>379</v>
      </c>
      <c r="X879" s="281"/>
      <c r="Y879" s="143" t="s">
        <v>12</v>
      </c>
      <c r="Z879" s="12"/>
    </row>
    <row r="880" spans="3:26" ht="15.75" thickBot="1">
      <c r="C880" s="15">
        <f>C863</f>
        <v>4775.66</v>
      </c>
      <c r="D880" s="455" t="s">
        <v>11</v>
      </c>
      <c r="E880" s="456"/>
      <c r="F880" s="15"/>
      <c r="G880" s="462"/>
      <c r="H880" s="464"/>
      <c r="I880" s="20"/>
      <c r="J880" s="462"/>
      <c r="K880" s="464"/>
      <c r="L880" s="76"/>
      <c r="M880" s="25"/>
      <c r="N880" s="295"/>
      <c r="O880" s="136" t="s">
        <v>323</v>
      </c>
      <c r="P880" s="319">
        <f>P863+P881</f>
        <v>10312.45730445853</v>
      </c>
      <c r="Q880" s="320">
        <f>S869+U869</f>
        <v>0</v>
      </c>
      <c r="R880" s="144" t="s">
        <v>380</v>
      </c>
      <c r="S880" s="291">
        <f>S871-S872</f>
        <v>0</v>
      </c>
      <c r="T880" s="327" t="e">
        <f>S880/S872</f>
        <v>#DIV/0!</v>
      </c>
      <c r="U880" s="291">
        <f>U871-U872</f>
        <v>0</v>
      </c>
      <c r="V880" s="329" t="e">
        <f>U880/U872</f>
        <v>#DIV/0!</v>
      </c>
      <c r="W880" s="146" t="s">
        <v>375</v>
      </c>
      <c r="X880" s="326"/>
      <c r="Y880" s="144" t="s">
        <v>373</v>
      </c>
      <c r="Z880" s="72"/>
    </row>
    <row r="881" spans="3:26">
      <c r="C881" s="15"/>
      <c r="D881" s="455" t="s">
        <v>390</v>
      </c>
      <c r="E881" s="456"/>
      <c r="F881" s="15"/>
      <c r="G881" s="457" t="s">
        <v>38</v>
      </c>
      <c r="H881" s="458"/>
      <c r="I881" s="20"/>
      <c r="J881" s="457" t="s">
        <v>38</v>
      </c>
      <c r="K881" s="458"/>
      <c r="L881" s="76"/>
      <c r="M881" s="25"/>
      <c r="N881" s="293"/>
      <c r="O881" s="140" t="s">
        <v>321</v>
      </c>
      <c r="P881" s="132">
        <f>SUM(N869:N882)</f>
        <v>200</v>
      </c>
      <c r="Q881" s="72">
        <f>Q880-Q863</f>
        <v>0</v>
      </c>
      <c r="R881" s="144" t="s">
        <v>381</v>
      </c>
      <c r="S881" s="291">
        <f>S869-S874</f>
        <v>0</v>
      </c>
      <c r="T881" s="327" t="e">
        <f>S881/S874</f>
        <v>#DIV/0!</v>
      </c>
      <c r="U881" s="291">
        <f>U869-U874</f>
        <v>0</v>
      </c>
      <c r="V881" s="366" t="e">
        <f>U881/ABS(U874)</f>
        <v>#DIV/0!</v>
      </c>
      <c r="W881" s="337" t="s">
        <v>410</v>
      </c>
      <c r="X881" s="1" t="s">
        <v>558</v>
      </c>
      <c r="Y881" s="144" t="s">
        <v>379</v>
      </c>
      <c r="Z881" s="72"/>
    </row>
    <row r="882" spans="3:26" ht="15.75" thickBot="1">
      <c r="C882" s="17"/>
      <c r="D882" s="459"/>
      <c r="E882" s="460"/>
      <c r="F882" s="17"/>
      <c r="G882" s="459"/>
      <c r="H882" s="461"/>
      <c r="I882" s="21"/>
      <c r="J882" s="459"/>
      <c r="K882" s="461"/>
      <c r="L882" s="42"/>
      <c r="M882" s="5"/>
      <c r="N882" s="21"/>
      <c r="O882" s="137" t="s">
        <v>322</v>
      </c>
      <c r="P882" s="138">
        <f>P881/29</f>
        <v>6.8965517241379306</v>
      </c>
      <c r="Q882" s="24">
        <f>Q881/29</f>
        <v>0</v>
      </c>
      <c r="R882" s="153" t="s">
        <v>410</v>
      </c>
      <c r="S882" s="296">
        <f>S880+S881</f>
        <v>0</v>
      </c>
      <c r="T882" s="328" t="e">
        <f>S882/S870</f>
        <v>#DIV/0!</v>
      </c>
      <c r="U882" s="296">
        <f>U881+U880</f>
        <v>0</v>
      </c>
      <c r="V882" s="330" t="e">
        <f>U882/U870</f>
        <v>#DIV/0!</v>
      </c>
      <c r="W882" s="296">
        <f>S882+U882</f>
        <v>0</v>
      </c>
      <c r="X882" s="330" t="e">
        <f>(W882+S870+U870)/(S870+U870)-1</f>
        <v>#DIV/0!</v>
      </c>
      <c r="Y882" s="153" t="s">
        <v>375</v>
      </c>
      <c r="Z882" s="389"/>
    </row>
    <row r="883" spans="3:26" ht="17.25" thickTop="1" thickBot="1">
      <c r="C883" s="264">
        <v>46143</v>
      </c>
      <c r="D883" s="3"/>
      <c r="E883" s="3"/>
      <c r="F883" s="3"/>
      <c r="G883" s="3"/>
      <c r="H883" s="3"/>
      <c r="I883" s="3"/>
      <c r="J883" s="3"/>
      <c r="K883" s="3"/>
      <c r="L883" s="3"/>
      <c r="M883" s="3"/>
      <c r="N883" s="3"/>
      <c r="O883" s="3"/>
      <c r="P883" s="3"/>
      <c r="Q883" s="3"/>
      <c r="R883" s="3"/>
      <c r="S883" s="3"/>
      <c r="T883" s="3"/>
      <c r="U883" s="3"/>
      <c r="V883" s="3"/>
      <c r="W883" s="3"/>
      <c r="X883" s="3"/>
      <c r="Y883" s="3"/>
      <c r="Z883" s="3"/>
    </row>
    <row r="884" spans="3:26" ht="17.25" thickTop="1" thickBot="1">
      <c r="C884" s="480" t="s">
        <v>386</v>
      </c>
      <c r="D884" s="481"/>
      <c r="E884" s="482"/>
      <c r="F884" s="483" t="s">
        <v>387</v>
      </c>
      <c r="G884" s="484"/>
      <c r="H884" s="484"/>
      <c r="I884" s="484"/>
      <c r="J884" s="484"/>
      <c r="K884" s="484"/>
      <c r="L884" s="484"/>
      <c r="M884" s="484"/>
      <c r="N884" s="485"/>
      <c r="O884" s="261" t="s">
        <v>320</v>
      </c>
      <c r="P884" s="262" t="s">
        <v>257</v>
      </c>
      <c r="Q884" s="263" t="s">
        <v>319</v>
      </c>
      <c r="R884" s="486" t="s">
        <v>144</v>
      </c>
      <c r="S884" s="487"/>
      <c r="T884" s="487"/>
      <c r="U884" s="487"/>
      <c r="V884" s="487"/>
      <c r="W884" s="487"/>
      <c r="X884" s="487"/>
      <c r="Y884" s="487"/>
      <c r="Z884" s="488"/>
    </row>
    <row r="885" spans="3:26" ht="15.75" thickBot="1">
      <c r="C885" s="265"/>
      <c r="D885" s="489"/>
      <c r="E885" s="490"/>
      <c r="F885" s="470" t="s">
        <v>3</v>
      </c>
      <c r="G885" s="491"/>
      <c r="H885" s="492"/>
      <c r="I885" s="493" t="s">
        <v>4</v>
      </c>
      <c r="J885" s="491"/>
      <c r="K885" s="492"/>
      <c r="L885" s="267" t="s">
        <v>324</v>
      </c>
      <c r="M885" s="267" t="s">
        <v>325</v>
      </c>
      <c r="N885" s="267" t="s">
        <v>323</v>
      </c>
      <c r="O885" s="316" t="s">
        <v>5</v>
      </c>
      <c r="P885" s="317">
        <f>P888+P891+P894+P897</f>
        <v>12514.737304458527</v>
      </c>
      <c r="Q885" s="318">
        <f>Q894+Q891+Q888+Q897</f>
        <v>0</v>
      </c>
      <c r="R885" s="268" t="s">
        <v>323</v>
      </c>
      <c r="S885" s="493" t="s">
        <v>317</v>
      </c>
      <c r="T885" s="492"/>
      <c r="U885" s="493" t="s">
        <v>369</v>
      </c>
      <c r="V885" s="471"/>
      <c r="W885" s="470" t="s">
        <v>310</v>
      </c>
      <c r="X885" s="471"/>
      <c r="Y885" s="470" t="s">
        <v>13</v>
      </c>
      <c r="Z885" s="471"/>
    </row>
    <row r="886" spans="3:26" ht="16.5" thickTop="1" thickBot="1">
      <c r="C886" s="15"/>
      <c r="D886" s="494"/>
      <c r="E886" s="495"/>
      <c r="G886" s="496"/>
      <c r="H886" s="497"/>
      <c r="J886" s="496"/>
      <c r="K886" s="497"/>
      <c r="L886" s="76"/>
      <c r="M886" s="25"/>
      <c r="N886" s="292"/>
      <c r="O886" s="258" t="s">
        <v>321</v>
      </c>
      <c r="P886" s="315">
        <f>SUM(C886:C899)-SUM(F886:F899)-SUM(I886:I899)</f>
        <v>689.02999999999986</v>
      </c>
      <c r="Q886" s="12">
        <f>Q885-Q868</f>
        <v>0</v>
      </c>
      <c r="R886" s="307" t="s">
        <v>343</v>
      </c>
      <c r="S886" s="498"/>
      <c r="T886" s="499"/>
      <c r="U886" s="498"/>
      <c r="V886" s="500"/>
      <c r="W886" s="501" t="s">
        <v>326</v>
      </c>
      <c r="X886" s="502"/>
      <c r="Y886" s="143" t="s">
        <v>17</v>
      </c>
      <c r="Z886" s="12"/>
    </row>
    <row r="887" spans="3:26" ht="16.5" thickTop="1" thickBot="1">
      <c r="C887" s="15"/>
      <c r="D887" s="455" t="s">
        <v>11</v>
      </c>
      <c r="E887" s="456"/>
      <c r="F887" s="6">
        <f>F870</f>
        <v>400</v>
      </c>
      <c r="G887" s="462" t="s">
        <v>223</v>
      </c>
      <c r="H887" s="464"/>
      <c r="I887" s="20">
        <f>I870</f>
        <v>11.99</v>
      </c>
      <c r="J887" s="462" t="s">
        <v>385</v>
      </c>
      <c r="K887" s="464"/>
      <c r="L887" s="76">
        <f>L870</f>
        <v>200</v>
      </c>
      <c r="M887" s="76">
        <f>M870</f>
        <v>150</v>
      </c>
      <c r="N887" s="76">
        <f>N870</f>
        <v>200</v>
      </c>
      <c r="O887" s="141" t="s">
        <v>322</v>
      </c>
      <c r="P887" s="133">
        <f>P886/29</f>
        <v>23.759655172413787</v>
      </c>
      <c r="Q887" s="10">
        <f>Q886/29</f>
        <v>0</v>
      </c>
      <c r="R887" s="308" t="s">
        <v>382</v>
      </c>
      <c r="S887" s="474"/>
      <c r="T887" s="475"/>
      <c r="U887" s="467"/>
      <c r="V887" s="468"/>
      <c r="W887" s="289" t="s">
        <v>12</v>
      </c>
      <c r="X887" s="315"/>
      <c r="Y887" s="144" t="s">
        <v>18</v>
      </c>
      <c r="Z887" s="72"/>
    </row>
    <row r="888" spans="3:26">
      <c r="C888" s="15"/>
      <c r="D888" s="455" t="s">
        <v>390</v>
      </c>
      <c r="E888" s="456"/>
      <c r="F888" s="6">
        <f t="shared" ref="F888:F896" si="2">F871</f>
        <v>100</v>
      </c>
      <c r="G888" s="462" t="s">
        <v>9</v>
      </c>
      <c r="H888" s="464"/>
      <c r="I888" s="20">
        <f t="shared" ref="I888:I893" si="3">I871</f>
        <v>11.99</v>
      </c>
      <c r="J888" s="462" t="s">
        <v>22</v>
      </c>
      <c r="K888" s="464"/>
      <c r="L888" s="76"/>
      <c r="M888" s="25"/>
      <c r="N888" s="294"/>
      <c r="O888" s="136" t="s">
        <v>12</v>
      </c>
      <c r="P888" s="319">
        <f>P871+P886-SUM(L886:L899)-SUM(M886:M899)-SUM(N886:N899)</f>
        <v>708.39999999999645</v>
      </c>
      <c r="Q888" s="320">
        <f>Z886+Z891+Z894</f>
        <v>0</v>
      </c>
      <c r="R888" s="308" t="s">
        <v>383</v>
      </c>
      <c r="S888" s="474"/>
      <c r="T888" s="475"/>
      <c r="U888" s="467"/>
      <c r="V888" s="468"/>
      <c r="W888" s="282" t="s">
        <v>373</v>
      </c>
      <c r="X888" s="132"/>
      <c r="Y888" s="144" t="s">
        <v>19</v>
      </c>
      <c r="Z888" s="72"/>
    </row>
    <row r="889" spans="3:26" ht="15.75" thickBot="1">
      <c r="C889" s="15"/>
      <c r="D889" s="462"/>
      <c r="E889" s="463"/>
      <c r="F889" s="6">
        <f t="shared" si="2"/>
        <v>150</v>
      </c>
      <c r="G889" s="462" t="s">
        <v>6</v>
      </c>
      <c r="H889" s="464"/>
      <c r="I889" s="20">
        <f t="shared" si="3"/>
        <v>20</v>
      </c>
      <c r="J889" s="462" t="s">
        <v>920</v>
      </c>
      <c r="K889" s="464"/>
      <c r="L889" s="76"/>
      <c r="M889" s="25"/>
      <c r="N889" s="20"/>
      <c r="O889" s="140" t="s">
        <v>321</v>
      </c>
      <c r="P889" s="132">
        <f>SUM(C886:C899)-SUM(F886:F899)-SUM(I886:I899)-P892-P895-P898</f>
        <v>139.02999999999986</v>
      </c>
      <c r="Q889" s="72">
        <f>Q888-Q871</f>
        <v>0</v>
      </c>
      <c r="R889" s="308" t="s">
        <v>424</v>
      </c>
      <c r="S889" s="474"/>
      <c r="T889" s="475"/>
      <c r="U889" s="467"/>
      <c r="V889" s="468"/>
      <c r="W889" s="282" t="s">
        <v>378</v>
      </c>
      <c r="X889" s="132"/>
      <c r="Y889" s="145" t="s">
        <v>324</v>
      </c>
      <c r="Z889" s="135"/>
    </row>
    <row r="890" spans="3:26" ht="15.75" thickBot="1">
      <c r="C890" s="15"/>
      <c r="D890" s="455"/>
      <c r="E890" s="456"/>
      <c r="F890" s="6">
        <f t="shared" si="2"/>
        <v>370</v>
      </c>
      <c r="G890" s="462" t="s">
        <v>97</v>
      </c>
      <c r="H890" s="464"/>
      <c r="I890" s="20">
        <f t="shared" si="3"/>
        <v>11.9</v>
      </c>
      <c r="J890" s="462" t="s">
        <v>249</v>
      </c>
      <c r="K890" s="464"/>
      <c r="L890" s="76"/>
      <c r="M890" s="25"/>
      <c r="N890" s="294"/>
      <c r="O890" s="141" t="s">
        <v>322</v>
      </c>
      <c r="P890" s="133">
        <f>P889/29</f>
        <v>4.7941379310344781</v>
      </c>
      <c r="Q890" s="10">
        <f>Q889/29</f>
        <v>0</v>
      </c>
      <c r="R890" s="143" t="s">
        <v>12</v>
      </c>
      <c r="S890" s="476"/>
      <c r="T890" s="477"/>
      <c r="U890" s="478"/>
      <c r="V890" s="479"/>
      <c r="W890" s="289" t="s">
        <v>379</v>
      </c>
      <c r="X890" s="132"/>
      <c r="Y890" s="470" t="s">
        <v>14</v>
      </c>
      <c r="Z890" s="471"/>
    </row>
    <row r="891" spans="3:26" ht="15.75" thickBot="1">
      <c r="C891" s="15"/>
      <c r="D891" s="455"/>
      <c r="E891" s="456"/>
      <c r="F891" s="6">
        <f t="shared" si="2"/>
        <v>1860.75</v>
      </c>
      <c r="G891" s="462" t="s">
        <v>304</v>
      </c>
      <c r="H891" s="464"/>
      <c r="I891" s="20">
        <f t="shared" si="3"/>
        <v>400</v>
      </c>
      <c r="J891" s="462" t="s">
        <v>974</v>
      </c>
      <c r="K891" s="464"/>
      <c r="L891" s="76"/>
      <c r="M891" s="25"/>
      <c r="N891" s="294"/>
      <c r="O891" s="136" t="s">
        <v>324</v>
      </c>
      <c r="P891" s="319">
        <f>P874+P892</f>
        <v>735</v>
      </c>
      <c r="Q891" s="320">
        <f>Z887+Z888+Z889</f>
        <v>0</v>
      </c>
      <c r="R891" s="144" t="s">
        <v>425</v>
      </c>
      <c r="S891" s="465"/>
      <c r="T891" s="466"/>
      <c r="U891" s="467"/>
      <c r="V891" s="468"/>
      <c r="W891" s="146" t="s">
        <v>375</v>
      </c>
      <c r="X891" s="325"/>
      <c r="Y891" s="143" t="s">
        <v>15</v>
      </c>
      <c r="Z891" s="12"/>
    </row>
    <row r="892" spans="3:26" ht="15.75" thickBot="1">
      <c r="C892" s="15"/>
      <c r="D892" s="462"/>
      <c r="E892" s="463"/>
      <c r="F892" s="6">
        <f t="shared" si="2"/>
        <v>70</v>
      </c>
      <c r="G892" s="462" t="s">
        <v>982</v>
      </c>
      <c r="H892" s="464"/>
      <c r="I892" s="20">
        <f t="shared" si="3"/>
        <v>100</v>
      </c>
      <c r="J892" s="462" t="s">
        <v>105</v>
      </c>
      <c r="K892" s="464"/>
      <c r="L892" s="76"/>
      <c r="M892" s="25"/>
      <c r="N892" s="294"/>
      <c r="O892" s="140" t="s">
        <v>321</v>
      </c>
      <c r="P892" s="132">
        <f>SUM(L886:L899)</f>
        <v>200</v>
      </c>
      <c r="Q892" s="72">
        <f>Q891-Q874</f>
        <v>0</v>
      </c>
      <c r="R892" s="144" t="s">
        <v>426</v>
      </c>
      <c r="S892" s="465"/>
      <c r="T892" s="466"/>
      <c r="U892" s="467"/>
      <c r="V892" s="468"/>
      <c r="W892" s="470" t="s">
        <v>376</v>
      </c>
      <c r="X892" s="471"/>
      <c r="Y892" s="146" t="s">
        <v>325</v>
      </c>
      <c r="Z892" s="10"/>
    </row>
    <row r="893" spans="3:26" ht="16.5" thickTop="1" thickBot="1">
      <c r="C893" s="15"/>
      <c r="D893" s="462"/>
      <c r="E893" s="463"/>
      <c r="F893" s="6">
        <f t="shared" si="2"/>
        <v>50</v>
      </c>
      <c r="G893" s="462" t="s">
        <v>926</v>
      </c>
      <c r="H893" s="464"/>
      <c r="I893" s="20">
        <f t="shared" si="3"/>
        <v>200</v>
      </c>
      <c r="J893" s="462" t="s">
        <v>206</v>
      </c>
      <c r="K893" s="464"/>
      <c r="L893" s="76"/>
      <c r="M893" s="25"/>
      <c r="N893" s="292"/>
      <c r="O893" s="141" t="s">
        <v>322</v>
      </c>
      <c r="P893" s="133">
        <f>P892/29</f>
        <v>6.8965517241379306</v>
      </c>
      <c r="Q893" s="10">
        <f>Q892/29</f>
        <v>0</v>
      </c>
      <c r="R893" s="144" t="s">
        <v>422</v>
      </c>
      <c r="S893" s="465"/>
      <c r="T893" s="466"/>
      <c r="U893" s="467"/>
      <c r="V893" s="468"/>
      <c r="W893" s="289" t="s">
        <v>12</v>
      </c>
      <c r="X893" s="38"/>
      <c r="Y893" s="470" t="s">
        <v>374</v>
      </c>
      <c r="Z893" s="471"/>
    </row>
    <row r="894" spans="3:26" ht="16.5" thickTop="1" thickBot="1">
      <c r="C894" s="15"/>
      <c r="D894" s="462"/>
      <c r="E894" s="463"/>
      <c r="F894" s="6">
        <f t="shared" si="2"/>
        <v>150</v>
      </c>
      <c r="G894" s="462" t="s">
        <v>927</v>
      </c>
      <c r="H894" s="464"/>
      <c r="I894" s="20"/>
      <c r="J894" s="462"/>
      <c r="K894" s="464"/>
      <c r="L894" s="76"/>
      <c r="M894" s="25"/>
      <c r="N894" s="293"/>
      <c r="O894" s="136" t="s">
        <v>325</v>
      </c>
      <c r="P894" s="319">
        <f>P877+P895</f>
        <v>558.88000000000011</v>
      </c>
      <c r="Q894" s="320">
        <f>Z892</f>
        <v>0</v>
      </c>
      <c r="R894" s="143" t="s">
        <v>421</v>
      </c>
      <c r="S894" s="465"/>
      <c r="T894" s="466"/>
      <c r="U894" s="467"/>
      <c r="V894" s="468"/>
      <c r="W894" s="282" t="s">
        <v>373</v>
      </c>
      <c r="X894" s="281"/>
      <c r="Y894" s="321" t="s">
        <v>181</v>
      </c>
      <c r="Z894" s="322">
        <v>0</v>
      </c>
    </row>
    <row r="895" spans="3:26" ht="15.75" thickBot="1">
      <c r="C895" s="266"/>
      <c r="D895" s="448"/>
      <c r="E895" s="469"/>
      <c r="F895" s="6">
        <f t="shared" si="2"/>
        <v>150</v>
      </c>
      <c r="G895" s="462" t="s">
        <v>925</v>
      </c>
      <c r="H895" s="464"/>
      <c r="I895" s="20"/>
      <c r="J895" s="462"/>
      <c r="K895" s="464"/>
      <c r="L895" s="76"/>
      <c r="M895" s="25"/>
      <c r="N895" s="295"/>
      <c r="O895" s="140" t="s">
        <v>321</v>
      </c>
      <c r="P895" s="132">
        <f>SUM(M886:M899)</f>
        <v>150</v>
      </c>
      <c r="Q895" s="72">
        <f>Q894-Q877</f>
        <v>0</v>
      </c>
      <c r="R895" s="144" t="s">
        <v>418</v>
      </c>
      <c r="S895" s="465"/>
      <c r="T895" s="466"/>
      <c r="U895" s="467"/>
      <c r="V895" s="468"/>
      <c r="W895" s="282" t="s">
        <v>378</v>
      </c>
      <c r="X895" s="281"/>
      <c r="Y895" s="470" t="s">
        <v>1000</v>
      </c>
      <c r="Z895" s="471"/>
    </row>
    <row r="896" spans="3:26" ht="16.5" thickTop="1" thickBot="1">
      <c r="C896" s="266"/>
      <c r="D896" s="448" t="s">
        <v>1001</v>
      </c>
      <c r="E896" s="469"/>
      <c r="F896" s="6">
        <f t="shared" si="2"/>
        <v>30</v>
      </c>
      <c r="G896" s="462" t="s">
        <v>33</v>
      </c>
      <c r="H896" s="464"/>
      <c r="I896" s="20"/>
      <c r="J896" s="462"/>
      <c r="K896" s="464"/>
      <c r="L896" s="76"/>
      <c r="M896" s="25"/>
      <c r="N896" s="293"/>
      <c r="O896" s="141" t="s">
        <v>322</v>
      </c>
      <c r="P896" s="133">
        <f>P895/29</f>
        <v>5.1724137931034484</v>
      </c>
      <c r="Q896" s="10">
        <f>Q895/29</f>
        <v>0</v>
      </c>
      <c r="R896" s="144" t="s">
        <v>438</v>
      </c>
      <c r="S896" s="465"/>
      <c r="T896" s="466"/>
      <c r="U896" s="472"/>
      <c r="V896" s="473"/>
      <c r="W896" s="289" t="s">
        <v>379</v>
      </c>
      <c r="X896" s="281"/>
      <c r="Y896" s="143" t="s">
        <v>12</v>
      </c>
      <c r="Z896" s="12"/>
    </row>
    <row r="897" spans="3:26" ht="15.75" thickBot="1">
      <c r="C897" s="15">
        <f>C880</f>
        <v>4775.66</v>
      </c>
      <c r="D897" s="455" t="s">
        <v>11</v>
      </c>
      <c r="E897" s="456"/>
      <c r="F897" s="15"/>
      <c r="G897" s="462"/>
      <c r="H897" s="464"/>
      <c r="I897" s="20"/>
      <c r="J897" s="462"/>
      <c r="K897" s="464"/>
      <c r="L897" s="76"/>
      <c r="M897" s="25"/>
      <c r="N897" s="295"/>
      <c r="O897" s="136" t="s">
        <v>323</v>
      </c>
      <c r="P897" s="319">
        <f>P880+P898</f>
        <v>10512.45730445853</v>
      </c>
      <c r="Q897" s="320">
        <f>S886+U886</f>
        <v>0</v>
      </c>
      <c r="R897" s="144" t="s">
        <v>380</v>
      </c>
      <c r="S897" s="291">
        <f>S888-S889</f>
        <v>0</v>
      </c>
      <c r="T897" s="327" t="e">
        <f>S897/S889</f>
        <v>#DIV/0!</v>
      </c>
      <c r="U897" s="291">
        <f>U888-U889</f>
        <v>0</v>
      </c>
      <c r="V897" s="329" t="e">
        <f>U897/U889</f>
        <v>#DIV/0!</v>
      </c>
      <c r="W897" s="146" t="s">
        <v>375</v>
      </c>
      <c r="X897" s="326"/>
      <c r="Y897" s="144" t="s">
        <v>373</v>
      </c>
      <c r="Z897" s="72"/>
    </row>
    <row r="898" spans="3:26">
      <c r="C898" s="15"/>
      <c r="D898" s="455" t="s">
        <v>390</v>
      </c>
      <c r="E898" s="456"/>
      <c r="F898" s="15"/>
      <c r="G898" s="457" t="s">
        <v>38</v>
      </c>
      <c r="H898" s="458"/>
      <c r="I898" s="20"/>
      <c r="J898" s="457" t="s">
        <v>38</v>
      </c>
      <c r="K898" s="458"/>
      <c r="L898" s="76"/>
      <c r="M898" s="25"/>
      <c r="N898" s="293"/>
      <c r="O898" s="140" t="s">
        <v>321</v>
      </c>
      <c r="P898" s="132">
        <f>SUM(N886:N899)</f>
        <v>200</v>
      </c>
      <c r="Q898" s="72">
        <f>Q897-Q880</f>
        <v>0</v>
      </c>
      <c r="R898" s="144" t="s">
        <v>381</v>
      </c>
      <c r="S898" s="291">
        <f>S886-S891</f>
        <v>0</v>
      </c>
      <c r="T898" s="327" t="e">
        <f>S898/S891</f>
        <v>#DIV/0!</v>
      </c>
      <c r="U898" s="291">
        <f>U886-U891</f>
        <v>0</v>
      </c>
      <c r="V898" s="366" t="e">
        <f>U898/ABS(U891)</f>
        <v>#DIV/0!</v>
      </c>
      <c r="W898" s="337" t="s">
        <v>410</v>
      </c>
      <c r="X898" s="1" t="s">
        <v>558</v>
      </c>
      <c r="Y898" s="144" t="s">
        <v>379</v>
      </c>
      <c r="Z898" s="72"/>
    </row>
    <row r="899" spans="3:26" ht="15.75" thickBot="1">
      <c r="C899" s="17"/>
      <c r="D899" s="459"/>
      <c r="E899" s="460"/>
      <c r="F899" s="17"/>
      <c r="G899" s="459"/>
      <c r="H899" s="461"/>
      <c r="I899" s="21"/>
      <c r="J899" s="459"/>
      <c r="K899" s="461"/>
      <c r="L899" s="42"/>
      <c r="M899" s="5"/>
      <c r="N899" s="21"/>
      <c r="O899" s="137" t="s">
        <v>322</v>
      </c>
      <c r="P899" s="138">
        <f>P898/29</f>
        <v>6.8965517241379306</v>
      </c>
      <c r="Q899" s="24">
        <f>Q898/29</f>
        <v>0</v>
      </c>
      <c r="R899" s="153" t="s">
        <v>410</v>
      </c>
      <c r="S899" s="296">
        <f>S897+S898</f>
        <v>0</v>
      </c>
      <c r="T899" s="328" t="e">
        <f>S899/S887</f>
        <v>#DIV/0!</v>
      </c>
      <c r="U899" s="296">
        <f>U898+U897</f>
        <v>0</v>
      </c>
      <c r="V899" s="330" t="e">
        <f>U899/U887</f>
        <v>#DIV/0!</v>
      </c>
      <c r="W899" s="296">
        <f>S899+U899</f>
        <v>0</v>
      </c>
      <c r="X899" s="330" t="e">
        <f>(W899+S887+U887)/(S887+U887)-1</f>
        <v>#DIV/0!</v>
      </c>
      <c r="Y899" s="153" t="s">
        <v>375</v>
      </c>
      <c r="Z899" s="389"/>
    </row>
    <row r="900" spans="3:26" ht="17.25" thickTop="1" thickBot="1">
      <c r="C900" s="264">
        <v>46174</v>
      </c>
      <c r="D900" s="3"/>
      <c r="E900" s="3"/>
      <c r="F900" s="3"/>
      <c r="G900" s="3"/>
      <c r="H900" s="3"/>
      <c r="I900" s="3"/>
      <c r="J900" s="3"/>
      <c r="K900" s="3"/>
      <c r="L900" s="3"/>
      <c r="M900" s="3"/>
      <c r="N900" s="3"/>
      <c r="O900" s="3"/>
      <c r="P900" s="3"/>
      <c r="Q900" s="3"/>
      <c r="R900" s="3"/>
      <c r="S900" s="3"/>
      <c r="T900" s="3"/>
      <c r="U900" s="3"/>
      <c r="V900" s="3"/>
      <c r="W900" s="3"/>
      <c r="X900" s="3"/>
      <c r="Y900" s="3"/>
      <c r="Z900" s="3"/>
    </row>
    <row r="901" spans="3:26" ht="17.25" thickTop="1" thickBot="1">
      <c r="C901" s="480" t="s">
        <v>386</v>
      </c>
      <c r="D901" s="481"/>
      <c r="E901" s="482"/>
      <c r="F901" s="483" t="s">
        <v>387</v>
      </c>
      <c r="G901" s="484"/>
      <c r="H901" s="484"/>
      <c r="I901" s="484"/>
      <c r="J901" s="484"/>
      <c r="K901" s="484"/>
      <c r="L901" s="484"/>
      <c r="M901" s="484"/>
      <c r="N901" s="485"/>
      <c r="O901" s="261" t="s">
        <v>320</v>
      </c>
      <c r="P901" s="262" t="s">
        <v>257</v>
      </c>
      <c r="Q901" s="263" t="s">
        <v>319</v>
      </c>
      <c r="R901" s="486" t="s">
        <v>144</v>
      </c>
      <c r="S901" s="487"/>
      <c r="T901" s="487"/>
      <c r="U901" s="487"/>
      <c r="V901" s="487"/>
      <c r="W901" s="487"/>
      <c r="X901" s="487"/>
      <c r="Y901" s="487"/>
      <c r="Z901" s="488"/>
    </row>
    <row r="902" spans="3:26" ht="15.75" thickBot="1">
      <c r="C902" s="265"/>
      <c r="D902" s="489"/>
      <c r="E902" s="490"/>
      <c r="F902" s="470" t="s">
        <v>3</v>
      </c>
      <c r="G902" s="491"/>
      <c r="H902" s="492"/>
      <c r="I902" s="493" t="s">
        <v>4</v>
      </c>
      <c r="J902" s="491"/>
      <c r="K902" s="492"/>
      <c r="L902" s="267" t="s">
        <v>324</v>
      </c>
      <c r="M902" s="267" t="s">
        <v>325</v>
      </c>
      <c r="N902" s="267" t="s">
        <v>323</v>
      </c>
      <c r="O902" s="316" t="s">
        <v>5</v>
      </c>
      <c r="P902" s="317">
        <f>P905+P908+P911+P914</f>
        <v>13203.767304458526</v>
      </c>
      <c r="Q902" s="318">
        <f>Q911+Q908+Q905+Q914</f>
        <v>0</v>
      </c>
      <c r="R902" s="268" t="s">
        <v>323</v>
      </c>
      <c r="S902" s="493" t="s">
        <v>317</v>
      </c>
      <c r="T902" s="492"/>
      <c r="U902" s="493" t="s">
        <v>369</v>
      </c>
      <c r="V902" s="471"/>
      <c r="W902" s="470" t="s">
        <v>310</v>
      </c>
      <c r="X902" s="471"/>
      <c r="Y902" s="470" t="s">
        <v>13</v>
      </c>
      <c r="Z902" s="471"/>
    </row>
    <row r="903" spans="3:26" ht="16.5" thickTop="1" thickBot="1">
      <c r="C903" s="15"/>
      <c r="D903" s="494"/>
      <c r="E903" s="495"/>
      <c r="G903" s="496"/>
      <c r="H903" s="497"/>
      <c r="J903" s="496"/>
      <c r="K903" s="497"/>
      <c r="L903" s="76"/>
      <c r="M903" s="25"/>
      <c r="N903" s="292"/>
      <c r="O903" s="258" t="s">
        <v>321</v>
      </c>
      <c r="P903" s="315">
        <f>SUM(C903:C916)-SUM(F903:F916)-SUM(I903:I916)</f>
        <v>689.02999999999986</v>
      </c>
      <c r="Q903" s="12">
        <f>Q902-Q885</f>
        <v>0</v>
      </c>
      <c r="R903" s="307" t="s">
        <v>343</v>
      </c>
      <c r="S903" s="498"/>
      <c r="T903" s="499"/>
      <c r="U903" s="498"/>
      <c r="V903" s="500"/>
      <c r="W903" s="501" t="s">
        <v>326</v>
      </c>
      <c r="X903" s="502"/>
      <c r="Y903" s="143" t="s">
        <v>17</v>
      </c>
      <c r="Z903" s="12"/>
    </row>
    <row r="904" spans="3:26" ht="16.5" thickTop="1" thickBot="1">
      <c r="C904" s="15"/>
      <c r="D904" s="455" t="s">
        <v>11</v>
      </c>
      <c r="E904" s="456"/>
      <c r="F904" s="6">
        <f>F887</f>
        <v>400</v>
      </c>
      <c r="G904" s="462" t="s">
        <v>223</v>
      </c>
      <c r="H904" s="464"/>
      <c r="I904" s="20">
        <f>I887</f>
        <v>11.99</v>
      </c>
      <c r="J904" s="462" t="s">
        <v>385</v>
      </c>
      <c r="K904" s="464"/>
      <c r="L904" s="76">
        <f>L887</f>
        <v>200</v>
      </c>
      <c r="M904" s="76">
        <f>M887</f>
        <v>150</v>
      </c>
      <c r="N904" s="76">
        <f>N887</f>
        <v>200</v>
      </c>
      <c r="O904" s="141" t="s">
        <v>322</v>
      </c>
      <c r="P904" s="133">
        <f>P903/29</f>
        <v>23.759655172413787</v>
      </c>
      <c r="Q904" s="10">
        <f>Q903/29</f>
        <v>0</v>
      </c>
      <c r="R904" s="308" t="s">
        <v>382</v>
      </c>
      <c r="S904" s="474"/>
      <c r="T904" s="475"/>
      <c r="U904" s="467"/>
      <c r="V904" s="468"/>
      <c r="W904" s="289" t="s">
        <v>12</v>
      </c>
      <c r="X904" s="315"/>
      <c r="Y904" s="144" t="s">
        <v>18</v>
      </c>
      <c r="Z904" s="72"/>
    </row>
    <row r="905" spans="3:26">
      <c r="C905" s="15"/>
      <c r="D905" s="455" t="s">
        <v>390</v>
      </c>
      <c r="E905" s="456"/>
      <c r="F905" s="6">
        <f t="shared" ref="F905:F913" si="4">F888</f>
        <v>100</v>
      </c>
      <c r="G905" s="462" t="s">
        <v>9</v>
      </c>
      <c r="H905" s="464"/>
      <c r="I905" s="20">
        <f t="shared" ref="I905:I910" si="5">I888</f>
        <v>11.99</v>
      </c>
      <c r="J905" s="462" t="s">
        <v>22</v>
      </c>
      <c r="K905" s="464"/>
      <c r="L905" s="76"/>
      <c r="M905" s="25"/>
      <c r="N905" s="294"/>
      <c r="O905" s="136" t="s">
        <v>12</v>
      </c>
      <c r="P905" s="319">
        <f>P888+P903-SUM(L903:L916)-SUM(M903:M916)-SUM(N903:N916)</f>
        <v>847.4299999999962</v>
      </c>
      <c r="Q905" s="320">
        <f>Z903+Z908+Z911</f>
        <v>0</v>
      </c>
      <c r="R905" s="308" t="s">
        <v>383</v>
      </c>
      <c r="S905" s="474"/>
      <c r="T905" s="475"/>
      <c r="U905" s="467"/>
      <c r="V905" s="468"/>
      <c r="W905" s="282" t="s">
        <v>373</v>
      </c>
      <c r="X905" s="132"/>
      <c r="Y905" s="144" t="s">
        <v>19</v>
      </c>
      <c r="Z905" s="72"/>
    </row>
    <row r="906" spans="3:26" ht="15.75" thickBot="1">
      <c r="C906" s="15"/>
      <c r="D906" s="462"/>
      <c r="E906" s="463"/>
      <c r="F906" s="6">
        <f t="shared" si="4"/>
        <v>150</v>
      </c>
      <c r="G906" s="462" t="s">
        <v>6</v>
      </c>
      <c r="H906" s="464"/>
      <c r="I906" s="20">
        <f t="shared" si="5"/>
        <v>20</v>
      </c>
      <c r="J906" s="462" t="s">
        <v>920</v>
      </c>
      <c r="K906" s="464"/>
      <c r="L906" s="76"/>
      <c r="M906" s="25"/>
      <c r="N906" s="20"/>
      <c r="O906" s="140" t="s">
        <v>321</v>
      </c>
      <c r="P906" s="132">
        <f>SUM(C903:C916)-SUM(F903:F916)-SUM(I903:I916)-P909-P912-P915</f>
        <v>139.02999999999986</v>
      </c>
      <c r="Q906" s="72">
        <f>Q905-Q888</f>
        <v>0</v>
      </c>
      <c r="R906" s="308" t="s">
        <v>424</v>
      </c>
      <c r="S906" s="474"/>
      <c r="T906" s="475"/>
      <c r="U906" s="467"/>
      <c r="V906" s="468"/>
      <c r="W906" s="282" t="s">
        <v>378</v>
      </c>
      <c r="X906" s="132"/>
      <c r="Y906" s="145" t="s">
        <v>324</v>
      </c>
      <c r="Z906" s="135"/>
    </row>
    <row r="907" spans="3:26" ht="15.75" thickBot="1">
      <c r="C907" s="15"/>
      <c r="D907" s="455"/>
      <c r="E907" s="456"/>
      <c r="F907" s="6">
        <f t="shared" si="4"/>
        <v>370</v>
      </c>
      <c r="G907" s="462" t="s">
        <v>97</v>
      </c>
      <c r="H907" s="464"/>
      <c r="I907" s="20">
        <f t="shared" si="5"/>
        <v>11.9</v>
      </c>
      <c r="J907" s="462" t="s">
        <v>249</v>
      </c>
      <c r="K907" s="464"/>
      <c r="L907" s="76"/>
      <c r="M907" s="25"/>
      <c r="N907" s="294"/>
      <c r="O907" s="141" t="s">
        <v>322</v>
      </c>
      <c r="P907" s="133">
        <f>P906/29</f>
        <v>4.7941379310344781</v>
      </c>
      <c r="Q907" s="10">
        <f>Q906/29</f>
        <v>0</v>
      </c>
      <c r="R907" s="143" t="s">
        <v>12</v>
      </c>
      <c r="S907" s="476"/>
      <c r="T907" s="477"/>
      <c r="U907" s="478"/>
      <c r="V907" s="479"/>
      <c r="W907" s="289" t="s">
        <v>379</v>
      </c>
      <c r="X907" s="132"/>
      <c r="Y907" s="470" t="s">
        <v>14</v>
      </c>
      <c r="Z907" s="471"/>
    </row>
    <row r="908" spans="3:26" ht="15.75" thickBot="1">
      <c r="C908" s="15"/>
      <c r="D908" s="455"/>
      <c r="E908" s="456"/>
      <c r="F908" s="6">
        <f t="shared" si="4"/>
        <v>1860.75</v>
      </c>
      <c r="G908" s="462" t="s">
        <v>304</v>
      </c>
      <c r="H908" s="464"/>
      <c r="I908" s="20">
        <f t="shared" si="5"/>
        <v>400</v>
      </c>
      <c r="J908" s="462" t="s">
        <v>974</v>
      </c>
      <c r="K908" s="464"/>
      <c r="L908" s="76"/>
      <c r="M908" s="25"/>
      <c r="N908" s="294"/>
      <c r="O908" s="136" t="s">
        <v>324</v>
      </c>
      <c r="P908" s="319">
        <f>P891+P909</f>
        <v>935</v>
      </c>
      <c r="Q908" s="320">
        <f>Z904+Z905+Z906</f>
        <v>0</v>
      </c>
      <c r="R908" s="144" t="s">
        <v>425</v>
      </c>
      <c r="S908" s="465"/>
      <c r="T908" s="466"/>
      <c r="U908" s="467"/>
      <c r="V908" s="468"/>
      <c r="W908" s="146" t="s">
        <v>375</v>
      </c>
      <c r="X908" s="325"/>
      <c r="Y908" s="143" t="s">
        <v>15</v>
      </c>
      <c r="Z908" s="12"/>
    </row>
    <row r="909" spans="3:26" ht="15.75" thickBot="1">
      <c r="C909" s="15"/>
      <c r="D909" s="462"/>
      <c r="E909" s="463"/>
      <c r="F909" s="6">
        <f t="shared" si="4"/>
        <v>70</v>
      </c>
      <c r="G909" s="462" t="s">
        <v>982</v>
      </c>
      <c r="H909" s="464"/>
      <c r="I909" s="20">
        <f t="shared" si="5"/>
        <v>100</v>
      </c>
      <c r="J909" s="462" t="s">
        <v>105</v>
      </c>
      <c r="K909" s="464"/>
      <c r="L909" s="76"/>
      <c r="M909" s="25"/>
      <c r="N909" s="294"/>
      <c r="O909" s="140" t="s">
        <v>321</v>
      </c>
      <c r="P909" s="132">
        <f>SUM(L903:L916)</f>
        <v>200</v>
      </c>
      <c r="Q909" s="72">
        <f>Q908-Q891</f>
        <v>0</v>
      </c>
      <c r="R909" s="144" t="s">
        <v>426</v>
      </c>
      <c r="S909" s="465"/>
      <c r="T909" s="466"/>
      <c r="U909" s="467"/>
      <c r="V909" s="468"/>
      <c r="W909" s="470" t="s">
        <v>376</v>
      </c>
      <c r="X909" s="471"/>
      <c r="Y909" s="146" t="s">
        <v>325</v>
      </c>
      <c r="Z909" s="10"/>
    </row>
    <row r="910" spans="3:26" ht="16.5" thickTop="1" thickBot="1">
      <c r="C910" s="15"/>
      <c r="D910" s="462"/>
      <c r="E910" s="463"/>
      <c r="F910" s="6">
        <f t="shared" si="4"/>
        <v>50</v>
      </c>
      <c r="G910" s="462" t="s">
        <v>926</v>
      </c>
      <c r="H910" s="464"/>
      <c r="I910" s="20">
        <f t="shared" si="5"/>
        <v>200</v>
      </c>
      <c r="J910" s="462" t="s">
        <v>206</v>
      </c>
      <c r="K910" s="464"/>
      <c r="L910" s="76"/>
      <c r="M910" s="25"/>
      <c r="N910" s="292"/>
      <c r="O910" s="141" t="s">
        <v>322</v>
      </c>
      <c r="P910" s="133">
        <f>P909/29</f>
        <v>6.8965517241379306</v>
      </c>
      <c r="Q910" s="10">
        <f>Q909/29</f>
        <v>0</v>
      </c>
      <c r="R910" s="144" t="s">
        <v>422</v>
      </c>
      <c r="S910" s="465"/>
      <c r="T910" s="466"/>
      <c r="U910" s="467"/>
      <c r="V910" s="468"/>
      <c r="W910" s="289" t="s">
        <v>12</v>
      </c>
      <c r="X910" s="38"/>
      <c r="Y910" s="470" t="s">
        <v>374</v>
      </c>
      <c r="Z910" s="471"/>
    </row>
    <row r="911" spans="3:26" ht="16.5" thickTop="1" thickBot="1">
      <c r="C911" s="15"/>
      <c r="D911" s="462"/>
      <c r="E911" s="463"/>
      <c r="F911" s="6">
        <f t="shared" si="4"/>
        <v>150</v>
      </c>
      <c r="G911" s="462" t="s">
        <v>927</v>
      </c>
      <c r="H911" s="464"/>
      <c r="I911" s="20"/>
      <c r="J911" s="462"/>
      <c r="K911" s="464"/>
      <c r="L911" s="76"/>
      <c r="M911" s="25"/>
      <c r="N911" s="293"/>
      <c r="O911" s="136" t="s">
        <v>325</v>
      </c>
      <c r="P911" s="319">
        <f>P894+P912</f>
        <v>708.88000000000011</v>
      </c>
      <c r="Q911" s="320">
        <f>Z909</f>
        <v>0</v>
      </c>
      <c r="R911" s="143" t="s">
        <v>421</v>
      </c>
      <c r="S911" s="465"/>
      <c r="T911" s="466"/>
      <c r="U911" s="467"/>
      <c r="V911" s="468"/>
      <c r="W911" s="282" t="s">
        <v>373</v>
      </c>
      <c r="X911" s="281"/>
      <c r="Y911" s="321" t="s">
        <v>181</v>
      </c>
      <c r="Z911" s="322">
        <v>0</v>
      </c>
    </row>
    <row r="912" spans="3:26" ht="15.75" thickBot="1">
      <c r="C912" s="266"/>
      <c r="D912" s="448"/>
      <c r="E912" s="469"/>
      <c r="F912" s="6">
        <f t="shared" si="4"/>
        <v>150</v>
      </c>
      <c r="G912" s="462" t="s">
        <v>925</v>
      </c>
      <c r="H912" s="464"/>
      <c r="I912" s="20"/>
      <c r="J912" s="462"/>
      <c r="K912" s="464"/>
      <c r="L912" s="76"/>
      <c r="M912" s="25"/>
      <c r="N912" s="295"/>
      <c r="O912" s="140" t="s">
        <v>321</v>
      </c>
      <c r="P912" s="132">
        <f>SUM(M903:M916)</f>
        <v>150</v>
      </c>
      <c r="Q912" s="72">
        <f>Q911-Q894</f>
        <v>0</v>
      </c>
      <c r="R912" s="144" t="s">
        <v>418</v>
      </c>
      <c r="S912" s="465"/>
      <c r="T912" s="466"/>
      <c r="U912" s="467"/>
      <c r="V912" s="468"/>
      <c r="W912" s="282" t="s">
        <v>378</v>
      </c>
      <c r="X912" s="281"/>
      <c r="Y912" s="470" t="s">
        <v>1000</v>
      </c>
      <c r="Z912" s="471"/>
    </row>
    <row r="913" spans="3:26" ht="16.5" thickTop="1" thickBot="1">
      <c r="C913" s="266"/>
      <c r="D913" s="448" t="s">
        <v>1001</v>
      </c>
      <c r="E913" s="469"/>
      <c r="F913" s="6">
        <f t="shared" si="4"/>
        <v>30</v>
      </c>
      <c r="G913" s="462" t="s">
        <v>33</v>
      </c>
      <c r="H913" s="464"/>
      <c r="I913" s="20"/>
      <c r="J913" s="462"/>
      <c r="K913" s="464"/>
      <c r="L913" s="76"/>
      <c r="M913" s="25"/>
      <c r="N913" s="293"/>
      <c r="O913" s="141" t="s">
        <v>322</v>
      </c>
      <c r="P913" s="133">
        <f>P912/29</f>
        <v>5.1724137931034484</v>
      </c>
      <c r="Q913" s="10">
        <f>Q912/29</f>
        <v>0</v>
      </c>
      <c r="R913" s="144" t="s">
        <v>438</v>
      </c>
      <c r="S913" s="465"/>
      <c r="T913" s="466"/>
      <c r="U913" s="472"/>
      <c r="V913" s="473"/>
      <c r="W913" s="289" t="s">
        <v>379</v>
      </c>
      <c r="X913" s="281"/>
      <c r="Y913" s="143" t="s">
        <v>12</v>
      </c>
      <c r="Z913" s="12"/>
    </row>
    <row r="914" spans="3:26" ht="15.75" thickBot="1">
      <c r="C914" s="15">
        <f>C897</f>
        <v>4775.66</v>
      </c>
      <c r="D914" s="455" t="s">
        <v>11</v>
      </c>
      <c r="E914" s="456"/>
      <c r="F914" s="15"/>
      <c r="G914" s="462"/>
      <c r="H914" s="464"/>
      <c r="I914" s="20"/>
      <c r="J914" s="462"/>
      <c r="K914" s="464"/>
      <c r="L914" s="76"/>
      <c r="M914" s="25"/>
      <c r="N914" s="295"/>
      <c r="O914" s="136" t="s">
        <v>323</v>
      </c>
      <c r="P914" s="319">
        <f>P897+P915</f>
        <v>10712.45730445853</v>
      </c>
      <c r="Q914" s="320">
        <f>S903+U903</f>
        <v>0</v>
      </c>
      <c r="R914" s="144" t="s">
        <v>380</v>
      </c>
      <c r="S914" s="291">
        <f>S905-S906</f>
        <v>0</v>
      </c>
      <c r="T914" s="327" t="e">
        <f>S914/S906</f>
        <v>#DIV/0!</v>
      </c>
      <c r="U914" s="291">
        <f>U905-U906</f>
        <v>0</v>
      </c>
      <c r="V914" s="329" t="e">
        <f>U914/U906</f>
        <v>#DIV/0!</v>
      </c>
      <c r="W914" s="146" t="s">
        <v>375</v>
      </c>
      <c r="X914" s="326"/>
      <c r="Y914" s="144" t="s">
        <v>373</v>
      </c>
      <c r="Z914" s="72"/>
    </row>
    <row r="915" spans="3:26">
      <c r="C915" s="15"/>
      <c r="D915" s="455" t="s">
        <v>390</v>
      </c>
      <c r="E915" s="456"/>
      <c r="F915" s="15"/>
      <c r="G915" s="457" t="s">
        <v>38</v>
      </c>
      <c r="H915" s="458"/>
      <c r="I915" s="20"/>
      <c r="J915" s="457" t="s">
        <v>38</v>
      </c>
      <c r="K915" s="458"/>
      <c r="L915" s="76"/>
      <c r="M915" s="25"/>
      <c r="N915" s="293"/>
      <c r="O915" s="140" t="s">
        <v>321</v>
      </c>
      <c r="P915" s="132">
        <f>SUM(N903:N916)</f>
        <v>200</v>
      </c>
      <c r="Q915" s="72">
        <f>Q914-Q897</f>
        <v>0</v>
      </c>
      <c r="R915" s="144" t="s">
        <v>381</v>
      </c>
      <c r="S915" s="291">
        <f>S903-S908</f>
        <v>0</v>
      </c>
      <c r="T915" s="327" t="e">
        <f>S915/S908</f>
        <v>#DIV/0!</v>
      </c>
      <c r="U915" s="291">
        <f>U903-U908</f>
        <v>0</v>
      </c>
      <c r="V915" s="366" t="e">
        <f>U915/ABS(U908)</f>
        <v>#DIV/0!</v>
      </c>
      <c r="W915" s="337" t="s">
        <v>410</v>
      </c>
      <c r="X915" s="1" t="s">
        <v>558</v>
      </c>
      <c r="Y915" s="144" t="s">
        <v>379</v>
      </c>
      <c r="Z915" s="72"/>
    </row>
    <row r="916" spans="3:26" ht="15.75" thickBot="1">
      <c r="C916" s="17"/>
      <c r="D916" s="459"/>
      <c r="E916" s="460"/>
      <c r="F916" s="17"/>
      <c r="G916" s="459"/>
      <c r="H916" s="461"/>
      <c r="I916" s="21"/>
      <c r="J916" s="459"/>
      <c r="K916" s="461"/>
      <c r="L916" s="42"/>
      <c r="M916" s="5"/>
      <c r="N916" s="21"/>
      <c r="O916" s="137" t="s">
        <v>322</v>
      </c>
      <c r="P916" s="138">
        <f>P915/29</f>
        <v>6.8965517241379306</v>
      </c>
      <c r="Q916" s="24">
        <f>Q915/29</f>
        <v>0</v>
      </c>
      <c r="R916" s="153" t="s">
        <v>410</v>
      </c>
      <c r="S916" s="296">
        <f>S914+S915</f>
        <v>0</v>
      </c>
      <c r="T916" s="328" t="e">
        <f>S916/S904</f>
        <v>#DIV/0!</v>
      </c>
      <c r="U916" s="296">
        <f>U915+U914</f>
        <v>0</v>
      </c>
      <c r="V916" s="330" t="e">
        <f>U916/U904</f>
        <v>#DIV/0!</v>
      </c>
      <c r="W916" s="296">
        <f>S916+U916</f>
        <v>0</v>
      </c>
      <c r="X916" s="330" t="e">
        <f>(W916+S904+U904)/(S904+U904)-1</f>
        <v>#DIV/0!</v>
      </c>
      <c r="Y916" s="153" t="s">
        <v>375</v>
      </c>
      <c r="Z916" s="389"/>
    </row>
    <row r="917" spans="3:26" ht="17.25" thickTop="1" thickBot="1">
      <c r="C917" s="264">
        <v>46204</v>
      </c>
      <c r="D917" s="3"/>
      <c r="E917" s="3"/>
      <c r="F917" s="3"/>
      <c r="G917" s="3"/>
      <c r="H917" s="3"/>
      <c r="I917" s="3"/>
      <c r="J917" s="3"/>
      <c r="K917" s="3"/>
      <c r="L917" s="3"/>
      <c r="M917" s="3"/>
      <c r="N917" s="3"/>
      <c r="O917" s="3"/>
      <c r="P917" s="3"/>
      <c r="Q917" s="3"/>
      <c r="R917" s="3"/>
      <c r="S917" s="3"/>
      <c r="T917" s="3"/>
      <c r="U917" s="3"/>
      <c r="V917" s="3"/>
      <c r="W917" s="3"/>
      <c r="X917" s="3"/>
      <c r="Y917" s="3"/>
      <c r="Z917" s="3"/>
    </row>
    <row r="918" spans="3:26" ht="17.25" thickTop="1" thickBot="1">
      <c r="C918" s="480" t="s">
        <v>386</v>
      </c>
      <c r="D918" s="481"/>
      <c r="E918" s="482"/>
      <c r="F918" s="483" t="s">
        <v>387</v>
      </c>
      <c r="G918" s="484"/>
      <c r="H918" s="484"/>
      <c r="I918" s="484"/>
      <c r="J918" s="484"/>
      <c r="K918" s="484"/>
      <c r="L918" s="484"/>
      <c r="M918" s="484"/>
      <c r="N918" s="485"/>
      <c r="O918" s="261" t="s">
        <v>320</v>
      </c>
      <c r="P918" s="262" t="s">
        <v>257</v>
      </c>
      <c r="Q918" s="263" t="s">
        <v>319</v>
      </c>
      <c r="R918" s="486" t="s">
        <v>144</v>
      </c>
      <c r="S918" s="487"/>
      <c r="T918" s="487"/>
      <c r="U918" s="487"/>
      <c r="V918" s="487"/>
      <c r="W918" s="487"/>
      <c r="X918" s="487"/>
      <c r="Y918" s="487"/>
      <c r="Z918" s="488"/>
    </row>
    <row r="919" spans="3:26" ht="15.75" thickBot="1">
      <c r="C919" s="265"/>
      <c r="D919" s="489"/>
      <c r="E919" s="490"/>
      <c r="F919" s="470" t="s">
        <v>3</v>
      </c>
      <c r="G919" s="491"/>
      <c r="H919" s="492"/>
      <c r="I919" s="493" t="s">
        <v>4</v>
      </c>
      <c r="J919" s="491"/>
      <c r="K919" s="492"/>
      <c r="L919" s="267" t="s">
        <v>324</v>
      </c>
      <c r="M919" s="267" t="s">
        <v>325</v>
      </c>
      <c r="N919" s="267" t="s">
        <v>323</v>
      </c>
      <c r="O919" s="316" t="s">
        <v>5</v>
      </c>
      <c r="P919" s="317">
        <f>P922+P925+P928+P931</f>
        <v>13892.797304458527</v>
      </c>
      <c r="Q919" s="318">
        <f>Q928+Q925+Q922+Q931</f>
        <v>0</v>
      </c>
      <c r="R919" s="268" t="s">
        <v>323</v>
      </c>
      <c r="S919" s="493" t="s">
        <v>317</v>
      </c>
      <c r="T919" s="492"/>
      <c r="U919" s="493" t="s">
        <v>369</v>
      </c>
      <c r="V919" s="471"/>
      <c r="W919" s="470" t="s">
        <v>310</v>
      </c>
      <c r="X919" s="471"/>
      <c r="Y919" s="470" t="s">
        <v>13</v>
      </c>
      <c r="Z919" s="471"/>
    </row>
    <row r="920" spans="3:26" ht="16.5" thickTop="1" thickBot="1">
      <c r="C920" s="15"/>
      <c r="D920" s="494"/>
      <c r="E920" s="495"/>
      <c r="G920" s="496"/>
      <c r="H920" s="497"/>
      <c r="J920" s="496"/>
      <c r="K920" s="497"/>
      <c r="L920" s="76"/>
      <c r="M920" s="25"/>
      <c r="N920" s="292"/>
      <c r="O920" s="258" t="s">
        <v>321</v>
      </c>
      <c r="P920" s="315">
        <f>SUM(C920:C933)-SUM(F920:F933)-SUM(I920:I933)</f>
        <v>689.02999999999986</v>
      </c>
      <c r="Q920" s="12">
        <f>Q919-Q902</f>
        <v>0</v>
      </c>
      <c r="R920" s="307" t="s">
        <v>343</v>
      </c>
      <c r="S920" s="498"/>
      <c r="T920" s="499"/>
      <c r="U920" s="498"/>
      <c r="V920" s="500"/>
      <c r="W920" s="501" t="s">
        <v>326</v>
      </c>
      <c r="X920" s="502"/>
      <c r="Y920" s="143" t="s">
        <v>17</v>
      </c>
      <c r="Z920" s="12"/>
    </row>
    <row r="921" spans="3:26" ht="16.5" thickTop="1" thickBot="1">
      <c r="C921" s="15"/>
      <c r="D921" s="455" t="s">
        <v>11</v>
      </c>
      <c r="E921" s="456"/>
      <c r="F921" s="6">
        <f>F904</f>
        <v>400</v>
      </c>
      <c r="G921" s="462" t="s">
        <v>223</v>
      </c>
      <c r="H921" s="464"/>
      <c r="I921" s="20">
        <f>I904</f>
        <v>11.99</v>
      </c>
      <c r="J921" s="462" t="s">
        <v>385</v>
      </c>
      <c r="K921" s="464"/>
      <c r="L921" s="76">
        <f>L904</f>
        <v>200</v>
      </c>
      <c r="M921" s="76">
        <f>M904</f>
        <v>150</v>
      </c>
      <c r="N921" s="76">
        <f>N904</f>
        <v>200</v>
      </c>
      <c r="O921" s="141" t="s">
        <v>322</v>
      </c>
      <c r="P921" s="133">
        <f>P920/29</f>
        <v>23.759655172413787</v>
      </c>
      <c r="Q921" s="10">
        <f>Q920/29</f>
        <v>0</v>
      </c>
      <c r="R921" s="308" t="s">
        <v>382</v>
      </c>
      <c r="S921" s="474"/>
      <c r="T921" s="475"/>
      <c r="U921" s="467"/>
      <c r="V921" s="468"/>
      <c r="W921" s="289" t="s">
        <v>12</v>
      </c>
      <c r="X921" s="315"/>
      <c r="Y921" s="144" t="s">
        <v>18</v>
      </c>
      <c r="Z921" s="72"/>
    </row>
    <row r="922" spans="3:26">
      <c r="C922" s="15"/>
      <c r="D922" s="455" t="s">
        <v>390</v>
      </c>
      <c r="E922" s="456"/>
      <c r="F922" s="6">
        <f t="shared" ref="F922:F930" si="6">F905</f>
        <v>100</v>
      </c>
      <c r="G922" s="462" t="s">
        <v>9</v>
      </c>
      <c r="H922" s="464"/>
      <c r="I922" s="20">
        <f t="shared" ref="I922:I927" si="7">I905</f>
        <v>11.99</v>
      </c>
      <c r="J922" s="462" t="s">
        <v>22</v>
      </c>
      <c r="K922" s="464"/>
      <c r="L922" s="76"/>
      <c r="M922" s="25"/>
      <c r="N922" s="294"/>
      <c r="O922" s="136" t="s">
        <v>12</v>
      </c>
      <c r="P922" s="319">
        <f>P905+P920-SUM(L920:L933)-SUM(M920:M933)-SUM(N920:N933)</f>
        <v>986.45999999999594</v>
      </c>
      <c r="Q922" s="320">
        <f>Z920+Z925+Z928</f>
        <v>0</v>
      </c>
      <c r="R922" s="308" t="s">
        <v>383</v>
      </c>
      <c r="S922" s="474"/>
      <c r="T922" s="475"/>
      <c r="U922" s="467"/>
      <c r="V922" s="468"/>
      <c r="W922" s="282" t="s">
        <v>373</v>
      </c>
      <c r="X922" s="132"/>
      <c r="Y922" s="144" t="s">
        <v>19</v>
      </c>
      <c r="Z922" s="72"/>
    </row>
    <row r="923" spans="3:26" ht="15.75" thickBot="1">
      <c r="C923" s="15"/>
      <c r="D923" s="462"/>
      <c r="E923" s="463"/>
      <c r="F923" s="6">
        <f t="shared" si="6"/>
        <v>150</v>
      </c>
      <c r="G923" s="462" t="s">
        <v>6</v>
      </c>
      <c r="H923" s="464"/>
      <c r="I923" s="20">
        <f t="shared" si="7"/>
        <v>20</v>
      </c>
      <c r="J923" s="462" t="s">
        <v>920</v>
      </c>
      <c r="K923" s="464"/>
      <c r="L923" s="76"/>
      <c r="M923" s="25"/>
      <c r="N923" s="20"/>
      <c r="O923" s="140" t="s">
        <v>321</v>
      </c>
      <c r="P923" s="132">
        <f>SUM(C920:C933)-SUM(F920:F933)-SUM(I920:I933)-P926-P929-P932</f>
        <v>139.02999999999986</v>
      </c>
      <c r="Q923" s="72">
        <f>Q922-Q905</f>
        <v>0</v>
      </c>
      <c r="R923" s="308" t="s">
        <v>424</v>
      </c>
      <c r="S923" s="474"/>
      <c r="T923" s="475"/>
      <c r="U923" s="467"/>
      <c r="V923" s="468"/>
      <c r="W923" s="282" t="s">
        <v>378</v>
      </c>
      <c r="X923" s="132"/>
      <c r="Y923" s="145" t="s">
        <v>324</v>
      </c>
      <c r="Z923" s="135"/>
    </row>
    <row r="924" spans="3:26" ht="15.75" thickBot="1">
      <c r="C924" s="15"/>
      <c r="D924" s="455"/>
      <c r="E924" s="456"/>
      <c r="F924" s="6">
        <f t="shared" si="6"/>
        <v>370</v>
      </c>
      <c r="G924" s="462" t="s">
        <v>97</v>
      </c>
      <c r="H924" s="464"/>
      <c r="I924" s="20">
        <f t="shared" si="7"/>
        <v>11.9</v>
      </c>
      <c r="J924" s="462" t="s">
        <v>249</v>
      </c>
      <c r="K924" s="464"/>
      <c r="L924" s="76"/>
      <c r="M924" s="25"/>
      <c r="N924" s="294"/>
      <c r="O924" s="141" t="s">
        <v>322</v>
      </c>
      <c r="P924" s="133">
        <f>P923/29</f>
        <v>4.7941379310344781</v>
      </c>
      <c r="Q924" s="10">
        <f>Q923/29</f>
        <v>0</v>
      </c>
      <c r="R924" s="143" t="s">
        <v>12</v>
      </c>
      <c r="S924" s="476"/>
      <c r="T924" s="477"/>
      <c r="U924" s="478"/>
      <c r="V924" s="479"/>
      <c r="W924" s="289" t="s">
        <v>379</v>
      </c>
      <c r="X924" s="132"/>
      <c r="Y924" s="470" t="s">
        <v>14</v>
      </c>
      <c r="Z924" s="471"/>
    </row>
    <row r="925" spans="3:26" ht="15.75" thickBot="1">
      <c r="C925" s="15"/>
      <c r="D925" s="455"/>
      <c r="E925" s="456"/>
      <c r="F925" s="6">
        <f t="shared" si="6"/>
        <v>1860.75</v>
      </c>
      <c r="G925" s="462" t="s">
        <v>304</v>
      </c>
      <c r="H925" s="464"/>
      <c r="I925" s="20">
        <f t="shared" si="7"/>
        <v>400</v>
      </c>
      <c r="J925" s="462" t="s">
        <v>974</v>
      </c>
      <c r="K925" s="464"/>
      <c r="L925" s="76"/>
      <c r="M925" s="25"/>
      <c r="N925" s="294"/>
      <c r="O925" s="136" t="s">
        <v>324</v>
      </c>
      <c r="P925" s="319">
        <f>P908+P926</f>
        <v>1135</v>
      </c>
      <c r="Q925" s="320">
        <f>Z921+Z922+Z923</f>
        <v>0</v>
      </c>
      <c r="R925" s="144" t="s">
        <v>425</v>
      </c>
      <c r="S925" s="465"/>
      <c r="T925" s="466"/>
      <c r="U925" s="467"/>
      <c r="V925" s="468"/>
      <c r="W925" s="146" t="s">
        <v>375</v>
      </c>
      <c r="X925" s="325"/>
      <c r="Y925" s="143" t="s">
        <v>15</v>
      </c>
      <c r="Z925" s="12"/>
    </row>
    <row r="926" spans="3:26" ht="15.75" thickBot="1">
      <c r="C926" s="15"/>
      <c r="D926" s="462"/>
      <c r="E926" s="463"/>
      <c r="F926" s="6">
        <f t="shared" si="6"/>
        <v>70</v>
      </c>
      <c r="G926" s="462" t="s">
        <v>982</v>
      </c>
      <c r="H926" s="464"/>
      <c r="I926" s="20">
        <f t="shared" si="7"/>
        <v>100</v>
      </c>
      <c r="J926" s="462" t="s">
        <v>105</v>
      </c>
      <c r="K926" s="464"/>
      <c r="L926" s="76"/>
      <c r="M926" s="25"/>
      <c r="N926" s="294"/>
      <c r="O926" s="140" t="s">
        <v>321</v>
      </c>
      <c r="P926" s="132">
        <f>SUM(L920:L933)</f>
        <v>200</v>
      </c>
      <c r="Q926" s="72">
        <f>Q925-Q908</f>
        <v>0</v>
      </c>
      <c r="R926" s="144" t="s">
        <v>426</v>
      </c>
      <c r="S926" s="465"/>
      <c r="T926" s="466"/>
      <c r="U926" s="467"/>
      <c r="V926" s="468"/>
      <c r="W926" s="470" t="s">
        <v>376</v>
      </c>
      <c r="X926" s="471"/>
      <c r="Y926" s="146" t="s">
        <v>325</v>
      </c>
      <c r="Z926" s="10"/>
    </row>
    <row r="927" spans="3:26" ht="16.5" thickTop="1" thickBot="1">
      <c r="C927" s="15"/>
      <c r="D927" s="462"/>
      <c r="E927" s="463"/>
      <c r="F927" s="6">
        <f t="shared" si="6"/>
        <v>50</v>
      </c>
      <c r="G927" s="462" t="s">
        <v>926</v>
      </c>
      <c r="H927" s="464"/>
      <c r="I927" s="20">
        <f t="shared" si="7"/>
        <v>200</v>
      </c>
      <c r="J927" s="462" t="s">
        <v>206</v>
      </c>
      <c r="K927" s="464"/>
      <c r="L927" s="76"/>
      <c r="M927" s="25"/>
      <c r="N927" s="292"/>
      <c r="O927" s="141" t="s">
        <v>322</v>
      </c>
      <c r="P927" s="133">
        <f>P926/29</f>
        <v>6.8965517241379306</v>
      </c>
      <c r="Q927" s="10">
        <f>Q926/29</f>
        <v>0</v>
      </c>
      <c r="R927" s="144" t="s">
        <v>422</v>
      </c>
      <c r="S927" s="465"/>
      <c r="T927" s="466"/>
      <c r="U927" s="467"/>
      <c r="V927" s="468"/>
      <c r="W927" s="289" t="s">
        <v>12</v>
      </c>
      <c r="X927" s="38"/>
      <c r="Y927" s="470" t="s">
        <v>374</v>
      </c>
      <c r="Z927" s="471"/>
    </row>
    <row r="928" spans="3:26" ht="16.5" thickTop="1" thickBot="1">
      <c r="C928" s="15"/>
      <c r="D928" s="462"/>
      <c r="E928" s="463"/>
      <c r="F928" s="6">
        <f t="shared" si="6"/>
        <v>150</v>
      </c>
      <c r="G928" s="462" t="s">
        <v>927</v>
      </c>
      <c r="H928" s="464"/>
      <c r="I928" s="20"/>
      <c r="J928" s="462"/>
      <c r="K928" s="464"/>
      <c r="L928" s="76"/>
      <c r="M928" s="25"/>
      <c r="N928" s="293"/>
      <c r="O928" s="136" t="s">
        <v>325</v>
      </c>
      <c r="P928" s="319">
        <f>P911+P929</f>
        <v>858.88000000000011</v>
      </c>
      <c r="Q928" s="320">
        <f>Z926</f>
        <v>0</v>
      </c>
      <c r="R928" s="143" t="s">
        <v>421</v>
      </c>
      <c r="S928" s="465"/>
      <c r="T928" s="466"/>
      <c r="U928" s="467"/>
      <c r="V928" s="468"/>
      <c r="W928" s="282" t="s">
        <v>373</v>
      </c>
      <c r="X928" s="281"/>
      <c r="Y928" s="321" t="s">
        <v>181</v>
      </c>
      <c r="Z928" s="322">
        <v>0</v>
      </c>
    </row>
    <row r="929" spans="3:26" ht="15.75" thickBot="1">
      <c r="C929" s="266"/>
      <c r="D929" s="448"/>
      <c r="E929" s="469"/>
      <c r="F929" s="6">
        <f t="shared" si="6"/>
        <v>150</v>
      </c>
      <c r="G929" s="462" t="s">
        <v>925</v>
      </c>
      <c r="H929" s="464"/>
      <c r="I929" s="20"/>
      <c r="J929" s="462"/>
      <c r="K929" s="464"/>
      <c r="L929" s="76"/>
      <c r="M929" s="25"/>
      <c r="N929" s="295"/>
      <c r="O929" s="140" t="s">
        <v>321</v>
      </c>
      <c r="P929" s="132">
        <f>SUM(M920:M933)</f>
        <v>150</v>
      </c>
      <c r="Q929" s="72">
        <f>Q928-Q911</f>
        <v>0</v>
      </c>
      <c r="R929" s="144" t="s">
        <v>418</v>
      </c>
      <c r="S929" s="465"/>
      <c r="T929" s="466"/>
      <c r="U929" s="467"/>
      <c r="V929" s="468"/>
      <c r="W929" s="282" t="s">
        <v>378</v>
      </c>
      <c r="X929" s="281"/>
      <c r="Y929" s="470" t="s">
        <v>1000</v>
      </c>
      <c r="Z929" s="471"/>
    </row>
    <row r="930" spans="3:26" ht="16.5" thickTop="1" thickBot="1">
      <c r="C930" s="266"/>
      <c r="D930" s="448" t="s">
        <v>1001</v>
      </c>
      <c r="E930" s="469"/>
      <c r="F930" s="6">
        <f t="shared" si="6"/>
        <v>30</v>
      </c>
      <c r="G930" s="462" t="s">
        <v>33</v>
      </c>
      <c r="H930" s="464"/>
      <c r="I930" s="20"/>
      <c r="J930" s="462"/>
      <c r="K930" s="464"/>
      <c r="L930" s="76"/>
      <c r="M930" s="25"/>
      <c r="N930" s="293"/>
      <c r="O930" s="141" t="s">
        <v>322</v>
      </c>
      <c r="P930" s="133">
        <f>P929/29</f>
        <v>5.1724137931034484</v>
      </c>
      <c r="Q930" s="10">
        <f>Q929/29</f>
        <v>0</v>
      </c>
      <c r="R930" s="144" t="s">
        <v>438</v>
      </c>
      <c r="S930" s="465"/>
      <c r="T930" s="466"/>
      <c r="U930" s="472"/>
      <c r="V930" s="473"/>
      <c r="W930" s="289" t="s">
        <v>379</v>
      </c>
      <c r="X930" s="281"/>
      <c r="Y930" s="143" t="s">
        <v>12</v>
      </c>
      <c r="Z930" s="12"/>
    </row>
    <row r="931" spans="3:26" ht="15.75" thickBot="1">
      <c r="C931" s="15">
        <f>C914</f>
        <v>4775.66</v>
      </c>
      <c r="D931" s="455" t="s">
        <v>11</v>
      </c>
      <c r="E931" s="456"/>
      <c r="F931" s="15"/>
      <c r="G931" s="462"/>
      <c r="H931" s="464"/>
      <c r="I931" s="20"/>
      <c r="J931" s="462"/>
      <c r="K931" s="464"/>
      <c r="L931" s="76"/>
      <c r="M931" s="25"/>
      <c r="N931" s="295"/>
      <c r="O931" s="136" t="s">
        <v>323</v>
      </c>
      <c r="P931" s="319">
        <f>P914+P932</f>
        <v>10912.45730445853</v>
      </c>
      <c r="Q931" s="320">
        <f>S920+U920</f>
        <v>0</v>
      </c>
      <c r="R931" s="144" t="s">
        <v>380</v>
      </c>
      <c r="S931" s="291">
        <f>S922-S923</f>
        <v>0</v>
      </c>
      <c r="T931" s="327" t="e">
        <f>S931/S923</f>
        <v>#DIV/0!</v>
      </c>
      <c r="U931" s="291">
        <f>U922-U923</f>
        <v>0</v>
      </c>
      <c r="V931" s="329" t="e">
        <f>U931/U923</f>
        <v>#DIV/0!</v>
      </c>
      <c r="W931" s="146" t="s">
        <v>375</v>
      </c>
      <c r="X931" s="326"/>
      <c r="Y931" s="144" t="s">
        <v>373</v>
      </c>
      <c r="Z931" s="72"/>
    </row>
    <row r="932" spans="3:26">
      <c r="C932" s="15"/>
      <c r="D932" s="455" t="s">
        <v>390</v>
      </c>
      <c r="E932" s="456"/>
      <c r="F932" s="15"/>
      <c r="G932" s="457" t="s">
        <v>38</v>
      </c>
      <c r="H932" s="458"/>
      <c r="I932" s="20"/>
      <c r="J932" s="457" t="s">
        <v>38</v>
      </c>
      <c r="K932" s="458"/>
      <c r="L932" s="76"/>
      <c r="M932" s="25"/>
      <c r="N932" s="293"/>
      <c r="O932" s="140" t="s">
        <v>321</v>
      </c>
      <c r="P932" s="132">
        <f>SUM(N920:N933)</f>
        <v>200</v>
      </c>
      <c r="Q932" s="72">
        <f>Q931-Q914</f>
        <v>0</v>
      </c>
      <c r="R932" s="144" t="s">
        <v>381</v>
      </c>
      <c r="S932" s="291">
        <f>S920-S925</f>
        <v>0</v>
      </c>
      <c r="T932" s="327" t="e">
        <f>S932/S925</f>
        <v>#DIV/0!</v>
      </c>
      <c r="U932" s="291">
        <f>U920-U925</f>
        <v>0</v>
      </c>
      <c r="V932" s="366" t="e">
        <f>U932/ABS(U925)</f>
        <v>#DIV/0!</v>
      </c>
      <c r="W932" s="337" t="s">
        <v>410</v>
      </c>
      <c r="X932" s="1" t="s">
        <v>558</v>
      </c>
      <c r="Y932" s="144" t="s">
        <v>379</v>
      </c>
      <c r="Z932" s="72"/>
    </row>
    <row r="933" spans="3:26" ht="15.75" thickBot="1">
      <c r="C933" s="17"/>
      <c r="D933" s="459"/>
      <c r="E933" s="460"/>
      <c r="F933" s="17"/>
      <c r="G933" s="459"/>
      <c r="H933" s="461"/>
      <c r="I933" s="21"/>
      <c r="J933" s="459"/>
      <c r="K933" s="461"/>
      <c r="L933" s="42"/>
      <c r="M933" s="5"/>
      <c r="N933" s="21"/>
      <c r="O933" s="137" t="s">
        <v>322</v>
      </c>
      <c r="P933" s="138">
        <f>P932/29</f>
        <v>6.8965517241379306</v>
      </c>
      <c r="Q933" s="24">
        <f>Q932/29</f>
        <v>0</v>
      </c>
      <c r="R933" s="153" t="s">
        <v>410</v>
      </c>
      <c r="S933" s="296">
        <f>S931+S932</f>
        <v>0</v>
      </c>
      <c r="T933" s="328" t="e">
        <f>S933/S921</f>
        <v>#DIV/0!</v>
      </c>
      <c r="U933" s="296">
        <f>U932+U931</f>
        <v>0</v>
      </c>
      <c r="V933" s="330" t="e">
        <f>U933/U921</f>
        <v>#DIV/0!</v>
      </c>
      <c r="W933" s="296">
        <f>S933+U933</f>
        <v>0</v>
      </c>
      <c r="X933" s="330" t="e">
        <f>(W933+S921+U921)/(S921+U921)-1</f>
        <v>#DIV/0!</v>
      </c>
      <c r="Y933" s="153" t="s">
        <v>375</v>
      </c>
      <c r="Z933" s="389"/>
    </row>
    <row r="934" spans="3:26" ht="17.25" thickTop="1" thickBot="1">
      <c r="C934" s="264">
        <v>46235</v>
      </c>
      <c r="D934" s="3"/>
      <c r="E934" s="3"/>
      <c r="F934" s="3"/>
      <c r="G934" s="3"/>
      <c r="H934" s="3"/>
      <c r="I934" s="3"/>
      <c r="J934" s="3"/>
      <c r="K934" s="3"/>
      <c r="L934" s="3"/>
      <c r="M934" s="3"/>
      <c r="N934" s="3"/>
      <c r="O934" s="3"/>
      <c r="P934" s="3"/>
      <c r="Q934" s="3"/>
      <c r="R934" s="3"/>
      <c r="S934" s="3"/>
      <c r="T934" s="3"/>
      <c r="U934" s="3"/>
      <c r="V934" s="3"/>
      <c r="W934" s="3"/>
      <c r="X934" s="3"/>
      <c r="Y934" s="3"/>
      <c r="Z934" s="3"/>
    </row>
    <row r="935" spans="3:26" ht="17.25" thickTop="1" thickBot="1">
      <c r="C935" s="480" t="s">
        <v>386</v>
      </c>
      <c r="D935" s="481"/>
      <c r="E935" s="482"/>
      <c r="F935" s="483" t="s">
        <v>387</v>
      </c>
      <c r="G935" s="484"/>
      <c r="H935" s="484"/>
      <c r="I935" s="484"/>
      <c r="J935" s="484"/>
      <c r="K935" s="484"/>
      <c r="L935" s="484"/>
      <c r="M935" s="484"/>
      <c r="N935" s="485"/>
      <c r="O935" s="261" t="s">
        <v>320</v>
      </c>
      <c r="P935" s="262" t="s">
        <v>257</v>
      </c>
      <c r="Q935" s="263" t="s">
        <v>319</v>
      </c>
      <c r="R935" s="486" t="s">
        <v>144</v>
      </c>
      <c r="S935" s="487"/>
      <c r="T935" s="487"/>
      <c r="U935" s="487"/>
      <c r="V935" s="487"/>
      <c r="W935" s="487"/>
      <c r="X935" s="487"/>
      <c r="Y935" s="487"/>
      <c r="Z935" s="488"/>
    </row>
    <row r="936" spans="3:26" ht="15.75" thickBot="1">
      <c r="C936" s="265"/>
      <c r="D936" s="489"/>
      <c r="E936" s="490"/>
      <c r="F936" s="470" t="s">
        <v>3</v>
      </c>
      <c r="G936" s="491"/>
      <c r="H936" s="492"/>
      <c r="I936" s="493" t="s">
        <v>4</v>
      </c>
      <c r="J936" s="491"/>
      <c r="K936" s="492"/>
      <c r="L936" s="267" t="s">
        <v>324</v>
      </c>
      <c r="M936" s="267" t="s">
        <v>325</v>
      </c>
      <c r="N936" s="267" t="s">
        <v>323</v>
      </c>
      <c r="O936" s="316" t="s">
        <v>5</v>
      </c>
      <c r="P936" s="317">
        <f>P939+P942+P945+P948</f>
        <v>14581.827304458526</v>
      </c>
      <c r="Q936" s="318">
        <f>Q945+Q942+Q939+Q948</f>
        <v>0</v>
      </c>
      <c r="R936" s="268" t="s">
        <v>323</v>
      </c>
      <c r="S936" s="493" t="s">
        <v>317</v>
      </c>
      <c r="T936" s="492"/>
      <c r="U936" s="493" t="s">
        <v>369</v>
      </c>
      <c r="V936" s="471"/>
      <c r="W936" s="470" t="s">
        <v>310</v>
      </c>
      <c r="X936" s="471"/>
      <c r="Y936" s="470" t="s">
        <v>13</v>
      </c>
      <c r="Z936" s="471"/>
    </row>
    <row r="937" spans="3:26" ht="16.5" thickTop="1" thickBot="1">
      <c r="C937" s="15"/>
      <c r="D937" s="494"/>
      <c r="E937" s="495"/>
      <c r="G937" s="496"/>
      <c r="H937" s="497"/>
      <c r="J937" s="496"/>
      <c r="K937" s="497"/>
      <c r="L937" s="76"/>
      <c r="M937" s="25"/>
      <c r="N937" s="292"/>
      <c r="O937" s="258" t="s">
        <v>321</v>
      </c>
      <c r="P937" s="315">
        <f>SUM(C937:C950)-SUM(F937:F950)-SUM(I937:I950)</f>
        <v>689.02999999999986</v>
      </c>
      <c r="Q937" s="12">
        <f>Q936-Q919</f>
        <v>0</v>
      </c>
      <c r="R937" s="307" t="s">
        <v>343</v>
      </c>
      <c r="S937" s="498"/>
      <c r="T937" s="499"/>
      <c r="U937" s="498"/>
      <c r="V937" s="500"/>
      <c r="W937" s="501" t="s">
        <v>326</v>
      </c>
      <c r="X937" s="502"/>
      <c r="Y937" s="143" t="s">
        <v>17</v>
      </c>
      <c r="Z937" s="12"/>
    </row>
    <row r="938" spans="3:26" ht="16.5" thickTop="1" thickBot="1">
      <c r="C938" s="15"/>
      <c r="D938" s="455" t="s">
        <v>11</v>
      </c>
      <c r="E938" s="456"/>
      <c r="F938" s="6">
        <f>F921</f>
        <v>400</v>
      </c>
      <c r="G938" s="462" t="s">
        <v>223</v>
      </c>
      <c r="H938" s="464"/>
      <c r="I938" s="20">
        <f>I921</f>
        <v>11.99</v>
      </c>
      <c r="J938" s="462" t="s">
        <v>385</v>
      </c>
      <c r="K938" s="464"/>
      <c r="L938" s="76">
        <f>L921</f>
        <v>200</v>
      </c>
      <c r="M938" s="76">
        <f>M921</f>
        <v>150</v>
      </c>
      <c r="N938" s="76">
        <f>N921</f>
        <v>200</v>
      </c>
      <c r="O938" s="141" t="s">
        <v>322</v>
      </c>
      <c r="P938" s="133">
        <f>P937/29</f>
        <v>23.759655172413787</v>
      </c>
      <c r="Q938" s="10">
        <f>Q937/29</f>
        <v>0</v>
      </c>
      <c r="R938" s="308" t="s">
        <v>382</v>
      </c>
      <c r="S938" s="474"/>
      <c r="T938" s="475"/>
      <c r="U938" s="467"/>
      <c r="V938" s="468"/>
      <c r="W938" s="289" t="s">
        <v>12</v>
      </c>
      <c r="X938" s="315"/>
      <c r="Y938" s="144" t="s">
        <v>18</v>
      </c>
      <c r="Z938" s="72"/>
    </row>
    <row r="939" spans="3:26">
      <c r="C939" s="15"/>
      <c r="D939" s="455" t="s">
        <v>390</v>
      </c>
      <c r="E939" s="456"/>
      <c r="F939" s="6">
        <f t="shared" ref="F939:F947" si="8">F922</f>
        <v>100</v>
      </c>
      <c r="G939" s="462" t="s">
        <v>9</v>
      </c>
      <c r="H939" s="464"/>
      <c r="I939" s="20">
        <f t="shared" ref="I939:I944" si="9">I922</f>
        <v>11.99</v>
      </c>
      <c r="J939" s="462" t="s">
        <v>22</v>
      </c>
      <c r="K939" s="464"/>
      <c r="L939" s="76"/>
      <c r="M939" s="25"/>
      <c r="N939" s="294"/>
      <c r="O939" s="136" t="s">
        <v>12</v>
      </c>
      <c r="P939" s="319">
        <f>P922+P937-SUM(L937:L950)-SUM(M937:M950)-SUM(N937:N950)</f>
        <v>1125.4899999999957</v>
      </c>
      <c r="Q939" s="320">
        <f>Z937+Z942+Z945</f>
        <v>0</v>
      </c>
      <c r="R939" s="308" t="s">
        <v>383</v>
      </c>
      <c r="S939" s="474"/>
      <c r="T939" s="475"/>
      <c r="U939" s="467"/>
      <c r="V939" s="468"/>
      <c r="W939" s="282" t="s">
        <v>373</v>
      </c>
      <c r="X939" s="132"/>
      <c r="Y939" s="144" t="s">
        <v>19</v>
      </c>
      <c r="Z939" s="72"/>
    </row>
    <row r="940" spans="3:26" ht="15.75" thickBot="1">
      <c r="C940" s="15"/>
      <c r="D940" s="462"/>
      <c r="E940" s="463"/>
      <c r="F940" s="6">
        <f t="shared" si="8"/>
        <v>150</v>
      </c>
      <c r="G940" s="462" t="s">
        <v>6</v>
      </c>
      <c r="H940" s="464"/>
      <c r="I940" s="20">
        <f t="shared" si="9"/>
        <v>20</v>
      </c>
      <c r="J940" s="462" t="s">
        <v>920</v>
      </c>
      <c r="K940" s="464"/>
      <c r="L940" s="76"/>
      <c r="M940" s="25"/>
      <c r="N940" s="20"/>
      <c r="O940" s="140" t="s">
        <v>321</v>
      </c>
      <c r="P940" s="132">
        <f>SUM(C937:C950)-SUM(F937:F950)-SUM(I937:I950)-P943-P946-P949</f>
        <v>139.02999999999986</v>
      </c>
      <c r="Q940" s="72">
        <f>Q939-Q922</f>
        <v>0</v>
      </c>
      <c r="R940" s="308" t="s">
        <v>424</v>
      </c>
      <c r="S940" s="474"/>
      <c r="T940" s="475"/>
      <c r="U940" s="467"/>
      <c r="V940" s="468"/>
      <c r="W940" s="282" t="s">
        <v>378</v>
      </c>
      <c r="X940" s="132"/>
      <c r="Y940" s="145" t="s">
        <v>324</v>
      </c>
      <c r="Z940" s="135"/>
    </row>
    <row r="941" spans="3:26" ht="15.75" thickBot="1">
      <c r="C941" s="15"/>
      <c r="D941" s="455"/>
      <c r="E941" s="456"/>
      <c r="F941" s="6">
        <f t="shared" si="8"/>
        <v>370</v>
      </c>
      <c r="G941" s="462" t="s">
        <v>97</v>
      </c>
      <c r="H941" s="464"/>
      <c r="I941" s="20">
        <f t="shared" si="9"/>
        <v>11.9</v>
      </c>
      <c r="J941" s="462" t="s">
        <v>249</v>
      </c>
      <c r="K941" s="464"/>
      <c r="L941" s="76"/>
      <c r="M941" s="25"/>
      <c r="N941" s="294"/>
      <c r="O941" s="141" t="s">
        <v>322</v>
      </c>
      <c r="P941" s="133">
        <f>P940/29</f>
        <v>4.7941379310344781</v>
      </c>
      <c r="Q941" s="10">
        <f>Q940/29</f>
        <v>0</v>
      </c>
      <c r="R941" s="143" t="s">
        <v>12</v>
      </c>
      <c r="S941" s="476"/>
      <c r="T941" s="477"/>
      <c r="U941" s="478"/>
      <c r="V941" s="479"/>
      <c r="W941" s="289" t="s">
        <v>379</v>
      </c>
      <c r="X941" s="132"/>
      <c r="Y941" s="470" t="s">
        <v>14</v>
      </c>
      <c r="Z941" s="471"/>
    </row>
    <row r="942" spans="3:26" ht="15.75" thickBot="1">
      <c r="C942" s="15"/>
      <c r="D942" s="455"/>
      <c r="E942" s="456"/>
      <c r="F942" s="6">
        <f t="shared" si="8"/>
        <v>1860.75</v>
      </c>
      <c r="G942" s="462" t="s">
        <v>304</v>
      </c>
      <c r="H942" s="464"/>
      <c r="I942" s="20">
        <f t="shared" si="9"/>
        <v>400</v>
      </c>
      <c r="J942" s="462" t="s">
        <v>974</v>
      </c>
      <c r="K942" s="464"/>
      <c r="L942" s="76"/>
      <c r="M942" s="25"/>
      <c r="N942" s="294"/>
      <c r="O942" s="136" t="s">
        <v>324</v>
      </c>
      <c r="P942" s="319">
        <f>P925+P943</f>
        <v>1335</v>
      </c>
      <c r="Q942" s="320">
        <f>Z938+Z939+Z940</f>
        <v>0</v>
      </c>
      <c r="R942" s="144" t="s">
        <v>425</v>
      </c>
      <c r="S942" s="465"/>
      <c r="T942" s="466"/>
      <c r="U942" s="467"/>
      <c r="V942" s="468"/>
      <c r="W942" s="146" t="s">
        <v>375</v>
      </c>
      <c r="X942" s="325"/>
      <c r="Y942" s="143" t="s">
        <v>15</v>
      </c>
      <c r="Z942" s="12"/>
    </row>
    <row r="943" spans="3:26" ht="15.75" thickBot="1">
      <c r="C943" s="15"/>
      <c r="D943" s="462"/>
      <c r="E943" s="463"/>
      <c r="F943" s="6">
        <f t="shared" si="8"/>
        <v>70</v>
      </c>
      <c r="G943" s="462" t="s">
        <v>982</v>
      </c>
      <c r="H943" s="464"/>
      <c r="I943" s="20">
        <f t="shared" si="9"/>
        <v>100</v>
      </c>
      <c r="J943" s="462" t="s">
        <v>105</v>
      </c>
      <c r="K943" s="464"/>
      <c r="L943" s="76"/>
      <c r="M943" s="25"/>
      <c r="N943" s="294"/>
      <c r="O943" s="140" t="s">
        <v>321</v>
      </c>
      <c r="P943" s="132">
        <f>SUM(L937:L950)</f>
        <v>200</v>
      </c>
      <c r="Q943" s="72">
        <f>Q942-Q925</f>
        <v>0</v>
      </c>
      <c r="R943" s="144" t="s">
        <v>426</v>
      </c>
      <c r="S943" s="465"/>
      <c r="T943" s="466"/>
      <c r="U943" s="467"/>
      <c r="V943" s="468"/>
      <c r="W943" s="470" t="s">
        <v>376</v>
      </c>
      <c r="X943" s="471"/>
      <c r="Y943" s="146" t="s">
        <v>325</v>
      </c>
      <c r="Z943" s="10"/>
    </row>
    <row r="944" spans="3:26" ht="16.5" thickTop="1" thickBot="1">
      <c r="C944" s="15"/>
      <c r="D944" s="462"/>
      <c r="E944" s="463"/>
      <c r="F944" s="6">
        <f t="shared" si="8"/>
        <v>50</v>
      </c>
      <c r="G944" s="462" t="s">
        <v>926</v>
      </c>
      <c r="H944" s="464"/>
      <c r="I944" s="20">
        <f t="shared" si="9"/>
        <v>200</v>
      </c>
      <c r="J944" s="462" t="s">
        <v>206</v>
      </c>
      <c r="K944" s="464"/>
      <c r="L944" s="76"/>
      <c r="M944" s="25"/>
      <c r="N944" s="292"/>
      <c r="O944" s="141" t="s">
        <v>322</v>
      </c>
      <c r="P944" s="133">
        <f>P943/29</f>
        <v>6.8965517241379306</v>
      </c>
      <c r="Q944" s="10">
        <f>Q943/29</f>
        <v>0</v>
      </c>
      <c r="R944" s="144" t="s">
        <v>422</v>
      </c>
      <c r="S944" s="465"/>
      <c r="T944" s="466"/>
      <c r="U944" s="467"/>
      <c r="V944" s="468"/>
      <c r="W944" s="289" t="s">
        <v>12</v>
      </c>
      <c r="X944" s="38"/>
      <c r="Y944" s="470" t="s">
        <v>374</v>
      </c>
      <c r="Z944" s="471"/>
    </row>
    <row r="945" spans="3:26" ht="16.5" thickTop="1" thickBot="1">
      <c r="C945" s="15"/>
      <c r="D945" s="462"/>
      <c r="E945" s="463"/>
      <c r="F945" s="6">
        <f t="shared" si="8"/>
        <v>150</v>
      </c>
      <c r="G945" s="462" t="s">
        <v>927</v>
      </c>
      <c r="H945" s="464"/>
      <c r="I945" s="20"/>
      <c r="J945" s="462"/>
      <c r="K945" s="464"/>
      <c r="L945" s="76"/>
      <c r="M945" s="25"/>
      <c r="N945" s="293"/>
      <c r="O945" s="136" t="s">
        <v>325</v>
      </c>
      <c r="P945" s="319">
        <f>P928+P946</f>
        <v>1008.8800000000001</v>
      </c>
      <c r="Q945" s="320">
        <f>Z943</f>
        <v>0</v>
      </c>
      <c r="R945" s="143" t="s">
        <v>421</v>
      </c>
      <c r="S945" s="465"/>
      <c r="T945" s="466"/>
      <c r="U945" s="467"/>
      <c r="V945" s="468"/>
      <c r="W945" s="282" t="s">
        <v>373</v>
      </c>
      <c r="X945" s="281"/>
      <c r="Y945" s="321" t="s">
        <v>181</v>
      </c>
      <c r="Z945" s="322">
        <v>0</v>
      </c>
    </row>
    <row r="946" spans="3:26" ht="15.75" thickBot="1">
      <c r="C946" s="266"/>
      <c r="D946" s="448"/>
      <c r="E946" s="469"/>
      <c r="F946" s="6">
        <f t="shared" si="8"/>
        <v>150</v>
      </c>
      <c r="G946" s="462" t="s">
        <v>925</v>
      </c>
      <c r="H946" s="464"/>
      <c r="I946" s="20"/>
      <c r="J946" s="462"/>
      <c r="K946" s="464"/>
      <c r="L946" s="76"/>
      <c r="M946" s="25"/>
      <c r="N946" s="295"/>
      <c r="O946" s="140" t="s">
        <v>321</v>
      </c>
      <c r="P946" s="132">
        <f>SUM(M937:M950)</f>
        <v>150</v>
      </c>
      <c r="Q946" s="72">
        <f>Q945-Q928</f>
        <v>0</v>
      </c>
      <c r="R946" s="144" t="s">
        <v>418</v>
      </c>
      <c r="S946" s="465"/>
      <c r="T946" s="466"/>
      <c r="U946" s="467"/>
      <c r="V946" s="468"/>
      <c r="W946" s="282" t="s">
        <v>378</v>
      </c>
      <c r="X946" s="281"/>
      <c r="Y946" s="470" t="s">
        <v>1000</v>
      </c>
      <c r="Z946" s="471"/>
    </row>
    <row r="947" spans="3:26" ht="16.5" thickTop="1" thickBot="1">
      <c r="C947" s="266"/>
      <c r="D947" s="448" t="s">
        <v>1001</v>
      </c>
      <c r="E947" s="469"/>
      <c r="F947" s="6">
        <f t="shared" si="8"/>
        <v>30</v>
      </c>
      <c r="G947" s="462" t="s">
        <v>33</v>
      </c>
      <c r="H947" s="464"/>
      <c r="I947" s="20"/>
      <c r="J947" s="462"/>
      <c r="K947" s="464"/>
      <c r="L947" s="76"/>
      <c r="M947" s="25"/>
      <c r="N947" s="293"/>
      <c r="O947" s="141" t="s">
        <v>322</v>
      </c>
      <c r="P947" s="133">
        <f>P946/29</f>
        <v>5.1724137931034484</v>
      </c>
      <c r="Q947" s="10">
        <f>Q946/29</f>
        <v>0</v>
      </c>
      <c r="R947" s="144" t="s">
        <v>438</v>
      </c>
      <c r="S947" s="465"/>
      <c r="T947" s="466"/>
      <c r="U947" s="472"/>
      <c r="V947" s="473"/>
      <c r="W947" s="289" t="s">
        <v>379</v>
      </c>
      <c r="X947" s="281"/>
      <c r="Y947" s="143" t="s">
        <v>12</v>
      </c>
      <c r="Z947" s="12"/>
    </row>
    <row r="948" spans="3:26" ht="15.75" thickBot="1">
      <c r="C948" s="15">
        <f>C931</f>
        <v>4775.66</v>
      </c>
      <c r="D948" s="455" t="s">
        <v>11</v>
      </c>
      <c r="E948" s="456"/>
      <c r="F948" s="15"/>
      <c r="G948" s="462"/>
      <c r="H948" s="464"/>
      <c r="I948" s="20"/>
      <c r="J948" s="462"/>
      <c r="K948" s="464"/>
      <c r="L948" s="76"/>
      <c r="M948" s="25"/>
      <c r="N948" s="295"/>
      <c r="O948" s="136" t="s">
        <v>323</v>
      </c>
      <c r="P948" s="319">
        <f>P931+P949</f>
        <v>11112.45730445853</v>
      </c>
      <c r="Q948" s="320">
        <f>S937+U937</f>
        <v>0</v>
      </c>
      <c r="R948" s="144" t="s">
        <v>380</v>
      </c>
      <c r="S948" s="291">
        <f>S939-S940</f>
        <v>0</v>
      </c>
      <c r="T948" s="327" t="e">
        <f>S948/S940</f>
        <v>#DIV/0!</v>
      </c>
      <c r="U948" s="291">
        <f>U939-U940</f>
        <v>0</v>
      </c>
      <c r="V948" s="329" t="e">
        <f>U948/U940</f>
        <v>#DIV/0!</v>
      </c>
      <c r="W948" s="146" t="s">
        <v>375</v>
      </c>
      <c r="X948" s="326"/>
      <c r="Y948" s="144" t="s">
        <v>373</v>
      </c>
      <c r="Z948" s="72"/>
    </row>
    <row r="949" spans="3:26">
      <c r="C949" s="15"/>
      <c r="D949" s="455" t="s">
        <v>390</v>
      </c>
      <c r="E949" s="456"/>
      <c r="F949" s="15"/>
      <c r="G949" s="457" t="s">
        <v>38</v>
      </c>
      <c r="H949" s="458"/>
      <c r="I949" s="20"/>
      <c r="J949" s="457" t="s">
        <v>38</v>
      </c>
      <c r="K949" s="458"/>
      <c r="L949" s="76"/>
      <c r="M949" s="25"/>
      <c r="N949" s="293"/>
      <c r="O949" s="140" t="s">
        <v>321</v>
      </c>
      <c r="P949" s="132">
        <f>SUM(N937:N950)</f>
        <v>200</v>
      </c>
      <c r="Q949" s="72">
        <f>Q948-Q931</f>
        <v>0</v>
      </c>
      <c r="R949" s="144" t="s">
        <v>381</v>
      </c>
      <c r="S949" s="291">
        <f>S937-S942</f>
        <v>0</v>
      </c>
      <c r="T949" s="327" t="e">
        <f>S949/S942</f>
        <v>#DIV/0!</v>
      </c>
      <c r="U949" s="291">
        <f>U937-U942</f>
        <v>0</v>
      </c>
      <c r="V949" s="366" t="e">
        <f>U949/ABS(U942)</f>
        <v>#DIV/0!</v>
      </c>
      <c r="W949" s="337" t="s">
        <v>410</v>
      </c>
      <c r="X949" s="1" t="s">
        <v>558</v>
      </c>
      <c r="Y949" s="144" t="s">
        <v>379</v>
      </c>
      <c r="Z949" s="72"/>
    </row>
    <row r="950" spans="3:26" ht="15.75" thickBot="1">
      <c r="C950" s="17"/>
      <c r="D950" s="459"/>
      <c r="E950" s="460"/>
      <c r="F950" s="17"/>
      <c r="G950" s="459"/>
      <c r="H950" s="461"/>
      <c r="I950" s="21"/>
      <c r="J950" s="459"/>
      <c r="K950" s="461"/>
      <c r="L950" s="42"/>
      <c r="M950" s="5"/>
      <c r="N950" s="21"/>
      <c r="O950" s="137" t="s">
        <v>322</v>
      </c>
      <c r="P950" s="138">
        <f>P949/29</f>
        <v>6.8965517241379306</v>
      </c>
      <c r="Q950" s="24">
        <f>Q949/29</f>
        <v>0</v>
      </c>
      <c r="R950" s="153" t="s">
        <v>410</v>
      </c>
      <c r="S950" s="296">
        <f>S948+S949</f>
        <v>0</v>
      </c>
      <c r="T950" s="328" t="e">
        <f>S950/S938</f>
        <v>#DIV/0!</v>
      </c>
      <c r="U950" s="296">
        <f>U949+U948</f>
        <v>0</v>
      </c>
      <c r="V950" s="330" t="e">
        <f>U950/U938</f>
        <v>#DIV/0!</v>
      </c>
      <c r="W950" s="296">
        <f>S950+U950</f>
        <v>0</v>
      </c>
      <c r="X950" s="330" t="e">
        <f>(W950+S938+U938)/(S938+U938)-1</f>
        <v>#DIV/0!</v>
      </c>
      <c r="Y950" s="153" t="s">
        <v>375</v>
      </c>
      <c r="Z950" s="389"/>
    </row>
    <row r="951" spans="3:26" ht="17.25" thickTop="1" thickBot="1">
      <c r="C951" s="264">
        <v>46266</v>
      </c>
      <c r="D951" s="3"/>
      <c r="E951" s="3"/>
      <c r="F951" s="3"/>
      <c r="G951" s="3"/>
      <c r="H951" s="3"/>
      <c r="I951" s="3"/>
      <c r="J951" s="3"/>
      <c r="K951" s="3"/>
      <c r="L951" s="3"/>
      <c r="M951" s="3"/>
      <c r="N951" s="3"/>
      <c r="O951" s="3"/>
      <c r="P951" s="3"/>
      <c r="Q951" s="3"/>
      <c r="R951" s="3"/>
      <c r="S951" s="3"/>
      <c r="T951" s="3"/>
      <c r="U951" s="3"/>
      <c r="V951" s="3"/>
      <c r="W951" s="3"/>
      <c r="X951" s="3"/>
      <c r="Y951" s="3"/>
      <c r="Z951" s="3"/>
    </row>
    <row r="952" spans="3:26" ht="17.25" thickTop="1" thickBot="1">
      <c r="C952" s="480" t="s">
        <v>386</v>
      </c>
      <c r="D952" s="481"/>
      <c r="E952" s="482"/>
      <c r="F952" s="483" t="s">
        <v>387</v>
      </c>
      <c r="G952" s="484"/>
      <c r="H952" s="484"/>
      <c r="I952" s="484"/>
      <c r="J952" s="484"/>
      <c r="K952" s="484"/>
      <c r="L952" s="484"/>
      <c r="M952" s="484"/>
      <c r="N952" s="485"/>
      <c r="O952" s="261" t="s">
        <v>320</v>
      </c>
      <c r="P952" s="262" t="s">
        <v>257</v>
      </c>
      <c r="Q952" s="263" t="s">
        <v>319</v>
      </c>
      <c r="R952" s="486" t="s">
        <v>144</v>
      </c>
      <c r="S952" s="487"/>
      <c r="T952" s="487"/>
      <c r="U952" s="487"/>
      <c r="V952" s="487"/>
      <c r="W952" s="487"/>
      <c r="X952" s="487"/>
      <c r="Y952" s="487"/>
      <c r="Z952" s="488"/>
    </row>
    <row r="953" spans="3:26" ht="15.75" thickBot="1">
      <c r="C953" s="265"/>
      <c r="D953" s="489"/>
      <c r="E953" s="490"/>
      <c r="F953" s="470" t="s">
        <v>3</v>
      </c>
      <c r="G953" s="491"/>
      <c r="H953" s="492"/>
      <c r="I953" s="493" t="s">
        <v>4</v>
      </c>
      <c r="J953" s="491"/>
      <c r="K953" s="492"/>
      <c r="L953" s="267" t="s">
        <v>324</v>
      </c>
      <c r="M953" s="267" t="s">
        <v>325</v>
      </c>
      <c r="N953" s="267" t="s">
        <v>323</v>
      </c>
      <c r="O953" s="316" t="s">
        <v>5</v>
      </c>
      <c r="P953" s="317">
        <f>P956+P959+P962+P965</f>
        <v>15270.857304458526</v>
      </c>
      <c r="Q953" s="318">
        <f>Q962+Q959+Q956+Q965</f>
        <v>0</v>
      </c>
      <c r="R953" s="268" t="s">
        <v>323</v>
      </c>
      <c r="S953" s="493" t="s">
        <v>317</v>
      </c>
      <c r="T953" s="492"/>
      <c r="U953" s="493" t="s">
        <v>369</v>
      </c>
      <c r="V953" s="471"/>
      <c r="W953" s="470" t="s">
        <v>310</v>
      </c>
      <c r="X953" s="471"/>
      <c r="Y953" s="470" t="s">
        <v>13</v>
      </c>
      <c r="Z953" s="471"/>
    </row>
    <row r="954" spans="3:26" ht="16.5" thickTop="1" thickBot="1">
      <c r="C954" s="15"/>
      <c r="D954" s="494"/>
      <c r="E954" s="495"/>
      <c r="G954" s="496"/>
      <c r="H954" s="497"/>
      <c r="J954" s="496"/>
      <c r="K954" s="497"/>
      <c r="L954" s="76"/>
      <c r="M954" s="25"/>
      <c r="N954" s="292"/>
      <c r="O954" s="258" t="s">
        <v>321</v>
      </c>
      <c r="P954" s="315">
        <f>SUM(C954:C967)-SUM(F954:F967)-SUM(I954:I967)</f>
        <v>689.02999999999986</v>
      </c>
      <c r="Q954" s="12">
        <f>Q953-Q936</f>
        <v>0</v>
      </c>
      <c r="R954" s="307" t="s">
        <v>343</v>
      </c>
      <c r="S954" s="498"/>
      <c r="T954" s="499"/>
      <c r="U954" s="498"/>
      <c r="V954" s="500"/>
      <c r="W954" s="501" t="s">
        <v>326</v>
      </c>
      <c r="X954" s="502"/>
      <c r="Y954" s="143" t="s">
        <v>17</v>
      </c>
      <c r="Z954" s="12"/>
    </row>
    <row r="955" spans="3:26" ht="16.5" thickTop="1" thickBot="1">
      <c r="C955" s="15"/>
      <c r="D955" s="455" t="s">
        <v>11</v>
      </c>
      <c r="E955" s="456"/>
      <c r="F955" s="6">
        <f>F938</f>
        <v>400</v>
      </c>
      <c r="G955" s="462" t="s">
        <v>223</v>
      </c>
      <c r="H955" s="464"/>
      <c r="I955" s="20">
        <f>I938</f>
        <v>11.99</v>
      </c>
      <c r="J955" s="462" t="s">
        <v>385</v>
      </c>
      <c r="K955" s="464"/>
      <c r="L955" s="76">
        <f>L938</f>
        <v>200</v>
      </c>
      <c r="M955" s="76">
        <f>M938</f>
        <v>150</v>
      </c>
      <c r="N955" s="76">
        <f>N938</f>
        <v>200</v>
      </c>
      <c r="O955" s="141" t="s">
        <v>322</v>
      </c>
      <c r="P955" s="133">
        <f>P954/29</f>
        <v>23.759655172413787</v>
      </c>
      <c r="Q955" s="10">
        <f>Q954/29</f>
        <v>0</v>
      </c>
      <c r="R955" s="308" t="s">
        <v>382</v>
      </c>
      <c r="S955" s="474"/>
      <c r="T955" s="475"/>
      <c r="U955" s="467"/>
      <c r="V955" s="468"/>
      <c r="W955" s="289" t="s">
        <v>12</v>
      </c>
      <c r="X955" s="315"/>
      <c r="Y955" s="144" t="s">
        <v>18</v>
      </c>
      <c r="Z955" s="72"/>
    </row>
    <row r="956" spans="3:26">
      <c r="C956" s="15"/>
      <c r="D956" s="455" t="s">
        <v>390</v>
      </c>
      <c r="E956" s="456"/>
      <c r="F956" s="6">
        <f t="shared" ref="F956:F964" si="10">F939</f>
        <v>100</v>
      </c>
      <c r="G956" s="462" t="s">
        <v>9</v>
      </c>
      <c r="H956" s="464"/>
      <c r="I956" s="20">
        <f t="shared" ref="I956:I961" si="11">I939</f>
        <v>11.99</v>
      </c>
      <c r="J956" s="462" t="s">
        <v>22</v>
      </c>
      <c r="K956" s="464"/>
      <c r="L956" s="76"/>
      <c r="M956" s="25"/>
      <c r="N956" s="294"/>
      <c r="O956" s="136" t="s">
        <v>12</v>
      </c>
      <c r="P956" s="319">
        <f>P939+P954-SUM(L954:L967)-SUM(M954:M967)-SUM(N954:N967)</f>
        <v>1264.5199999999954</v>
      </c>
      <c r="Q956" s="320">
        <f>Z954+Z959+Z962</f>
        <v>0</v>
      </c>
      <c r="R956" s="308" t="s">
        <v>383</v>
      </c>
      <c r="S956" s="474"/>
      <c r="T956" s="475"/>
      <c r="U956" s="467"/>
      <c r="V956" s="468"/>
      <c r="W956" s="282" t="s">
        <v>373</v>
      </c>
      <c r="X956" s="132"/>
      <c r="Y956" s="144" t="s">
        <v>19</v>
      </c>
      <c r="Z956" s="72"/>
    </row>
    <row r="957" spans="3:26" ht="15.75" thickBot="1">
      <c r="C957" s="15"/>
      <c r="D957" s="462"/>
      <c r="E957" s="463"/>
      <c r="F957" s="6">
        <f t="shared" si="10"/>
        <v>150</v>
      </c>
      <c r="G957" s="462" t="s">
        <v>6</v>
      </c>
      <c r="H957" s="464"/>
      <c r="I957" s="20">
        <f t="shared" si="11"/>
        <v>20</v>
      </c>
      <c r="J957" s="462" t="s">
        <v>920</v>
      </c>
      <c r="K957" s="464"/>
      <c r="L957" s="76"/>
      <c r="M957" s="25"/>
      <c r="N957" s="20"/>
      <c r="O957" s="140" t="s">
        <v>321</v>
      </c>
      <c r="P957" s="132">
        <f>SUM(C954:C967)-SUM(F954:F967)-SUM(I954:I967)-P960-P963-P966</f>
        <v>139.02999999999986</v>
      </c>
      <c r="Q957" s="72">
        <f>Q956-Q939</f>
        <v>0</v>
      </c>
      <c r="R957" s="308" t="s">
        <v>424</v>
      </c>
      <c r="S957" s="474"/>
      <c r="T957" s="475"/>
      <c r="U957" s="467"/>
      <c r="V957" s="468"/>
      <c r="W957" s="282" t="s">
        <v>378</v>
      </c>
      <c r="X957" s="132"/>
      <c r="Y957" s="145" t="s">
        <v>324</v>
      </c>
      <c r="Z957" s="135"/>
    </row>
    <row r="958" spans="3:26" ht="15.75" thickBot="1">
      <c r="C958" s="15"/>
      <c r="D958" s="455"/>
      <c r="E958" s="456"/>
      <c r="F958" s="6">
        <f t="shared" si="10"/>
        <v>370</v>
      </c>
      <c r="G958" s="462" t="s">
        <v>97</v>
      </c>
      <c r="H958" s="464"/>
      <c r="I958" s="20">
        <f t="shared" si="11"/>
        <v>11.9</v>
      </c>
      <c r="J958" s="462" t="s">
        <v>249</v>
      </c>
      <c r="K958" s="464"/>
      <c r="L958" s="76"/>
      <c r="M958" s="25"/>
      <c r="N958" s="294"/>
      <c r="O958" s="141" t="s">
        <v>322</v>
      </c>
      <c r="P958" s="133">
        <f>P957/29</f>
        <v>4.7941379310344781</v>
      </c>
      <c r="Q958" s="10">
        <f>Q957/29</f>
        <v>0</v>
      </c>
      <c r="R958" s="143" t="s">
        <v>12</v>
      </c>
      <c r="S958" s="476"/>
      <c r="T958" s="477"/>
      <c r="U958" s="478"/>
      <c r="V958" s="479"/>
      <c r="W958" s="289" t="s">
        <v>379</v>
      </c>
      <c r="X958" s="132"/>
      <c r="Y958" s="470" t="s">
        <v>14</v>
      </c>
      <c r="Z958" s="471"/>
    </row>
    <row r="959" spans="3:26" ht="15.75" thickBot="1">
      <c r="C959" s="15"/>
      <c r="D959" s="455"/>
      <c r="E959" s="456"/>
      <c r="F959" s="6">
        <f t="shared" si="10"/>
        <v>1860.75</v>
      </c>
      <c r="G959" s="462" t="s">
        <v>304</v>
      </c>
      <c r="H959" s="464"/>
      <c r="I959" s="20">
        <f t="shared" si="11"/>
        <v>400</v>
      </c>
      <c r="J959" s="462" t="s">
        <v>974</v>
      </c>
      <c r="K959" s="464"/>
      <c r="L959" s="76"/>
      <c r="M959" s="25"/>
      <c r="N959" s="294"/>
      <c r="O959" s="136" t="s">
        <v>324</v>
      </c>
      <c r="P959" s="319">
        <f>P942+P960</f>
        <v>1535</v>
      </c>
      <c r="Q959" s="320">
        <f>Z955+Z956+Z957</f>
        <v>0</v>
      </c>
      <c r="R959" s="144" t="s">
        <v>425</v>
      </c>
      <c r="S959" s="465"/>
      <c r="T959" s="466"/>
      <c r="U959" s="467"/>
      <c r="V959" s="468"/>
      <c r="W959" s="146" t="s">
        <v>375</v>
      </c>
      <c r="X959" s="325"/>
      <c r="Y959" s="143" t="s">
        <v>15</v>
      </c>
      <c r="Z959" s="12"/>
    </row>
    <row r="960" spans="3:26" ht="15.75" thickBot="1">
      <c r="C960" s="15"/>
      <c r="D960" s="462"/>
      <c r="E960" s="463"/>
      <c r="F960" s="6">
        <f t="shared" si="10"/>
        <v>70</v>
      </c>
      <c r="G960" s="462" t="s">
        <v>982</v>
      </c>
      <c r="H960" s="464"/>
      <c r="I960" s="20">
        <f t="shared" si="11"/>
        <v>100</v>
      </c>
      <c r="J960" s="462" t="s">
        <v>105</v>
      </c>
      <c r="K960" s="464"/>
      <c r="L960" s="76"/>
      <c r="M960" s="25"/>
      <c r="N960" s="294"/>
      <c r="O960" s="140" t="s">
        <v>321</v>
      </c>
      <c r="P960" s="132">
        <f>SUM(L954:L967)</f>
        <v>200</v>
      </c>
      <c r="Q960" s="72">
        <f>Q959-Q942</f>
        <v>0</v>
      </c>
      <c r="R960" s="144" t="s">
        <v>426</v>
      </c>
      <c r="S960" s="465"/>
      <c r="T960" s="466"/>
      <c r="U960" s="467"/>
      <c r="V960" s="468"/>
      <c r="W960" s="470" t="s">
        <v>376</v>
      </c>
      <c r="X960" s="471"/>
      <c r="Y960" s="146" t="s">
        <v>325</v>
      </c>
      <c r="Z960" s="10"/>
    </row>
    <row r="961" spans="3:26" ht="16.5" thickTop="1" thickBot="1">
      <c r="C961" s="15"/>
      <c r="D961" s="462"/>
      <c r="E961" s="463"/>
      <c r="F961" s="6">
        <f t="shared" si="10"/>
        <v>50</v>
      </c>
      <c r="G961" s="462" t="s">
        <v>926</v>
      </c>
      <c r="H961" s="464"/>
      <c r="I961" s="20">
        <f t="shared" si="11"/>
        <v>200</v>
      </c>
      <c r="J961" s="462" t="s">
        <v>206</v>
      </c>
      <c r="K961" s="464"/>
      <c r="L961" s="76"/>
      <c r="M961" s="25"/>
      <c r="N961" s="292"/>
      <c r="O961" s="141" t="s">
        <v>322</v>
      </c>
      <c r="P961" s="133">
        <f>P960/29</f>
        <v>6.8965517241379306</v>
      </c>
      <c r="Q961" s="10">
        <f>Q960/29</f>
        <v>0</v>
      </c>
      <c r="R961" s="144" t="s">
        <v>422</v>
      </c>
      <c r="S961" s="465"/>
      <c r="T961" s="466"/>
      <c r="U961" s="467"/>
      <c r="V961" s="468"/>
      <c r="W961" s="289" t="s">
        <v>12</v>
      </c>
      <c r="X961" s="38"/>
      <c r="Y961" s="470" t="s">
        <v>374</v>
      </c>
      <c r="Z961" s="471"/>
    </row>
    <row r="962" spans="3:26" ht="16.5" thickTop="1" thickBot="1">
      <c r="C962" s="15"/>
      <c r="D962" s="462"/>
      <c r="E962" s="463"/>
      <c r="F962" s="6">
        <f t="shared" si="10"/>
        <v>150</v>
      </c>
      <c r="G962" s="462" t="s">
        <v>927</v>
      </c>
      <c r="H962" s="464"/>
      <c r="I962" s="20"/>
      <c r="J962" s="462"/>
      <c r="K962" s="464"/>
      <c r="L962" s="76"/>
      <c r="M962" s="25"/>
      <c r="N962" s="293"/>
      <c r="O962" s="136" t="s">
        <v>325</v>
      </c>
      <c r="P962" s="319">
        <f>P945+P963</f>
        <v>1158.8800000000001</v>
      </c>
      <c r="Q962" s="320">
        <f>Z960</f>
        <v>0</v>
      </c>
      <c r="R962" s="143" t="s">
        <v>421</v>
      </c>
      <c r="S962" s="465"/>
      <c r="T962" s="466"/>
      <c r="U962" s="467"/>
      <c r="V962" s="468"/>
      <c r="W962" s="282" t="s">
        <v>373</v>
      </c>
      <c r="X962" s="281"/>
      <c r="Y962" s="321" t="s">
        <v>181</v>
      </c>
      <c r="Z962" s="322">
        <v>0</v>
      </c>
    </row>
    <row r="963" spans="3:26" ht="15.75" thickBot="1">
      <c r="C963" s="266"/>
      <c r="D963" s="448"/>
      <c r="E963" s="469"/>
      <c r="F963" s="6">
        <f t="shared" si="10"/>
        <v>150</v>
      </c>
      <c r="G963" s="462" t="s">
        <v>925</v>
      </c>
      <c r="H963" s="464"/>
      <c r="I963" s="20"/>
      <c r="J963" s="462"/>
      <c r="K963" s="464"/>
      <c r="L963" s="76"/>
      <c r="M963" s="25"/>
      <c r="N963" s="295"/>
      <c r="O963" s="140" t="s">
        <v>321</v>
      </c>
      <c r="P963" s="132">
        <f>SUM(M954:M967)</f>
        <v>150</v>
      </c>
      <c r="Q963" s="72">
        <f>Q962-Q945</f>
        <v>0</v>
      </c>
      <c r="R963" s="144" t="s">
        <v>418</v>
      </c>
      <c r="S963" s="465"/>
      <c r="T963" s="466"/>
      <c r="U963" s="467"/>
      <c r="V963" s="468"/>
      <c r="W963" s="282" t="s">
        <v>378</v>
      </c>
      <c r="X963" s="281"/>
      <c r="Y963" s="470" t="s">
        <v>1000</v>
      </c>
      <c r="Z963" s="471"/>
    </row>
    <row r="964" spans="3:26" ht="16.5" thickTop="1" thickBot="1">
      <c r="C964" s="266"/>
      <c r="D964" s="448" t="s">
        <v>1001</v>
      </c>
      <c r="E964" s="469"/>
      <c r="F964" s="6">
        <f t="shared" si="10"/>
        <v>30</v>
      </c>
      <c r="G964" s="462" t="s">
        <v>33</v>
      </c>
      <c r="H964" s="464"/>
      <c r="I964" s="20"/>
      <c r="J964" s="462"/>
      <c r="K964" s="464"/>
      <c r="L964" s="76"/>
      <c r="M964" s="25"/>
      <c r="N964" s="293"/>
      <c r="O964" s="141" t="s">
        <v>322</v>
      </c>
      <c r="P964" s="133">
        <f>P963/29</f>
        <v>5.1724137931034484</v>
      </c>
      <c r="Q964" s="10">
        <f>Q963/29</f>
        <v>0</v>
      </c>
      <c r="R964" s="144" t="s">
        <v>438</v>
      </c>
      <c r="S964" s="465"/>
      <c r="T964" s="466"/>
      <c r="U964" s="472"/>
      <c r="V964" s="473"/>
      <c r="W964" s="289" t="s">
        <v>379</v>
      </c>
      <c r="X964" s="281"/>
      <c r="Y964" s="143" t="s">
        <v>12</v>
      </c>
      <c r="Z964" s="12"/>
    </row>
    <row r="965" spans="3:26" ht="15.75" thickBot="1">
      <c r="C965" s="15">
        <f>C948</f>
        <v>4775.66</v>
      </c>
      <c r="D965" s="455" t="s">
        <v>11</v>
      </c>
      <c r="E965" s="456"/>
      <c r="F965" s="15"/>
      <c r="G965" s="462"/>
      <c r="H965" s="464"/>
      <c r="I965" s="20"/>
      <c r="J965" s="462"/>
      <c r="K965" s="464"/>
      <c r="L965" s="76"/>
      <c r="M965" s="25"/>
      <c r="N965" s="295"/>
      <c r="O965" s="136" t="s">
        <v>323</v>
      </c>
      <c r="P965" s="319">
        <f>P948+P966</f>
        <v>11312.45730445853</v>
      </c>
      <c r="Q965" s="320">
        <f>S954+U954</f>
        <v>0</v>
      </c>
      <c r="R965" s="144" t="s">
        <v>380</v>
      </c>
      <c r="S965" s="291">
        <f>S956-S957</f>
        <v>0</v>
      </c>
      <c r="T965" s="327" t="e">
        <f>S965/S957</f>
        <v>#DIV/0!</v>
      </c>
      <c r="U965" s="291">
        <f>U956-U957</f>
        <v>0</v>
      </c>
      <c r="V965" s="329" t="e">
        <f>U965/U957</f>
        <v>#DIV/0!</v>
      </c>
      <c r="W965" s="146" t="s">
        <v>375</v>
      </c>
      <c r="X965" s="326"/>
      <c r="Y965" s="144" t="s">
        <v>373</v>
      </c>
      <c r="Z965" s="72"/>
    </row>
    <row r="966" spans="3:26">
      <c r="C966" s="15"/>
      <c r="D966" s="455" t="s">
        <v>390</v>
      </c>
      <c r="E966" s="456"/>
      <c r="F966" s="15"/>
      <c r="G966" s="457" t="s">
        <v>38</v>
      </c>
      <c r="H966" s="458"/>
      <c r="I966" s="20"/>
      <c r="J966" s="457" t="s">
        <v>38</v>
      </c>
      <c r="K966" s="458"/>
      <c r="L966" s="76"/>
      <c r="M966" s="25"/>
      <c r="N966" s="293"/>
      <c r="O966" s="140" t="s">
        <v>321</v>
      </c>
      <c r="P966" s="132">
        <f>SUM(N954:N967)</f>
        <v>200</v>
      </c>
      <c r="Q966" s="72">
        <f>Q965-Q948</f>
        <v>0</v>
      </c>
      <c r="R966" s="144" t="s">
        <v>381</v>
      </c>
      <c r="S966" s="291">
        <f>S954-S959</f>
        <v>0</v>
      </c>
      <c r="T966" s="327" t="e">
        <f>S966/S959</f>
        <v>#DIV/0!</v>
      </c>
      <c r="U966" s="291">
        <f>U954-U959</f>
        <v>0</v>
      </c>
      <c r="V966" s="366" t="e">
        <f>U966/ABS(U959)</f>
        <v>#DIV/0!</v>
      </c>
      <c r="W966" s="337" t="s">
        <v>410</v>
      </c>
      <c r="X966" s="1" t="s">
        <v>558</v>
      </c>
      <c r="Y966" s="144" t="s">
        <v>379</v>
      </c>
      <c r="Z966" s="72"/>
    </row>
    <row r="967" spans="3:26" ht="15.75" thickBot="1">
      <c r="C967" s="17"/>
      <c r="D967" s="459"/>
      <c r="E967" s="460"/>
      <c r="F967" s="17"/>
      <c r="G967" s="459"/>
      <c r="H967" s="461"/>
      <c r="I967" s="21"/>
      <c r="J967" s="459"/>
      <c r="K967" s="461"/>
      <c r="L967" s="42"/>
      <c r="M967" s="5"/>
      <c r="N967" s="21"/>
      <c r="O967" s="137" t="s">
        <v>322</v>
      </c>
      <c r="P967" s="138">
        <f>P966/29</f>
        <v>6.8965517241379306</v>
      </c>
      <c r="Q967" s="24">
        <f>Q966/29</f>
        <v>0</v>
      </c>
      <c r="R967" s="153" t="s">
        <v>410</v>
      </c>
      <c r="S967" s="296">
        <f>S965+S966</f>
        <v>0</v>
      </c>
      <c r="T967" s="328" t="e">
        <f>S967/S955</f>
        <v>#DIV/0!</v>
      </c>
      <c r="U967" s="296">
        <f>U966+U965</f>
        <v>0</v>
      </c>
      <c r="V967" s="330" t="e">
        <f>U967/U955</f>
        <v>#DIV/0!</v>
      </c>
      <c r="W967" s="296">
        <f>S967+U967</f>
        <v>0</v>
      </c>
      <c r="X967" s="330" t="e">
        <f>(W967+S955+U955)/(S955+U955)-1</f>
        <v>#DIV/0!</v>
      </c>
      <c r="Y967" s="153" t="s">
        <v>375</v>
      </c>
      <c r="Z967" s="389"/>
    </row>
    <row r="968" spans="3:26" ht="17.25" thickTop="1" thickBot="1">
      <c r="C968" s="264">
        <v>46296</v>
      </c>
      <c r="D968" s="3"/>
      <c r="E968" s="3"/>
      <c r="F968" s="3"/>
      <c r="G968" s="3"/>
      <c r="H968" s="3"/>
      <c r="I968" s="3"/>
      <c r="J968" s="3"/>
      <c r="K968" s="3"/>
      <c r="L968" s="3"/>
      <c r="M968" s="3"/>
      <c r="N968" s="3"/>
      <c r="O968" s="3"/>
      <c r="P968" s="3"/>
      <c r="Q968" s="3"/>
      <c r="R968" s="3"/>
      <c r="S968" s="3"/>
      <c r="T968" s="3"/>
      <c r="U968" s="3"/>
      <c r="V968" s="3"/>
      <c r="W968" s="3"/>
      <c r="X968" s="3"/>
      <c r="Y968" s="3"/>
      <c r="Z968" s="3"/>
    </row>
    <row r="969" spans="3:26" ht="17.25" thickTop="1" thickBot="1">
      <c r="C969" s="480" t="s">
        <v>386</v>
      </c>
      <c r="D969" s="481"/>
      <c r="E969" s="482"/>
      <c r="F969" s="483" t="s">
        <v>387</v>
      </c>
      <c r="G969" s="484"/>
      <c r="H969" s="484"/>
      <c r="I969" s="484"/>
      <c r="J969" s="484"/>
      <c r="K969" s="484"/>
      <c r="L969" s="484"/>
      <c r="M969" s="484"/>
      <c r="N969" s="485"/>
      <c r="O969" s="261" t="s">
        <v>320</v>
      </c>
      <c r="P969" s="262" t="s">
        <v>257</v>
      </c>
      <c r="Q969" s="263" t="s">
        <v>319</v>
      </c>
      <c r="R969" s="486" t="s">
        <v>144</v>
      </c>
      <c r="S969" s="487"/>
      <c r="T969" s="487"/>
      <c r="U969" s="487"/>
      <c r="V969" s="487"/>
      <c r="W969" s="487"/>
      <c r="X969" s="487"/>
      <c r="Y969" s="487"/>
      <c r="Z969" s="488"/>
    </row>
    <row r="970" spans="3:26" ht="15.75" thickBot="1">
      <c r="C970" s="265"/>
      <c r="D970" s="489"/>
      <c r="E970" s="490"/>
      <c r="F970" s="470" t="s">
        <v>3</v>
      </c>
      <c r="G970" s="491"/>
      <c r="H970" s="492"/>
      <c r="I970" s="493" t="s">
        <v>4</v>
      </c>
      <c r="J970" s="491"/>
      <c r="K970" s="492"/>
      <c r="L970" s="267" t="s">
        <v>324</v>
      </c>
      <c r="M970" s="267" t="s">
        <v>325</v>
      </c>
      <c r="N970" s="267" t="s">
        <v>323</v>
      </c>
      <c r="O970" s="316" t="s">
        <v>5</v>
      </c>
      <c r="P970" s="317">
        <f>P973+P976+P979+P982</f>
        <v>15959.887304458525</v>
      </c>
      <c r="Q970" s="318">
        <f>Q979+Q976+Q973+Q982</f>
        <v>0</v>
      </c>
      <c r="R970" s="268" t="s">
        <v>323</v>
      </c>
      <c r="S970" s="493" t="s">
        <v>317</v>
      </c>
      <c r="T970" s="492"/>
      <c r="U970" s="493" t="s">
        <v>369</v>
      </c>
      <c r="V970" s="471"/>
      <c r="W970" s="470" t="s">
        <v>310</v>
      </c>
      <c r="X970" s="471"/>
      <c r="Y970" s="470" t="s">
        <v>13</v>
      </c>
      <c r="Z970" s="471"/>
    </row>
    <row r="971" spans="3:26" ht="16.5" thickTop="1" thickBot="1">
      <c r="C971" s="15"/>
      <c r="D971" s="494"/>
      <c r="E971" s="495"/>
      <c r="G971" s="496"/>
      <c r="H971" s="497"/>
      <c r="J971" s="496"/>
      <c r="K971" s="497"/>
      <c r="L971" s="76"/>
      <c r="M971" s="25"/>
      <c r="N971" s="292"/>
      <c r="O971" s="258" t="s">
        <v>321</v>
      </c>
      <c r="P971" s="315">
        <f>SUM(C971:C984)-SUM(F971:F984)-SUM(I971:I984)</f>
        <v>689.02999999999986</v>
      </c>
      <c r="Q971" s="12">
        <f>Q970-Q953</f>
        <v>0</v>
      </c>
      <c r="R971" s="307" t="s">
        <v>343</v>
      </c>
      <c r="S971" s="498"/>
      <c r="T971" s="499"/>
      <c r="U971" s="498"/>
      <c r="V971" s="500"/>
      <c r="W971" s="501" t="s">
        <v>326</v>
      </c>
      <c r="X971" s="502"/>
      <c r="Y971" s="143" t="s">
        <v>17</v>
      </c>
      <c r="Z971" s="12"/>
    </row>
    <row r="972" spans="3:26" ht="16.5" thickTop="1" thickBot="1">
      <c r="C972" s="15"/>
      <c r="D972" s="455" t="s">
        <v>11</v>
      </c>
      <c r="E972" s="456"/>
      <c r="F972" s="6">
        <f>F955</f>
        <v>400</v>
      </c>
      <c r="G972" s="462" t="s">
        <v>223</v>
      </c>
      <c r="H972" s="464"/>
      <c r="I972" s="20">
        <f>I955</f>
        <v>11.99</v>
      </c>
      <c r="J972" s="462" t="s">
        <v>385</v>
      </c>
      <c r="K972" s="464"/>
      <c r="L972" s="76">
        <f>L955</f>
        <v>200</v>
      </c>
      <c r="M972" s="76">
        <f>M955</f>
        <v>150</v>
      </c>
      <c r="N972" s="76">
        <f>N955</f>
        <v>200</v>
      </c>
      <c r="O972" s="141" t="s">
        <v>322</v>
      </c>
      <c r="P972" s="133">
        <f>P971/29</f>
        <v>23.759655172413787</v>
      </c>
      <c r="Q972" s="10">
        <f>Q971/29</f>
        <v>0</v>
      </c>
      <c r="R972" s="308" t="s">
        <v>382</v>
      </c>
      <c r="S972" s="474"/>
      <c r="T972" s="475"/>
      <c r="U972" s="467"/>
      <c r="V972" s="468"/>
      <c r="W972" s="289" t="s">
        <v>12</v>
      </c>
      <c r="X972" s="315"/>
      <c r="Y972" s="144" t="s">
        <v>18</v>
      </c>
      <c r="Z972" s="72"/>
    </row>
    <row r="973" spans="3:26">
      <c r="C973" s="15"/>
      <c r="D973" s="455" t="s">
        <v>390</v>
      </c>
      <c r="E973" s="456"/>
      <c r="F973" s="6">
        <f t="shared" ref="F973:F981" si="12">F956</f>
        <v>100</v>
      </c>
      <c r="G973" s="462" t="s">
        <v>9</v>
      </c>
      <c r="H973" s="464"/>
      <c r="I973" s="20">
        <f t="shared" ref="I973:I978" si="13">I956</f>
        <v>11.99</v>
      </c>
      <c r="J973" s="462" t="s">
        <v>22</v>
      </c>
      <c r="K973" s="464"/>
      <c r="L973" s="76"/>
      <c r="M973" s="25"/>
      <c r="N973" s="294"/>
      <c r="O973" s="136" t="s">
        <v>12</v>
      </c>
      <c r="P973" s="319">
        <f>P956+P971-SUM(L971:L984)-SUM(M971:M984)-SUM(N971:N984)</f>
        <v>1403.5499999999952</v>
      </c>
      <c r="Q973" s="320">
        <f>Z971+Z976+Z979</f>
        <v>0</v>
      </c>
      <c r="R973" s="308" t="s">
        <v>383</v>
      </c>
      <c r="S973" s="474"/>
      <c r="T973" s="475"/>
      <c r="U973" s="467"/>
      <c r="V973" s="468"/>
      <c r="W973" s="282" t="s">
        <v>373</v>
      </c>
      <c r="X973" s="132"/>
      <c r="Y973" s="144" t="s">
        <v>19</v>
      </c>
      <c r="Z973" s="72"/>
    </row>
    <row r="974" spans="3:26" ht="15.75" thickBot="1">
      <c r="C974" s="15"/>
      <c r="D974" s="462"/>
      <c r="E974" s="463"/>
      <c r="F974" s="6">
        <f t="shared" si="12"/>
        <v>150</v>
      </c>
      <c r="G974" s="462" t="s">
        <v>6</v>
      </c>
      <c r="H974" s="464"/>
      <c r="I974" s="20">
        <f t="shared" si="13"/>
        <v>20</v>
      </c>
      <c r="J974" s="462" t="s">
        <v>920</v>
      </c>
      <c r="K974" s="464"/>
      <c r="L974" s="76"/>
      <c r="M974" s="25"/>
      <c r="N974" s="20"/>
      <c r="O974" s="140" t="s">
        <v>321</v>
      </c>
      <c r="P974" s="132">
        <f>SUM(C971:C984)-SUM(F971:F984)-SUM(I971:I984)-P977-P980-P983</f>
        <v>139.02999999999986</v>
      </c>
      <c r="Q974" s="72">
        <f>Q973-Q956</f>
        <v>0</v>
      </c>
      <c r="R974" s="308" t="s">
        <v>424</v>
      </c>
      <c r="S974" s="474"/>
      <c r="T974" s="475"/>
      <c r="U974" s="467"/>
      <c r="V974" s="468"/>
      <c r="W974" s="282" t="s">
        <v>378</v>
      </c>
      <c r="X974" s="132"/>
      <c r="Y974" s="145" t="s">
        <v>324</v>
      </c>
      <c r="Z974" s="135"/>
    </row>
    <row r="975" spans="3:26" ht="15.75" thickBot="1">
      <c r="C975" s="15"/>
      <c r="D975" s="455"/>
      <c r="E975" s="456"/>
      <c r="F975" s="6">
        <f t="shared" si="12"/>
        <v>370</v>
      </c>
      <c r="G975" s="462" t="s">
        <v>97</v>
      </c>
      <c r="H975" s="464"/>
      <c r="I975" s="20">
        <f t="shared" si="13"/>
        <v>11.9</v>
      </c>
      <c r="J975" s="462" t="s">
        <v>249</v>
      </c>
      <c r="K975" s="464"/>
      <c r="L975" s="76"/>
      <c r="M975" s="25"/>
      <c r="N975" s="294"/>
      <c r="O975" s="141" t="s">
        <v>322</v>
      </c>
      <c r="P975" s="133">
        <f>P974/29</f>
        <v>4.7941379310344781</v>
      </c>
      <c r="Q975" s="10">
        <f>Q974/29</f>
        <v>0</v>
      </c>
      <c r="R975" s="143" t="s">
        <v>12</v>
      </c>
      <c r="S975" s="476"/>
      <c r="T975" s="477"/>
      <c r="U975" s="478"/>
      <c r="V975" s="479"/>
      <c r="W975" s="289" t="s">
        <v>379</v>
      </c>
      <c r="X975" s="132"/>
      <c r="Y975" s="470" t="s">
        <v>14</v>
      </c>
      <c r="Z975" s="471"/>
    </row>
    <row r="976" spans="3:26" ht="15.75" thickBot="1">
      <c r="C976" s="15"/>
      <c r="D976" s="455"/>
      <c r="E976" s="456"/>
      <c r="F976" s="6">
        <f t="shared" si="12"/>
        <v>1860.75</v>
      </c>
      <c r="G976" s="462" t="s">
        <v>304</v>
      </c>
      <c r="H976" s="464"/>
      <c r="I976" s="20">
        <f t="shared" si="13"/>
        <v>400</v>
      </c>
      <c r="J976" s="462" t="s">
        <v>974</v>
      </c>
      <c r="K976" s="464"/>
      <c r="L976" s="76"/>
      <c r="M976" s="25"/>
      <c r="N976" s="294"/>
      <c r="O976" s="136" t="s">
        <v>324</v>
      </c>
      <c r="P976" s="319">
        <f>P959+P977</f>
        <v>1735</v>
      </c>
      <c r="Q976" s="320">
        <f>Z972+Z973+Z974</f>
        <v>0</v>
      </c>
      <c r="R976" s="144" t="s">
        <v>425</v>
      </c>
      <c r="S976" s="465"/>
      <c r="T976" s="466"/>
      <c r="U976" s="467"/>
      <c r="V976" s="468"/>
      <c r="W976" s="146" t="s">
        <v>375</v>
      </c>
      <c r="X976" s="325"/>
      <c r="Y976" s="143" t="s">
        <v>15</v>
      </c>
      <c r="Z976" s="12"/>
    </row>
    <row r="977" spans="3:26" ht="15.75" thickBot="1">
      <c r="C977" s="15"/>
      <c r="D977" s="462"/>
      <c r="E977" s="463"/>
      <c r="F977" s="6">
        <f t="shared" si="12"/>
        <v>70</v>
      </c>
      <c r="G977" s="462" t="s">
        <v>982</v>
      </c>
      <c r="H977" s="464"/>
      <c r="I977" s="20">
        <f t="shared" si="13"/>
        <v>100</v>
      </c>
      <c r="J977" s="462" t="s">
        <v>105</v>
      </c>
      <c r="K977" s="464"/>
      <c r="L977" s="76"/>
      <c r="M977" s="25"/>
      <c r="N977" s="294"/>
      <c r="O977" s="140" t="s">
        <v>321</v>
      </c>
      <c r="P977" s="132">
        <f>SUM(L971:L984)</f>
        <v>200</v>
      </c>
      <c r="Q977" s="72">
        <f>Q976-Q959</f>
        <v>0</v>
      </c>
      <c r="R977" s="144" t="s">
        <v>426</v>
      </c>
      <c r="S977" s="465"/>
      <c r="T977" s="466"/>
      <c r="U977" s="467"/>
      <c r="V977" s="468"/>
      <c r="W977" s="470" t="s">
        <v>376</v>
      </c>
      <c r="X977" s="471"/>
      <c r="Y977" s="146" t="s">
        <v>325</v>
      </c>
      <c r="Z977" s="10"/>
    </row>
    <row r="978" spans="3:26" ht="16.5" thickTop="1" thickBot="1">
      <c r="C978" s="15"/>
      <c r="D978" s="462"/>
      <c r="E978" s="463"/>
      <c r="F978" s="6">
        <f t="shared" si="12"/>
        <v>50</v>
      </c>
      <c r="G978" s="462" t="s">
        <v>926</v>
      </c>
      <c r="H978" s="464"/>
      <c r="I978" s="20">
        <f t="shared" si="13"/>
        <v>200</v>
      </c>
      <c r="J978" s="462" t="s">
        <v>206</v>
      </c>
      <c r="K978" s="464"/>
      <c r="L978" s="76"/>
      <c r="M978" s="25"/>
      <c r="N978" s="292"/>
      <c r="O978" s="141" t="s">
        <v>322</v>
      </c>
      <c r="P978" s="133">
        <f>P977/29</f>
        <v>6.8965517241379306</v>
      </c>
      <c r="Q978" s="10">
        <f>Q977/29</f>
        <v>0</v>
      </c>
      <c r="R978" s="144" t="s">
        <v>422</v>
      </c>
      <c r="S978" s="465"/>
      <c r="T978" s="466"/>
      <c r="U978" s="467"/>
      <c r="V978" s="468"/>
      <c r="W978" s="289" t="s">
        <v>12</v>
      </c>
      <c r="X978" s="38"/>
      <c r="Y978" s="470" t="s">
        <v>374</v>
      </c>
      <c r="Z978" s="471"/>
    </row>
    <row r="979" spans="3:26" ht="16.5" thickTop="1" thickBot="1">
      <c r="C979" s="15"/>
      <c r="D979" s="462"/>
      <c r="E979" s="463"/>
      <c r="F979" s="6">
        <f t="shared" si="12"/>
        <v>150</v>
      </c>
      <c r="G979" s="462" t="s">
        <v>927</v>
      </c>
      <c r="H979" s="464"/>
      <c r="I979" s="20"/>
      <c r="J979" s="462"/>
      <c r="K979" s="464"/>
      <c r="L979" s="76"/>
      <c r="M979" s="25"/>
      <c r="N979" s="293"/>
      <c r="O979" s="136" t="s">
        <v>325</v>
      </c>
      <c r="P979" s="319">
        <f>P962+P980</f>
        <v>1308.8800000000001</v>
      </c>
      <c r="Q979" s="320">
        <f>Z977</f>
        <v>0</v>
      </c>
      <c r="R979" s="143" t="s">
        <v>421</v>
      </c>
      <c r="S979" s="465"/>
      <c r="T979" s="466"/>
      <c r="U979" s="467"/>
      <c r="V979" s="468"/>
      <c r="W979" s="282" t="s">
        <v>373</v>
      </c>
      <c r="X979" s="281"/>
      <c r="Y979" s="321" t="s">
        <v>181</v>
      </c>
      <c r="Z979" s="322">
        <v>0</v>
      </c>
    </row>
    <row r="980" spans="3:26" ht="15.75" thickBot="1">
      <c r="C980" s="266"/>
      <c r="D980" s="448"/>
      <c r="E980" s="469"/>
      <c r="F980" s="6">
        <f t="shared" si="12"/>
        <v>150</v>
      </c>
      <c r="G980" s="462" t="s">
        <v>925</v>
      </c>
      <c r="H980" s="464"/>
      <c r="I980" s="20"/>
      <c r="J980" s="462"/>
      <c r="K980" s="464"/>
      <c r="L980" s="76"/>
      <c r="M980" s="25"/>
      <c r="N980" s="295"/>
      <c r="O980" s="140" t="s">
        <v>321</v>
      </c>
      <c r="P980" s="132">
        <f>SUM(M971:M984)</f>
        <v>150</v>
      </c>
      <c r="Q980" s="72">
        <f>Q979-Q962</f>
        <v>0</v>
      </c>
      <c r="R980" s="144" t="s">
        <v>418</v>
      </c>
      <c r="S980" s="465"/>
      <c r="T980" s="466"/>
      <c r="U980" s="467"/>
      <c r="V980" s="468"/>
      <c r="W980" s="282" t="s">
        <v>378</v>
      </c>
      <c r="X980" s="281"/>
      <c r="Y980" s="470" t="s">
        <v>1000</v>
      </c>
      <c r="Z980" s="471"/>
    </row>
    <row r="981" spans="3:26" ht="16.5" thickTop="1" thickBot="1">
      <c r="C981" s="266"/>
      <c r="D981" s="448" t="s">
        <v>1001</v>
      </c>
      <c r="E981" s="469"/>
      <c r="F981" s="6">
        <f t="shared" si="12"/>
        <v>30</v>
      </c>
      <c r="G981" s="462" t="s">
        <v>33</v>
      </c>
      <c r="H981" s="464"/>
      <c r="I981" s="20"/>
      <c r="J981" s="462"/>
      <c r="K981" s="464"/>
      <c r="L981" s="76"/>
      <c r="M981" s="25"/>
      <c r="N981" s="293"/>
      <c r="O981" s="141" t="s">
        <v>322</v>
      </c>
      <c r="P981" s="133">
        <f>P980/29</f>
        <v>5.1724137931034484</v>
      </c>
      <c r="Q981" s="10">
        <f>Q980/29</f>
        <v>0</v>
      </c>
      <c r="R981" s="144" t="s">
        <v>438</v>
      </c>
      <c r="S981" s="465"/>
      <c r="T981" s="466"/>
      <c r="U981" s="472"/>
      <c r="V981" s="473"/>
      <c r="W981" s="289" t="s">
        <v>379</v>
      </c>
      <c r="X981" s="281"/>
      <c r="Y981" s="143" t="s">
        <v>12</v>
      </c>
      <c r="Z981" s="12"/>
    </row>
    <row r="982" spans="3:26" ht="15.75" thickBot="1">
      <c r="C982" s="15">
        <f>C965</f>
        <v>4775.66</v>
      </c>
      <c r="D982" s="455" t="s">
        <v>11</v>
      </c>
      <c r="E982" s="456"/>
      <c r="F982" s="15"/>
      <c r="G982" s="462"/>
      <c r="H982" s="464"/>
      <c r="I982" s="20"/>
      <c r="J982" s="462"/>
      <c r="K982" s="464"/>
      <c r="L982" s="76"/>
      <c r="M982" s="25"/>
      <c r="N982" s="295"/>
      <c r="O982" s="136" t="s">
        <v>323</v>
      </c>
      <c r="P982" s="319">
        <f>P965+P983</f>
        <v>11512.45730445853</v>
      </c>
      <c r="Q982" s="320">
        <f>S971+U971</f>
        <v>0</v>
      </c>
      <c r="R982" s="144" t="s">
        <v>380</v>
      </c>
      <c r="S982" s="291">
        <f>S973-S974</f>
        <v>0</v>
      </c>
      <c r="T982" s="327" t="e">
        <f>S982/S974</f>
        <v>#DIV/0!</v>
      </c>
      <c r="U982" s="291">
        <f>U973-U974</f>
        <v>0</v>
      </c>
      <c r="V982" s="329" t="e">
        <f>U982/U974</f>
        <v>#DIV/0!</v>
      </c>
      <c r="W982" s="146" t="s">
        <v>375</v>
      </c>
      <c r="X982" s="326"/>
      <c r="Y982" s="144" t="s">
        <v>373</v>
      </c>
      <c r="Z982" s="72"/>
    </row>
    <row r="983" spans="3:26">
      <c r="C983" s="15"/>
      <c r="D983" s="455" t="s">
        <v>390</v>
      </c>
      <c r="E983" s="456"/>
      <c r="F983" s="15"/>
      <c r="G983" s="457" t="s">
        <v>38</v>
      </c>
      <c r="H983" s="458"/>
      <c r="I983" s="20"/>
      <c r="J983" s="457" t="s">
        <v>38</v>
      </c>
      <c r="K983" s="458"/>
      <c r="L983" s="76"/>
      <c r="M983" s="25"/>
      <c r="N983" s="293"/>
      <c r="O983" s="140" t="s">
        <v>321</v>
      </c>
      <c r="P983" s="132">
        <f>SUM(N971:N984)</f>
        <v>200</v>
      </c>
      <c r="Q983" s="72">
        <f>Q982-Q965</f>
        <v>0</v>
      </c>
      <c r="R983" s="144" t="s">
        <v>381</v>
      </c>
      <c r="S983" s="291">
        <f>S971-S976</f>
        <v>0</v>
      </c>
      <c r="T983" s="327" t="e">
        <f>S983/S976</f>
        <v>#DIV/0!</v>
      </c>
      <c r="U983" s="291">
        <f>U971-U976</f>
        <v>0</v>
      </c>
      <c r="V983" s="366" t="e">
        <f>U983/ABS(U976)</f>
        <v>#DIV/0!</v>
      </c>
      <c r="W983" s="337" t="s">
        <v>410</v>
      </c>
      <c r="X983" s="1" t="s">
        <v>558</v>
      </c>
      <c r="Y983" s="144" t="s">
        <v>379</v>
      </c>
      <c r="Z983" s="72"/>
    </row>
    <row r="984" spans="3:26" ht="15.75" thickBot="1">
      <c r="C984" s="17"/>
      <c r="D984" s="459"/>
      <c r="E984" s="460"/>
      <c r="F984" s="17"/>
      <c r="G984" s="459"/>
      <c r="H984" s="461"/>
      <c r="I984" s="21"/>
      <c r="J984" s="459"/>
      <c r="K984" s="461"/>
      <c r="L984" s="42"/>
      <c r="M984" s="5"/>
      <c r="N984" s="21"/>
      <c r="O984" s="137" t="s">
        <v>322</v>
      </c>
      <c r="P984" s="138">
        <f>P983/29</f>
        <v>6.8965517241379306</v>
      </c>
      <c r="Q984" s="24">
        <f>Q983/29</f>
        <v>0</v>
      </c>
      <c r="R984" s="153" t="s">
        <v>410</v>
      </c>
      <c r="S984" s="296">
        <f>S982+S983</f>
        <v>0</v>
      </c>
      <c r="T984" s="328" t="e">
        <f>S984/S972</f>
        <v>#DIV/0!</v>
      </c>
      <c r="U984" s="296">
        <f>U983+U982</f>
        <v>0</v>
      </c>
      <c r="V984" s="330" t="e">
        <f>U984/U972</f>
        <v>#DIV/0!</v>
      </c>
      <c r="W984" s="296">
        <f>S984+U984</f>
        <v>0</v>
      </c>
      <c r="X984" s="330" t="e">
        <f>(W984+S972+U972)/(S972+U972)-1</f>
        <v>#DIV/0!</v>
      </c>
      <c r="Y984" s="153" t="s">
        <v>375</v>
      </c>
      <c r="Z984" s="389"/>
    </row>
    <row r="985" spans="3:26" ht="17.25" thickTop="1" thickBot="1">
      <c r="C985" s="264">
        <v>46327</v>
      </c>
      <c r="D985" s="3"/>
      <c r="E985" s="3"/>
      <c r="F985" s="3"/>
      <c r="G985" s="3"/>
      <c r="H985" s="3"/>
      <c r="I985" s="3"/>
      <c r="J985" s="3"/>
      <c r="K985" s="3"/>
      <c r="L985" s="3"/>
      <c r="M985" s="3"/>
      <c r="N985" s="3"/>
      <c r="O985" s="3"/>
      <c r="P985" s="3"/>
      <c r="Q985" s="3"/>
      <c r="R985" s="3"/>
      <c r="S985" s="3"/>
      <c r="T985" s="3"/>
      <c r="U985" s="3"/>
      <c r="V985" s="3"/>
      <c r="W985" s="3"/>
      <c r="X985" s="3"/>
      <c r="Y985" s="3"/>
      <c r="Z985" s="3"/>
    </row>
    <row r="986" spans="3:26" ht="17.25" thickTop="1" thickBot="1">
      <c r="C986" s="480" t="s">
        <v>386</v>
      </c>
      <c r="D986" s="481"/>
      <c r="E986" s="482"/>
      <c r="F986" s="483" t="s">
        <v>387</v>
      </c>
      <c r="G986" s="484"/>
      <c r="H986" s="484"/>
      <c r="I986" s="484"/>
      <c r="J986" s="484"/>
      <c r="K986" s="484"/>
      <c r="L986" s="484"/>
      <c r="M986" s="484"/>
      <c r="N986" s="485"/>
      <c r="O986" s="261" t="s">
        <v>320</v>
      </c>
      <c r="P986" s="262" t="s">
        <v>257</v>
      </c>
      <c r="Q986" s="263" t="s">
        <v>319</v>
      </c>
      <c r="R986" s="486" t="s">
        <v>144</v>
      </c>
      <c r="S986" s="487"/>
      <c r="T986" s="487"/>
      <c r="U986" s="487"/>
      <c r="V986" s="487"/>
      <c r="W986" s="487"/>
      <c r="X986" s="487"/>
      <c r="Y986" s="487"/>
      <c r="Z986" s="488"/>
    </row>
    <row r="987" spans="3:26" ht="15.75" thickBot="1">
      <c r="C987" s="265"/>
      <c r="D987" s="489"/>
      <c r="E987" s="490"/>
      <c r="F987" s="470" t="s">
        <v>3</v>
      </c>
      <c r="G987" s="491"/>
      <c r="H987" s="492"/>
      <c r="I987" s="493" t="s">
        <v>4</v>
      </c>
      <c r="J987" s="491"/>
      <c r="K987" s="492"/>
      <c r="L987" s="267" t="s">
        <v>324</v>
      </c>
      <c r="M987" s="267" t="s">
        <v>325</v>
      </c>
      <c r="N987" s="267" t="s">
        <v>323</v>
      </c>
      <c r="O987" s="316" t="s">
        <v>5</v>
      </c>
      <c r="P987" s="317">
        <f>P990+P993+P996+P999</f>
        <v>16648.917304458526</v>
      </c>
      <c r="Q987" s="318">
        <f>Q996+Q993+Q990+Q999</f>
        <v>0</v>
      </c>
      <c r="R987" s="268" t="s">
        <v>323</v>
      </c>
      <c r="S987" s="493" t="s">
        <v>317</v>
      </c>
      <c r="T987" s="492"/>
      <c r="U987" s="493" t="s">
        <v>369</v>
      </c>
      <c r="V987" s="471"/>
      <c r="W987" s="470" t="s">
        <v>310</v>
      </c>
      <c r="X987" s="471"/>
      <c r="Y987" s="470" t="s">
        <v>13</v>
      </c>
      <c r="Z987" s="471"/>
    </row>
    <row r="988" spans="3:26" ht="16.5" thickTop="1" thickBot="1">
      <c r="C988" s="15"/>
      <c r="D988" s="494"/>
      <c r="E988" s="495"/>
      <c r="G988" s="496"/>
      <c r="H988" s="497"/>
      <c r="J988" s="496"/>
      <c r="K988" s="497"/>
      <c r="L988" s="76"/>
      <c r="M988" s="25"/>
      <c r="N988" s="292"/>
      <c r="O988" s="258" t="s">
        <v>321</v>
      </c>
      <c r="P988" s="315">
        <f>SUM(C988:C1001)-SUM(F988:F1001)-SUM(I988:I1001)</f>
        <v>689.02999999999986</v>
      </c>
      <c r="Q988" s="12">
        <f>Q987-Q970</f>
        <v>0</v>
      </c>
      <c r="R988" s="307" t="s">
        <v>343</v>
      </c>
      <c r="S988" s="498"/>
      <c r="T988" s="499"/>
      <c r="U988" s="498"/>
      <c r="V988" s="500"/>
      <c r="W988" s="501" t="s">
        <v>326</v>
      </c>
      <c r="X988" s="502"/>
      <c r="Y988" s="143" t="s">
        <v>17</v>
      </c>
      <c r="Z988" s="12"/>
    </row>
    <row r="989" spans="3:26" ht="16.5" thickTop="1" thickBot="1">
      <c r="C989" s="15"/>
      <c r="D989" s="455" t="s">
        <v>11</v>
      </c>
      <c r="E989" s="456"/>
      <c r="F989" s="6">
        <f>F972</f>
        <v>400</v>
      </c>
      <c r="G989" s="462" t="s">
        <v>223</v>
      </c>
      <c r="H989" s="464"/>
      <c r="I989" s="20">
        <f>I972</f>
        <v>11.99</v>
      </c>
      <c r="J989" s="462" t="s">
        <v>385</v>
      </c>
      <c r="K989" s="464"/>
      <c r="L989" s="76">
        <f>L972</f>
        <v>200</v>
      </c>
      <c r="M989" s="76">
        <f>M972</f>
        <v>150</v>
      </c>
      <c r="N989" s="76">
        <f>N972</f>
        <v>200</v>
      </c>
      <c r="O989" s="141" t="s">
        <v>322</v>
      </c>
      <c r="P989" s="133">
        <f>P988/29</f>
        <v>23.759655172413787</v>
      </c>
      <c r="Q989" s="10">
        <f>Q988/29</f>
        <v>0</v>
      </c>
      <c r="R989" s="308" t="s">
        <v>382</v>
      </c>
      <c r="S989" s="474"/>
      <c r="T989" s="475"/>
      <c r="U989" s="467"/>
      <c r="V989" s="468"/>
      <c r="W989" s="289" t="s">
        <v>12</v>
      </c>
      <c r="X989" s="315"/>
      <c r="Y989" s="144" t="s">
        <v>18</v>
      </c>
      <c r="Z989" s="72"/>
    </row>
    <row r="990" spans="3:26">
      <c r="C990" s="15"/>
      <c r="D990" s="455" t="s">
        <v>390</v>
      </c>
      <c r="E990" s="456"/>
      <c r="F990" s="6">
        <f t="shared" ref="F990:F998" si="14">F973</f>
        <v>100</v>
      </c>
      <c r="G990" s="462" t="s">
        <v>9</v>
      </c>
      <c r="H990" s="464"/>
      <c r="I990" s="20">
        <f t="shared" ref="I990:I995" si="15">I973</f>
        <v>11.99</v>
      </c>
      <c r="J990" s="462" t="s">
        <v>22</v>
      </c>
      <c r="K990" s="464"/>
      <c r="L990" s="76"/>
      <c r="M990" s="25"/>
      <c r="N990" s="294"/>
      <c r="O990" s="136" t="s">
        <v>12</v>
      </c>
      <c r="P990" s="319">
        <f>P973+P988-SUM(L988:L1001)-SUM(M988:M1001)-SUM(N988:N1001)</f>
        <v>1542.5799999999949</v>
      </c>
      <c r="Q990" s="320">
        <f>Z988+Z993+Z996</f>
        <v>0</v>
      </c>
      <c r="R990" s="308" t="s">
        <v>383</v>
      </c>
      <c r="S990" s="474"/>
      <c r="T990" s="475"/>
      <c r="U990" s="467"/>
      <c r="V990" s="468"/>
      <c r="W990" s="282" t="s">
        <v>373</v>
      </c>
      <c r="X990" s="132"/>
      <c r="Y990" s="144" t="s">
        <v>19</v>
      </c>
      <c r="Z990" s="72"/>
    </row>
    <row r="991" spans="3:26" ht="15.75" thickBot="1">
      <c r="C991" s="15"/>
      <c r="D991" s="462"/>
      <c r="E991" s="463"/>
      <c r="F991" s="6">
        <f t="shared" si="14"/>
        <v>150</v>
      </c>
      <c r="G991" s="462" t="s">
        <v>6</v>
      </c>
      <c r="H991" s="464"/>
      <c r="I991" s="20">
        <f t="shared" si="15"/>
        <v>20</v>
      </c>
      <c r="J991" s="462" t="s">
        <v>920</v>
      </c>
      <c r="K991" s="464"/>
      <c r="L991" s="76"/>
      <c r="M991" s="25"/>
      <c r="N991" s="20"/>
      <c r="O991" s="140" t="s">
        <v>321</v>
      </c>
      <c r="P991" s="132">
        <f>SUM(C988:C1001)-SUM(F988:F1001)-SUM(I988:I1001)-P994-P997-P1000</f>
        <v>139.02999999999986</v>
      </c>
      <c r="Q991" s="72">
        <f>Q990-Q973</f>
        <v>0</v>
      </c>
      <c r="R991" s="308" t="s">
        <v>424</v>
      </c>
      <c r="S991" s="474"/>
      <c r="T991" s="475"/>
      <c r="U991" s="467"/>
      <c r="V991" s="468"/>
      <c r="W991" s="282" t="s">
        <v>378</v>
      </c>
      <c r="X991" s="132"/>
      <c r="Y991" s="145" t="s">
        <v>324</v>
      </c>
      <c r="Z991" s="135"/>
    </row>
    <row r="992" spans="3:26" ht="15.75" thickBot="1">
      <c r="C992" s="15"/>
      <c r="D992" s="455"/>
      <c r="E992" s="456"/>
      <c r="F992" s="6">
        <f t="shared" si="14"/>
        <v>370</v>
      </c>
      <c r="G992" s="462" t="s">
        <v>97</v>
      </c>
      <c r="H992" s="464"/>
      <c r="I992" s="20">
        <f t="shared" si="15"/>
        <v>11.9</v>
      </c>
      <c r="J992" s="462" t="s">
        <v>249</v>
      </c>
      <c r="K992" s="464"/>
      <c r="L992" s="76"/>
      <c r="M992" s="25"/>
      <c r="N992" s="294"/>
      <c r="O992" s="141" t="s">
        <v>322</v>
      </c>
      <c r="P992" s="133">
        <f>P991/29</f>
        <v>4.7941379310344781</v>
      </c>
      <c r="Q992" s="10">
        <f>Q991/29</f>
        <v>0</v>
      </c>
      <c r="R992" s="143" t="s">
        <v>12</v>
      </c>
      <c r="S992" s="476"/>
      <c r="T992" s="477"/>
      <c r="U992" s="478"/>
      <c r="V992" s="479"/>
      <c r="W992" s="289" t="s">
        <v>379</v>
      </c>
      <c r="X992" s="132"/>
      <c r="Y992" s="470" t="s">
        <v>14</v>
      </c>
      <c r="Z992" s="471"/>
    </row>
    <row r="993" spans="3:26" ht="15.75" thickBot="1">
      <c r="C993" s="15"/>
      <c r="D993" s="455"/>
      <c r="E993" s="456"/>
      <c r="F993" s="6">
        <f t="shared" si="14"/>
        <v>1860.75</v>
      </c>
      <c r="G993" s="462" t="s">
        <v>304</v>
      </c>
      <c r="H993" s="464"/>
      <c r="I993" s="20">
        <f t="shared" si="15"/>
        <v>400</v>
      </c>
      <c r="J993" s="462" t="s">
        <v>974</v>
      </c>
      <c r="K993" s="464"/>
      <c r="L993" s="76"/>
      <c r="M993" s="25"/>
      <c r="N993" s="294"/>
      <c r="O993" s="136" t="s">
        <v>324</v>
      </c>
      <c r="P993" s="319">
        <f>P976+P994</f>
        <v>1935</v>
      </c>
      <c r="Q993" s="320">
        <f>Z989+Z990+Z991</f>
        <v>0</v>
      </c>
      <c r="R993" s="144" t="s">
        <v>425</v>
      </c>
      <c r="S993" s="465"/>
      <c r="T993" s="466"/>
      <c r="U993" s="467"/>
      <c r="V993" s="468"/>
      <c r="W993" s="146" t="s">
        <v>375</v>
      </c>
      <c r="X993" s="325"/>
      <c r="Y993" s="143" t="s">
        <v>15</v>
      </c>
      <c r="Z993" s="12"/>
    </row>
    <row r="994" spans="3:26" ht="15.75" thickBot="1">
      <c r="C994" s="15"/>
      <c r="D994" s="462"/>
      <c r="E994" s="463"/>
      <c r="F994" s="6">
        <f t="shared" si="14"/>
        <v>70</v>
      </c>
      <c r="G994" s="462" t="s">
        <v>982</v>
      </c>
      <c r="H994" s="464"/>
      <c r="I994" s="20">
        <f t="shared" si="15"/>
        <v>100</v>
      </c>
      <c r="J994" s="462" t="s">
        <v>105</v>
      </c>
      <c r="K994" s="464"/>
      <c r="L994" s="76"/>
      <c r="M994" s="25"/>
      <c r="N994" s="294"/>
      <c r="O994" s="140" t="s">
        <v>321</v>
      </c>
      <c r="P994" s="132">
        <f>SUM(L988:L1001)</f>
        <v>200</v>
      </c>
      <c r="Q994" s="72">
        <f>Q993-Q976</f>
        <v>0</v>
      </c>
      <c r="R994" s="144" t="s">
        <v>426</v>
      </c>
      <c r="S994" s="465"/>
      <c r="T994" s="466"/>
      <c r="U994" s="467"/>
      <c r="V994" s="468"/>
      <c r="W994" s="470" t="s">
        <v>376</v>
      </c>
      <c r="X994" s="471"/>
      <c r="Y994" s="146" t="s">
        <v>325</v>
      </c>
      <c r="Z994" s="10"/>
    </row>
    <row r="995" spans="3:26" ht="16.5" thickTop="1" thickBot="1">
      <c r="C995" s="15"/>
      <c r="D995" s="462"/>
      <c r="E995" s="463"/>
      <c r="F995" s="6">
        <f t="shared" si="14"/>
        <v>50</v>
      </c>
      <c r="G995" s="462" t="s">
        <v>926</v>
      </c>
      <c r="H995" s="464"/>
      <c r="I995" s="20">
        <f t="shared" si="15"/>
        <v>200</v>
      </c>
      <c r="J995" s="462" t="s">
        <v>206</v>
      </c>
      <c r="K995" s="464"/>
      <c r="L995" s="76"/>
      <c r="M995" s="25"/>
      <c r="N995" s="292"/>
      <c r="O995" s="141" t="s">
        <v>322</v>
      </c>
      <c r="P995" s="133">
        <f>P994/29</f>
        <v>6.8965517241379306</v>
      </c>
      <c r="Q995" s="10">
        <f>Q994/29</f>
        <v>0</v>
      </c>
      <c r="R995" s="144" t="s">
        <v>422</v>
      </c>
      <c r="S995" s="465"/>
      <c r="T995" s="466"/>
      <c r="U995" s="467"/>
      <c r="V995" s="468"/>
      <c r="W995" s="289" t="s">
        <v>12</v>
      </c>
      <c r="X995" s="38"/>
      <c r="Y995" s="470" t="s">
        <v>374</v>
      </c>
      <c r="Z995" s="471"/>
    </row>
    <row r="996" spans="3:26" ht="16.5" thickTop="1" thickBot="1">
      <c r="C996" s="15"/>
      <c r="D996" s="462"/>
      <c r="E996" s="463"/>
      <c r="F996" s="6">
        <f t="shared" si="14"/>
        <v>150</v>
      </c>
      <c r="G996" s="462" t="s">
        <v>927</v>
      </c>
      <c r="H996" s="464"/>
      <c r="I996" s="20"/>
      <c r="J996" s="462"/>
      <c r="K996" s="464"/>
      <c r="L996" s="76"/>
      <c r="M996" s="25"/>
      <c r="N996" s="293"/>
      <c r="O996" s="136" t="s">
        <v>325</v>
      </c>
      <c r="P996" s="319">
        <f>P979+P997</f>
        <v>1458.88</v>
      </c>
      <c r="Q996" s="320">
        <f>Z994</f>
        <v>0</v>
      </c>
      <c r="R996" s="143" t="s">
        <v>421</v>
      </c>
      <c r="S996" s="465"/>
      <c r="T996" s="466"/>
      <c r="U996" s="467"/>
      <c r="V996" s="468"/>
      <c r="W996" s="282" t="s">
        <v>373</v>
      </c>
      <c r="X996" s="281"/>
      <c r="Y996" s="321" t="s">
        <v>181</v>
      </c>
      <c r="Z996" s="322">
        <v>0</v>
      </c>
    </row>
    <row r="997" spans="3:26" ht="15.75" thickBot="1">
      <c r="C997" s="266"/>
      <c r="D997" s="448"/>
      <c r="E997" s="469"/>
      <c r="F997" s="6">
        <f t="shared" si="14"/>
        <v>150</v>
      </c>
      <c r="G997" s="462" t="s">
        <v>925</v>
      </c>
      <c r="H997" s="464"/>
      <c r="I997" s="20"/>
      <c r="J997" s="462"/>
      <c r="K997" s="464"/>
      <c r="L997" s="76"/>
      <c r="M997" s="25"/>
      <c r="N997" s="295"/>
      <c r="O997" s="140" t="s">
        <v>321</v>
      </c>
      <c r="P997" s="132">
        <f>SUM(M988:M1001)</f>
        <v>150</v>
      </c>
      <c r="Q997" s="72">
        <f>Q996-Q979</f>
        <v>0</v>
      </c>
      <c r="R997" s="144" t="s">
        <v>418</v>
      </c>
      <c r="S997" s="465"/>
      <c r="T997" s="466"/>
      <c r="U997" s="467"/>
      <c r="V997" s="468"/>
      <c r="W997" s="282" t="s">
        <v>378</v>
      </c>
      <c r="X997" s="281"/>
      <c r="Y997" s="470" t="s">
        <v>1000</v>
      </c>
      <c r="Z997" s="471"/>
    </row>
    <row r="998" spans="3:26" ht="16.5" thickTop="1" thickBot="1">
      <c r="C998" s="266"/>
      <c r="D998" s="448" t="s">
        <v>1001</v>
      </c>
      <c r="E998" s="469"/>
      <c r="F998" s="6">
        <f t="shared" si="14"/>
        <v>30</v>
      </c>
      <c r="G998" s="462" t="s">
        <v>33</v>
      </c>
      <c r="H998" s="464"/>
      <c r="I998" s="20"/>
      <c r="J998" s="462"/>
      <c r="K998" s="464"/>
      <c r="L998" s="76"/>
      <c r="M998" s="25"/>
      <c r="N998" s="293"/>
      <c r="O998" s="141" t="s">
        <v>322</v>
      </c>
      <c r="P998" s="133">
        <f>P997/29</f>
        <v>5.1724137931034484</v>
      </c>
      <c r="Q998" s="10">
        <f>Q997/29</f>
        <v>0</v>
      </c>
      <c r="R998" s="144" t="s">
        <v>438</v>
      </c>
      <c r="S998" s="465"/>
      <c r="T998" s="466"/>
      <c r="U998" s="472"/>
      <c r="V998" s="473"/>
      <c r="W998" s="289" t="s">
        <v>379</v>
      </c>
      <c r="X998" s="281"/>
      <c r="Y998" s="143" t="s">
        <v>12</v>
      </c>
      <c r="Z998" s="12"/>
    </row>
    <row r="999" spans="3:26" ht="15.75" thickBot="1">
      <c r="C999" s="15">
        <f>C982</f>
        <v>4775.66</v>
      </c>
      <c r="D999" s="455" t="s">
        <v>11</v>
      </c>
      <c r="E999" s="456"/>
      <c r="F999" s="15"/>
      <c r="G999" s="462"/>
      <c r="H999" s="464"/>
      <c r="I999" s="20"/>
      <c r="J999" s="462"/>
      <c r="K999" s="464"/>
      <c r="L999" s="76"/>
      <c r="M999" s="25"/>
      <c r="N999" s="295"/>
      <c r="O999" s="136" t="s">
        <v>323</v>
      </c>
      <c r="P999" s="319">
        <f>P982+P1000</f>
        <v>11712.45730445853</v>
      </c>
      <c r="Q999" s="320">
        <f>S988+U988</f>
        <v>0</v>
      </c>
      <c r="R999" s="144" t="s">
        <v>380</v>
      </c>
      <c r="S999" s="291">
        <f>S990-S991</f>
        <v>0</v>
      </c>
      <c r="T999" s="327" t="e">
        <f>S999/S991</f>
        <v>#DIV/0!</v>
      </c>
      <c r="U999" s="291">
        <f>U990-U991</f>
        <v>0</v>
      </c>
      <c r="V999" s="329" t="e">
        <f>U999/U991</f>
        <v>#DIV/0!</v>
      </c>
      <c r="W999" s="146" t="s">
        <v>375</v>
      </c>
      <c r="X999" s="326"/>
      <c r="Y999" s="144" t="s">
        <v>373</v>
      </c>
      <c r="Z999" s="72"/>
    </row>
    <row r="1000" spans="3:26">
      <c r="C1000" s="15"/>
      <c r="D1000" s="455" t="s">
        <v>390</v>
      </c>
      <c r="E1000" s="456"/>
      <c r="F1000" s="15"/>
      <c r="G1000" s="457" t="s">
        <v>38</v>
      </c>
      <c r="H1000" s="458"/>
      <c r="I1000" s="20"/>
      <c r="J1000" s="457" t="s">
        <v>38</v>
      </c>
      <c r="K1000" s="458"/>
      <c r="L1000" s="76"/>
      <c r="M1000" s="25"/>
      <c r="N1000" s="293"/>
      <c r="O1000" s="140" t="s">
        <v>321</v>
      </c>
      <c r="P1000" s="132">
        <f>SUM(N988:N1001)</f>
        <v>200</v>
      </c>
      <c r="Q1000" s="72">
        <f>Q999-Q982</f>
        <v>0</v>
      </c>
      <c r="R1000" s="144" t="s">
        <v>381</v>
      </c>
      <c r="S1000" s="291">
        <f>S988-S993</f>
        <v>0</v>
      </c>
      <c r="T1000" s="327" t="e">
        <f>S1000/S993</f>
        <v>#DIV/0!</v>
      </c>
      <c r="U1000" s="291">
        <f>U988-U993</f>
        <v>0</v>
      </c>
      <c r="V1000" s="366" t="e">
        <f>U1000/ABS(U993)</f>
        <v>#DIV/0!</v>
      </c>
      <c r="W1000" s="337" t="s">
        <v>410</v>
      </c>
      <c r="X1000" s="1" t="s">
        <v>558</v>
      </c>
      <c r="Y1000" s="144" t="s">
        <v>379</v>
      </c>
      <c r="Z1000" s="72"/>
    </row>
    <row r="1001" spans="3:26" ht="15.75" thickBot="1">
      <c r="C1001" s="17"/>
      <c r="D1001" s="459"/>
      <c r="E1001" s="460"/>
      <c r="F1001" s="17"/>
      <c r="G1001" s="459"/>
      <c r="H1001" s="461"/>
      <c r="I1001" s="21"/>
      <c r="J1001" s="459"/>
      <c r="K1001" s="461"/>
      <c r="L1001" s="42"/>
      <c r="M1001" s="5"/>
      <c r="N1001" s="21"/>
      <c r="O1001" s="137" t="s">
        <v>322</v>
      </c>
      <c r="P1001" s="138">
        <f>P1000/29</f>
        <v>6.8965517241379306</v>
      </c>
      <c r="Q1001" s="24">
        <f>Q1000/29</f>
        <v>0</v>
      </c>
      <c r="R1001" s="153" t="s">
        <v>410</v>
      </c>
      <c r="S1001" s="296">
        <f>S999+S1000</f>
        <v>0</v>
      </c>
      <c r="T1001" s="328" t="e">
        <f>S1001/S989</f>
        <v>#DIV/0!</v>
      </c>
      <c r="U1001" s="296">
        <f>U1000+U999</f>
        <v>0</v>
      </c>
      <c r="V1001" s="330" t="e">
        <f>U1001/U989</f>
        <v>#DIV/0!</v>
      </c>
      <c r="W1001" s="296">
        <f>S1001+U1001</f>
        <v>0</v>
      </c>
      <c r="X1001" s="330" t="e">
        <f>(W1001+S989+U989)/(S989+U989)-1</f>
        <v>#DIV/0!</v>
      </c>
      <c r="Y1001" s="153" t="s">
        <v>375</v>
      </c>
      <c r="Z1001" s="389"/>
    </row>
    <row r="1002" spans="3:26" ht="17.25" thickTop="1" thickBot="1">
      <c r="C1002" s="264">
        <v>46357</v>
      </c>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3:26" ht="17.25" thickTop="1" thickBot="1">
      <c r="C1003" s="480" t="s">
        <v>386</v>
      </c>
      <c r="D1003" s="481"/>
      <c r="E1003" s="482"/>
      <c r="F1003" s="483" t="s">
        <v>387</v>
      </c>
      <c r="G1003" s="484"/>
      <c r="H1003" s="484"/>
      <c r="I1003" s="484"/>
      <c r="J1003" s="484"/>
      <c r="K1003" s="484"/>
      <c r="L1003" s="484"/>
      <c r="M1003" s="484"/>
      <c r="N1003" s="485"/>
      <c r="O1003" s="261" t="s">
        <v>320</v>
      </c>
      <c r="P1003" s="262" t="s">
        <v>257</v>
      </c>
      <c r="Q1003" s="263" t="s">
        <v>319</v>
      </c>
      <c r="R1003" s="486" t="s">
        <v>144</v>
      </c>
      <c r="S1003" s="487"/>
      <c r="T1003" s="487"/>
      <c r="U1003" s="487"/>
      <c r="V1003" s="487"/>
      <c r="W1003" s="487"/>
      <c r="X1003" s="487"/>
      <c r="Y1003" s="487"/>
      <c r="Z1003" s="488"/>
    </row>
    <row r="1004" spans="3:26" ht="15.75" thickBot="1">
      <c r="C1004" s="265"/>
      <c r="D1004" s="489"/>
      <c r="E1004" s="490"/>
      <c r="F1004" s="470" t="s">
        <v>3</v>
      </c>
      <c r="G1004" s="491"/>
      <c r="H1004" s="492"/>
      <c r="I1004" s="493" t="s">
        <v>4</v>
      </c>
      <c r="J1004" s="491"/>
      <c r="K1004" s="492"/>
      <c r="L1004" s="267" t="s">
        <v>324</v>
      </c>
      <c r="M1004" s="267" t="s">
        <v>325</v>
      </c>
      <c r="N1004" s="267" t="s">
        <v>323</v>
      </c>
      <c r="O1004" s="316" t="s">
        <v>5</v>
      </c>
      <c r="P1004" s="317">
        <f>P1007+P1010+P1013+P1016</f>
        <v>17337.947304458525</v>
      </c>
      <c r="Q1004" s="318">
        <f>Q1013+Q1010+Q1007+Q1016</f>
        <v>0</v>
      </c>
      <c r="R1004" s="268" t="s">
        <v>323</v>
      </c>
      <c r="S1004" s="493" t="s">
        <v>317</v>
      </c>
      <c r="T1004" s="492"/>
      <c r="U1004" s="493" t="s">
        <v>369</v>
      </c>
      <c r="V1004" s="471"/>
      <c r="W1004" s="470" t="s">
        <v>310</v>
      </c>
      <c r="X1004" s="471"/>
      <c r="Y1004" s="470" t="s">
        <v>13</v>
      </c>
      <c r="Z1004" s="471"/>
    </row>
    <row r="1005" spans="3:26" ht="16.5" thickTop="1" thickBot="1">
      <c r="C1005" s="15"/>
      <c r="D1005" s="494"/>
      <c r="E1005" s="495"/>
      <c r="G1005" s="496"/>
      <c r="H1005" s="497"/>
      <c r="J1005" s="496"/>
      <c r="K1005" s="497"/>
      <c r="L1005" s="76"/>
      <c r="M1005" s="25"/>
      <c r="N1005" s="292"/>
      <c r="O1005" s="258" t="s">
        <v>321</v>
      </c>
      <c r="P1005" s="315">
        <f>SUM(C1005:C1018)-SUM(F1005:F1018)-SUM(I1005:I1018)</f>
        <v>689.02999999999986</v>
      </c>
      <c r="Q1005" s="12">
        <f>Q1004-Q987</f>
        <v>0</v>
      </c>
      <c r="R1005" s="307" t="s">
        <v>343</v>
      </c>
      <c r="S1005" s="498"/>
      <c r="T1005" s="499"/>
      <c r="U1005" s="498"/>
      <c r="V1005" s="500"/>
      <c r="W1005" s="501" t="s">
        <v>326</v>
      </c>
      <c r="X1005" s="502"/>
      <c r="Y1005" s="143" t="s">
        <v>17</v>
      </c>
      <c r="Z1005" s="12"/>
    </row>
    <row r="1006" spans="3:26" ht="16.5" thickTop="1" thickBot="1">
      <c r="C1006" s="15"/>
      <c r="D1006" s="455" t="s">
        <v>11</v>
      </c>
      <c r="E1006" s="456"/>
      <c r="F1006" s="6">
        <f>F989</f>
        <v>400</v>
      </c>
      <c r="G1006" s="462" t="s">
        <v>223</v>
      </c>
      <c r="H1006" s="464"/>
      <c r="I1006" s="20">
        <f>I989</f>
        <v>11.99</v>
      </c>
      <c r="J1006" s="462" t="s">
        <v>385</v>
      </c>
      <c r="K1006" s="464"/>
      <c r="L1006" s="76">
        <f>L989</f>
        <v>200</v>
      </c>
      <c r="M1006" s="76">
        <f>M989</f>
        <v>150</v>
      </c>
      <c r="N1006" s="76">
        <f>N989</f>
        <v>200</v>
      </c>
      <c r="O1006" s="141" t="s">
        <v>322</v>
      </c>
      <c r="P1006" s="133">
        <f>P1005/29</f>
        <v>23.759655172413787</v>
      </c>
      <c r="Q1006" s="10">
        <f>Q1005/29</f>
        <v>0</v>
      </c>
      <c r="R1006" s="308" t="s">
        <v>382</v>
      </c>
      <c r="S1006" s="474"/>
      <c r="T1006" s="475"/>
      <c r="U1006" s="467"/>
      <c r="V1006" s="468"/>
      <c r="W1006" s="289" t="s">
        <v>12</v>
      </c>
      <c r="X1006" s="315"/>
      <c r="Y1006" s="144" t="s">
        <v>18</v>
      </c>
      <c r="Z1006" s="72"/>
    </row>
    <row r="1007" spans="3:26">
      <c r="C1007" s="15"/>
      <c r="D1007" s="455" t="s">
        <v>390</v>
      </c>
      <c r="E1007" s="456"/>
      <c r="F1007" s="6">
        <f t="shared" ref="F1007:F1015" si="16">F990</f>
        <v>100</v>
      </c>
      <c r="G1007" s="462" t="s">
        <v>9</v>
      </c>
      <c r="H1007" s="464"/>
      <c r="I1007" s="20">
        <f t="shared" ref="I1007:I1012" si="17">I990</f>
        <v>11.99</v>
      </c>
      <c r="J1007" s="462" t="s">
        <v>22</v>
      </c>
      <c r="K1007" s="464"/>
      <c r="L1007" s="76"/>
      <c r="M1007" s="25"/>
      <c r="N1007" s="294"/>
      <c r="O1007" s="136" t="s">
        <v>12</v>
      </c>
      <c r="P1007" s="319">
        <f>P990+P1005-SUM(L1005:L1018)-SUM(M1005:M1018)-SUM(N1005:N1018)</f>
        <v>1681.6099999999947</v>
      </c>
      <c r="Q1007" s="320">
        <f>Z1005+Z1010+Z1013</f>
        <v>0</v>
      </c>
      <c r="R1007" s="308" t="s">
        <v>383</v>
      </c>
      <c r="S1007" s="474"/>
      <c r="T1007" s="475"/>
      <c r="U1007" s="467"/>
      <c r="V1007" s="468"/>
      <c r="W1007" s="282" t="s">
        <v>373</v>
      </c>
      <c r="X1007" s="132"/>
      <c r="Y1007" s="144" t="s">
        <v>19</v>
      </c>
      <c r="Z1007" s="72"/>
    </row>
    <row r="1008" spans="3:26" ht="15.75" thickBot="1">
      <c r="C1008" s="15"/>
      <c r="D1008" s="462"/>
      <c r="E1008" s="463"/>
      <c r="F1008" s="6">
        <f t="shared" si="16"/>
        <v>150</v>
      </c>
      <c r="G1008" s="462" t="s">
        <v>6</v>
      </c>
      <c r="H1008" s="464"/>
      <c r="I1008" s="20">
        <f t="shared" si="17"/>
        <v>20</v>
      </c>
      <c r="J1008" s="462" t="s">
        <v>920</v>
      </c>
      <c r="K1008" s="464"/>
      <c r="L1008" s="76"/>
      <c r="M1008" s="25"/>
      <c r="N1008" s="20"/>
      <c r="O1008" s="140" t="s">
        <v>321</v>
      </c>
      <c r="P1008" s="132">
        <f>SUM(C1005:C1018)-SUM(F1005:F1018)-SUM(I1005:I1018)-P1011-P1014-P1017</f>
        <v>139.02999999999986</v>
      </c>
      <c r="Q1008" s="72">
        <f>Q1007-Q990</f>
        <v>0</v>
      </c>
      <c r="R1008" s="308" t="s">
        <v>424</v>
      </c>
      <c r="S1008" s="474"/>
      <c r="T1008" s="475"/>
      <c r="U1008" s="467"/>
      <c r="V1008" s="468"/>
      <c r="W1008" s="282" t="s">
        <v>378</v>
      </c>
      <c r="X1008" s="132"/>
      <c r="Y1008" s="145" t="s">
        <v>324</v>
      </c>
      <c r="Z1008" s="135"/>
    </row>
    <row r="1009" spans="3:26" ht="15.75" thickBot="1">
      <c r="C1009" s="15"/>
      <c r="D1009" s="455"/>
      <c r="E1009" s="456"/>
      <c r="F1009" s="6">
        <f t="shared" si="16"/>
        <v>370</v>
      </c>
      <c r="G1009" s="462" t="s">
        <v>97</v>
      </c>
      <c r="H1009" s="464"/>
      <c r="I1009" s="20">
        <f t="shared" si="17"/>
        <v>11.9</v>
      </c>
      <c r="J1009" s="462" t="s">
        <v>249</v>
      </c>
      <c r="K1009" s="464"/>
      <c r="L1009" s="76"/>
      <c r="M1009" s="25"/>
      <c r="N1009" s="294"/>
      <c r="O1009" s="141" t="s">
        <v>322</v>
      </c>
      <c r="P1009" s="133">
        <f>P1008/29</f>
        <v>4.7941379310344781</v>
      </c>
      <c r="Q1009" s="10">
        <f>Q1008/29</f>
        <v>0</v>
      </c>
      <c r="R1009" s="143" t="s">
        <v>12</v>
      </c>
      <c r="S1009" s="476"/>
      <c r="T1009" s="477"/>
      <c r="U1009" s="478"/>
      <c r="V1009" s="479"/>
      <c r="W1009" s="289" t="s">
        <v>379</v>
      </c>
      <c r="X1009" s="132"/>
      <c r="Y1009" s="470" t="s">
        <v>14</v>
      </c>
      <c r="Z1009" s="471"/>
    </row>
    <row r="1010" spans="3:26" ht="15.75" thickBot="1">
      <c r="C1010" s="15"/>
      <c r="D1010" s="455"/>
      <c r="E1010" s="456"/>
      <c r="F1010" s="6">
        <f t="shared" si="16"/>
        <v>1860.75</v>
      </c>
      <c r="G1010" s="462" t="s">
        <v>304</v>
      </c>
      <c r="H1010" s="464"/>
      <c r="I1010" s="20">
        <f t="shared" si="17"/>
        <v>400</v>
      </c>
      <c r="J1010" s="462" t="s">
        <v>974</v>
      </c>
      <c r="K1010" s="464"/>
      <c r="L1010" s="76"/>
      <c r="M1010" s="25"/>
      <c r="N1010" s="294"/>
      <c r="O1010" s="136" t="s">
        <v>324</v>
      </c>
      <c r="P1010" s="319">
        <f>P993+P1011</f>
        <v>2135</v>
      </c>
      <c r="Q1010" s="320">
        <f>Z1006+Z1007+Z1008</f>
        <v>0</v>
      </c>
      <c r="R1010" s="144" t="s">
        <v>425</v>
      </c>
      <c r="S1010" s="465"/>
      <c r="T1010" s="466"/>
      <c r="U1010" s="467"/>
      <c r="V1010" s="468"/>
      <c r="W1010" s="146" t="s">
        <v>375</v>
      </c>
      <c r="X1010" s="325"/>
      <c r="Y1010" s="143" t="s">
        <v>15</v>
      </c>
      <c r="Z1010" s="12"/>
    </row>
    <row r="1011" spans="3:26" ht="15.75" thickBot="1">
      <c r="C1011" s="15"/>
      <c r="D1011" s="462"/>
      <c r="E1011" s="463"/>
      <c r="F1011" s="6">
        <f t="shared" si="16"/>
        <v>70</v>
      </c>
      <c r="G1011" s="462" t="s">
        <v>982</v>
      </c>
      <c r="H1011" s="464"/>
      <c r="I1011" s="20">
        <f t="shared" si="17"/>
        <v>100</v>
      </c>
      <c r="J1011" s="462" t="s">
        <v>105</v>
      </c>
      <c r="K1011" s="464"/>
      <c r="L1011" s="76"/>
      <c r="M1011" s="25"/>
      <c r="N1011" s="294"/>
      <c r="O1011" s="140" t="s">
        <v>321</v>
      </c>
      <c r="P1011" s="132">
        <f>SUM(L1005:L1018)</f>
        <v>200</v>
      </c>
      <c r="Q1011" s="72">
        <f>Q1010-Q993</f>
        <v>0</v>
      </c>
      <c r="R1011" s="144" t="s">
        <v>426</v>
      </c>
      <c r="S1011" s="465"/>
      <c r="T1011" s="466"/>
      <c r="U1011" s="467"/>
      <c r="V1011" s="468"/>
      <c r="W1011" s="470" t="s">
        <v>376</v>
      </c>
      <c r="X1011" s="471"/>
      <c r="Y1011" s="146" t="s">
        <v>325</v>
      </c>
      <c r="Z1011" s="10"/>
    </row>
    <row r="1012" spans="3:26" ht="16.5" thickTop="1" thickBot="1">
      <c r="C1012" s="15"/>
      <c r="D1012" s="462"/>
      <c r="E1012" s="463"/>
      <c r="F1012" s="6">
        <f t="shared" si="16"/>
        <v>50</v>
      </c>
      <c r="G1012" s="462" t="s">
        <v>926</v>
      </c>
      <c r="H1012" s="464"/>
      <c r="I1012" s="20">
        <f t="shared" si="17"/>
        <v>200</v>
      </c>
      <c r="J1012" s="462" t="s">
        <v>206</v>
      </c>
      <c r="K1012" s="464"/>
      <c r="L1012" s="76"/>
      <c r="M1012" s="25"/>
      <c r="N1012" s="292"/>
      <c r="O1012" s="141" t="s">
        <v>322</v>
      </c>
      <c r="P1012" s="133">
        <f>P1011/29</f>
        <v>6.8965517241379306</v>
      </c>
      <c r="Q1012" s="10">
        <f>Q1011/29</f>
        <v>0</v>
      </c>
      <c r="R1012" s="144" t="s">
        <v>422</v>
      </c>
      <c r="S1012" s="465"/>
      <c r="T1012" s="466"/>
      <c r="U1012" s="467"/>
      <c r="V1012" s="468"/>
      <c r="W1012" s="289" t="s">
        <v>12</v>
      </c>
      <c r="X1012" s="38"/>
      <c r="Y1012" s="470" t="s">
        <v>374</v>
      </c>
      <c r="Z1012" s="471"/>
    </row>
    <row r="1013" spans="3:26" ht="16.5" thickTop="1" thickBot="1">
      <c r="C1013" s="15"/>
      <c r="D1013" s="462"/>
      <c r="E1013" s="463"/>
      <c r="F1013" s="6">
        <f t="shared" si="16"/>
        <v>150</v>
      </c>
      <c r="G1013" s="462" t="s">
        <v>927</v>
      </c>
      <c r="H1013" s="464"/>
      <c r="I1013" s="20"/>
      <c r="J1013" s="462"/>
      <c r="K1013" s="464"/>
      <c r="L1013" s="76"/>
      <c r="M1013" s="25"/>
      <c r="N1013" s="293"/>
      <c r="O1013" s="136" t="s">
        <v>325</v>
      </c>
      <c r="P1013" s="319">
        <f>P996+P1014</f>
        <v>1608.88</v>
      </c>
      <c r="Q1013" s="320">
        <f>Z1011</f>
        <v>0</v>
      </c>
      <c r="R1013" s="143" t="s">
        <v>421</v>
      </c>
      <c r="S1013" s="465"/>
      <c r="T1013" s="466"/>
      <c r="U1013" s="467"/>
      <c r="V1013" s="468"/>
      <c r="W1013" s="282" t="s">
        <v>373</v>
      </c>
      <c r="X1013" s="281"/>
      <c r="Y1013" s="321" t="s">
        <v>181</v>
      </c>
      <c r="Z1013" s="322">
        <v>0</v>
      </c>
    </row>
    <row r="1014" spans="3:26" ht="15.75" thickBot="1">
      <c r="C1014" s="266"/>
      <c r="D1014" s="448"/>
      <c r="E1014" s="469"/>
      <c r="F1014" s="6">
        <f t="shared" si="16"/>
        <v>150</v>
      </c>
      <c r="G1014" s="462" t="s">
        <v>925</v>
      </c>
      <c r="H1014" s="464"/>
      <c r="I1014" s="20"/>
      <c r="J1014" s="462"/>
      <c r="K1014" s="464"/>
      <c r="L1014" s="76"/>
      <c r="M1014" s="25"/>
      <c r="N1014" s="295"/>
      <c r="O1014" s="140" t="s">
        <v>321</v>
      </c>
      <c r="P1014" s="132">
        <f>SUM(M1005:M1018)</f>
        <v>150</v>
      </c>
      <c r="Q1014" s="72">
        <f>Q1013-Q996</f>
        <v>0</v>
      </c>
      <c r="R1014" s="144" t="s">
        <v>418</v>
      </c>
      <c r="S1014" s="465"/>
      <c r="T1014" s="466"/>
      <c r="U1014" s="467"/>
      <c r="V1014" s="468"/>
      <c r="W1014" s="282" t="s">
        <v>378</v>
      </c>
      <c r="X1014" s="281"/>
      <c r="Y1014" s="470" t="s">
        <v>1000</v>
      </c>
      <c r="Z1014" s="471"/>
    </row>
    <row r="1015" spans="3:26" ht="16.5" thickTop="1" thickBot="1">
      <c r="C1015" s="266"/>
      <c r="D1015" s="448" t="s">
        <v>1001</v>
      </c>
      <c r="E1015" s="469"/>
      <c r="F1015" s="6">
        <f t="shared" si="16"/>
        <v>30</v>
      </c>
      <c r="G1015" s="462" t="s">
        <v>33</v>
      </c>
      <c r="H1015" s="464"/>
      <c r="I1015" s="20"/>
      <c r="J1015" s="462"/>
      <c r="K1015" s="464"/>
      <c r="L1015" s="76"/>
      <c r="M1015" s="25"/>
      <c r="N1015" s="293"/>
      <c r="O1015" s="141" t="s">
        <v>322</v>
      </c>
      <c r="P1015" s="133">
        <f>P1014/29</f>
        <v>5.1724137931034484</v>
      </c>
      <c r="Q1015" s="10">
        <f>Q1014/29</f>
        <v>0</v>
      </c>
      <c r="R1015" s="144" t="s">
        <v>438</v>
      </c>
      <c r="S1015" s="465"/>
      <c r="T1015" s="466"/>
      <c r="U1015" s="472"/>
      <c r="V1015" s="473"/>
      <c r="W1015" s="289" t="s">
        <v>379</v>
      </c>
      <c r="X1015" s="281"/>
      <c r="Y1015" s="143" t="s">
        <v>12</v>
      </c>
      <c r="Z1015" s="12"/>
    </row>
    <row r="1016" spans="3:26" ht="15.75" thickBot="1">
      <c r="C1016" s="15">
        <f>C999</f>
        <v>4775.66</v>
      </c>
      <c r="D1016" s="455" t="s">
        <v>11</v>
      </c>
      <c r="E1016" s="456"/>
      <c r="F1016" s="15"/>
      <c r="G1016" s="462"/>
      <c r="H1016" s="464"/>
      <c r="I1016" s="20"/>
      <c r="J1016" s="462"/>
      <c r="K1016" s="464"/>
      <c r="L1016" s="76"/>
      <c r="M1016" s="25"/>
      <c r="N1016" s="295"/>
      <c r="O1016" s="136" t="s">
        <v>323</v>
      </c>
      <c r="P1016" s="319">
        <f>P999+P1017</f>
        <v>11912.45730445853</v>
      </c>
      <c r="Q1016" s="320">
        <f>S1005+U1005</f>
        <v>0</v>
      </c>
      <c r="R1016" s="144" t="s">
        <v>380</v>
      </c>
      <c r="S1016" s="291">
        <f>S1007-S1008</f>
        <v>0</v>
      </c>
      <c r="T1016" s="327" t="e">
        <f>S1016/S1008</f>
        <v>#DIV/0!</v>
      </c>
      <c r="U1016" s="291">
        <f>U1007-U1008</f>
        <v>0</v>
      </c>
      <c r="V1016" s="329" t="e">
        <f>U1016/U1008</f>
        <v>#DIV/0!</v>
      </c>
      <c r="W1016" s="146" t="s">
        <v>375</v>
      </c>
      <c r="X1016" s="326"/>
      <c r="Y1016" s="144" t="s">
        <v>373</v>
      </c>
      <c r="Z1016" s="72"/>
    </row>
    <row r="1017" spans="3:26">
      <c r="C1017" s="15"/>
      <c r="D1017" s="455" t="s">
        <v>390</v>
      </c>
      <c r="E1017" s="456"/>
      <c r="F1017" s="15"/>
      <c r="G1017" s="457" t="s">
        <v>38</v>
      </c>
      <c r="H1017" s="458"/>
      <c r="I1017" s="20"/>
      <c r="J1017" s="457" t="s">
        <v>38</v>
      </c>
      <c r="K1017" s="458"/>
      <c r="L1017" s="76"/>
      <c r="M1017" s="25"/>
      <c r="N1017" s="293"/>
      <c r="O1017" s="140" t="s">
        <v>321</v>
      </c>
      <c r="P1017" s="132">
        <f>SUM(N1005:N1018)</f>
        <v>200</v>
      </c>
      <c r="Q1017" s="72">
        <f>Q1016-Q999</f>
        <v>0</v>
      </c>
      <c r="R1017" s="144" t="s">
        <v>381</v>
      </c>
      <c r="S1017" s="291">
        <f>S1005-S1010</f>
        <v>0</v>
      </c>
      <c r="T1017" s="327" t="e">
        <f>S1017/S1010</f>
        <v>#DIV/0!</v>
      </c>
      <c r="U1017" s="291">
        <f>U1005-U1010</f>
        <v>0</v>
      </c>
      <c r="V1017" s="366" t="e">
        <f>U1017/ABS(U1010)</f>
        <v>#DIV/0!</v>
      </c>
      <c r="W1017" s="337" t="s">
        <v>410</v>
      </c>
      <c r="X1017" s="1" t="s">
        <v>558</v>
      </c>
      <c r="Y1017" s="144" t="s">
        <v>379</v>
      </c>
      <c r="Z1017" s="72"/>
    </row>
    <row r="1018" spans="3:26" ht="15.75" thickBot="1">
      <c r="C1018" s="17"/>
      <c r="D1018" s="459"/>
      <c r="E1018" s="460"/>
      <c r="F1018" s="17"/>
      <c r="G1018" s="459"/>
      <c r="H1018" s="461"/>
      <c r="I1018" s="21"/>
      <c r="J1018" s="459"/>
      <c r="K1018" s="461"/>
      <c r="L1018" s="42"/>
      <c r="M1018" s="5"/>
      <c r="N1018" s="21"/>
      <c r="O1018" s="137" t="s">
        <v>322</v>
      </c>
      <c r="P1018" s="138">
        <f>P1017/29</f>
        <v>6.8965517241379306</v>
      </c>
      <c r="Q1018" s="24">
        <f>Q1017/29</f>
        <v>0</v>
      </c>
      <c r="R1018" s="153" t="s">
        <v>410</v>
      </c>
      <c r="S1018" s="296">
        <f>S1016+S1017</f>
        <v>0</v>
      </c>
      <c r="T1018" s="328" t="e">
        <f>S1018/S1006</f>
        <v>#DIV/0!</v>
      </c>
      <c r="U1018" s="296">
        <f>U1017+U1016</f>
        <v>0</v>
      </c>
      <c r="V1018" s="330" t="e">
        <f>U1018/U1006</f>
        <v>#DIV/0!</v>
      </c>
      <c r="W1018" s="296">
        <f>S1018+U1018</f>
        <v>0</v>
      </c>
      <c r="X1018" s="330" t="e">
        <f>(W1018+S1006+U1006)/(S1006+U1006)-1</f>
        <v>#DIV/0!</v>
      </c>
      <c r="Y1018" s="153" t="s">
        <v>375</v>
      </c>
      <c r="Z1018" s="389"/>
    </row>
    <row r="1019" spans="3:26" ht="17.25" thickTop="1" thickBot="1">
      <c r="C1019" s="264">
        <v>46388</v>
      </c>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3:26" ht="17.25" thickTop="1" thickBot="1">
      <c r="C1020" s="480" t="s">
        <v>386</v>
      </c>
      <c r="D1020" s="481"/>
      <c r="E1020" s="482"/>
      <c r="F1020" s="483" t="s">
        <v>387</v>
      </c>
      <c r="G1020" s="484"/>
      <c r="H1020" s="484"/>
      <c r="I1020" s="484"/>
      <c r="J1020" s="484"/>
      <c r="K1020" s="484"/>
      <c r="L1020" s="484"/>
      <c r="M1020" s="484"/>
      <c r="N1020" s="485"/>
      <c r="O1020" s="261" t="s">
        <v>320</v>
      </c>
      <c r="P1020" s="262" t="s">
        <v>257</v>
      </c>
      <c r="Q1020" s="263" t="s">
        <v>319</v>
      </c>
      <c r="R1020" s="486" t="s">
        <v>144</v>
      </c>
      <c r="S1020" s="487"/>
      <c r="T1020" s="487"/>
      <c r="U1020" s="487"/>
      <c r="V1020" s="487"/>
      <c r="W1020" s="487"/>
      <c r="X1020" s="487"/>
      <c r="Y1020" s="487"/>
      <c r="Z1020" s="488"/>
    </row>
    <row r="1021" spans="3:26" ht="15.75" thickBot="1">
      <c r="C1021" s="265"/>
      <c r="D1021" s="489"/>
      <c r="E1021" s="490"/>
      <c r="F1021" s="470" t="s">
        <v>3</v>
      </c>
      <c r="G1021" s="491"/>
      <c r="H1021" s="492"/>
      <c r="I1021" s="493" t="s">
        <v>4</v>
      </c>
      <c r="J1021" s="491"/>
      <c r="K1021" s="492"/>
      <c r="L1021" s="267" t="s">
        <v>324</v>
      </c>
      <c r="M1021" s="267" t="s">
        <v>325</v>
      </c>
      <c r="N1021" s="267" t="s">
        <v>323</v>
      </c>
      <c r="O1021" s="316" t="s">
        <v>5</v>
      </c>
      <c r="P1021" s="317">
        <f>P1024+P1027+P1030+P1033</f>
        <v>18026.977304458524</v>
      </c>
      <c r="Q1021" s="318">
        <f>Q1030+Q1027+Q1024+Q1033</f>
        <v>0</v>
      </c>
      <c r="R1021" s="268" t="s">
        <v>323</v>
      </c>
      <c r="S1021" s="493" t="s">
        <v>317</v>
      </c>
      <c r="T1021" s="492"/>
      <c r="U1021" s="493" t="s">
        <v>369</v>
      </c>
      <c r="V1021" s="471"/>
      <c r="W1021" s="470" t="s">
        <v>310</v>
      </c>
      <c r="X1021" s="471"/>
      <c r="Y1021" s="470" t="s">
        <v>13</v>
      </c>
      <c r="Z1021" s="471"/>
    </row>
    <row r="1022" spans="3:26" ht="16.5" thickTop="1" thickBot="1">
      <c r="C1022" s="15"/>
      <c r="D1022" s="494"/>
      <c r="E1022" s="495"/>
      <c r="G1022" s="496"/>
      <c r="H1022" s="497"/>
      <c r="J1022" s="496"/>
      <c r="K1022" s="497"/>
      <c r="L1022" s="76"/>
      <c r="M1022" s="25"/>
      <c r="N1022" s="292"/>
      <c r="O1022" s="258" t="s">
        <v>321</v>
      </c>
      <c r="P1022" s="315">
        <f>SUM(C1022:C1035)-SUM(F1022:F1035)-SUM(I1022:I1035)</f>
        <v>689.02999999999986</v>
      </c>
      <c r="Q1022" s="12">
        <f>Q1021-Q1004</f>
        <v>0</v>
      </c>
      <c r="R1022" s="307" t="s">
        <v>343</v>
      </c>
      <c r="S1022" s="498"/>
      <c r="T1022" s="499"/>
      <c r="U1022" s="498"/>
      <c r="V1022" s="500"/>
      <c r="W1022" s="501" t="s">
        <v>326</v>
      </c>
      <c r="X1022" s="502"/>
      <c r="Y1022" s="143" t="s">
        <v>17</v>
      </c>
      <c r="Z1022" s="12"/>
    </row>
    <row r="1023" spans="3:26" ht="16.5" thickTop="1" thickBot="1">
      <c r="C1023" s="15"/>
      <c r="D1023" s="455" t="s">
        <v>11</v>
      </c>
      <c r="E1023" s="456"/>
      <c r="F1023" s="6">
        <f>F1006</f>
        <v>400</v>
      </c>
      <c r="G1023" s="462" t="s">
        <v>223</v>
      </c>
      <c r="H1023" s="464"/>
      <c r="I1023" s="20">
        <f>I1006</f>
        <v>11.99</v>
      </c>
      <c r="J1023" s="462" t="s">
        <v>385</v>
      </c>
      <c r="K1023" s="464"/>
      <c r="L1023" s="76">
        <f>L1006</f>
        <v>200</v>
      </c>
      <c r="M1023" s="76">
        <f>M1006</f>
        <v>150</v>
      </c>
      <c r="N1023" s="76">
        <f>N1006</f>
        <v>200</v>
      </c>
      <c r="O1023" s="141" t="s">
        <v>322</v>
      </c>
      <c r="P1023" s="133">
        <f>P1022/29</f>
        <v>23.759655172413787</v>
      </c>
      <c r="Q1023" s="10">
        <f>Q1022/29</f>
        <v>0</v>
      </c>
      <c r="R1023" s="308" t="s">
        <v>382</v>
      </c>
      <c r="S1023" s="474"/>
      <c r="T1023" s="475"/>
      <c r="U1023" s="467"/>
      <c r="V1023" s="468"/>
      <c r="W1023" s="289" t="s">
        <v>12</v>
      </c>
      <c r="X1023" s="315"/>
      <c r="Y1023" s="144" t="s">
        <v>18</v>
      </c>
      <c r="Z1023" s="72"/>
    </row>
    <row r="1024" spans="3:26">
      <c r="C1024" s="15"/>
      <c r="D1024" s="455" t="s">
        <v>390</v>
      </c>
      <c r="E1024" s="456"/>
      <c r="F1024" s="6">
        <f t="shared" ref="F1024:F1032" si="18">F1007</f>
        <v>100</v>
      </c>
      <c r="G1024" s="462" t="s">
        <v>9</v>
      </c>
      <c r="H1024" s="464"/>
      <c r="I1024" s="20">
        <f>I1007</f>
        <v>11.99</v>
      </c>
      <c r="J1024" s="462" t="s">
        <v>22</v>
      </c>
      <c r="K1024" s="464"/>
      <c r="L1024" s="76"/>
      <c r="M1024" s="25"/>
      <c r="N1024" s="294"/>
      <c r="O1024" s="136" t="s">
        <v>12</v>
      </c>
      <c r="P1024" s="319">
        <f>P1007+P1022-SUM(L1022:L1035)-SUM(M1022:M1035)-SUM(N1022:N1035)</f>
        <v>1820.6399999999944</v>
      </c>
      <c r="Q1024" s="320">
        <f>Z1022+Z1027+Z1030</f>
        <v>0</v>
      </c>
      <c r="R1024" s="308" t="s">
        <v>383</v>
      </c>
      <c r="S1024" s="474"/>
      <c r="T1024" s="475"/>
      <c r="U1024" s="467"/>
      <c r="V1024" s="468"/>
      <c r="W1024" s="282" t="s">
        <v>373</v>
      </c>
      <c r="X1024" s="132"/>
      <c r="Y1024" s="144" t="s">
        <v>19</v>
      </c>
      <c r="Z1024" s="72"/>
    </row>
    <row r="1025" spans="3:26" ht="15.75" thickBot="1">
      <c r="C1025" s="15"/>
      <c r="D1025" s="462"/>
      <c r="E1025" s="463"/>
      <c r="F1025" s="6">
        <f t="shared" si="18"/>
        <v>150</v>
      </c>
      <c r="G1025" s="462" t="s">
        <v>6</v>
      </c>
      <c r="H1025" s="464"/>
      <c r="I1025" s="20">
        <f>I1008</f>
        <v>20</v>
      </c>
      <c r="J1025" s="462" t="s">
        <v>920</v>
      </c>
      <c r="K1025" s="464"/>
      <c r="L1025" s="76"/>
      <c r="M1025" s="25"/>
      <c r="N1025" s="20"/>
      <c r="O1025" s="140" t="s">
        <v>321</v>
      </c>
      <c r="P1025" s="132">
        <f>SUM(C1022:C1035)-SUM(F1022:F1035)-SUM(I1022:I1035)-P1028-P1031-P1034</f>
        <v>139.02999999999986</v>
      </c>
      <c r="Q1025" s="72">
        <f>Q1024-Q1007</f>
        <v>0</v>
      </c>
      <c r="R1025" s="308" t="s">
        <v>424</v>
      </c>
      <c r="S1025" s="474"/>
      <c r="T1025" s="475"/>
      <c r="U1025" s="467"/>
      <c r="V1025" s="468"/>
      <c r="W1025" s="282" t="s">
        <v>378</v>
      </c>
      <c r="X1025" s="132"/>
      <c r="Y1025" s="145" t="s">
        <v>324</v>
      </c>
      <c r="Z1025" s="135"/>
    </row>
    <row r="1026" spans="3:26" ht="15.75" thickBot="1">
      <c r="C1026" s="15"/>
      <c r="D1026" s="455"/>
      <c r="E1026" s="456"/>
      <c r="F1026" s="6">
        <f t="shared" si="18"/>
        <v>370</v>
      </c>
      <c r="G1026" s="462" t="s">
        <v>97</v>
      </c>
      <c r="H1026" s="464"/>
      <c r="I1026" s="20">
        <f>I1009</f>
        <v>11.9</v>
      </c>
      <c r="J1026" s="462" t="s">
        <v>249</v>
      </c>
      <c r="K1026" s="464"/>
      <c r="L1026" s="76"/>
      <c r="M1026" s="25"/>
      <c r="N1026" s="294"/>
      <c r="O1026" s="141" t="s">
        <v>322</v>
      </c>
      <c r="P1026" s="133">
        <f>P1025/29</f>
        <v>4.7941379310344781</v>
      </c>
      <c r="Q1026" s="10">
        <f>Q1025/29</f>
        <v>0</v>
      </c>
      <c r="R1026" s="143" t="s">
        <v>12</v>
      </c>
      <c r="S1026" s="476"/>
      <c r="T1026" s="477"/>
      <c r="U1026" s="478"/>
      <c r="V1026" s="479"/>
      <c r="W1026" s="289" t="s">
        <v>379</v>
      </c>
      <c r="X1026" s="132"/>
      <c r="Y1026" s="470" t="s">
        <v>14</v>
      </c>
      <c r="Z1026" s="471"/>
    </row>
    <row r="1027" spans="3:26" ht="15.75" thickBot="1">
      <c r="C1027" s="15"/>
      <c r="D1027" s="455"/>
      <c r="E1027" s="456"/>
      <c r="F1027" s="6">
        <f t="shared" si="18"/>
        <v>1860.75</v>
      </c>
      <c r="G1027" s="462" t="s">
        <v>304</v>
      </c>
      <c r="H1027" s="464"/>
      <c r="I1027" s="63">
        <v>150</v>
      </c>
      <c r="J1027" s="462" t="s">
        <v>974</v>
      </c>
      <c r="K1027" s="464"/>
      <c r="L1027" s="76"/>
      <c r="M1027" s="25"/>
      <c r="N1027" s="294"/>
      <c r="O1027" s="136" t="s">
        <v>324</v>
      </c>
      <c r="P1027" s="319">
        <f>P1010+P1028</f>
        <v>2335</v>
      </c>
      <c r="Q1027" s="320">
        <f>Z1023+Z1024+Z1025</f>
        <v>0</v>
      </c>
      <c r="R1027" s="144" t="s">
        <v>425</v>
      </c>
      <c r="S1027" s="465"/>
      <c r="T1027" s="466"/>
      <c r="U1027" s="467"/>
      <c r="V1027" s="468"/>
      <c r="W1027" s="146" t="s">
        <v>375</v>
      </c>
      <c r="X1027" s="325"/>
      <c r="Y1027" s="143" t="s">
        <v>15</v>
      </c>
      <c r="Z1027" s="12"/>
    </row>
    <row r="1028" spans="3:26" ht="15.75" thickBot="1">
      <c r="C1028" s="15"/>
      <c r="D1028" s="462"/>
      <c r="E1028" s="463"/>
      <c r="F1028" s="6">
        <f t="shared" si="18"/>
        <v>70</v>
      </c>
      <c r="G1028" s="462" t="s">
        <v>982</v>
      </c>
      <c r="H1028" s="464"/>
      <c r="I1028" s="20">
        <v>150</v>
      </c>
      <c r="J1028" s="462" t="s">
        <v>105</v>
      </c>
      <c r="K1028" s="464"/>
      <c r="L1028" s="76"/>
      <c r="M1028" s="25"/>
      <c r="N1028" s="294"/>
      <c r="O1028" s="140" t="s">
        <v>321</v>
      </c>
      <c r="P1028" s="132">
        <f>SUM(L1022:L1035)</f>
        <v>200</v>
      </c>
      <c r="Q1028" s="72">
        <f>Q1027-Q1010</f>
        <v>0</v>
      </c>
      <c r="R1028" s="144" t="s">
        <v>426</v>
      </c>
      <c r="S1028" s="465"/>
      <c r="T1028" s="466"/>
      <c r="U1028" s="467"/>
      <c r="V1028" s="468"/>
      <c r="W1028" s="470" t="s">
        <v>376</v>
      </c>
      <c r="X1028" s="471"/>
      <c r="Y1028" s="146" t="s">
        <v>325</v>
      </c>
      <c r="Z1028" s="10"/>
    </row>
    <row r="1029" spans="3:26" ht="16.5" thickTop="1" thickBot="1">
      <c r="C1029" s="15"/>
      <c r="D1029" s="462"/>
      <c r="E1029" s="463"/>
      <c r="F1029" s="6">
        <f t="shared" si="18"/>
        <v>50</v>
      </c>
      <c r="G1029" s="462" t="s">
        <v>926</v>
      </c>
      <c r="H1029" s="464"/>
      <c r="I1029" s="20">
        <v>400</v>
      </c>
      <c r="J1029" s="462" t="s">
        <v>206</v>
      </c>
      <c r="K1029" s="464"/>
      <c r="L1029" s="76"/>
      <c r="M1029" s="25"/>
      <c r="N1029" s="292"/>
      <c r="O1029" s="141" t="s">
        <v>322</v>
      </c>
      <c r="P1029" s="133">
        <f>P1028/29</f>
        <v>6.8965517241379306</v>
      </c>
      <c r="Q1029" s="10">
        <f>Q1028/29</f>
        <v>0</v>
      </c>
      <c r="R1029" s="144" t="s">
        <v>422</v>
      </c>
      <c r="S1029" s="465"/>
      <c r="T1029" s="466"/>
      <c r="U1029" s="467"/>
      <c r="V1029" s="468"/>
      <c r="W1029" s="289" t="s">
        <v>12</v>
      </c>
      <c r="X1029" s="38"/>
      <c r="Y1029" s="470" t="s">
        <v>374</v>
      </c>
      <c r="Z1029" s="471"/>
    </row>
    <row r="1030" spans="3:26" ht="16.5" thickTop="1" thickBot="1">
      <c r="C1030" s="15"/>
      <c r="D1030" s="462"/>
      <c r="E1030" s="463"/>
      <c r="F1030" s="6">
        <f t="shared" si="18"/>
        <v>150</v>
      </c>
      <c r="G1030" s="462" t="s">
        <v>927</v>
      </c>
      <c r="H1030" s="464"/>
      <c r="I1030" s="20"/>
      <c r="J1030" s="462"/>
      <c r="K1030" s="464"/>
      <c r="L1030" s="76"/>
      <c r="M1030" s="25"/>
      <c r="N1030" s="293"/>
      <c r="O1030" s="136" t="s">
        <v>325</v>
      </c>
      <c r="P1030" s="319">
        <f>P1013+P1031</f>
        <v>1758.88</v>
      </c>
      <c r="Q1030" s="320">
        <f>Z1028</f>
        <v>0</v>
      </c>
      <c r="R1030" s="143" t="s">
        <v>421</v>
      </c>
      <c r="S1030" s="465"/>
      <c r="T1030" s="466"/>
      <c r="U1030" s="467"/>
      <c r="V1030" s="468"/>
      <c r="W1030" s="282" t="s">
        <v>373</v>
      </c>
      <c r="X1030" s="281"/>
      <c r="Y1030" s="321" t="s">
        <v>181</v>
      </c>
      <c r="Z1030" s="322">
        <v>0</v>
      </c>
    </row>
    <row r="1031" spans="3:26" ht="15.75" thickBot="1">
      <c r="C1031" s="266"/>
      <c r="D1031" s="448"/>
      <c r="E1031" s="469"/>
      <c r="F1031" s="6">
        <f t="shared" si="18"/>
        <v>150</v>
      </c>
      <c r="G1031" s="462" t="s">
        <v>925</v>
      </c>
      <c r="H1031" s="464"/>
      <c r="I1031" s="20"/>
      <c r="J1031" s="462"/>
      <c r="K1031" s="464"/>
      <c r="L1031" s="76"/>
      <c r="M1031" s="25"/>
      <c r="N1031" s="295"/>
      <c r="O1031" s="140" t="s">
        <v>321</v>
      </c>
      <c r="P1031" s="132">
        <f>SUM(M1022:M1035)</f>
        <v>150</v>
      </c>
      <c r="Q1031" s="72">
        <f>Q1030-Q1013</f>
        <v>0</v>
      </c>
      <c r="R1031" s="144" t="s">
        <v>418</v>
      </c>
      <c r="S1031" s="465"/>
      <c r="T1031" s="466"/>
      <c r="U1031" s="467"/>
      <c r="V1031" s="468"/>
      <c r="W1031" s="282" t="s">
        <v>378</v>
      </c>
      <c r="X1031" s="281"/>
      <c r="Y1031" s="470" t="s">
        <v>1000</v>
      </c>
      <c r="Z1031" s="471"/>
    </row>
    <row r="1032" spans="3:26" ht="16.5" thickTop="1" thickBot="1">
      <c r="C1032" s="266"/>
      <c r="D1032" s="448" t="s">
        <v>1001</v>
      </c>
      <c r="E1032" s="469"/>
      <c r="F1032" s="6">
        <f t="shared" si="18"/>
        <v>30</v>
      </c>
      <c r="G1032" s="462" t="s">
        <v>33</v>
      </c>
      <c r="H1032" s="464"/>
      <c r="I1032" s="20"/>
      <c r="J1032" s="462"/>
      <c r="K1032" s="464"/>
      <c r="L1032" s="76"/>
      <c r="M1032" s="25"/>
      <c r="N1032" s="293"/>
      <c r="O1032" s="141" t="s">
        <v>322</v>
      </c>
      <c r="P1032" s="133">
        <f>P1031/29</f>
        <v>5.1724137931034484</v>
      </c>
      <c r="Q1032" s="10">
        <f>Q1031/29</f>
        <v>0</v>
      </c>
      <c r="R1032" s="144" t="s">
        <v>438</v>
      </c>
      <c r="S1032" s="465"/>
      <c r="T1032" s="466"/>
      <c r="U1032" s="472"/>
      <c r="V1032" s="473"/>
      <c r="W1032" s="289" t="s">
        <v>379</v>
      </c>
      <c r="X1032" s="281"/>
      <c r="Y1032" s="143" t="s">
        <v>12</v>
      </c>
      <c r="Z1032" s="12"/>
    </row>
    <row r="1033" spans="3:26" ht="15.75" thickBot="1">
      <c r="C1033" s="15">
        <f>C1016</f>
        <v>4775.66</v>
      </c>
      <c r="D1033" s="455" t="s">
        <v>11</v>
      </c>
      <c r="E1033" s="456"/>
      <c r="F1033" s="15"/>
      <c r="G1033" s="462"/>
      <c r="H1033" s="464"/>
      <c r="I1033" s="20"/>
      <c r="J1033" s="462"/>
      <c r="K1033" s="464"/>
      <c r="L1033" s="76"/>
      <c r="M1033" s="25"/>
      <c r="N1033" s="295"/>
      <c r="O1033" s="136" t="s">
        <v>323</v>
      </c>
      <c r="P1033" s="319">
        <f>P1016+P1034</f>
        <v>12112.45730445853</v>
      </c>
      <c r="Q1033" s="320">
        <f>S1022+U1022</f>
        <v>0</v>
      </c>
      <c r="R1033" s="144" t="s">
        <v>380</v>
      </c>
      <c r="S1033" s="291">
        <f>S1024-S1025</f>
        <v>0</v>
      </c>
      <c r="T1033" s="327" t="e">
        <f>S1033/S1025</f>
        <v>#DIV/0!</v>
      </c>
      <c r="U1033" s="291">
        <f>U1024-U1025</f>
        <v>0</v>
      </c>
      <c r="V1033" s="329" t="e">
        <f>U1033/U1025</f>
        <v>#DIV/0!</v>
      </c>
      <c r="W1033" s="146" t="s">
        <v>375</v>
      </c>
      <c r="X1033" s="326"/>
      <c r="Y1033" s="144" t="s">
        <v>373</v>
      </c>
      <c r="Z1033" s="72"/>
    </row>
    <row r="1034" spans="3:26">
      <c r="C1034" s="15"/>
      <c r="D1034" s="455" t="s">
        <v>390</v>
      </c>
      <c r="E1034" s="456"/>
      <c r="F1034" s="15"/>
      <c r="G1034" s="457" t="s">
        <v>38</v>
      </c>
      <c r="H1034" s="458"/>
      <c r="I1034" s="20"/>
      <c r="J1034" s="457" t="s">
        <v>38</v>
      </c>
      <c r="K1034" s="458"/>
      <c r="L1034" s="76"/>
      <c r="M1034" s="25"/>
      <c r="N1034" s="293"/>
      <c r="O1034" s="140" t="s">
        <v>321</v>
      </c>
      <c r="P1034" s="132">
        <f>SUM(N1022:N1035)</f>
        <v>200</v>
      </c>
      <c r="Q1034" s="72">
        <f>Q1033-Q1016</f>
        <v>0</v>
      </c>
      <c r="R1034" s="144" t="s">
        <v>381</v>
      </c>
      <c r="S1034" s="291">
        <f>S1022-S1027</f>
        <v>0</v>
      </c>
      <c r="T1034" s="327" t="e">
        <f>S1034/S1027</f>
        <v>#DIV/0!</v>
      </c>
      <c r="U1034" s="291">
        <f>U1022-U1027</f>
        <v>0</v>
      </c>
      <c r="V1034" s="366" t="e">
        <f>U1034/ABS(U1027)</f>
        <v>#DIV/0!</v>
      </c>
      <c r="W1034" s="337" t="s">
        <v>410</v>
      </c>
      <c r="X1034" s="1" t="s">
        <v>558</v>
      </c>
      <c r="Y1034" s="144" t="s">
        <v>379</v>
      </c>
      <c r="Z1034" s="72"/>
    </row>
    <row r="1035" spans="3:26" ht="15.75" thickBot="1">
      <c r="C1035" s="17"/>
      <c r="D1035" s="459"/>
      <c r="E1035" s="460"/>
      <c r="F1035" s="17"/>
      <c r="G1035" s="459"/>
      <c r="H1035" s="461"/>
      <c r="I1035" s="21"/>
      <c r="J1035" s="459"/>
      <c r="K1035" s="461"/>
      <c r="L1035" s="42"/>
      <c r="M1035" s="5"/>
      <c r="N1035" s="21"/>
      <c r="O1035" s="137" t="s">
        <v>322</v>
      </c>
      <c r="P1035" s="138">
        <f>P1034/29</f>
        <v>6.8965517241379306</v>
      </c>
      <c r="Q1035" s="24">
        <f>Q1034/29</f>
        <v>0</v>
      </c>
      <c r="R1035" s="153" t="s">
        <v>410</v>
      </c>
      <c r="S1035" s="296">
        <f>S1033+S1034</f>
        <v>0</v>
      </c>
      <c r="T1035" s="328" t="e">
        <f>S1035/S1023</f>
        <v>#DIV/0!</v>
      </c>
      <c r="U1035" s="296">
        <f>U1034+U1033</f>
        <v>0</v>
      </c>
      <c r="V1035" s="330" t="e">
        <f>U1035/U1023</f>
        <v>#DIV/0!</v>
      </c>
      <c r="W1035" s="296">
        <f>S1035+U1035</f>
        <v>0</v>
      </c>
      <c r="X1035" s="330" t="e">
        <f>(W1035+S1023+U1023)/(S1023+U1023)-1</f>
        <v>#DIV/0!</v>
      </c>
      <c r="Y1035" s="153" t="s">
        <v>375</v>
      </c>
      <c r="Z1035" s="389"/>
    </row>
    <row r="1036" spans="3:26" ht="17.25" thickTop="1" thickBot="1">
      <c r="C1036" s="264">
        <v>46419</v>
      </c>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3:26" ht="17.25" thickTop="1" thickBot="1">
      <c r="C1037" s="480" t="s">
        <v>386</v>
      </c>
      <c r="D1037" s="481"/>
      <c r="E1037" s="482"/>
      <c r="F1037" s="483" t="s">
        <v>387</v>
      </c>
      <c r="G1037" s="484"/>
      <c r="H1037" s="484"/>
      <c r="I1037" s="484"/>
      <c r="J1037" s="484"/>
      <c r="K1037" s="484"/>
      <c r="L1037" s="484"/>
      <c r="M1037" s="484"/>
      <c r="N1037" s="485"/>
      <c r="O1037" s="261" t="s">
        <v>320</v>
      </c>
      <c r="P1037" s="262" t="s">
        <v>257</v>
      </c>
      <c r="Q1037" s="263" t="s">
        <v>319</v>
      </c>
      <c r="R1037" s="486" t="s">
        <v>144</v>
      </c>
      <c r="S1037" s="487"/>
      <c r="T1037" s="487"/>
      <c r="U1037" s="487"/>
      <c r="V1037" s="487"/>
      <c r="W1037" s="487"/>
      <c r="X1037" s="487"/>
      <c r="Y1037" s="487"/>
      <c r="Z1037" s="488"/>
    </row>
    <row r="1038" spans="3:26" ht="15.75" thickBot="1">
      <c r="C1038" s="265"/>
      <c r="D1038" s="489"/>
      <c r="E1038" s="490"/>
      <c r="F1038" s="470" t="s">
        <v>3</v>
      </c>
      <c r="G1038" s="491"/>
      <c r="H1038" s="492"/>
      <c r="I1038" s="493" t="s">
        <v>4</v>
      </c>
      <c r="J1038" s="491"/>
      <c r="K1038" s="492"/>
      <c r="L1038" s="267" t="s">
        <v>324</v>
      </c>
      <c r="M1038" s="267" t="s">
        <v>325</v>
      </c>
      <c r="N1038" s="267" t="s">
        <v>323</v>
      </c>
      <c r="O1038" s="316" t="s">
        <v>5</v>
      </c>
      <c r="P1038" s="317">
        <f>P1041+P1044+P1047+P1050</f>
        <v>18716.007304458526</v>
      </c>
      <c r="Q1038" s="318">
        <f>Q1047+Q1044+Q1041+Q1050</f>
        <v>0</v>
      </c>
      <c r="R1038" s="268" t="s">
        <v>323</v>
      </c>
      <c r="S1038" s="493" t="s">
        <v>317</v>
      </c>
      <c r="T1038" s="492"/>
      <c r="U1038" s="493" t="s">
        <v>369</v>
      </c>
      <c r="V1038" s="471"/>
      <c r="W1038" s="470" t="s">
        <v>310</v>
      </c>
      <c r="X1038" s="471"/>
      <c r="Y1038" s="470" t="s">
        <v>13</v>
      </c>
      <c r="Z1038" s="471"/>
    </row>
    <row r="1039" spans="3:26" ht="16.5" thickTop="1" thickBot="1">
      <c r="C1039" s="15"/>
      <c r="D1039" s="494"/>
      <c r="E1039" s="495"/>
      <c r="G1039" s="496"/>
      <c r="H1039" s="497"/>
      <c r="J1039" s="496"/>
      <c r="K1039" s="497"/>
      <c r="L1039" s="76"/>
      <c r="M1039" s="25"/>
      <c r="N1039" s="292"/>
      <c r="O1039" s="258" t="s">
        <v>321</v>
      </c>
      <c r="P1039" s="315">
        <f>SUM(C1039:C1052)-SUM(F1039:F1052)-SUM(I1039:I1052)</f>
        <v>689.02999999999986</v>
      </c>
      <c r="Q1039" s="12">
        <f>Q1038-Q1021</f>
        <v>0</v>
      </c>
      <c r="R1039" s="307" t="s">
        <v>343</v>
      </c>
      <c r="S1039" s="498"/>
      <c r="T1039" s="499"/>
      <c r="U1039" s="498"/>
      <c r="V1039" s="500"/>
      <c r="W1039" s="501" t="s">
        <v>326</v>
      </c>
      <c r="X1039" s="502"/>
      <c r="Y1039" s="143" t="s">
        <v>17</v>
      </c>
      <c r="Z1039" s="12"/>
    </row>
    <row r="1040" spans="3:26" ht="16.5" thickTop="1" thickBot="1">
      <c r="C1040" s="15"/>
      <c r="D1040" s="455" t="s">
        <v>11</v>
      </c>
      <c r="E1040" s="456"/>
      <c r="F1040" s="6">
        <f>F1023</f>
        <v>400</v>
      </c>
      <c r="G1040" s="462" t="s">
        <v>223</v>
      </c>
      <c r="H1040" s="464"/>
      <c r="I1040" s="20">
        <f>I1023</f>
        <v>11.99</v>
      </c>
      <c r="J1040" s="462" t="s">
        <v>385</v>
      </c>
      <c r="K1040" s="464"/>
      <c r="L1040" s="76">
        <f>L1023</f>
        <v>200</v>
      </c>
      <c r="M1040" s="76">
        <f>M1023</f>
        <v>150</v>
      </c>
      <c r="N1040" s="76">
        <f>N1023</f>
        <v>200</v>
      </c>
      <c r="O1040" s="141" t="s">
        <v>322</v>
      </c>
      <c r="P1040" s="133">
        <f>P1039/29</f>
        <v>23.759655172413787</v>
      </c>
      <c r="Q1040" s="10">
        <f>Q1039/29</f>
        <v>0</v>
      </c>
      <c r="R1040" s="308" t="s">
        <v>382</v>
      </c>
      <c r="S1040" s="474"/>
      <c r="T1040" s="475"/>
      <c r="U1040" s="467"/>
      <c r="V1040" s="468"/>
      <c r="W1040" s="289" t="s">
        <v>12</v>
      </c>
      <c r="X1040" s="315"/>
      <c r="Y1040" s="144" t="s">
        <v>18</v>
      </c>
      <c r="Z1040" s="72"/>
    </row>
    <row r="1041" spans="3:26">
      <c r="C1041" s="15"/>
      <c r="D1041" s="455" t="s">
        <v>390</v>
      </c>
      <c r="E1041" s="456"/>
      <c r="F1041" s="6">
        <f t="shared" ref="F1041:F1049" si="19">F1024</f>
        <v>100</v>
      </c>
      <c r="G1041" s="462" t="s">
        <v>9</v>
      </c>
      <c r="H1041" s="464"/>
      <c r="I1041" s="20">
        <f>I1024</f>
        <v>11.99</v>
      </c>
      <c r="J1041" s="462" t="s">
        <v>22</v>
      </c>
      <c r="K1041" s="464"/>
      <c r="L1041" s="76"/>
      <c r="M1041" s="25"/>
      <c r="N1041" s="294"/>
      <c r="O1041" s="136" t="s">
        <v>12</v>
      </c>
      <c r="P1041" s="319">
        <f>P1024+P1039-SUM(L1039:L1052)-SUM(M1039:M1052)-SUM(N1039:N1052)</f>
        <v>1959.6699999999942</v>
      </c>
      <c r="Q1041" s="320">
        <f>Z1039+Z1044+Z1047</f>
        <v>0</v>
      </c>
      <c r="R1041" s="308" t="s">
        <v>383</v>
      </c>
      <c r="S1041" s="474"/>
      <c r="T1041" s="475"/>
      <c r="U1041" s="467"/>
      <c r="V1041" s="468"/>
      <c r="W1041" s="282" t="s">
        <v>373</v>
      </c>
      <c r="X1041" s="132"/>
      <c r="Y1041" s="144" t="s">
        <v>19</v>
      </c>
      <c r="Z1041" s="72"/>
    </row>
    <row r="1042" spans="3:26" ht="15.75" thickBot="1">
      <c r="C1042" s="15"/>
      <c r="D1042" s="462"/>
      <c r="E1042" s="463"/>
      <c r="F1042" s="6">
        <f t="shared" si="19"/>
        <v>150</v>
      </c>
      <c r="G1042" s="462" t="s">
        <v>6</v>
      </c>
      <c r="H1042" s="464"/>
      <c r="I1042" s="20">
        <f>I1025</f>
        <v>20</v>
      </c>
      <c r="J1042" s="462" t="s">
        <v>920</v>
      </c>
      <c r="K1042" s="464"/>
      <c r="L1042" s="76"/>
      <c r="M1042" s="25"/>
      <c r="N1042" s="20"/>
      <c r="O1042" s="140" t="s">
        <v>321</v>
      </c>
      <c r="P1042" s="132">
        <f>SUM(C1039:C1052)-SUM(F1039:F1052)-SUM(I1039:I1052)-P1045-P1048-P1051</f>
        <v>139.02999999999986</v>
      </c>
      <c r="Q1042" s="72">
        <f>Q1041-Q1024</f>
        <v>0</v>
      </c>
      <c r="R1042" s="308" t="s">
        <v>424</v>
      </c>
      <c r="S1042" s="474"/>
      <c r="T1042" s="475"/>
      <c r="U1042" s="467"/>
      <c r="V1042" s="468"/>
      <c r="W1042" s="282" t="s">
        <v>378</v>
      </c>
      <c r="X1042" s="132"/>
      <c r="Y1042" s="145" t="s">
        <v>324</v>
      </c>
      <c r="Z1042" s="135"/>
    </row>
    <row r="1043" spans="3:26" ht="15.75" thickBot="1">
      <c r="C1043" s="15"/>
      <c r="D1043" s="455"/>
      <c r="E1043" s="456"/>
      <c r="F1043" s="6">
        <f t="shared" si="19"/>
        <v>370</v>
      </c>
      <c r="G1043" s="462" t="s">
        <v>97</v>
      </c>
      <c r="H1043" s="464"/>
      <c r="I1043" s="20">
        <f>I1026</f>
        <v>11.9</v>
      </c>
      <c r="J1043" s="462" t="s">
        <v>249</v>
      </c>
      <c r="K1043" s="464"/>
      <c r="L1043" s="76"/>
      <c r="M1043" s="25"/>
      <c r="N1043" s="294"/>
      <c r="O1043" s="141" t="s">
        <v>322</v>
      </c>
      <c r="P1043" s="133">
        <f>P1042/29</f>
        <v>4.7941379310344781</v>
      </c>
      <c r="Q1043" s="10">
        <f>Q1042/29</f>
        <v>0</v>
      </c>
      <c r="R1043" s="143" t="s">
        <v>12</v>
      </c>
      <c r="S1043" s="476"/>
      <c r="T1043" s="477"/>
      <c r="U1043" s="478"/>
      <c r="V1043" s="479"/>
      <c r="W1043" s="289" t="s">
        <v>379</v>
      </c>
      <c r="X1043" s="132"/>
      <c r="Y1043" s="470" t="s">
        <v>14</v>
      </c>
      <c r="Z1043" s="471"/>
    </row>
    <row r="1044" spans="3:26" ht="15.75" thickBot="1">
      <c r="C1044" s="15"/>
      <c r="D1044" s="455"/>
      <c r="E1044" s="456"/>
      <c r="F1044" s="6">
        <f t="shared" si="19"/>
        <v>1860.75</v>
      </c>
      <c r="G1044" s="462" t="s">
        <v>304</v>
      </c>
      <c r="H1044" s="464"/>
      <c r="I1044" s="63">
        <v>150</v>
      </c>
      <c r="J1044" s="462" t="s">
        <v>974</v>
      </c>
      <c r="K1044" s="464"/>
      <c r="L1044" s="76"/>
      <c r="M1044" s="25"/>
      <c r="N1044" s="294"/>
      <c r="O1044" s="136" t="s">
        <v>324</v>
      </c>
      <c r="P1044" s="319">
        <f>P1027+P1045</f>
        <v>2535</v>
      </c>
      <c r="Q1044" s="320">
        <f>Z1040+Z1041+Z1042</f>
        <v>0</v>
      </c>
      <c r="R1044" s="144" t="s">
        <v>425</v>
      </c>
      <c r="S1044" s="465"/>
      <c r="T1044" s="466"/>
      <c r="U1044" s="467"/>
      <c r="V1044" s="468"/>
      <c r="W1044" s="146" t="s">
        <v>375</v>
      </c>
      <c r="X1044" s="325"/>
      <c r="Y1044" s="143" t="s">
        <v>15</v>
      </c>
      <c r="Z1044" s="12"/>
    </row>
    <row r="1045" spans="3:26" ht="15.75" thickBot="1">
      <c r="C1045" s="15"/>
      <c r="D1045" s="462"/>
      <c r="E1045" s="463"/>
      <c r="F1045" s="6">
        <f t="shared" si="19"/>
        <v>70</v>
      </c>
      <c r="G1045" s="462" t="s">
        <v>982</v>
      </c>
      <c r="H1045" s="464"/>
      <c r="I1045" s="20">
        <v>150</v>
      </c>
      <c r="J1045" s="462" t="s">
        <v>105</v>
      </c>
      <c r="K1045" s="464"/>
      <c r="L1045" s="76"/>
      <c r="M1045" s="25"/>
      <c r="N1045" s="294"/>
      <c r="O1045" s="140" t="s">
        <v>321</v>
      </c>
      <c r="P1045" s="132">
        <f>SUM(L1039:L1052)</f>
        <v>200</v>
      </c>
      <c r="Q1045" s="72">
        <f>Q1044-Q1027</f>
        <v>0</v>
      </c>
      <c r="R1045" s="144" t="s">
        <v>426</v>
      </c>
      <c r="S1045" s="465"/>
      <c r="T1045" s="466"/>
      <c r="U1045" s="467"/>
      <c r="V1045" s="468"/>
      <c r="W1045" s="470" t="s">
        <v>376</v>
      </c>
      <c r="X1045" s="471"/>
      <c r="Y1045" s="146" t="s">
        <v>325</v>
      </c>
      <c r="Z1045" s="10"/>
    </row>
    <row r="1046" spans="3:26" ht="16.5" thickTop="1" thickBot="1">
      <c r="C1046" s="15"/>
      <c r="D1046" s="462"/>
      <c r="E1046" s="463"/>
      <c r="F1046" s="6">
        <f t="shared" si="19"/>
        <v>50</v>
      </c>
      <c r="G1046" s="462" t="s">
        <v>926</v>
      </c>
      <c r="H1046" s="464"/>
      <c r="I1046" s="20">
        <v>400</v>
      </c>
      <c r="J1046" s="462" t="s">
        <v>206</v>
      </c>
      <c r="K1046" s="464"/>
      <c r="L1046" s="76"/>
      <c r="M1046" s="25"/>
      <c r="N1046" s="292"/>
      <c r="O1046" s="141" t="s">
        <v>322</v>
      </c>
      <c r="P1046" s="133">
        <f>P1045/29</f>
        <v>6.8965517241379306</v>
      </c>
      <c r="Q1046" s="10">
        <f>Q1045/29</f>
        <v>0</v>
      </c>
      <c r="R1046" s="144" t="s">
        <v>422</v>
      </c>
      <c r="S1046" s="465"/>
      <c r="T1046" s="466"/>
      <c r="U1046" s="467"/>
      <c r="V1046" s="468"/>
      <c r="W1046" s="289" t="s">
        <v>12</v>
      </c>
      <c r="X1046" s="38"/>
      <c r="Y1046" s="470" t="s">
        <v>374</v>
      </c>
      <c r="Z1046" s="471"/>
    </row>
    <row r="1047" spans="3:26" ht="16.5" thickTop="1" thickBot="1">
      <c r="C1047" s="15"/>
      <c r="D1047" s="462"/>
      <c r="E1047" s="463"/>
      <c r="F1047" s="6">
        <f t="shared" si="19"/>
        <v>150</v>
      </c>
      <c r="G1047" s="462" t="s">
        <v>927</v>
      </c>
      <c r="H1047" s="464"/>
      <c r="I1047" s="20"/>
      <c r="J1047" s="462"/>
      <c r="K1047" s="464"/>
      <c r="L1047" s="76"/>
      <c r="M1047" s="25"/>
      <c r="N1047" s="293"/>
      <c r="O1047" s="136" t="s">
        <v>325</v>
      </c>
      <c r="P1047" s="319">
        <f>P1030+P1048</f>
        <v>1908.88</v>
      </c>
      <c r="Q1047" s="320">
        <f>Z1045</f>
        <v>0</v>
      </c>
      <c r="R1047" s="143" t="s">
        <v>421</v>
      </c>
      <c r="S1047" s="465"/>
      <c r="T1047" s="466"/>
      <c r="U1047" s="467"/>
      <c r="V1047" s="468"/>
      <c r="W1047" s="282" t="s">
        <v>373</v>
      </c>
      <c r="X1047" s="281"/>
      <c r="Y1047" s="321" t="s">
        <v>181</v>
      </c>
      <c r="Z1047" s="322">
        <v>0</v>
      </c>
    </row>
    <row r="1048" spans="3:26" ht="15.75" thickBot="1">
      <c r="C1048" s="266"/>
      <c r="D1048" s="448"/>
      <c r="E1048" s="469"/>
      <c r="F1048" s="6">
        <f t="shared" si="19"/>
        <v>150</v>
      </c>
      <c r="G1048" s="462" t="s">
        <v>925</v>
      </c>
      <c r="H1048" s="464"/>
      <c r="I1048" s="20"/>
      <c r="J1048" s="462"/>
      <c r="K1048" s="464"/>
      <c r="L1048" s="76"/>
      <c r="M1048" s="25"/>
      <c r="N1048" s="295"/>
      <c r="O1048" s="140" t="s">
        <v>321</v>
      </c>
      <c r="P1048" s="132">
        <f>SUM(M1039:M1052)</f>
        <v>150</v>
      </c>
      <c r="Q1048" s="72">
        <f>Q1047-Q1030</f>
        <v>0</v>
      </c>
      <c r="R1048" s="144" t="s">
        <v>418</v>
      </c>
      <c r="S1048" s="465"/>
      <c r="T1048" s="466"/>
      <c r="U1048" s="467"/>
      <c r="V1048" s="468"/>
      <c r="W1048" s="282" t="s">
        <v>378</v>
      </c>
      <c r="X1048" s="281"/>
      <c r="Y1048" s="470" t="s">
        <v>1000</v>
      </c>
      <c r="Z1048" s="471"/>
    </row>
    <row r="1049" spans="3:26" ht="16.5" thickTop="1" thickBot="1">
      <c r="C1049" s="266"/>
      <c r="D1049" s="448" t="s">
        <v>1001</v>
      </c>
      <c r="E1049" s="469"/>
      <c r="F1049" s="6">
        <f t="shared" si="19"/>
        <v>30</v>
      </c>
      <c r="G1049" s="462" t="s">
        <v>33</v>
      </c>
      <c r="H1049" s="464"/>
      <c r="I1049" s="20"/>
      <c r="J1049" s="462"/>
      <c r="K1049" s="464"/>
      <c r="L1049" s="76"/>
      <c r="M1049" s="25"/>
      <c r="N1049" s="293"/>
      <c r="O1049" s="141" t="s">
        <v>322</v>
      </c>
      <c r="P1049" s="133">
        <f>P1048/29</f>
        <v>5.1724137931034484</v>
      </c>
      <c r="Q1049" s="10">
        <f>Q1048/29</f>
        <v>0</v>
      </c>
      <c r="R1049" s="144" t="s">
        <v>438</v>
      </c>
      <c r="S1049" s="465"/>
      <c r="T1049" s="466"/>
      <c r="U1049" s="472"/>
      <c r="V1049" s="473"/>
      <c r="W1049" s="289" t="s">
        <v>379</v>
      </c>
      <c r="X1049" s="281"/>
      <c r="Y1049" s="143" t="s">
        <v>12</v>
      </c>
      <c r="Z1049" s="12"/>
    </row>
    <row r="1050" spans="3:26" ht="15.75" thickBot="1">
      <c r="C1050" s="15">
        <f>C1033</f>
        <v>4775.66</v>
      </c>
      <c r="D1050" s="455" t="s">
        <v>11</v>
      </c>
      <c r="E1050" s="456"/>
      <c r="F1050" s="15"/>
      <c r="G1050" s="462"/>
      <c r="H1050" s="464"/>
      <c r="I1050" s="20"/>
      <c r="J1050" s="462"/>
      <c r="K1050" s="464"/>
      <c r="L1050" s="76"/>
      <c r="M1050" s="25"/>
      <c r="N1050" s="295"/>
      <c r="O1050" s="136" t="s">
        <v>323</v>
      </c>
      <c r="P1050" s="319">
        <f>P1033+P1051</f>
        <v>12312.45730445853</v>
      </c>
      <c r="Q1050" s="320">
        <f>S1039+U1039</f>
        <v>0</v>
      </c>
      <c r="R1050" s="144" t="s">
        <v>380</v>
      </c>
      <c r="S1050" s="291">
        <f>S1041-S1042</f>
        <v>0</v>
      </c>
      <c r="T1050" s="327" t="e">
        <f>S1050/S1042</f>
        <v>#DIV/0!</v>
      </c>
      <c r="U1050" s="291">
        <f>U1041-U1042</f>
        <v>0</v>
      </c>
      <c r="V1050" s="329" t="e">
        <f>U1050/U1042</f>
        <v>#DIV/0!</v>
      </c>
      <c r="W1050" s="146" t="s">
        <v>375</v>
      </c>
      <c r="X1050" s="326"/>
      <c r="Y1050" s="144" t="s">
        <v>373</v>
      </c>
      <c r="Z1050" s="72"/>
    </row>
    <row r="1051" spans="3:26">
      <c r="C1051" s="15"/>
      <c r="D1051" s="455" t="s">
        <v>390</v>
      </c>
      <c r="E1051" s="456"/>
      <c r="F1051" s="15"/>
      <c r="G1051" s="457" t="s">
        <v>38</v>
      </c>
      <c r="H1051" s="458"/>
      <c r="I1051" s="20"/>
      <c r="J1051" s="457" t="s">
        <v>38</v>
      </c>
      <c r="K1051" s="458"/>
      <c r="L1051" s="76"/>
      <c r="M1051" s="25"/>
      <c r="N1051" s="293"/>
      <c r="O1051" s="140" t="s">
        <v>321</v>
      </c>
      <c r="P1051" s="132">
        <f>SUM(N1039:N1052)</f>
        <v>200</v>
      </c>
      <c r="Q1051" s="72">
        <f>Q1050-Q1033</f>
        <v>0</v>
      </c>
      <c r="R1051" s="144" t="s">
        <v>381</v>
      </c>
      <c r="S1051" s="291">
        <f>S1039-S1044</f>
        <v>0</v>
      </c>
      <c r="T1051" s="327" t="e">
        <f>S1051/S1044</f>
        <v>#DIV/0!</v>
      </c>
      <c r="U1051" s="291">
        <f>U1039-U1044</f>
        <v>0</v>
      </c>
      <c r="V1051" s="366" t="e">
        <f>U1051/ABS(U1044)</f>
        <v>#DIV/0!</v>
      </c>
      <c r="W1051" s="337" t="s">
        <v>410</v>
      </c>
      <c r="X1051" s="1" t="s">
        <v>558</v>
      </c>
      <c r="Y1051" s="144" t="s">
        <v>379</v>
      </c>
      <c r="Z1051" s="72"/>
    </row>
    <row r="1052" spans="3:26" ht="15.75" thickBot="1">
      <c r="C1052" s="17"/>
      <c r="D1052" s="459"/>
      <c r="E1052" s="460"/>
      <c r="F1052" s="17"/>
      <c r="G1052" s="459"/>
      <c r="H1052" s="461"/>
      <c r="I1052" s="21"/>
      <c r="J1052" s="459"/>
      <c r="K1052" s="461"/>
      <c r="L1052" s="42"/>
      <c r="M1052" s="5"/>
      <c r="N1052" s="21"/>
      <c r="O1052" s="137" t="s">
        <v>322</v>
      </c>
      <c r="P1052" s="138">
        <f>P1051/29</f>
        <v>6.8965517241379306</v>
      </c>
      <c r="Q1052" s="24">
        <f>Q1051/29</f>
        <v>0</v>
      </c>
      <c r="R1052" s="153" t="s">
        <v>410</v>
      </c>
      <c r="S1052" s="296">
        <f>S1050+S1051</f>
        <v>0</v>
      </c>
      <c r="T1052" s="328" t="e">
        <f>S1052/S1040</f>
        <v>#DIV/0!</v>
      </c>
      <c r="U1052" s="296">
        <f>U1051+U1050</f>
        <v>0</v>
      </c>
      <c r="V1052" s="330" t="e">
        <f>U1052/U1040</f>
        <v>#DIV/0!</v>
      </c>
      <c r="W1052" s="296">
        <f>S1052+U1052</f>
        <v>0</v>
      </c>
      <c r="X1052" s="330" t="e">
        <f>(W1052+S1040+U1040)/(S1040+U1040)-1</f>
        <v>#DIV/0!</v>
      </c>
      <c r="Y1052" s="153" t="s">
        <v>375</v>
      </c>
      <c r="Z1052" s="389"/>
    </row>
    <row r="1053" spans="3:26" ht="17.25" thickTop="1" thickBot="1">
      <c r="C1053" s="264">
        <v>46447</v>
      </c>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3:26" ht="17.25" thickTop="1" thickBot="1">
      <c r="C1054" s="480" t="s">
        <v>386</v>
      </c>
      <c r="D1054" s="481"/>
      <c r="E1054" s="482"/>
      <c r="F1054" s="483" t="s">
        <v>387</v>
      </c>
      <c r="G1054" s="484"/>
      <c r="H1054" s="484"/>
      <c r="I1054" s="484"/>
      <c r="J1054" s="484"/>
      <c r="K1054" s="484"/>
      <c r="L1054" s="484"/>
      <c r="M1054" s="484"/>
      <c r="N1054" s="485"/>
      <c r="O1054" s="261" t="s">
        <v>320</v>
      </c>
      <c r="P1054" s="262" t="s">
        <v>257</v>
      </c>
      <c r="Q1054" s="263" t="s">
        <v>319</v>
      </c>
      <c r="R1054" s="486" t="s">
        <v>144</v>
      </c>
      <c r="S1054" s="487"/>
      <c r="T1054" s="487"/>
      <c r="U1054" s="487"/>
      <c r="V1054" s="487"/>
      <c r="W1054" s="487"/>
      <c r="X1054" s="487"/>
      <c r="Y1054" s="487"/>
      <c r="Z1054" s="488"/>
    </row>
    <row r="1055" spans="3:26" ht="15.75" thickBot="1">
      <c r="C1055" s="265"/>
      <c r="D1055" s="489"/>
      <c r="E1055" s="490"/>
      <c r="F1055" s="470" t="s">
        <v>3</v>
      </c>
      <c r="G1055" s="491"/>
      <c r="H1055" s="492"/>
      <c r="I1055" s="493" t="s">
        <v>4</v>
      </c>
      <c r="J1055" s="491"/>
      <c r="K1055" s="492"/>
      <c r="L1055" s="267" t="s">
        <v>324</v>
      </c>
      <c r="M1055" s="267" t="s">
        <v>325</v>
      </c>
      <c r="N1055" s="267" t="s">
        <v>323</v>
      </c>
      <c r="O1055" s="316" t="s">
        <v>5</v>
      </c>
      <c r="P1055" s="317">
        <f>P1058+P1061+P1064+P1067</f>
        <v>19405.037304458525</v>
      </c>
      <c r="Q1055" s="318">
        <f>Q1064+Q1061+Q1058+Q1067</f>
        <v>0</v>
      </c>
      <c r="R1055" s="268" t="s">
        <v>323</v>
      </c>
      <c r="S1055" s="493" t="s">
        <v>317</v>
      </c>
      <c r="T1055" s="492"/>
      <c r="U1055" s="493" t="s">
        <v>369</v>
      </c>
      <c r="V1055" s="471"/>
      <c r="W1055" s="470" t="s">
        <v>310</v>
      </c>
      <c r="X1055" s="471"/>
      <c r="Y1055" s="470" t="s">
        <v>13</v>
      </c>
      <c r="Z1055" s="471"/>
    </row>
    <row r="1056" spans="3:26" ht="16.5" thickTop="1" thickBot="1">
      <c r="C1056" s="15"/>
      <c r="D1056" s="494"/>
      <c r="E1056" s="495"/>
      <c r="G1056" s="496"/>
      <c r="H1056" s="497"/>
      <c r="J1056" s="496"/>
      <c r="K1056" s="497"/>
      <c r="L1056" s="76"/>
      <c r="M1056" s="25"/>
      <c r="N1056" s="292"/>
      <c r="O1056" s="258" t="s">
        <v>321</v>
      </c>
      <c r="P1056" s="315">
        <f>SUM(C1056:C1069)-SUM(F1056:F1069)-SUM(I1056:I1069)</f>
        <v>689.02999999999986</v>
      </c>
      <c r="Q1056" s="12">
        <f>Q1055-Q1038</f>
        <v>0</v>
      </c>
      <c r="R1056" s="307" t="s">
        <v>343</v>
      </c>
      <c r="S1056" s="498"/>
      <c r="T1056" s="499"/>
      <c r="U1056" s="498"/>
      <c r="V1056" s="500"/>
      <c r="W1056" s="501" t="s">
        <v>326</v>
      </c>
      <c r="X1056" s="502"/>
      <c r="Y1056" s="143" t="s">
        <v>17</v>
      </c>
      <c r="Z1056" s="12"/>
    </row>
    <row r="1057" spans="3:26" ht="16.5" thickTop="1" thickBot="1">
      <c r="C1057" s="15"/>
      <c r="D1057" s="455" t="s">
        <v>11</v>
      </c>
      <c r="E1057" s="456"/>
      <c r="F1057" s="6">
        <f>F1040</f>
        <v>400</v>
      </c>
      <c r="G1057" s="462" t="s">
        <v>223</v>
      </c>
      <c r="H1057" s="464"/>
      <c r="I1057" s="20">
        <f>I1040</f>
        <v>11.99</v>
      </c>
      <c r="J1057" s="462" t="s">
        <v>385</v>
      </c>
      <c r="K1057" s="464"/>
      <c r="L1057" s="76">
        <f>L1040</f>
        <v>200</v>
      </c>
      <c r="M1057" s="76">
        <f>M1040</f>
        <v>150</v>
      </c>
      <c r="N1057" s="76">
        <f>N1040</f>
        <v>200</v>
      </c>
      <c r="O1057" s="141" t="s">
        <v>322</v>
      </c>
      <c r="P1057" s="133">
        <f>P1056/29</f>
        <v>23.759655172413787</v>
      </c>
      <c r="Q1057" s="10">
        <f>Q1056/29</f>
        <v>0</v>
      </c>
      <c r="R1057" s="308" t="s">
        <v>382</v>
      </c>
      <c r="S1057" s="474"/>
      <c r="T1057" s="475"/>
      <c r="U1057" s="467"/>
      <c r="V1057" s="468"/>
      <c r="W1057" s="289" t="s">
        <v>12</v>
      </c>
      <c r="X1057" s="315"/>
      <c r="Y1057" s="144" t="s">
        <v>18</v>
      </c>
      <c r="Z1057" s="72"/>
    </row>
    <row r="1058" spans="3:26">
      <c r="C1058" s="15"/>
      <c r="D1058" s="455" t="s">
        <v>390</v>
      </c>
      <c r="E1058" s="456"/>
      <c r="F1058" s="6">
        <f t="shared" ref="F1058:F1066" si="20">F1041</f>
        <v>100</v>
      </c>
      <c r="G1058" s="462" t="s">
        <v>9</v>
      </c>
      <c r="H1058" s="464"/>
      <c r="I1058" s="20">
        <f>I1041</f>
        <v>11.99</v>
      </c>
      <c r="J1058" s="462" t="s">
        <v>22</v>
      </c>
      <c r="K1058" s="464"/>
      <c r="L1058" s="76"/>
      <c r="M1058" s="25"/>
      <c r="N1058" s="294"/>
      <c r="O1058" s="136" t="s">
        <v>12</v>
      </c>
      <c r="P1058" s="319">
        <f>P1041+P1056-SUM(L1056:L1069)-SUM(M1056:M1069)-SUM(N1056:N1069)</f>
        <v>2098.6999999999939</v>
      </c>
      <c r="Q1058" s="320">
        <f>Z1056+Z1061+Z1064</f>
        <v>0</v>
      </c>
      <c r="R1058" s="308" t="s">
        <v>383</v>
      </c>
      <c r="S1058" s="474"/>
      <c r="T1058" s="475"/>
      <c r="U1058" s="467"/>
      <c r="V1058" s="468"/>
      <c r="W1058" s="282" t="s">
        <v>373</v>
      </c>
      <c r="X1058" s="132"/>
      <c r="Y1058" s="144" t="s">
        <v>19</v>
      </c>
      <c r="Z1058" s="72"/>
    </row>
    <row r="1059" spans="3:26" ht="15.75" thickBot="1">
      <c r="C1059" s="15"/>
      <c r="D1059" s="462"/>
      <c r="E1059" s="463"/>
      <c r="F1059" s="6">
        <f t="shared" si="20"/>
        <v>150</v>
      </c>
      <c r="G1059" s="462" t="s">
        <v>6</v>
      </c>
      <c r="H1059" s="464"/>
      <c r="I1059" s="20">
        <f>I1042</f>
        <v>20</v>
      </c>
      <c r="J1059" s="462" t="s">
        <v>920</v>
      </c>
      <c r="K1059" s="464"/>
      <c r="L1059" s="76"/>
      <c r="M1059" s="25"/>
      <c r="N1059" s="20"/>
      <c r="O1059" s="140" t="s">
        <v>321</v>
      </c>
      <c r="P1059" s="132">
        <f>SUM(C1056:C1069)-SUM(F1056:F1069)-SUM(I1056:I1069)-P1062-P1065-P1068</f>
        <v>139.02999999999986</v>
      </c>
      <c r="Q1059" s="72">
        <f>Q1058-Q1041</f>
        <v>0</v>
      </c>
      <c r="R1059" s="308" t="s">
        <v>424</v>
      </c>
      <c r="S1059" s="474"/>
      <c r="T1059" s="475"/>
      <c r="U1059" s="467"/>
      <c r="V1059" s="468"/>
      <c r="W1059" s="282" t="s">
        <v>378</v>
      </c>
      <c r="X1059" s="132"/>
      <c r="Y1059" s="145" t="s">
        <v>324</v>
      </c>
      <c r="Z1059" s="135"/>
    </row>
    <row r="1060" spans="3:26" ht="15.75" thickBot="1">
      <c r="C1060" s="15"/>
      <c r="D1060" s="455"/>
      <c r="E1060" s="456"/>
      <c r="F1060" s="6">
        <f t="shared" si="20"/>
        <v>370</v>
      </c>
      <c r="G1060" s="462" t="s">
        <v>97</v>
      </c>
      <c r="H1060" s="464"/>
      <c r="I1060" s="20">
        <f>I1043</f>
        <v>11.9</v>
      </c>
      <c r="J1060" s="462" t="s">
        <v>249</v>
      </c>
      <c r="K1060" s="464"/>
      <c r="L1060" s="76"/>
      <c r="M1060" s="25"/>
      <c r="N1060" s="294"/>
      <c r="O1060" s="141" t="s">
        <v>322</v>
      </c>
      <c r="P1060" s="133">
        <f>P1059/29</f>
        <v>4.7941379310344781</v>
      </c>
      <c r="Q1060" s="10">
        <f>Q1059/29</f>
        <v>0</v>
      </c>
      <c r="R1060" s="143" t="s">
        <v>12</v>
      </c>
      <c r="S1060" s="476"/>
      <c r="T1060" s="477"/>
      <c r="U1060" s="478"/>
      <c r="V1060" s="479"/>
      <c r="W1060" s="289" t="s">
        <v>379</v>
      </c>
      <c r="X1060" s="132"/>
      <c r="Y1060" s="470" t="s">
        <v>14</v>
      </c>
      <c r="Z1060" s="471"/>
    </row>
    <row r="1061" spans="3:26" ht="15.75" thickBot="1">
      <c r="C1061" s="15"/>
      <c r="D1061" s="455"/>
      <c r="E1061" s="456"/>
      <c r="F1061" s="6">
        <f t="shared" si="20"/>
        <v>1860.75</v>
      </c>
      <c r="G1061" s="462" t="s">
        <v>304</v>
      </c>
      <c r="H1061" s="464"/>
      <c r="I1061" s="63">
        <v>150</v>
      </c>
      <c r="J1061" s="462" t="s">
        <v>974</v>
      </c>
      <c r="K1061" s="464"/>
      <c r="L1061" s="76"/>
      <c r="M1061" s="25"/>
      <c r="N1061" s="294"/>
      <c r="O1061" s="136" t="s">
        <v>324</v>
      </c>
      <c r="P1061" s="319">
        <f>P1044+P1062</f>
        <v>2735</v>
      </c>
      <c r="Q1061" s="320">
        <f>Z1057+Z1058+Z1059</f>
        <v>0</v>
      </c>
      <c r="R1061" s="144" t="s">
        <v>425</v>
      </c>
      <c r="S1061" s="465"/>
      <c r="T1061" s="466"/>
      <c r="U1061" s="467"/>
      <c r="V1061" s="468"/>
      <c r="W1061" s="146" t="s">
        <v>375</v>
      </c>
      <c r="X1061" s="325"/>
      <c r="Y1061" s="143" t="s">
        <v>15</v>
      </c>
      <c r="Z1061" s="12"/>
    </row>
    <row r="1062" spans="3:26" ht="15.75" thickBot="1">
      <c r="C1062" s="15"/>
      <c r="D1062" s="462"/>
      <c r="E1062" s="463"/>
      <c r="F1062" s="6">
        <f t="shared" si="20"/>
        <v>70</v>
      </c>
      <c r="G1062" s="462" t="s">
        <v>982</v>
      </c>
      <c r="H1062" s="464"/>
      <c r="I1062" s="20">
        <v>150</v>
      </c>
      <c r="J1062" s="462" t="s">
        <v>105</v>
      </c>
      <c r="K1062" s="464"/>
      <c r="L1062" s="76"/>
      <c r="M1062" s="25"/>
      <c r="N1062" s="294"/>
      <c r="O1062" s="140" t="s">
        <v>321</v>
      </c>
      <c r="P1062" s="132">
        <f>SUM(L1056:L1069)</f>
        <v>200</v>
      </c>
      <c r="Q1062" s="72">
        <f>Q1061-Q1044</f>
        <v>0</v>
      </c>
      <c r="R1062" s="144" t="s">
        <v>426</v>
      </c>
      <c r="S1062" s="465"/>
      <c r="T1062" s="466"/>
      <c r="U1062" s="467"/>
      <c r="V1062" s="468"/>
      <c r="W1062" s="470" t="s">
        <v>376</v>
      </c>
      <c r="X1062" s="471"/>
      <c r="Y1062" s="146" t="s">
        <v>325</v>
      </c>
      <c r="Z1062" s="10"/>
    </row>
    <row r="1063" spans="3:26" ht="16.5" thickTop="1" thickBot="1">
      <c r="C1063" s="15"/>
      <c r="D1063" s="462"/>
      <c r="E1063" s="463"/>
      <c r="F1063" s="6">
        <f t="shared" si="20"/>
        <v>50</v>
      </c>
      <c r="G1063" s="462" t="s">
        <v>926</v>
      </c>
      <c r="H1063" s="464"/>
      <c r="I1063" s="20">
        <v>400</v>
      </c>
      <c r="J1063" s="462" t="s">
        <v>206</v>
      </c>
      <c r="K1063" s="464"/>
      <c r="L1063" s="76"/>
      <c r="M1063" s="25"/>
      <c r="N1063" s="292"/>
      <c r="O1063" s="141" t="s">
        <v>322</v>
      </c>
      <c r="P1063" s="133">
        <f>P1062/29</f>
        <v>6.8965517241379306</v>
      </c>
      <c r="Q1063" s="10">
        <f>Q1062/29</f>
        <v>0</v>
      </c>
      <c r="R1063" s="144" t="s">
        <v>422</v>
      </c>
      <c r="S1063" s="465"/>
      <c r="T1063" s="466"/>
      <c r="U1063" s="467"/>
      <c r="V1063" s="468"/>
      <c r="W1063" s="289" t="s">
        <v>12</v>
      </c>
      <c r="X1063" s="38"/>
      <c r="Y1063" s="470" t="s">
        <v>374</v>
      </c>
      <c r="Z1063" s="471"/>
    </row>
    <row r="1064" spans="3:26" ht="16.5" thickTop="1" thickBot="1">
      <c r="C1064" s="15"/>
      <c r="D1064" s="462"/>
      <c r="E1064" s="463"/>
      <c r="F1064" s="6">
        <f t="shared" si="20"/>
        <v>150</v>
      </c>
      <c r="G1064" s="462" t="s">
        <v>927</v>
      </c>
      <c r="H1064" s="464"/>
      <c r="I1064" s="20"/>
      <c r="J1064" s="462"/>
      <c r="K1064" s="464"/>
      <c r="L1064" s="76"/>
      <c r="M1064" s="25"/>
      <c r="N1064" s="293"/>
      <c r="O1064" s="136" t="s">
        <v>325</v>
      </c>
      <c r="P1064" s="319">
        <f>P1047+P1065</f>
        <v>2058.88</v>
      </c>
      <c r="Q1064" s="320">
        <f>Z1062</f>
        <v>0</v>
      </c>
      <c r="R1064" s="143" t="s">
        <v>421</v>
      </c>
      <c r="S1064" s="465"/>
      <c r="T1064" s="466"/>
      <c r="U1064" s="467"/>
      <c r="V1064" s="468"/>
      <c r="W1064" s="282" t="s">
        <v>373</v>
      </c>
      <c r="X1064" s="281"/>
      <c r="Y1064" s="321" t="s">
        <v>181</v>
      </c>
      <c r="Z1064" s="322">
        <v>0</v>
      </c>
    </row>
    <row r="1065" spans="3:26" ht="15.75" thickBot="1">
      <c r="C1065" s="266"/>
      <c r="D1065" s="448"/>
      <c r="E1065" s="469"/>
      <c r="F1065" s="6">
        <f t="shared" si="20"/>
        <v>150</v>
      </c>
      <c r="G1065" s="462" t="s">
        <v>925</v>
      </c>
      <c r="H1065" s="464"/>
      <c r="I1065" s="20"/>
      <c r="J1065" s="462"/>
      <c r="K1065" s="464"/>
      <c r="L1065" s="76"/>
      <c r="M1065" s="25"/>
      <c r="N1065" s="295"/>
      <c r="O1065" s="140" t="s">
        <v>321</v>
      </c>
      <c r="P1065" s="132">
        <f>SUM(M1056:M1069)</f>
        <v>150</v>
      </c>
      <c r="Q1065" s="72">
        <f>Q1064-Q1047</f>
        <v>0</v>
      </c>
      <c r="R1065" s="144" t="s">
        <v>418</v>
      </c>
      <c r="S1065" s="465"/>
      <c r="T1065" s="466"/>
      <c r="U1065" s="467"/>
      <c r="V1065" s="468"/>
      <c r="W1065" s="282" t="s">
        <v>378</v>
      </c>
      <c r="X1065" s="281"/>
      <c r="Y1065" s="470" t="s">
        <v>1000</v>
      </c>
      <c r="Z1065" s="471"/>
    </row>
    <row r="1066" spans="3:26" ht="16.5" thickTop="1" thickBot="1">
      <c r="C1066" s="266"/>
      <c r="D1066" s="448" t="s">
        <v>1001</v>
      </c>
      <c r="E1066" s="469"/>
      <c r="F1066" s="6">
        <f t="shared" si="20"/>
        <v>30</v>
      </c>
      <c r="G1066" s="462" t="s">
        <v>33</v>
      </c>
      <c r="H1066" s="464"/>
      <c r="I1066" s="20"/>
      <c r="J1066" s="462"/>
      <c r="K1066" s="464"/>
      <c r="L1066" s="76"/>
      <c r="M1066" s="25"/>
      <c r="N1066" s="293"/>
      <c r="O1066" s="141" t="s">
        <v>322</v>
      </c>
      <c r="P1066" s="133">
        <f>P1065/29</f>
        <v>5.1724137931034484</v>
      </c>
      <c r="Q1066" s="10">
        <f>Q1065/29</f>
        <v>0</v>
      </c>
      <c r="R1066" s="144" t="s">
        <v>438</v>
      </c>
      <c r="S1066" s="465"/>
      <c r="T1066" s="466"/>
      <c r="U1066" s="472"/>
      <c r="V1066" s="473"/>
      <c r="W1066" s="289" t="s">
        <v>379</v>
      </c>
      <c r="X1066" s="281"/>
      <c r="Y1066" s="143" t="s">
        <v>12</v>
      </c>
      <c r="Z1066" s="12"/>
    </row>
    <row r="1067" spans="3:26" ht="15.75" thickBot="1">
      <c r="C1067" s="15">
        <f>C1050</f>
        <v>4775.66</v>
      </c>
      <c r="D1067" s="455" t="s">
        <v>11</v>
      </c>
      <c r="E1067" s="456"/>
      <c r="F1067" s="15"/>
      <c r="G1067" s="462"/>
      <c r="H1067" s="464"/>
      <c r="I1067" s="20"/>
      <c r="J1067" s="462"/>
      <c r="K1067" s="464"/>
      <c r="L1067" s="76"/>
      <c r="M1067" s="25"/>
      <c r="N1067" s="295"/>
      <c r="O1067" s="136" t="s">
        <v>323</v>
      </c>
      <c r="P1067" s="319">
        <f>P1050+P1068</f>
        <v>12512.45730445853</v>
      </c>
      <c r="Q1067" s="320">
        <f>S1056+U1056</f>
        <v>0</v>
      </c>
      <c r="R1067" s="144" t="s">
        <v>380</v>
      </c>
      <c r="S1067" s="291">
        <f>S1058-S1059</f>
        <v>0</v>
      </c>
      <c r="T1067" s="327" t="e">
        <f>S1067/S1059</f>
        <v>#DIV/0!</v>
      </c>
      <c r="U1067" s="291">
        <f>U1058-U1059</f>
        <v>0</v>
      </c>
      <c r="V1067" s="329" t="e">
        <f>U1067/U1059</f>
        <v>#DIV/0!</v>
      </c>
      <c r="W1067" s="146" t="s">
        <v>375</v>
      </c>
      <c r="X1067" s="326"/>
      <c r="Y1067" s="144" t="s">
        <v>373</v>
      </c>
      <c r="Z1067" s="72"/>
    </row>
    <row r="1068" spans="3:26">
      <c r="C1068" s="15"/>
      <c r="D1068" s="455" t="s">
        <v>390</v>
      </c>
      <c r="E1068" s="456"/>
      <c r="F1068" s="15"/>
      <c r="G1068" s="457" t="s">
        <v>38</v>
      </c>
      <c r="H1068" s="458"/>
      <c r="I1068" s="20"/>
      <c r="J1068" s="457" t="s">
        <v>38</v>
      </c>
      <c r="K1068" s="458"/>
      <c r="L1068" s="76"/>
      <c r="M1068" s="25"/>
      <c r="N1068" s="293"/>
      <c r="O1068" s="140" t="s">
        <v>321</v>
      </c>
      <c r="P1068" s="132">
        <f>SUM(N1056:N1069)</f>
        <v>200</v>
      </c>
      <c r="Q1068" s="72">
        <f>Q1067-Q1050</f>
        <v>0</v>
      </c>
      <c r="R1068" s="144" t="s">
        <v>381</v>
      </c>
      <c r="S1068" s="291">
        <f>S1056-S1061</f>
        <v>0</v>
      </c>
      <c r="T1068" s="327" t="e">
        <f>S1068/S1061</f>
        <v>#DIV/0!</v>
      </c>
      <c r="U1068" s="291">
        <f>U1056-U1061</f>
        <v>0</v>
      </c>
      <c r="V1068" s="366" t="e">
        <f>U1068/ABS(U1061)</f>
        <v>#DIV/0!</v>
      </c>
      <c r="W1068" s="337" t="s">
        <v>410</v>
      </c>
      <c r="X1068" s="1" t="s">
        <v>558</v>
      </c>
      <c r="Y1068" s="144" t="s">
        <v>379</v>
      </c>
      <c r="Z1068" s="72"/>
    </row>
    <row r="1069" spans="3:26" ht="15.75" thickBot="1">
      <c r="C1069" s="17"/>
      <c r="D1069" s="459"/>
      <c r="E1069" s="460"/>
      <c r="F1069" s="17"/>
      <c r="G1069" s="459"/>
      <c r="H1069" s="461"/>
      <c r="I1069" s="21"/>
      <c r="J1069" s="459"/>
      <c r="K1069" s="461"/>
      <c r="L1069" s="42"/>
      <c r="M1069" s="5"/>
      <c r="N1069" s="21"/>
      <c r="O1069" s="137" t="s">
        <v>322</v>
      </c>
      <c r="P1069" s="138">
        <f>P1068/29</f>
        <v>6.8965517241379306</v>
      </c>
      <c r="Q1069" s="24">
        <f>Q1068/29</f>
        <v>0</v>
      </c>
      <c r="R1069" s="153" t="s">
        <v>410</v>
      </c>
      <c r="S1069" s="296">
        <f>S1067+S1068</f>
        <v>0</v>
      </c>
      <c r="T1069" s="328" t="e">
        <f>S1069/S1057</f>
        <v>#DIV/0!</v>
      </c>
      <c r="U1069" s="296">
        <f>U1068+U1067</f>
        <v>0</v>
      </c>
      <c r="V1069" s="330" t="e">
        <f>U1069/U1057</f>
        <v>#DIV/0!</v>
      </c>
      <c r="W1069" s="296">
        <f>S1069+U1069</f>
        <v>0</v>
      </c>
      <c r="X1069" s="330" t="e">
        <f>(W1069+S1057+U1057)/(S1057+U1057)-1</f>
        <v>#DIV/0!</v>
      </c>
      <c r="Y1069" s="153" t="s">
        <v>375</v>
      </c>
      <c r="Z1069" s="389"/>
    </row>
    <row r="1070" spans="3:26" ht="17.25" thickTop="1" thickBot="1">
      <c r="C1070" s="264">
        <v>46478</v>
      </c>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3:26" ht="17.25" thickTop="1" thickBot="1">
      <c r="C1071" s="480" t="s">
        <v>386</v>
      </c>
      <c r="D1071" s="481"/>
      <c r="E1071" s="482"/>
      <c r="F1071" s="483" t="s">
        <v>387</v>
      </c>
      <c r="G1071" s="484"/>
      <c r="H1071" s="484"/>
      <c r="I1071" s="484"/>
      <c r="J1071" s="484"/>
      <c r="K1071" s="484"/>
      <c r="L1071" s="484"/>
      <c r="M1071" s="484"/>
      <c r="N1071" s="485"/>
      <c r="O1071" s="261" t="s">
        <v>320</v>
      </c>
      <c r="P1071" s="262" t="s">
        <v>257</v>
      </c>
      <c r="Q1071" s="263" t="s">
        <v>319</v>
      </c>
      <c r="R1071" s="486" t="s">
        <v>144</v>
      </c>
      <c r="S1071" s="487"/>
      <c r="T1071" s="487"/>
      <c r="U1071" s="487"/>
      <c r="V1071" s="487"/>
      <c r="W1071" s="487"/>
      <c r="X1071" s="487"/>
      <c r="Y1071" s="487"/>
      <c r="Z1071" s="488"/>
    </row>
    <row r="1072" spans="3:26" ht="15.75" thickBot="1">
      <c r="C1072" s="265"/>
      <c r="D1072" s="489"/>
      <c r="E1072" s="490"/>
      <c r="F1072" s="470" t="s">
        <v>3</v>
      </c>
      <c r="G1072" s="491"/>
      <c r="H1072" s="492"/>
      <c r="I1072" s="493" t="s">
        <v>4</v>
      </c>
      <c r="J1072" s="491"/>
      <c r="K1072" s="492"/>
      <c r="L1072" s="267" t="s">
        <v>324</v>
      </c>
      <c r="M1072" s="267" t="s">
        <v>325</v>
      </c>
      <c r="N1072" s="267" t="s">
        <v>323</v>
      </c>
      <c r="O1072" s="316" t="s">
        <v>5</v>
      </c>
      <c r="P1072" s="317">
        <f>P1075+P1078+P1081+P1084</f>
        <v>20094.067304458524</v>
      </c>
      <c r="Q1072" s="318">
        <f>Q1081+Q1078+Q1075+Q1084</f>
        <v>0</v>
      </c>
      <c r="R1072" s="268" t="s">
        <v>323</v>
      </c>
      <c r="S1072" s="493" t="s">
        <v>317</v>
      </c>
      <c r="T1072" s="492"/>
      <c r="U1072" s="493" t="s">
        <v>369</v>
      </c>
      <c r="V1072" s="471"/>
      <c r="W1072" s="470" t="s">
        <v>310</v>
      </c>
      <c r="X1072" s="471"/>
      <c r="Y1072" s="470" t="s">
        <v>13</v>
      </c>
      <c r="Z1072" s="471"/>
    </row>
    <row r="1073" spans="3:26" ht="16.5" thickTop="1" thickBot="1">
      <c r="C1073" s="15"/>
      <c r="D1073" s="494"/>
      <c r="E1073" s="495"/>
      <c r="G1073" s="496"/>
      <c r="H1073" s="497"/>
      <c r="J1073" s="496"/>
      <c r="K1073" s="497"/>
      <c r="L1073" s="76"/>
      <c r="M1073" s="25"/>
      <c r="N1073" s="292"/>
      <c r="O1073" s="258" t="s">
        <v>321</v>
      </c>
      <c r="P1073" s="315">
        <f>SUM(C1073:C1086)-SUM(F1073:F1086)-SUM(I1073:I1086)</f>
        <v>689.02999999999986</v>
      </c>
      <c r="Q1073" s="12">
        <f>Q1072-Q1055</f>
        <v>0</v>
      </c>
      <c r="R1073" s="307" t="s">
        <v>343</v>
      </c>
      <c r="S1073" s="498"/>
      <c r="T1073" s="499"/>
      <c r="U1073" s="498"/>
      <c r="V1073" s="500"/>
      <c r="W1073" s="501" t="s">
        <v>326</v>
      </c>
      <c r="X1073" s="502"/>
      <c r="Y1073" s="143" t="s">
        <v>17</v>
      </c>
      <c r="Z1073" s="12"/>
    </row>
    <row r="1074" spans="3:26" ht="16.5" thickTop="1" thickBot="1">
      <c r="C1074" s="15"/>
      <c r="D1074" s="455" t="s">
        <v>11</v>
      </c>
      <c r="E1074" s="456"/>
      <c r="F1074" s="6">
        <f>F1057</f>
        <v>400</v>
      </c>
      <c r="G1074" s="462" t="s">
        <v>223</v>
      </c>
      <c r="H1074" s="464"/>
      <c r="I1074" s="20">
        <f>I1057</f>
        <v>11.99</v>
      </c>
      <c r="J1074" s="462" t="s">
        <v>385</v>
      </c>
      <c r="K1074" s="464"/>
      <c r="L1074" s="76">
        <f>L1057</f>
        <v>200</v>
      </c>
      <c r="M1074" s="76">
        <f>M1057</f>
        <v>150</v>
      </c>
      <c r="N1074" s="76">
        <f>N1057</f>
        <v>200</v>
      </c>
      <c r="O1074" s="141" t="s">
        <v>322</v>
      </c>
      <c r="P1074" s="133">
        <f>P1073/29</f>
        <v>23.759655172413787</v>
      </c>
      <c r="Q1074" s="10">
        <f>Q1073/29</f>
        <v>0</v>
      </c>
      <c r="R1074" s="308" t="s">
        <v>382</v>
      </c>
      <c r="S1074" s="474"/>
      <c r="T1074" s="475"/>
      <c r="U1074" s="467"/>
      <c r="V1074" s="468"/>
      <c r="W1074" s="289" t="s">
        <v>12</v>
      </c>
      <c r="X1074" s="315"/>
      <c r="Y1074" s="144" t="s">
        <v>18</v>
      </c>
      <c r="Z1074" s="72"/>
    </row>
    <row r="1075" spans="3:26">
      <c r="C1075" s="15"/>
      <c r="D1075" s="455" t="s">
        <v>390</v>
      </c>
      <c r="E1075" s="456"/>
      <c r="F1075" s="6">
        <f t="shared" ref="F1075:F1083" si="21">F1058</f>
        <v>100</v>
      </c>
      <c r="G1075" s="462" t="s">
        <v>9</v>
      </c>
      <c r="H1075" s="464"/>
      <c r="I1075" s="20">
        <f t="shared" ref="I1075:I1080" si="22">I1058</f>
        <v>11.99</v>
      </c>
      <c r="J1075" s="462" t="s">
        <v>22</v>
      </c>
      <c r="K1075" s="464"/>
      <c r="L1075" s="76"/>
      <c r="M1075" s="25"/>
      <c r="N1075" s="294"/>
      <c r="O1075" s="136" t="s">
        <v>12</v>
      </c>
      <c r="P1075" s="319">
        <f>P1058+P1073-SUM(L1073:L1086)-SUM(M1073:M1086)-SUM(N1073:N1086)</f>
        <v>2237.7299999999937</v>
      </c>
      <c r="Q1075" s="320">
        <f>Z1073+Z1078+Z1081</f>
        <v>0</v>
      </c>
      <c r="R1075" s="308" t="s">
        <v>383</v>
      </c>
      <c r="S1075" s="474"/>
      <c r="T1075" s="475"/>
      <c r="U1075" s="467"/>
      <c r="V1075" s="468"/>
      <c r="W1075" s="282" t="s">
        <v>373</v>
      </c>
      <c r="X1075" s="132"/>
      <c r="Y1075" s="144" t="s">
        <v>19</v>
      </c>
      <c r="Z1075" s="72"/>
    </row>
    <row r="1076" spans="3:26" ht="15.75" thickBot="1">
      <c r="C1076" s="15"/>
      <c r="D1076" s="462"/>
      <c r="E1076" s="463"/>
      <c r="F1076" s="6">
        <f t="shared" si="21"/>
        <v>150</v>
      </c>
      <c r="G1076" s="462" t="s">
        <v>6</v>
      </c>
      <c r="H1076" s="464"/>
      <c r="I1076" s="20">
        <f t="shared" si="22"/>
        <v>20</v>
      </c>
      <c r="J1076" s="462" t="s">
        <v>920</v>
      </c>
      <c r="K1076" s="464"/>
      <c r="L1076" s="76"/>
      <c r="M1076" s="25"/>
      <c r="N1076" s="20"/>
      <c r="O1076" s="140" t="s">
        <v>321</v>
      </c>
      <c r="P1076" s="132">
        <f>SUM(C1073:C1086)-SUM(F1073:F1086)-SUM(I1073:I1086)-P1079-P1082-P1085</f>
        <v>139.02999999999986</v>
      </c>
      <c r="Q1076" s="72">
        <f>Q1075-Q1058</f>
        <v>0</v>
      </c>
      <c r="R1076" s="308" t="s">
        <v>424</v>
      </c>
      <c r="S1076" s="474"/>
      <c r="T1076" s="475"/>
      <c r="U1076" s="467"/>
      <c r="V1076" s="468"/>
      <c r="W1076" s="282" t="s">
        <v>378</v>
      </c>
      <c r="X1076" s="132"/>
      <c r="Y1076" s="145" t="s">
        <v>324</v>
      </c>
      <c r="Z1076" s="135"/>
    </row>
    <row r="1077" spans="3:26" ht="15.75" thickBot="1">
      <c r="C1077" s="15"/>
      <c r="D1077" s="455"/>
      <c r="E1077" s="456"/>
      <c r="F1077" s="6">
        <f t="shared" si="21"/>
        <v>370</v>
      </c>
      <c r="G1077" s="462" t="s">
        <v>97</v>
      </c>
      <c r="H1077" s="464"/>
      <c r="I1077" s="20">
        <f t="shared" si="22"/>
        <v>11.9</v>
      </c>
      <c r="J1077" s="462" t="s">
        <v>249</v>
      </c>
      <c r="K1077" s="464"/>
      <c r="L1077" s="76"/>
      <c r="M1077" s="25"/>
      <c r="N1077" s="294"/>
      <c r="O1077" s="141" t="s">
        <v>322</v>
      </c>
      <c r="P1077" s="133">
        <f>P1076/29</f>
        <v>4.7941379310344781</v>
      </c>
      <c r="Q1077" s="10">
        <f>Q1076/29</f>
        <v>0</v>
      </c>
      <c r="R1077" s="143" t="s">
        <v>12</v>
      </c>
      <c r="S1077" s="476"/>
      <c r="T1077" s="477"/>
      <c r="U1077" s="478"/>
      <c r="V1077" s="479"/>
      <c r="W1077" s="289" t="s">
        <v>379</v>
      </c>
      <c r="X1077" s="132"/>
      <c r="Y1077" s="470" t="s">
        <v>14</v>
      </c>
      <c r="Z1077" s="471"/>
    </row>
    <row r="1078" spans="3:26" ht="15.75" thickBot="1">
      <c r="C1078" s="15"/>
      <c r="D1078" s="455"/>
      <c r="E1078" s="456"/>
      <c r="F1078" s="6">
        <f t="shared" si="21"/>
        <v>1860.75</v>
      </c>
      <c r="G1078" s="462" t="s">
        <v>304</v>
      </c>
      <c r="H1078" s="464"/>
      <c r="I1078" s="20">
        <f t="shared" si="22"/>
        <v>150</v>
      </c>
      <c r="J1078" s="462" t="s">
        <v>974</v>
      </c>
      <c r="K1078" s="464"/>
      <c r="L1078" s="76"/>
      <c r="M1078" s="25"/>
      <c r="N1078" s="294"/>
      <c r="O1078" s="136" t="s">
        <v>324</v>
      </c>
      <c r="P1078" s="319">
        <f>P1061+P1079</f>
        <v>2935</v>
      </c>
      <c r="Q1078" s="320">
        <f>Z1074+Z1075+Z1076</f>
        <v>0</v>
      </c>
      <c r="R1078" s="144" t="s">
        <v>425</v>
      </c>
      <c r="S1078" s="465"/>
      <c r="T1078" s="466"/>
      <c r="U1078" s="467"/>
      <c r="V1078" s="468"/>
      <c r="W1078" s="146" t="s">
        <v>375</v>
      </c>
      <c r="X1078" s="325"/>
      <c r="Y1078" s="143" t="s">
        <v>15</v>
      </c>
      <c r="Z1078" s="12"/>
    </row>
    <row r="1079" spans="3:26" ht="15.75" thickBot="1">
      <c r="C1079" s="15"/>
      <c r="D1079" s="462"/>
      <c r="E1079" s="463"/>
      <c r="F1079" s="6">
        <f t="shared" si="21"/>
        <v>70</v>
      </c>
      <c r="G1079" s="462" t="s">
        <v>982</v>
      </c>
      <c r="H1079" s="464"/>
      <c r="I1079" s="20">
        <f t="shared" si="22"/>
        <v>150</v>
      </c>
      <c r="J1079" s="462" t="s">
        <v>105</v>
      </c>
      <c r="K1079" s="464"/>
      <c r="L1079" s="76"/>
      <c r="M1079" s="25"/>
      <c r="N1079" s="294"/>
      <c r="O1079" s="140" t="s">
        <v>321</v>
      </c>
      <c r="P1079" s="132">
        <f>SUM(L1073:L1086)</f>
        <v>200</v>
      </c>
      <c r="Q1079" s="72">
        <f>Q1078-Q1061</f>
        <v>0</v>
      </c>
      <c r="R1079" s="144" t="s">
        <v>426</v>
      </c>
      <c r="S1079" s="465"/>
      <c r="T1079" s="466"/>
      <c r="U1079" s="467"/>
      <c r="V1079" s="468"/>
      <c r="W1079" s="470" t="s">
        <v>376</v>
      </c>
      <c r="X1079" s="471"/>
      <c r="Y1079" s="146" t="s">
        <v>325</v>
      </c>
      <c r="Z1079" s="10"/>
    </row>
    <row r="1080" spans="3:26" ht="16.5" thickTop="1" thickBot="1">
      <c r="C1080" s="15"/>
      <c r="D1080" s="462"/>
      <c r="E1080" s="463"/>
      <c r="F1080" s="6">
        <f t="shared" si="21"/>
        <v>50</v>
      </c>
      <c r="G1080" s="462" t="s">
        <v>926</v>
      </c>
      <c r="H1080" s="464"/>
      <c r="I1080" s="20">
        <f t="shared" si="22"/>
        <v>400</v>
      </c>
      <c r="J1080" s="462" t="s">
        <v>206</v>
      </c>
      <c r="K1080" s="464"/>
      <c r="L1080" s="76"/>
      <c r="M1080" s="25"/>
      <c r="N1080" s="292"/>
      <c r="O1080" s="141" t="s">
        <v>322</v>
      </c>
      <c r="P1080" s="133">
        <f>P1079/29</f>
        <v>6.8965517241379306</v>
      </c>
      <c r="Q1080" s="10">
        <f>Q1079/29</f>
        <v>0</v>
      </c>
      <c r="R1080" s="144" t="s">
        <v>422</v>
      </c>
      <c r="S1080" s="465"/>
      <c r="T1080" s="466"/>
      <c r="U1080" s="467"/>
      <c r="V1080" s="468"/>
      <c r="W1080" s="289" t="s">
        <v>12</v>
      </c>
      <c r="X1080" s="38"/>
      <c r="Y1080" s="470" t="s">
        <v>374</v>
      </c>
      <c r="Z1080" s="471"/>
    </row>
    <row r="1081" spans="3:26" ht="16.5" thickTop="1" thickBot="1">
      <c r="C1081" s="15"/>
      <c r="D1081" s="462"/>
      <c r="E1081" s="463"/>
      <c r="F1081" s="6">
        <f t="shared" si="21"/>
        <v>150</v>
      </c>
      <c r="G1081" s="462" t="s">
        <v>927</v>
      </c>
      <c r="H1081" s="464"/>
      <c r="I1081" s="20"/>
      <c r="J1081" s="462"/>
      <c r="K1081" s="464"/>
      <c r="L1081" s="76"/>
      <c r="M1081" s="25"/>
      <c r="N1081" s="293"/>
      <c r="O1081" s="136" t="s">
        <v>325</v>
      </c>
      <c r="P1081" s="319">
        <f>P1064+P1082</f>
        <v>2208.88</v>
      </c>
      <c r="Q1081" s="320">
        <f>Z1079</f>
        <v>0</v>
      </c>
      <c r="R1081" s="143" t="s">
        <v>421</v>
      </c>
      <c r="S1081" s="465"/>
      <c r="T1081" s="466"/>
      <c r="U1081" s="467"/>
      <c r="V1081" s="468"/>
      <c r="W1081" s="282" t="s">
        <v>373</v>
      </c>
      <c r="X1081" s="281"/>
      <c r="Y1081" s="321" t="s">
        <v>181</v>
      </c>
      <c r="Z1081" s="322">
        <v>0</v>
      </c>
    </row>
    <row r="1082" spans="3:26" ht="15.75" thickBot="1">
      <c r="C1082" s="266"/>
      <c r="D1082" s="448"/>
      <c r="E1082" s="469"/>
      <c r="F1082" s="6">
        <f t="shared" si="21"/>
        <v>150</v>
      </c>
      <c r="G1082" s="462" t="s">
        <v>925</v>
      </c>
      <c r="H1082" s="464"/>
      <c r="I1082" s="20"/>
      <c r="J1082" s="462"/>
      <c r="K1082" s="464"/>
      <c r="L1082" s="76"/>
      <c r="M1082" s="25"/>
      <c r="N1082" s="295"/>
      <c r="O1082" s="140" t="s">
        <v>321</v>
      </c>
      <c r="P1082" s="132">
        <f>SUM(M1073:M1086)</f>
        <v>150</v>
      </c>
      <c r="Q1082" s="72">
        <f>Q1081-Q1064</f>
        <v>0</v>
      </c>
      <c r="R1082" s="144" t="s">
        <v>418</v>
      </c>
      <c r="S1082" s="465"/>
      <c r="T1082" s="466"/>
      <c r="U1082" s="467"/>
      <c r="V1082" s="468"/>
      <c r="W1082" s="282" t="s">
        <v>378</v>
      </c>
      <c r="X1082" s="281"/>
      <c r="Y1082" s="470" t="s">
        <v>1000</v>
      </c>
      <c r="Z1082" s="471"/>
    </row>
    <row r="1083" spans="3:26" ht="16.5" thickTop="1" thickBot="1">
      <c r="C1083" s="266"/>
      <c r="D1083" s="448" t="s">
        <v>1001</v>
      </c>
      <c r="E1083" s="469"/>
      <c r="F1083" s="6">
        <f t="shared" si="21"/>
        <v>30</v>
      </c>
      <c r="G1083" s="462" t="s">
        <v>33</v>
      </c>
      <c r="H1083" s="464"/>
      <c r="I1083" s="20"/>
      <c r="J1083" s="462"/>
      <c r="K1083" s="464"/>
      <c r="L1083" s="76"/>
      <c r="M1083" s="25"/>
      <c r="N1083" s="293"/>
      <c r="O1083" s="141" t="s">
        <v>322</v>
      </c>
      <c r="P1083" s="133">
        <f>P1082/29</f>
        <v>5.1724137931034484</v>
      </c>
      <c r="Q1083" s="10">
        <f>Q1082/29</f>
        <v>0</v>
      </c>
      <c r="R1083" s="144" t="s">
        <v>438</v>
      </c>
      <c r="S1083" s="465"/>
      <c r="T1083" s="466"/>
      <c r="U1083" s="472"/>
      <c r="V1083" s="473"/>
      <c r="W1083" s="289" t="s">
        <v>379</v>
      </c>
      <c r="X1083" s="281"/>
      <c r="Y1083" s="143" t="s">
        <v>12</v>
      </c>
      <c r="Z1083" s="12"/>
    </row>
    <row r="1084" spans="3:26" ht="15.75" thickBot="1">
      <c r="C1084" s="15">
        <f>C1067</f>
        <v>4775.66</v>
      </c>
      <c r="D1084" s="455" t="s">
        <v>11</v>
      </c>
      <c r="E1084" s="456"/>
      <c r="F1084" s="15"/>
      <c r="G1084" s="462"/>
      <c r="H1084" s="464"/>
      <c r="I1084" s="20"/>
      <c r="J1084" s="462"/>
      <c r="K1084" s="464"/>
      <c r="L1084" s="76"/>
      <c r="M1084" s="25"/>
      <c r="N1084" s="295"/>
      <c r="O1084" s="136" t="s">
        <v>323</v>
      </c>
      <c r="P1084" s="319">
        <f>P1067+P1085</f>
        <v>12712.45730445853</v>
      </c>
      <c r="Q1084" s="320">
        <f>S1073+U1073</f>
        <v>0</v>
      </c>
      <c r="R1084" s="144" t="s">
        <v>380</v>
      </c>
      <c r="S1084" s="291">
        <f>S1075-S1076</f>
        <v>0</v>
      </c>
      <c r="T1084" s="327" t="e">
        <f>S1084/S1076</f>
        <v>#DIV/0!</v>
      </c>
      <c r="U1084" s="291">
        <f>U1075-U1076</f>
        <v>0</v>
      </c>
      <c r="V1084" s="329" t="e">
        <f>U1084/U1076</f>
        <v>#DIV/0!</v>
      </c>
      <c r="W1084" s="146" t="s">
        <v>375</v>
      </c>
      <c r="X1084" s="326"/>
      <c r="Y1084" s="144" t="s">
        <v>373</v>
      </c>
      <c r="Z1084" s="72"/>
    </row>
    <row r="1085" spans="3:26">
      <c r="C1085" s="15"/>
      <c r="D1085" s="455" t="s">
        <v>390</v>
      </c>
      <c r="E1085" s="456"/>
      <c r="F1085" s="15"/>
      <c r="G1085" s="457" t="s">
        <v>38</v>
      </c>
      <c r="H1085" s="458"/>
      <c r="I1085" s="20"/>
      <c r="J1085" s="457" t="s">
        <v>38</v>
      </c>
      <c r="K1085" s="458"/>
      <c r="L1085" s="76"/>
      <c r="M1085" s="25"/>
      <c r="N1085" s="293"/>
      <c r="O1085" s="140" t="s">
        <v>321</v>
      </c>
      <c r="P1085" s="132">
        <f>SUM(N1073:N1086)</f>
        <v>200</v>
      </c>
      <c r="Q1085" s="72">
        <f>Q1084-Q1067</f>
        <v>0</v>
      </c>
      <c r="R1085" s="144" t="s">
        <v>381</v>
      </c>
      <c r="S1085" s="291">
        <f>S1073-S1078</f>
        <v>0</v>
      </c>
      <c r="T1085" s="327" t="e">
        <f>S1085/S1078</f>
        <v>#DIV/0!</v>
      </c>
      <c r="U1085" s="291">
        <f>U1073-U1078</f>
        <v>0</v>
      </c>
      <c r="V1085" s="366" t="e">
        <f>U1085/ABS(U1078)</f>
        <v>#DIV/0!</v>
      </c>
      <c r="W1085" s="337" t="s">
        <v>410</v>
      </c>
      <c r="X1085" s="1" t="s">
        <v>558</v>
      </c>
      <c r="Y1085" s="144" t="s">
        <v>379</v>
      </c>
      <c r="Z1085" s="72"/>
    </row>
    <row r="1086" spans="3:26" ht="15.75" thickBot="1">
      <c r="C1086" s="17"/>
      <c r="D1086" s="459"/>
      <c r="E1086" s="460"/>
      <c r="F1086" s="17"/>
      <c r="G1086" s="459"/>
      <c r="H1086" s="461"/>
      <c r="I1086" s="21"/>
      <c r="J1086" s="459"/>
      <c r="K1086" s="461"/>
      <c r="L1086" s="42"/>
      <c r="M1086" s="5"/>
      <c r="N1086" s="21"/>
      <c r="O1086" s="137" t="s">
        <v>322</v>
      </c>
      <c r="P1086" s="138">
        <f>P1085/29</f>
        <v>6.8965517241379306</v>
      </c>
      <c r="Q1086" s="24">
        <f>Q1085/29</f>
        <v>0</v>
      </c>
      <c r="R1086" s="153" t="s">
        <v>410</v>
      </c>
      <c r="S1086" s="296">
        <f>S1084+S1085</f>
        <v>0</v>
      </c>
      <c r="T1086" s="328" t="e">
        <f>S1086/S1074</f>
        <v>#DIV/0!</v>
      </c>
      <c r="U1086" s="296">
        <f>U1085+U1084</f>
        <v>0</v>
      </c>
      <c r="V1086" s="330" t="e">
        <f>U1086/U1074</f>
        <v>#DIV/0!</v>
      </c>
      <c r="W1086" s="296">
        <f>S1086+U1086</f>
        <v>0</v>
      </c>
      <c r="X1086" s="330" t="e">
        <f>(W1086+S1074+U1074)/(S1074+U1074)-1</f>
        <v>#DIV/0!</v>
      </c>
      <c r="Y1086" s="153" t="s">
        <v>375</v>
      </c>
      <c r="Z1086" s="389"/>
    </row>
    <row r="1087" spans="3:26" ht="17.25" thickTop="1" thickBot="1">
      <c r="C1087" s="264">
        <v>46508</v>
      </c>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3:26" ht="17.25" thickTop="1" thickBot="1">
      <c r="C1088" s="480" t="s">
        <v>386</v>
      </c>
      <c r="D1088" s="481"/>
      <c r="E1088" s="482"/>
      <c r="F1088" s="483" t="s">
        <v>387</v>
      </c>
      <c r="G1088" s="484"/>
      <c r="H1088" s="484"/>
      <c r="I1088" s="484"/>
      <c r="J1088" s="484"/>
      <c r="K1088" s="484"/>
      <c r="L1088" s="484"/>
      <c r="M1088" s="484"/>
      <c r="N1088" s="485"/>
      <c r="O1088" s="261" t="s">
        <v>320</v>
      </c>
      <c r="P1088" s="262" t="s">
        <v>257</v>
      </c>
      <c r="Q1088" s="263" t="s">
        <v>319</v>
      </c>
      <c r="R1088" s="486" t="s">
        <v>144</v>
      </c>
      <c r="S1088" s="487"/>
      <c r="T1088" s="487"/>
      <c r="U1088" s="487"/>
      <c r="V1088" s="487"/>
      <c r="W1088" s="487"/>
      <c r="X1088" s="487"/>
      <c r="Y1088" s="487"/>
      <c r="Z1088" s="488"/>
    </row>
    <row r="1089" spans="3:26" ht="15.75" thickBot="1">
      <c r="C1089" s="265"/>
      <c r="D1089" s="489"/>
      <c r="E1089" s="490"/>
      <c r="F1089" s="470" t="s">
        <v>3</v>
      </c>
      <c r="G1089" s="491"/>
      <c r="H1089" s="492"/>
      <c r="I1089" s="493" t="s">
        <v>4</v>
      </c>
      <c r="J1089" s="491"/>
      <c r="K1089" s="492"/>
      <c r="L1089" s="267" t="s">
        <v>324</v>
      </c>
      <c r="M1089" s="267" t="s">
        <v>325</v>
      </c>
      <c r="N1089" s="267" t="s">
        <v>323</v>
      </c>
      <c r="O1089" s="316" t="s">
        <v>5</v>
      </c>
      <c r="P1089" s="317">
        <f>P1092+P1095+P1098+P1101</f>
        <v>20783.097304458523</v>
      </c>
      <c r="Q1089" s="318">
        <f>Q1098+Q1095+Q1092+Q1101</f>
        <v>0</v>
      </c>
      <c r="R1089" s="268" t="s">
        <v>323</v>
      </c>
      <c r="S1089" s="493" t="s">
        <v>317</v>
      </c>
      <c r="T1089" s="492"/>
      <c r="U1089" s="493" t="s">
        <v>369</v>
      </c>
      <c r="V1089" s="471"/>
      <c r="W1089" s="470" t="s">
        <v>310</v>
      </c>
      <c r="X1089" s="471"/>
      <c r="Y1089" s="470" t="s">
        <v>13</v>
      </c>
      <c r="Z1089" s="471"/>
    </row>
    <row r="1090" spans="3:26" ht="16.5" thickTop="1" thickBot="1">
      <c r="C1090" s="15"/>
      <c r="D1090" s="494"/>
      <c r="E1090" s="495"/>
      <c r="G1090" s="496"/>
      <c r="H1090" s="497"/>
      <c r="J1090" s="496"/>
      <c r="K1090" s="497"/>
      <c r="L1090" s="76"/>
      <c r="M1090" s="25"/>
      <c r="N1090" s="292"/>
      <c r="O1090" s="258" t="s">
        <v>321</v>
      </c>
      <c r="P1090" s="315">
        <f>SUM(C1090:C1103)-SUM(F1090:F1103)-SUM(I1090:I1103)</f>
        <v>689.02999999999986</v>
      </c>
      <c r="Q1090" s="12">
        <f>Q1089-Q1072</f>
        <v>0</v>
      </c>
      <c r="R1090" s="307" t="s">
        <v>343</v>
      </c>
      <c r="S1090" s="498"/>
      <c r="T1090" s="499"/>
      <c r="U1090" s="498"/>
      <c r="V1090" s="500"/>
      <c r="W1090" s="501" t="s">
        <v>326</v>
      </c>
      <c r="X1090" s="502"/>
      <c r="Y1090" s="143" t="s">
        <v>17</v>
      </c>
      <c r="Z1090" s="12"/>
    </row>
    <row r="1091" spans="3:26" ht="16.5" thickTop="1" thickBot="1">
      <c r="C1091" s="15"/>
      <c r="D1091" s="455" t="s">
        <v>11</v>
      </c>
      <c r="E1091" s="456"/>
      <c r="F1091" s="6">
        <f>F1074</f>
        <v>400</v>
      </c>
      <c r="G1091" s="462" t="s">
        <v>223</v>
      </c>
      <c r="H1091" s="464"/>
      <c r="I1091" s="20">
        <f>I1074</f>
        <v>11.99</v>
      </c>
      <c r="J1091" s="462" t="s">
        <v>385</v>
      </c>
      <c r="K1091" s="464"/>
      <c r="L1091" s="76">
        <f>L1074</f>
        <v>200</v>
      </c>
      <c r="M1091" s="76">
        <f>M1074</f>
        <v>150</v>
      </c>
      <c r="N1091" s="76">
        <f>N1074</f>
        <v>200</v>
      </c>
      <c r="O1091" s="141" t="s">
        <v>322</v>
      </c>
      <c r="P1091" s="133">
        <f>P1090/29</f>
        <v>23.759655172413787</v>
      </c>
      <c r="Q1091" s="10">
        <f>Q1090/29</f>
        <v>0</v>
      </c>
      <c r="R1091" s="308" t="s">
        <v>382</v>
      </c>
      <c r="S1091" s="474"/>
      <c r="T1091" s="475"/>
      <c r="U1091" s="467"/>
      <c r="V1091" s="468"/>
      <c r="W1091" s="289" t="s">
        <v>12</v>
      </c>
      <c r="X1091" s="315"/>
      <c r="Y1091" s="144" t="s">
        <v>18</v>
      </c>
      <c r="Z1091" s="72"/>
    </row>
    <row r="1092" spans="3:26">
      <c r="C1092" s="15"/>
      <c r="D1092" s="455" t="s">
        <v>390</v>
      </c>
      <c r="E1092" s="456"/>
      <c r="F1092" s="6">
        <f t="shared" ref="F1092:F1100" si="23">F1075</f>
        <v>100</v>
      </c>
      <c r="G1092" s="462" t="s">
        <v>9</v>
      </c>
      <c r="H1092" s="464"/>
      <c r="I1092" s="20">
        <f t="shared" ref="I1092:I1097" si="24">I1075</f>
        <v>11.99</v>
      </c>
      <c r="J1092" s="462" t="s">
        <v>22</v>
      </c>
      <c r="K1092" s="464"/>
      <c r="L1092" s="76"/>
      <c r="M1092" s="25"/>
      <c r="N1092" s="294"/>
      <c r="O1092" s="136" t="s">
        <v>12</v>
      </c>
      <c r="P1092" s="319">
        <f>P1075+P1090-SUM(L1090:L1103)-SUM(M1090:M1103)-SUM(N1090:N1103)</f>
        <v>2376.7599999999934</v>
      </c>
      <c r="Q1092" s="320">
        <f>Z1090+Z1095+Z1098</f>
        <v>0</v>
      </c>
      <c r="R1092" s="308" t="s">
        <v>383</v>
      </c>
      <c r="S1092" s="474"/>
      <c r="T1092" s="475"/>
      <c r="U1092" s="467"/>
      <c r="V1092" s="468"/>
      <c r="W1092" s="282" t="s">
        <v>373</v>
      </c>
      <c r="X1092" s="132"/>
      <c r="Y1092" s="144" t="s">
        <v>19</v>
      </c>
      <c r="Z1092" s="72"/>
    </row>
    <row r="1093" spans="3:26" ht="15.75" thickBot="1">
      <c r="C1093" s="15"/>
      <c r="D1093" s="462"/>
      <c r="E1093" s="463"/>
      <c r="F1093" s="6">
        <f t="shared" si="23"/>
        <v>150</v>
      </c>
      <c r="G1093" s="462" t="s">
        <v>6</v>
      </c>
      <c r="H1093" s="464"/>
      <c r="I1093" s="20">
        <f t="shared" si="24"/>
        <v>20</v>
      </c>
      <c r="J1093" s="462" t="s">
        <v>920</v>
      </c>
      <c r="K1093" s="464"/>
      <c r="L1093" s="76"/>
      <c r="M1093" s="25"/>
      <c r="N1093" s="20"/>
      <c r="O1093" s="140" t="s">
        <v>321</v>
      </c>
      <c r="P1093" s="132">
        <f>SUM(C1090:C1103)-SUM(F1090:F1103)-SUM(I1090:I1103)-P1096-P1099-P1102</f>
        <v>139.02999999999986</v>
      </c>
      <c r="Q1093" s="72">
        <f>Q1092-Q1075</f>
        <v>0</v>
      </c>
      <c r="R1093" s="308" t="s">
        <v>424</v>
      </c>
      <c r="S1093" s="474"/>
      <c r="T1093" s="475"/>
      <c r="U1093" s="467"/>
      <c r="V1093" s="468"/>
      <c r="W1093" s="282" t="s">
        <v>378</v>
      </c>
      <c r="X1093" s="132"/>
      <c r="Y1093" s="145" t="s">
        <v>324</v>
      </c>
      <c r="Z1093" s="135"/>
    </row>
    <row r="1094" spans="3:26" ht="15.75" thickBot="1">
      <c r="C1094" s="15"/>
      <c r="D1094" s="455"/>
      <c r="E1094" s="456"/>
      <c r="F1094" s="6">
        <f t="shared" si="23"/>
        <v>370</v>
      </c>
      <c r="G1094" s="462" t="s">
        <v>97</v>
      </c>
      <c r="H1094" s="464"/>
      <c r="I1094" s="20">
        <f t="shared" si="24"/>
        <v>11.9</v>
      </c>
      <c r="J1094" s="462" t="s">
        <v>249</v>
      </c>
      <c r="K1094" s="464"/>
      <c r="L1094" s="76"/>
      <c r="M1094" s="25"/>
      <c r="N1094" s="294"/>
      <c r="O1094" s="141" t="s">
        <v>322</v>
      </c>
      <c r="P1094" s="133">
        <f>P1093/29</f>
        <v>4.7941379310344781</v>
      </c>
      <c r="Q1094" s="10">
        <f>Q1093/29</f>
        <v>0</v>
      </c>
      <c r="R1094" s="143" t="s">
        <v>12</v>
      </c>
      <c r="S1094" s="476"/>
      <c r="T1094" s="477"/>
      <c r="U1094" s="478"/>
      <c r="V1094" s="479"/>
      <c r="W1094" s="289" t="s">
        <v>379</v>
      </c>
      <c r="X1094" s="132"/>
      <c r="Y1094" s="470" t="s">
        <v>14</v>
      </c>
      <c r="Z1094" s="471"/>
    </row>
    <row r="1095" spans="3:26" ht="15.75" thickBot="1">
      <c r="C1095" s="15"/>
      <c r="D1095" s="455"/>
      <c r="E1095" s="456"/>
      <c r="F1095" s="6">
        <f t="shared" si="23"/>
        <v>1860.75</v>
      </c>
      <c r="G1095" s="462" t="s">
        <v>304</v>
      </c>
      <c r="H1095" s="464"/>
      <c r="I1095" s="20">
        <f t="shared" si="24"/>
        <v>150</v>
      </c>
      <c r="J1095" s="462" t="s">
        <v>974</v>
      </c>
      <c r="K1095" s="464"/>
      <c r="L1095" s="76"/>
      <c r="M1095" s="25"/>
      <c r="N1095" s="294"/>
      <c r="O1095" s="136" t="s">
        <v>324</v>
      </c>
      <c r="P1095" s="319">
        <f>P1078+P1096</f>
        <v>3135</v>
      </c>
      <c r="Q1095" s="320">
        <f>Z1091+Z1092+Z1093</f>
        <v>0</v>
      </c>
      <c r="R1095" s="144" t="s">
        <v>425</v>
      </c>
      <c r="S1095" s="465"/>
      <c r="T1095" s="466"/>
      <c r="U1095" s="467"/>
      <c r="V1095" s="468"/>
      <c r="W1095" s="146" t="s">
        <v>375</v>
      </c>
      <c r="X1095" s="325"/>
      <c r="Y1095" s="143" t="s">
        <v>15</v>
      </c>
      <c r="Z1095" s="12"/>
    </row>
    <row r="1096" spans="3:26" ht="15.75" thickBot="1">
      <c r="C1096" s="15"/>
      <c r="D1096" s="462"/>
      <c r="E1096" s="463"/>
      <c r="F1096" s="6">
        <f t="shared" si="23"/>
        <v>70</v>
      </c>
      <c r="G1096" s="462" t="s">
        <v>982</v>
      </c>
      <c r="H1096" s="464"/>
      <c r="I1096" s="20">
        <f t="shared" si="24"/>
        <v>150</v>
      </c>
      <c r="J1096" s="462" t="s">
        <v>105</v>
      </c>
      <c r="K1096" s="464"/>
      <c r="L1096" s="76"/>
      <c r="M1096" s="25"/>
      <c r="N1096" s="294"/>
      <c r="O1096" s="140" t="s">
        <v>321</v>
      </c>
      <c r="P1096" s="132">
        <f>SUM(L1090:L1103)</f>
        <v>200</v>
      </c>
      <c r="Q1096" s="72">
        <f>Q1095-Q1078</f>
        <v>0</v>
      </c>
      <c r="R1096" s="144" t="s">
        <v>426</v>
      </c>
      <c r="S1096" s="465"/>
      <c r="T1096" s="466"/>
      <c r="U1096" s="467"/>
      <c r="V1096" s="468"/>
      <c r="W1096" s="470" t="s">
        <v>376</v>
      </c>
      <c r="X1096" s="471"/>
      <c r="Y1096" s="146" t="s">
        <v>325</v>
      </c>
      <c r="Z1096" s="10"/>
    </row>
    <row r="1097" spans="3:26" ht="16.5" thickTop="1" thickBot="1">
      <c r="C1097" s="15"/>
      <c r="D1097" s="462"/>
      <c r="E1097" s="463"/>
      <c r="F1097" s="6">
        <f t="shared" si="23"/>
        <v>50</v>
      </c>
      <c r="G1097" s="462" t="s">
        <v>926</v>
      </c>
      <c r="H1097" s="464"/>
      <c r="I1097" s="20">
        <f t="shared" si="24"/>
        <v>400</v>
      </c>
      <c r="J1097" s="462" t="s">
        <v>206</v>
      </c>
      <c r="K1097" s="464"/>
      <c r="L1097" s="76"/>
      <c r="M1097" s="25"/>
      <c r="N1097" s="292"/>
      <c r="O1097" s="141" t="s">
        <v>322</v>
      </c>
      <c r="P1097" s="133">
        <f>P1096/29</f>
        <v>6.8965517241379306</v>
      </c>
      <c r="Q1097" s="10">
        <f>Q1096/29</f>
        <v>0</v>
      </c>
      <c r="R1097" s="144" t="s">
        <v>422</v>
      </c>
      <c r="S1097" s="465"/>
      <c r="T1097" s="466"/>
      <c r="U1097" s="467"/>
      <c r="V1097" s="468"/>
      <c r="W1097" s="289" t="s">
        <v>12</v>
      </c>
      <c r="X1097" s="38"/>
      <c r="Y1097" s="470" t="s">
        <v>374</v>
      </c>
      <c r="Z1097" s="471"/>
    </row>
    <row r="1098" spans="3:26" ht="16.5" thickTop="1" thickBot="1">
      <c r="C1098" s="15"/>
      <c r="D1098" s="462"/>
      <c r="E1098" s="463"/>
      <c r="F1098" s="6">
        <f t="shared" si="23"/>
        <v>150</v>
      </c>
      <c r="G1098" s="462" t="s">
        <v>927</v>
      </c>
      <c r="H1098" s="464"/>
      <c r="I1098" s="20"/>
      <c r="J1098" s="462"/>
      <c r="K1098" s="464"/>
      <c r="L1098" s="76"/>
      <c r="M1098" s="25"/>
      <c r="N1098" s="293"/>
      <c r="O1098" s="136" t="s">
        <v>325</v>
      </c>
      <c r="P1098" s="319">
        <f>P1081+P1099</f>
        <v>2358.88</v>
      </c>
      <c r="Q1098" s="320">
        <f>Z1096</f>
        <v>0</v>
      </c>
      <c r="R1098" s="143" t="s">
        <v>421</v>
      </c>
      <c r="S1098" s="465"/>
      <c r="T1098" s="466"/>
      <c r="U1098" s="467"/>
      <c r="V1098" s="468"/>
      <c r="W1098" s="282" t="s">
        <v>373</v>
      </c>
      <c r="X1098" s="281"/>
      <c r="Y1098" s="321" t="s">
        <v>181</v>
      </c>
      <c r="Z1098" s="322">
        <v>0</v>
      </c>
    </row>
    <row r="1099" spans="3:26" ht="15.75" thickBot="1">
      <c r="C1099" s="266"/>
      <c r="D1099" s="448"/>
      <c r="E1099" s="469"/>
      <c r="F1099" s="6">
        <f t="shared" si="23"/>
        <v>150</v>
      </c>
      <c r="G1099" s="462" t="s">
        <v>925</v>
      </c>
      <c r="H1099" s="464"/>
      <c r="I1099" s="20"/>
      <c r="J1099" s="462"/>
      <c r="K1099" s="464"/>
      <c r="L1099" s="76"/>
      <c r="M1099" s="25"/>
      <c r="N1099" s="295"/>
      <c r="O1099" s="140" t="s">
        <v>321</v>
      </c>
      <c r="P1099" s="132">
        <f>SUM(M1090:M1103)</f>
        <v>150</v>
      </c>
      <c r="Q1099" s="72">
        <f>Q1098-Q1081</f>
        <v>0</v>
      </c>
      <c r="R1099" s="144" t="s">
        <v>418</v>
      </c>
      <c r="S1099" s="465"/>
      <c r="T1099" s="466"/>
      <c r="U1099" s="467"/>
      <c r="V1099" s="468"/>
      <c r="W1099" s="282" t="s">
        <v>378</v>
      </c>
      <c r="X1099" s="281"/>
      <c r="Y1099" s="470" t="s">
        <v>1000</v>
      </c>
      <c r="Z1099" s="471"/>
    </row>
    <row r="1100" spans="3:26" ht="16.5" thickTop="1" thickBot="1">
      <c r="C1100" s="266"/>
      <c r="D1100" s="448" t="s">
        <v>1001</v>
      </c>
      <c r="E1100" s="469"/>
      <c r="F1100" s="6">
        <f t="shared" si="23"/>
        <v>30</v>
      </c>
      <c r="G1100" s="462" t="s">
        <v>33</v>
      </c>
      <c r="H1100" s="464"/>
      <c r="I1100" s="20"/>
      <c r="J1100" s="462"/>
      <c r="K1100" s="464"/>
      <c r="L1100" s="76"/>
      <c r="M1100" s="25"/>
      <c r="N1100" s="293"/>
      <c r="O1100" s="141" t="s">
        <v>322</v>
      </c>
      <c r="P1100" s="133">
        <f>P1099/29</f>
        <v>5.1724137931034484</v>
      </c>
      <c r="Q1100" s="10">
        <f>Q1099/29</f>
        <v>0</v>
      </c>
      <c r="R1100" s="144" t="s">
        <v>438</v>
      </c>
      <c r="S1100" s="465"/>
      <c r="T1100" s="466"/>
      <c r="U1100" s="472"/>
      <c r="V1100" s="473"/>
      <c r="W1100" s="289" t="s">
        <v>379</v>
      </c>
      <c r="X1100" s="281"/>
      <c r="Y1100" s="143" t="s">
        <v>12</v>
      </c>
      <c r="Z1100" s="12"/>
    </row>
    <row r="1101" spans="3:26" ht="15.75" thickBot="1">
      <c r="C1101" s="15">
        <f>C1084</f>
        <v>4775.66</v>
      </c>
      <c r="D1101" s="455" t="s">
        <v>11</v>
      </c>
      <c r="E1101" s="456"/>
      <c r="F1101" s="15"/>
      <c r="G1101" s="462"/>
      <c r="H1101" s="464"/>
      <c r="I1101" s="20"/>
      <c r="J1101" s="462"/>
      <c r="K1101" s="464"/>
      <c r="L1101" s="76"/>
      <c r="M1101" s="25"/>
      <c r="N1101" s="295"/>
      <c r="O1101" s="136" t="s">
        <v>323</v>
      </c>
      <c r="P1101" s="319">
        <f>P1084+P1102</f>
        <v>12912.45730445853</v>
      </c>
      <c r="Q1101" s="320">
        <f>S1090+U1090</f>
        <v>0</v>
      </c>
      <c r="R1101" s="144" t="s">
        <v>380</v>
      </c>
      <c r="S1101" s="291">
        <f>S1092-S1093</f>
        <v>0</v>
      </c>
      <c r="T1101" s="327" t="e">
        <f>S1101/S1093</f>
        <v>#DIV/0!</v>
      </c>
      <c r="U1101" s="291">
        <f>U1092-U1093</f>
        <v>0</v>
      </c>
      <c r="V1101" s="329" t="e">
        <f>U1101/U1093</f>
        <v>#DIV/0!</v>
      </c>
      <c r="W1101" s="146" t="s">
        <v>375</v>
      </c>
      <c r="X1101" s="326"/>
      <c r="Y1101" s="144" t="s">
        <v>373</v>
      </c>
      <c r="Z1101" s="72"/>
    </row>
    <row r="1102" spans="3:26">
      <c r="C1102" s="15"/>
      <c r="D1102" s="455" t="s">
        <v>390</v>
      </c>
      <c r="E1102" s="456"/>
      <c r="F1102" s="15"/>
      <c r="G1102" s="457" t="s">
        <v>38</v>
      </c>
      <c r="H1102" s="458"/>
      <c r="I1102" s="20"/>
      <c r="J1102" s="457" t="s">
        <v>38</v>
      </c>
      <c r="K1102" s="458"/>
      <c r="L1102" s="76"/>
      <c r="M1102" s="25"/>
      <c r="N1102" s="293"/>
      <c r="O1102" s="140" t="s">
        <v>321</v>
      </c>
      <c r="P1102" s="132">
        <f>SUM(N1090:N1103)</f>
        <v>200</v>
      </c>
      <c r="Q1102" s="72">
        <f>Q1101-Q1084</f>
        <v>0</v>
      </c>
      <c r="R1102" s="144" t="s">
        <v>381</v>
      </c>
      <c r="S1102" s="291">
        <f>S1090-S1095</f>
        <v>0</v>
      </c>
      <c r="T1102" s="327" t="e">
        <f>S1102/S1095</f>
        <v>#DIV/0!</v>
      </c>
      <c r="U1102" s="291">
        <f>U1090-U1095</f>
        <v>0</v>
      </c>
      <c r="V1102" s="366" t="e">
        <f>U1102/ABS(U1095)</f>
        <v>#DIV/0!</v>
      </c>
      <c r="W1102" s="337" t="s">
        <v>410</v>
      </c>
      <c r="X1102" s="1" t="s">
        <v>558</v>
      </c>
      <c r="Y1102" s="144" t="s">
        <v>379</v>
      </c>
      <c r="Z1102" s="72"/>
    </row>
    <row r="1103" spans="3:26" ht="15.75" thickBot="1">
      <c r="C1103" s="17"/>
      <c r="D1103" s="459"/>
      <c r="E1103" s="460"/>
      <c r="F1103" s="17"/>
      <c r="G1103" s="459"/>
      <c r="H1103" s="461"/>
      <c r="I1103" s="21"/>
      <c r="J1103" s="459"/>
      <c r="K1103" s="461"/>
      <c r="L1103" s="42"/>
      <c r="M1103" s="5"/>
      <c r="N1103" s="21"/>
      <c r="O1103" s="137" t="s">
        <v>322</v>
      </c>
      <c r="P1103" s="138">
        <f>P1102/29</f>
        <v>6.8965517241379306</v>
      </c>
      <c r="Q1103" s="24">
        <f>Q1102/29</f>
        <v>0</v>
      </c>
      <c r="R1103" s="153" t="s">
        <v>410</v>
      </c>
      <c r="S1103" s="296">
        <f>S1101+S1102</f>
        <v>0</v>
      </c>
      <c r="T1103" s="328" t="e">
        <f>S1103/S1091</f>
        <v>#DIV/0!</v>
      </c>
      <c r="U1103" s="296">
        <f>U1102+U1101</f>
        <v>0</v>
      </c>
      <c r="V1103" s="330" t="e">
        <f>U1103/U1091</f>
        <v>#DIV/0!</v>
      </c>
      <c r="W1103" s="296">
        <f>S1103+U1103</f>
        <v>0</v>
      </c>
      <c r="X1103" s="330" t="e">
        <f>(W1103+S1091+U1091)/(S1091+U1091)-1</f>
        <v>#DIV/0!</v>
      </c>
      <c r="Y1103" s="153" t="s">
        <v>375</v>
      </c>
      <c r="Z1103" s="389"/>
    </row>
    <row r="1104" spans="3:26" ht="17.25" thickTop="1" thickBot="1">
      <c r="C1104" s="264">
        <v>46539</v>
      </c>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3:26" ht="17.25" thickTop="1" thickBot="1">
      <c r="C1105" s="480" t="s">
        <v>386</v>
      </c>
      <c r="D1105" s="481"/>
      <c r="E1105" s="482"/>
      <c r="F1105" s="483" t="s">
        <v>387</v>
      </c>
      <c r="G1105" s="484"/>
      <c r="H1105" s="484"/>
      <c r="I1105" s="484"/>
      <c r="J1105" s="484"/>
      <c r="K1105" s="484"/>
      <c r="L1105" s="484"/>
      <c r="M1105" s="484"/>
      <c r="N1105" s="485"/>
      <c r="O1105" s="261" t="s">
        <v>320</v>
      </c>
      <c r="P1105" s="262" t="s">
        <v>257</v>
      </c>
      <c r="Q1105" s="263" t="s">
        <v>319</v>
      </c>
      <c r="R1105" s="486" t="s">
        <v>144</v>
      </c>
      <c r="S1105" s="487"/>
      <c r="T1105" s="487"/>
      <c r="U1105" s="487"/>
      <c r="V1105" s="487"/>
      <c r="W1105" s="487"/>
      <c r="X1105" s="487"/>
      <c r="Y1105" s="487"/>
      <c r="Z1105" s="488"/>
    </row>
    <row r="1106" spans="3:26" ht="15.75" thickBot="1">
      <c r="C1106" s="265"/>
      <c r="D1106" s="489"/>
      <c r="E1106" s="490"/>
      <c r="F1106" s="470" t="s">
        <v>3</v>
      </c>
      <c r="G1106" s="491"/>
      <c r="H1106" s="492"/>
      <c r="I1106" s="493" t="s">
        <v>4</v>
      </c>
      <c r="J1106" s="491"/>
      <c r="K1106" s="492"/>
      <c r="L1106" s="267" t="s">
        <v>324</v>
      </c>
      <c r="M1106" s="267" t="s">
        <v>325</v>
      </c>
      <c r="N1106" s="267" t="s">
        <v>323</v>
      </c>
      <c r="O1106" s="316" t="s">
        <v>5</v>
      </c>
      <c r="P1106" s="317">
        <f>P1109+P1112+P1115+P1118</f>
        <v>21472.127304458525</v>
      </c>
      <c r="Q1106" s="318">
        <f>Q1115+Q1112+Q1109+Q1118</f>
        <v>0</v>
      </c>
      <c r="R1106" s="268" t="s">
        <v>323</v>
      </c>
      <c r="S1106" s="493" t="s">
        <v>317</v>
      </c>
      <c r="T1106" s="492"/>
      <c r="U1106" s="493" t="s">
        <v>369</v>
      </c>
      <c r="V1106" s="471"/>
      <c r="W1106" s="470" t="s">
        <v>310</v>
      </c>
      <c r="X1106" s="471"/>
      <c r="Y1106" s="470" t="s">
        <v>13</v>
      </c>
      <c r="Z1106" s="471"/>
    </row>
    <row r="1107" spans="3:26" ht="16.5" thickTop="1" thickBot="1">
      <c r="C1107" s="15"/>
      <c r="D1107" s="494"/>
      <c r="E1107" s="495"/>
      <c r="G1107" s="496"/>
      <c r="H1107" s="497"/>
      <c r="J1107" s="496"/>
      <c r="K1107" s="497"/>
      <c r="L1107" s="76"/>
      <c r="M1107" s="25"/>
      <c r="N1107" s="292"/>
      <c r="O1107" s="258" t="s">
        <v>321</v>
      </c>
      <c r="P1107" s="315">
        <f>SUM(C1107:C1120)-SUM(F1107:F1120)-SUM(I1107:I1120)</f>
        <v>689.02999999999986</v>
      </c>
      <c r="Q1107" s="12">
        <f>Q1106-Q1089</f>
        <v>0</v>
      </c>
      <c r="R1107" s="307" t="s">
        <v>343</v>
      </c>
      <c r="S1107" s="498"/>
      <c r="T1107" s="499"/>
      <c r="U1107" s="498"/>
      <c r="V1107" s="500"/>
      <c r="W1107" s="501" t="s">
        <v>326</v>
      </c>
      <c r="X1107" s="502"/>
      <c r="Y1107" s="143" t="s">
        <v>17</v>
      </c>
      <c r="Z1107" s="12"/>
    </row>
    <row r="1108" spans="3:26" ht="16.5" thickTop="1" thickBot="1">
      <c r="C1108" s="15"/>
      <c r="D1108" s="455" t="s">
        <v>11</v>
      </c>
      <c r="E1108" s="456"/>
      <c r="F1108" s="6">
        <f>F1091</f>
        <v>400</v>
      </c>
      <c r="G1108" s="462" t="s">
        <v>223</v>
      </c>
      <c r="H1108" s="464"/>
      <c r="I1108" s="20">
        <f>I1091</f>
        <v>11.99</v>
      </c>
      <c r="J1108" s="462" t="s">
        <v>385</v>
      </c>
      <c r="K1108" s="464"/>
      <c r="L1108" s="76">
        <f>L1091</f>
        <v>200</v>
      </c>
      <c r="M1108" s="76">
        <f>M1091</f>
        <v>150</v>
      </c>
      <c r="N1108" s="76">
        <f>N1091</f>
        <v>200</v>
      </c>
      <c r="O1108" s="141" t="s">
        <v>322</v>
      </c>
      <c r="P1108" s="133">
        <f>P1107/29</f>
        <v>23.759655172413787</v>
      </c>
      <c r="Q1108" s="10">
        <f>Q1107/29</f>
        <v>0</v>
      </c>
      <c r="R1108" s="308" t="s">
        <v>382</v>
      </c>
      <c r="S1108" s="474"/>
      <c r="T1108" s="475"/>
      <c r="U1108" s="467"/>
      <c r="V1108" s="468"/>
      <c r="W1108" s="289" t="s">
        <v>12</v>
      </c>
      <c r="X1108" s="315"/>
      <c r="Y1108" s="144" t="s">
        <v>18</v>
      </c>
      <c r="Z1108" s="72"/>
    </row>
    <row r="1109" spans="3:26">
      <c r="C1109" s="15"/>
      <c r="D1109" s="455" t="s">
        <v>390</v>
      </c>
      <c r="E1109" s="456"/>
      <c r="F1109" s="6">
        <f t="shared" ref="F1109:F1117" si="25">F1092</f>
        <v>100</v>
      </c>
      <c r="G1109" s="462" t="s">
        <v>9</v>
      </c>
      <c r="H1109" s="464"/>
      <c r="I1109" s="20">
        <f t="shared" ref="I1109:I1114" si="26">I1092</f>
        <v>11.99</v>
      </c>
      <c r="J1109" s="462" t="s">
        <v>22</v>
      </c>
      <c r="K1109" s="464"/>
      <c r="L1109" s="76"/>
      <c r="M1109" s="25"/>
      <c r="N1109" s="294"/>
      <c r="O1109" s="136" t="s">
        <v>12</v>
      </c>
      <c r="P1109" s="319">
        <f>P1092+P1107-SUM(L1107:L1120)-SUM(M1107:M1120)-SUM(N1107:N1120)</f>
        <v>2515.7899999999931</v>
      </c>
      <c r="Q1109" s="320">
        <f>Z1107+Z1112+Z1115</f>
        <v>0</v>
      </c>
      <c r="R1109" s="308" t="s">
        <v>383</v>
      </c>
      <c r="S1109" s="474"/>
      <c r="T1109" s="475"/>
      <c r="U1109" s="467"/>
      <c r="V1109" s="468"/>
      <c r="W1109" s="282" t="s">
        <v>373</v>
      </c>
      <c r="X1109" s="132"/>
      <c r="Y1109" s="144" t="s">
        <v>19</v>
      </c>
      <c r="Z1109" s="72"/>
    </row>
    <row r="1110" spans="3:26" ht="15.75" thickBot="1">
      <c r="C1110" s="15"/>
      <c r="D1110" s="462"/>
      <c r="E1110" s="463"/>
      <c r="F1110" s="6">
        <f t="shared" si="25"/>
        <v>150</v>
      </c>
      <c r="G1110" s="462" t="s">
        <v>6</v>
      </c>
      <c r="H1110" s="464"/>
      <c r="I1110" s="20">
        <f t="shared" si="26"/>
        <v>20</v>
      </c>
      <c r="J1110" s="462" t="s">
        <v>920</v>
      </c>
      <c r="K1110" s="464"/>
      <c r="L1110" s="76"/>
      <c r="M1110" s="25"/>
      <c r="N1110" s="20"/>
      <c r="O1110" s="140" t="s">
        <v>321</v>
      </c>
      <c r="P1110" s="132">
        <f>SUM(C1107:C1120)-SUM(F1107:F1120)-SUM(I1107:I1120)-P1113-P1116-P1119</f>
        <v>139.02999999999986</v>
      </c>
      <c r="Q1110" s="72">
        <f>Q1109-Q1092</f>
        <v>0</v>
      </c>
      <c r="R1110" s="308" t="s">
        <v>424</v>
      </c>
      <c r="S1110" s="474"/>
      <c r="T1110" s="475"/>
      <c r="U1110" s="467"/>
      <c r="V1110" s="468"/>
      <c r="W1110" s="282" t="s">
        <v>378</v>
      </c>
      <c r="X1110" s="132"/>
      <c r="Y1110" s="145" t="s">
        <v>324</v>
      </c>
      <c r="Z1110" s="135"/>
    </row>
    <row r="1111" spans="3:26" ht="15.75" thickBot="1">
      <c r="C1111" s="15"/>
      <c r="D1111" s="455"/>
      <c r="E1111" s="456"/>
      <c r="F1111" s="6">
        <f t="shared" si="25"/>
        <v>370</v>
      </c>
      <c r="G1111" s="462" t="s">
        <v>97</v>
      </c>
      <c r="H1111" s="464"/>
      <c r="I1111" s="20">
        <f t="shared" si="26"/>
        <v>11.9</v>
      </c>
      <c r="J1111" s="462" t="s">
        <v>249</v>
      </c>
      <c r="K1111" s="464"/>
      <c r="L1111" s="76"/>
      <c r="M1111" s="25"/>
      <c r="N1111" s="294"/>
      <c r="O1111" s="141" t="s">
        <v>322</v>
      </c>
      <c r="P1111" s="133">
        <f>P1110/29</f>
        <v>4.7941379310344781</v>
      </c>
      <c r="Q1111" s="10">
        <f>Q1110/29</f>
        <v>0</v>
      </c>
      <c r="R1111" s="143" t="s">
        <v>12</v>
      </c>
      <c r="S1111" s="476"/>
      <c r="T1111" s="477"/>
      <c r="U1111" s="478"/>
      <c r="V1111" s="479"/>
      <c r="W1111" s="289" t="s">
        <v>379</v>
      </c>
      <c r="X1111" s="132"/>
      <c r="Y1111" s="470" t="s">
        <v>14</v>
      </c>
      <c r="Z1111" s="471"/>
    </row>
    <row r="1112" spans="3:26" ht="15.75" thickBot="1">
      <c r="C1112" s="15"/>
      <c r="D1112" s="455"/>
      <c r="E1112" s="456"/>
      <c r="F1112" s="6">
        <f t="shared" si="25"/>
        <v>1860.75</v>
      </c>
      <c r="G1112" s="462" t="s">
        <v>304</v>
      </c>
      <c r="H1112" s="464"/>
      <c r="I1112" s="20">
        <f t="shared" si="26"/>
        <v>150</v>
      </c>
      <c r="J1112" s="462" t="s">
        <v>974</v>
      </c>
      <c r="K1112" s="464"/>
      <c r="L1112" s="76"/>
      <c r="M1112" s="25"/>
      <c r="N1112" s="294"/>
      <c r="O1112" s="136" t="s">
        <v>324</v>
      </c>
      <c r="P1112" s="319">
        <f>P1095+P1113</f>
        <v>3335</v>
      </c>
      <c r="Q1112" s="320">
        <f>Z1108+Z1109+Z1110</f>
        <v>0</v>
      </c>
      <c r="R1112" s="144" t="s">
        <v>425</v>
      </c>
      <c r="S1112" s="465"/>
      <c r="T1112" s="466"/>
      <c r="U1112" s="467"/>
      <c r="V1112" s="468"/>
      <c r="W1112" s="146" t="s">
        <v>375</v>
      </c>
      <c r="X1112" s="325"/>
      <c r="Y1112" s="143" t="s">
        <v>15</v>
      </c>
      <c r="Z1112" s="12"/>
    </row>
    <row r="1113" spans="3:26" ht="15.75" thickBot="1">
      <c r="C1113" s="15"/>
      <c r="D1113" s="462"/>
      <c r="E1113" s="463"/>
      <c r="F1113" s="6">
        <f t="shared" si="25"/>
        <v>70</v>
      </c>
      <c r="G1113" s="462" t="s">
        <v>982</v>
      </c>
      <c r="H1113" s="464"/>
      <c r="I1113" s="20">
        <f t="shared" si="26"/>
        <v>150</v>
      </c>
      <c r="J1113" s="462" t="s">
        <v>105</v>
      </c>
      <c r="K1113" s="464"/>
      <c r="L1113" s="76"/>
      <c r="M1113" s="25"/>
      <c r="N1113" s="294"/>
      <c r="O1113" s="140" t="s">
        <v>321</v>
      </c>
      <c r="P1113" s="132">
        <f>SUM(L1107:L1120)</f>
        <v>200</v>
      </c>
      <c r="Q1113" s="72">
        <f>Q1112-Q1095</f>
        <v>0</v>
      </c>
      <c r="R1113" s="144" t="s">
        <v>426</v>
      </c>
      <c r="S1113" s="465"/>
      <c r="T1113" s="466"/>
      <c r="U1113" s="467"/>
      <c r="V1113" s="468"/>
      <c r="W1113" s="470" t="s">
        <v>376</v>
      </c>
      <c r="X1113" s="471"/>
      <c r="Y1113" s="146" t="s">
        <v>325</v>
      </c>
      <c r="Z1113" s="10"/>
    </row>
    <row r="1114" spans="3:26" ht="16.5" thickTop="1" thickBot="1">
      <c r="C1114" s="15"/>
      <c r="D1114" s="462"/>
      <c r="E1114" s="463"/>
      <c r="F1114" s="6">
        <f t="shared" si="25"/>
        <v>50</v>
      </c>
      <c r="G1114" s="462" t="s">
        <v>926</v>
      </c>
      <c r="H1114" s="464"/>
      <c r="I1114" s="20">
        <f t="shared" si="26"/>
        <v>400</v>
      </c>
      <c r="J1114" s="462" t="s">
        <v>206</v>
      </c>
      <c r="K1114" s="464"/>
      <c r="L1114" s="76"/>
      <c r="M1114" s="25"/>
      <c r="N1114" s="292"/>
      <c r="O1114" s="141" t="s">
        <v>322</v>
      </c>
      <c r="P1114" s="133">
        <f>P1113/29</f>
        <v>6.8965517241379306</v>
      </c>
      <c r="Q1114" s="10">
        <f>Q1113/29</f>
        <v>0</v>
      </c>
      <c r="R1114" s="144" t="s">
        <v>422</v>
      </c>
      <c r="S1114" s="465"/>
      <c r="T1114" s="466"/>
      <c r="U1114" s="467"/>
      <c r="V1114" s="468"/>
      <c r="W1114" s="289" t="s">
        <v>12</v>
      </c>
      <c r="X1114" s="38"/>
      <c r="Y1114" s="470" t="s">
        <v>374</v>
      </c>
      <c r="Z1114" s="471"/>
    </row>
    <row r="1115" spans="3:26" ht="16.5" thickTop="1" thickBot="1">
      <c r="C1115" s="15"/>
      <c r="D1115" s="462"/>
      <c r="E1115" s="463"/>
      <c r="F1115" s="6">
        <f t="shared" si="25"/>
        <v>150</v>
      </c>
      <c r="G1115" s="462" t="s">
        <v>927</v>
      </c>
      <c r="H1115" s="464"/>
      <c r="I1115" s="20"/>
      <c r="J1115" s="462"/>
      <c r="K1115" s="464"/>
      <c r="L1115" s="76"/>
      <c r="M1115" s="25"/>
      <c r="N1115" s="293"/>
      <c r="O1115" s="136" t="s">
        <v>325</v>
      </c>
      <c r="P1115" s="319">
        <f>P1098+P1116</f>
        <v>2508.88</v>
      </c>
      <c r="Q1115" s="320">
        <f>Z1113</f>
        <v>0</v>
      </c>
      <c r="R1115" s="143" t="s">
        <v>421</v>
      </c>
      <c r="S1115" s="465"/>
      <c r="T1115" s="466"/>
      <c r="U1115" s="467"/>
      <c r="V1115" s="468"/>
      <c r="W1115" s="282" t="s">
        <v>373</v>
      </c>
      <c r="X1115" s="281"/>
      <c r="Y1115" s="321" t="s">
        <v>181</v>
      </c>
      <c r="Z1115" s="322">
        <v>0</v>
      </c>
    </row>
    <row r="1116" spans="3:26" ht="15.75" thickBot="1">
      <c r="C1116" s="266"/>
      <c r="D1116" s="448"/>
      <c r="E1116" s="469"/>
      <c r="F1116" s="6">
        <f t="shared" si="25"/>
        <v>150</v>
      </c>
      <c r="G1116" s="462" t="s">
        <v>925</v>
      </c>
      <c r="H1116" s="464"/>
      <c r="I1116" s="20"/>
      <c r="J1116" s="462"/>
      <c r="K1116" s="464"/>
      <c r="L1116" s="76"/>
      <c r="M1116" s="25"/>
      <c r="N1116" s="295"/>
      <c r="O1116" s="140" t="s">
        <v>321</v>
      </c>
      <c r="P1116" s="132">
        <f>SUM(M1107:M1120)</f>
        <v>150</v>
      </c>
      <c r="Q1116" s="72">
        <f>Q1115-Q1098</f>
        <v>0</v>
      </c>
      <c r="R1116" s="144" t="s">
        <v>418</v>
      </c>
      <c r="S1116" s="465"/>
      <c r="T1116" s="466"/>
      <c r="U1116" s="467"/>
      <c r="V1116" s="468"/>
      <c r="W1116" s="282" t="s">
        <v>378</v>
      </c>
      <c r="X1116" s="281"/>
      <c r="Y1116" s="470" t="s">
        <v>1000</v>
      </c>
      <c r="Z1116" s="471"/>
    </row>
    <row r="1117" spans="3:26" ht="16.5" thickTop="1" thickBot="1">
      <c r="C1117" s="266"/>
      <c r="D1117" s="448" t="s">
        <v>1001</v>
      </c>
      <c r="E1117" s="469"/>
      <c r="F1117" s="6">
        <f t="shared" si="25"/>
        <v>30</v>
      </c>
      <c r="G1117" s="462" t="s">
        <v>33</v>
      </c>
      <c r="H1117" s="464"/>
      <c r="I1117" s="20"/>
      <c r="J1117" s="462"/>
      <c r="K1117" s="464"/>
      <c r="L1117" s="76"/>
      <c r="M1117" s="25"/>
      <c r="N1117" s="293"/>
      <c r="O1117" s="141" t="s">
        <v>322</v>
      </c>
      <c r="P1117" s="133">
        <f>P1116/29</f>
        <v>5.1724137931034484</v>
      </c>
      <c r="Q1117" s="10">
        <f>Q1116/29</f>
        <v>0</v>
      </c>
      <c r="R1117" s="144" t="s">
        <v>438</v>
      </c>
      <c r="S1117" s="465"/>
      <c r="T1117" s="466"/>
      <c r="U1117" s="472"/>
      <c r="V1117" s="473"/>
      <c r="W1117" s="289" t="s">
        <v>379</v>
      </c>
      <c r="X1117" s="281"/>
      <c r="Y1117" s="143" t="s">
        <v>12</v>
      </c>
      <c r="Z1117" s="12"/>
    </row>
    <row r="1118" spans="3:26" ht="15.75" thickBot="1">
      <c r="C1118" s="15">
        <f>C1101</f>
        <v>4775.66</v>
      </c>
      <c r="D1118" s="455" t="s">
        <v>11</v>
      </c>
      <c r="E1118" s="456"/>
      <c r="F1118" s="15"/>
      <c r="G1118" s="462"/>
      <c r="H1118" s="464"/>
      <c r="I1118" s="20"/>
      <c r="J1118" s="462"/>
      <c r="K1118" s="464"/>
      <c r="L1118" s="76"/>
      <c r="M1118" s="25"/>
      <c r="N1118" s="295"/>
      <c r="O1118" s="136" t="s">
        <v>323</v>
      </c>
      <c r="P1118" s="319">
        <f>P1101+P1119</f>
        <v>13112.45730445853</v>
      </c>
      <c r="Q1118" s="320">
        <f>S1107+U1107</f>
        <v>0</v>
      </c>
      <c r="R1118" s="144" t="s">
        <v>380</v>
      </c>
      <c r="S1118" s="291">
        <f>S1109-S1110</f>
        <v>0</v>
      </c>
      <c r="T1118" s="327" t="e">
        <f>S1118/S1110</f>
        <v>#DIV/0!</v>
      </c>
      <c r="U1118" s="291">
        <f>U1109-U1110</f>
        <v>0</v>
      </c>
      <c r="V1118" s="329" t="e">
        <f>U1118/U1110</f>
        <v>#DIV/0!</v>
      </c>
      <c r="W1118" s="146" t="s">
        <v>375</v>
      </c>
      <c r="X1118" s="326"/>
      <c r="Y1118" s="144" t="s">
        <v>373</v>
      </c>
      <c r="Z1118" s="72"/>
    </row>
    <row r="1119" spans="3:26">
      <c r="C1119" s="15"/>
      <c r="D1119" s="455" t="s">
        <v>390</v>
      </c>
      <c r="E1119" s="456"/>
      <c r="F1119" s="15"/>
      <c r="G1119" s="457" t="s">
        <v>38</v>
      </c>
      <c r="H1119" s="458"/>
      <c r="I1119" s="20"/>
      <c r="J1119" s="457" t="s">
        <v>38</v>
      </c>
      <c r="K1119" s="458"/>
      <c r="L1119" s="76"/>
      <c r="M1119" s="25"/>
      <c r="N1119" s="293"/>
      <c r="O1119" s="140" t="s">
        <v>321</v>
      </c>
      <c r="P1119" s="132">
        <f>SUM(N1107:N1120)</f>
        <v>200</v>
      </c>
      <c r="Q1119" s="72">
        <f>Q1118-Q1101</f>
        <v>0</v>
      </c>
      <c r="R1119" s="144" t="s">
        <v>381</v>
      </c>
      <c r="S1119" s="291">
        <f>S1107-S1112</f>
        <v>0</v>
      </c>
      <c r="T1119" s="327" t="e">
        <f>S1119/S1112</f>
        <v>#DIV/0!</v>
      </c>
      <c r="U1119" s="291">
        <f>U1107-U1112</f>
        <v>0</v>
      </c>
      <c r="V1119" s="366" t="e">
        <f>U1119/ABS(U1112)</f>
        <v>#DIV/0!</v>
      </c>
      <c r="W1119" s="337" t="s">
        <v>410</v>
      </c>
      <c r="X1119" s="1" t="s">
        <v>558</v>
      </c>
      <c r="Y1119" s="144" t="s">
        <v>379</v>
      </c>
      <c r="Z1119" s="72"/>
    </row>
    <row r="1120" spans="3:26" ht="15.75" thickBot="1">
      <c r="C1120" s="17"/>
      <c r="D1120" s="459"/>
      <c r="E1120" s="460"/>
      <c r="F1120" s="17"/>
      <c r="G1120" s="459"/>
      <c r="H1120" s="461"/>
      <c r="I1120" s="21"/>
      <c r="J1120" s="459"/>
      <c r="K1120" s="461"/>
      <c r="L1120" s="42"/>
      <c r="M1120" s="5"/>
      <c r="N1120" s="21"/>
      <c r="O1120" s="137" t="s">
        <v>322</v>
      </c>
      <c r="P1120" s="138">
        <f>P1119/29</f>
        <v>6.8965517241379306</v>
      </c>
      <c r="Q1120" s="24">
        <f>Q1119/29</f>
        <v>0</v>
      </c>
      <c r="R1120" s="153" t="s">
        <v>410</v>
      </c>
      <c r="S1120" s="296">
        <f>S1118+S1119</f>
        <v>0</v>
      </c>
      <c r="T1120" s="328" t="e">
        <f>S1120/S1108</f>
        <v>#DIV/0!</v>
      </c>
      <c r="U1120" s="296">
        <f>U1119+U1118</f>
        <v>0</v>
      </c>
      <c r="V1120" s="330" t="e">
        <f>U1120/U1108</f>
        <v>#DIV/0!</v>
      </c>
      <c r="W1120" s="296">
        <f>S1120+U1120</f>
        <v>0</v>
      </c>
      <c r="X1120" s="330" t="e">
        <f>(W1120+S1108+U1108)/(S1108+U1108)-1</f>
        <v>#DIV/0!</v>
      </c>
      <c r="Y1120" s="153" t="s">
        <v>375</v>
      </c>
      <c r="Z1120" s="389"/>
    </row>
    <row r="1121" spans="3:26" ht="17.25" thickTop="1" thickBot="1">
      <c r="C1121" s="264">
        <v>46569</v>
      </c>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3:26" ht="17.25" thickTop="1" thickBot="1">
      <c r="C1122" s="480" t="s">
        <v>386</v>
      </c>
      <c r="D1122" s="481"/>
      <c r="E1122" s="482"/>
      <c r="F1122" s="483" t="s">
        <v>387</v>
      </c>
      <c r="G1122" s="484"/>
      <c r="H1122" s="484"/>
      <c r="I1122" s="484"/>
      <c r="J1122" s="484"/>
      <c r="K1122" s="484"/>
      <c r="L1122" s="484"/>
      <c r="M1122" s="484"/>
      <c r="N1122" s="485"/>
      <c r="O1122" s="261" t="s">
        <v>320</v>
      </c>
      <c r="P1122" s="262" t="s">
        <v>257</v>
      </c>
      <c r="Q1122" s="263" t="s">
        <v>319</v>
      </c>
      <c r="R1122" s="486" t="s">
        <v>144</v>
      </c>
      <c r="S1122" s="487"/>
      <c r="T1122" s="487"/>
      <c r="U1122" s="487"/>
      <c r="V1122" s="487"/>
      <c r="W1122" s="487"/>
      <c r="X1122" s="487"/>
      <c r="Y1122" s="487"/>
      <c r="Z1122" s="488"/>
    </row>
    <row r="1123" spans="3:26" ht="15.75" thickBot="1">
      <c r="C1123" s="265"/>
      <c r="D1123" s="489"/>
      <c r="E1123" s="490"/>
      <c r="F1123" s="470" t="s">
        <v>3</v>
      </c>
      <c r="G1123" s="491"/>
      <c r="H1123" s="492"/>
      <c r="I1123" s="493" t="s">
        <v>4</v>
      </c>
      <c r="J1123" s="491"/>
      <c r="K1123" s="492"/>
      <c r="L1123" s="267" t="s">
        <v>324</v>
      </c>
      <c r="M1123" s="267" t="s">
        <v>325</v>
      </c>
      <c r="N1123" s="267" t="s">
        <v>323</v>
      </c>
      <c r="O1123" s="316" t="s">
        <v>5</v>
      </c>
      <c r="P1123" s="317">
        <f>P1126+P1129+P1132+P1135</f>
        <v>22161.157304458524</v>
      </c>
      <c r="Q1123" s="318">
        <f>Q1132+Q1129+Q1126+Q1135</f>
        <v>0</v>
      </c>
      <c r="R1123" s="268" t="s">
        <v>323</v>
      </c>
      <c r="S1123" s="493" t="s">
        <v>317</v>
      </c>
      <c r="T1123" s="492"/>
      <c r="U1123" s="493" t="s">
        <v>369</v>
      </c>
      <c r="V1123" s="471"/>
      <c r="W1123" s="470" t="s">
        <v>310</v>
      </c>
      <c r="X1123" s="471"/>
      <c r="Y1123" s="470" t="s">
        <v>13</v>
      </c>
      <c r="Z1123" s="471"/>
    </row>
    <row r="1124" spans="3:26" ht="16.5" thickTop="1" thickBot="1">
      <c r="C1124" s="15"/>
      <c r="D1124" s="494"/>
      <c r="E1124" s="495"/>
      <c r="G1124" s="496"/>
      <c r="H1124" s="497"/>
      <c r="J1124" s="496"/>
      <c r="K1124" s="497"/>
      <c r="L1124" s="76"/>
      <c r="M1124" s="25"/>
      <c r="N1124" s="292"/>
      <c r="O1124" s="258" t="s">
        <v>321</v>
      </c>
      <c r="P1124" s="315">
        <f>SUM(C1124:C1137)-SUM(F1124:F1137)-SUM(I1124:I1137)</f>
        <v>689.02999999999986</v>
      </c>
      <c r="Q1124" s="12">
        <f>Q1123-Q1106</f>
        <v>0</v>
      </c>
      <c r="R1124" s="307" t="s">
        <v>343</v>
      </c>
      <c r="S1124" s="498"/>
      <c r="T1124" s="499"/>
      <c r="U1124" s="498"/>
      <c r="V1124" s="500"/>
      <c r="W1124" s="501" t="s">
        <v>326</v>
      </c>
      <c r="X1124" s="502"/>
      <c r="Y1124" s="143" t="s">
        <v>17</v>
      </c>
      <c r="Z1124" s="12"/>
    </row>
    <row r="1125" spans="3:26" ht="16.5" thickTop="1" thickBot="1">
      <c r="C1125" s="15"/>
      <c r="D1125" s="455" t="s">
        <v>11</v>
      </c>
      <c r="E1125" s="456"/>
      <c r="F1125" s="6">
        <f>F1108</f>
        <v>400</v>
      </c>
      <c r="G1125" s="462" t="s">
        <v>223</v>
      </c>
      <c r="H1125" s="464"/>
      <c r="I1125" s="20">
        <f>I1108</f>
        <v>11.99</v>
      </c>
      <c r="J1125" s="462" t="s">
        <v>385</v>
      </c>
      <c r="K1125" s="464"/>
      <c r="L1125" s="76">
        <f>L1108</f>
        <v>200</v>
      </c>
      <c r="M1125" s="76">
        <f>M1108</f>
        <v>150</v>
      </c>
      <c r="N1125" s="76">
        <f>N1108</f>
        <v>200</v>
      </c>
      <c r="O1125" s="141" t="s">
        <v>322</v>
      </c>
      <c r="P1125" s="133">
        <f>P1124/29</f>
        <v>23.759655172413787</v>
      </c>
      <c r="Q1125" s="10">
        <f>Q1124/29</f>
        <v>0</v>
      </c>
      <c r="R1125" s="308" t="s">
        <v>382</v>
      </c>
      <c r="S1125" s="474"/>
      <c r="T1125" s="475"/>
      <c r="U1125" s="467"/>
      <c r="V1125" s="468"/>
      <c r="W1125" s="289" t="s">
        <v>12</v>
      </c>
      <c r="X1125" s="315"/>
      <c r="Y1125" s="144" t="s">
        <v>18</v>
      </c>
      <c r="Z1125" s="72"/>
    </row>
    <row r="1126" spans="3:26">
      <c r="C1126" s="15"/>
      <c r="D1126" s="455" t="s">
        <v>390</v>
      </c>
      <c r="E1126" s="456"/>
      <c r="F1126" s="6">
        <f t="shared" ref="F1126:F1134" si="27">F1109</f>
        <v>100</v>
      </c>
      <c r="G1126" s="462" t="s">
        <v>9</v>
      </c>
      <c r="H1126" s="464"/>
      <c r="I1126" s="20">
        <f t="shared" ref="I1126:I1131" si="28">I1109</f>
        <v>11.99</v>
      </c>
      <c r="J1126" s="462" t="s">
        <v>22</v>
      </c>
      <c r="K1126" s="464"/>
      <c r="L1126" s="76"/>
      <c r="M1126" s="25"/>
      <c r="N1126" s="294"/>
      <c r="O1126" s="136" t="s">
        <v>12</v>
      </c>
      <c r="P1126" s="319">
        <f>P1109+P1124-SUM(L1124:L1137)-SUM(M1124:M1137)-SUM(N1124:N1137)</f>
        <v>2654.8199999999929</v>
      </c>
      <c r="Q1126" s="320">
        <f>Z1124+Z1129+Z1132</f>
        <v>0</v>
      </c>
      <c r="R1126" s="308" t="s">
        <v>383</v>
      </c>
      <c r="S1126" s="474"/>
      <c r="T1126" s="475"/>
      <c r="U1126" s="467"/>
      <c r="V1126" s="468"/>
      <c r="W1126" s="282" t="s">
        <v>373</v>
      </c>
      <c r="X1126" s="132"/>
      <c r="Y1126" s="144" t="s">
        <v>19</v>
      </c>
      <c r="Z1126" s="72"/>
    </row>
    <row r="1127" spans="3:26" ht="15.75" thickBot="1">
      <c r="C1127" s="15"/>
      <c r="D1127" s="462"/>
      <c r="E1127" s="463"/>
      <c r="F1127" s="6">
        <f t="shared" si="27"/>
        <v>150</v>
      </c>
      <c r="G1127" s="462" t="s">
        <v>6</v>
      </c>
      <c r="H1127" s="464"/>
      <c r="I1127" s="20">
        <f t="shared" si="28"/>
        <v>20</v>
      </c>
      <c r="J1127" s="462" t="s">
        <v>920</v>
      </c>
      <c r="K1127" s="464"/>
      <c r="L1127" s="76"/>
      <c r="M1127" s="25"/>
      <c r="N1127" s="20"/>
      <c r="O1127" s="140" t="s">
        <v>321</v>
      </c>
      <c r="P1127" s="132">
        <f>SUM(C1124:C1137)-SUM(F1124:F1137)-SUM(I1124:I1137)-P1130-P1133-P1136</f>
        <v>139.02999999999986</v>
      </c>
      <c r="Q1127" s="72">
        <f>Q1126-Q1109</f>
        <v>0</v>
      </c>
      <c r="R1127" s="308" t="s">
        <v>424</v>
      </c>
      <c r="S1127" s="474"/>
      <c r="T1127" s="475"/>
      <c r="U1127" s="467"/>
      <c r="V1127" s="468"/>
      <c r="W1127" s="282" t="s">
        <v>378</v>
      </c>
      <c r="X1127" s="132"/>
      <c r="Y1127" s="145" t="s">
        <v>324</v>
      </c>
      <c r="Z1127" s="135"/>
    </row>
    <row r="1128" spans="3:26" ht="15.75" thickBot="1">
      <c r="C1128" s="15"/>
      <c r="D1128" s="455"/>
      <c r="E1128" s="456"/>
      <c r="F1128" s="6">
        <f t="shared" si="27"/>
        <v>370</v>
      </c>
      <c r="G1128" s="462" t="s">
        <v>97</v>
      </c>
      <c r="H1128" s="464"/>
      <c r="I1128" s="20">
        <f t="shared" si="28"/>
        <v>11.9</v>
      </c>
      <c r="J1128" s="462" t="s">
        <v>249</v>
      </c>
      <c r="K1128" s="464"/>
      <c r="L1128" s="76"/>
      <c r="M1128" s="25"/>
      <c r="N1128" s="294"/>
      <c r="O1128" s="141" t="s">
        <v>322</v>
      </c>
      <c r="P1128" s="133">
        <f>P1127/29</f>
        <v>4.7941379310344781</v>
      </c>
      <c r="Q1128" s="10">
        <f>Q1127/29</f>
        <v>0</v>
      </c>
      <c r="R1128" s="143" t="s">
        <v>12</v>
      </c>
      <c r="S1128" s="476"/>
      <c r="T1128" s="477"/>
      <c r="U1128" s="478"/>
      <c r="V1128" s="479"/>
      <c r="W1128" s="289" t="s">
        <v>379</v>
      </c>
      <c r="X1128" s="132"/>
      <c r="Y1128" s="470" t="s">
        <v>14</v>
      </c>
      <c r="Z1128" s="471"/>
    </row>
    <row r="1129" spans="3:26" ht="15.75" thickBot="1">
      <c r="C1129" s="15"/>
      <c r="D1129" s="455"/>
      <c r="E1129" s="456"/>
      <c r="F1129" s="6">
        <f t="shared" si="27"/>
        <v>1860.75</v>
      </c>
      <c r="G1129" s="462" t="s">
        <v>304</v>
      </c>
      <c r="H1129" s="464"/>
      <c r="I1129" s="20">
        <f t="shared" si="28"/>
        <v>150</v>
      </c>
      <c r="J1129" s="462" t="s">
        <v>974</v>
      </c>
      <c r="K1129" s="464"/>
      <c r="L1129" s="76"/>
      <c r="M1129" s="25"/>
      <c r="N1129" s="294"/>
      <c r="O1129" s="136" t="s">
        <v>324</v>
      </c>
      <c r="P1129" s="319">
        <f>P1112+P1130</f>
        <v>3535</v>
      </c>
      <c r="Q1129" s="320">
        <f>Z1125+Z1126+Z1127</f>
        <v>0</v>
      </c>
      <c r="R1129" s="144" t="s">
        <v>425</v>
      </c>
      <c r="S1129" s="465"/>
      <c r="T1129" s="466"/>
      <c r="U1129" s="467"/>
      <c r="V1129" s="468"/>
      <c r="W1129" s="146" t="s">
        <v>375</v>
      </c>
      <c r="X1129" s="325"/>
      <c r="Y1129" s="143" t="s">
        <v>15</v>
      </c>
      <c r="Z1129" s="12"/>
    </row>
    <row r="1130" spans="3:26" ht="15.75" thickBot="1">
      <c r="C1130" s="15"/>
      <c r="D1130" s="462"/>
      <c r="E1130" s="463"/>
      <c r="F1130" s="6">
        <f t="shared" si="27"/>
        <v>70</v>
      </c>
      <c r="G1130" s="462" t="s">
        <v>982</v>
      </c>
      <c r="H1130" s="464"/>
      <c r="I1130" s="20">
        <f t="shared" si="28"/>
        <v>150</v>
      </c>
      <c r="J1130" s="462" t="s">
        <v>105</v>
      </c>
      <c r="K1130" s="464"/>
      <c r="L1130" s="76"/>
      <c r="M1130" s="25"/>
      <c r="N1130" s="294"/>
      <c r="O1130" s="140" t="s">
        <v>321</v>
      </c>
      <c r="P1130" s="132">
        <f>SUM(L1124:L1137)</f>
        <v>200</v>
      </c>
      <c r="Q1130" s="72">
        <f>Q1129-Q1112</f>
        <v>0</v>
      </c>
      <c r="R1130" s="144" t="s">
        <v>426</v>
      </c>
      <c r="S1130" s="465"/>
      <c r="T1130" s="466"/>
      <c r="U1130" s="467"/>
      <c r="V1130" s="468"/>
      <c r="W1130" s="470" t="s">
        <v>376</v>
      </c>
      <c r="X1130" s="471"/>
      <c r="Y1130" s="146" t="s">
        <v>325</v>
      </c>
      <c r="Z1130" s="10"/>
    </row>
    <row r="1131" spans="3:26" ht="16.5" thickTop="1" thickBot="1">
      <c r="C1131" s="15"/>
      <c r="D1131" s="462"/>
      <c r="E1131" s="463"/>
      <c r="F1131" s="6">
        <f t="shared" si="27"/>
        <v>50</v>
      </c>
      <c r="G1131" s="462" t="s">
        <v>926</v>
      </c>
      <c r="H1131" s="464"/>
      <c r="I1131" s="20">
        <f t="shared" si="28"/>
        <v>400</v>
      </c>
      <c r="J1131" s="462" t="s">
        <v>206</v>
      </c>
      <c r="K1131" s="464"/>
      <c r="L1131" s="76"/>
      <c r="M1131" s="25"/>
      <c r="N1131" s="292"/>
      <c r="O1131" s="141" t="s">
        <v>322</v>
      </c>
      <c r="P1131" s="133">
        <f>P1130/29</f>
        <v>6.8965517241379306</v>
      </c>
      <c r="Q1131" s="10">
        <f>Q1130/29</f>
        <v>0</v>
      </c>
      <c r="R1131" s="144" t="s">
        <v>422</v>
      </c>
      <c r="S1131" s="465"/>
      <c r="T1131" s="466"/>
      <c r="U1131" s="467"/>
      <c r="V1131" s="468"/>
      <c r="W1131" s="289" t="s">
        <v>12</v>
      </c>
      <c r="X1131" s="38"/>
      <c r="Y1131" s="470" t="s">
        <v>374</v>
      </c>
      <c r="Z1131" s="471"/>
    </row>
    <row r="1132" spans="3:26" ht="16.5" thickTop="1" thickBot="1">
      <c r="C1132" s="15"/>
      <c r="D1132" s="462"/>
      <c r="E1132" s="463"/>
      <c r="F1132" s="6">
        <f t="shared" si="27"/>
        <v>150</v>
      </c>
      <c r="G1132" s="462" t="s">
        <v>927</v>
      </c>
      <c r="H1132" s="464"/>
      <c r="I1132" s="20"/>
      <c r="J1132" s="462"/>
      <c r="K1132" s="464"/>
      <c r="L1132" s="76"/>
      <c r="M1132" s="25"/>
      <c r="N1132" s="293"/>
      <c r="O1132" s="136" t="s">
        <v>325</v>
      </c>
      <c r="P1132" s="319">
        <f>P1115+P1133</f>
        <v>2658.88</v>
      </c>
      <c r="Q1132" s="320">
        <f>Z1130</f>
        <v>0</v>
      </c>
      <c r="R1132" s="143" t="s">
        <v>421</v>
      </c>
      <c r="S1132" s="465"/>
      <c r="T1132" s="466"/>
      <c r="U1132" s="467"/>
      <c r="V1132" s="468"/>
      <c r="W1132" s="282" t="s">
        <v>373</v>
      </c>
      <c r="X1132" s="281"/>
      <c r="Y1132" s="321" t="s">
        <v>181</v>
      </c>
      <c r="Z1132" s="322">
        <v>0</v>
      </c>
    </row>
    <row r="1133" spans="3:26" ht="15.75" thickBot="1">
      <c r="C1133" s="266"/>
      <c r="D1133" s="448"/>
      <c r="E1133" s="469"/>
      <c r="F1133" s="6">
        <f t="shared" si="27"/>
        <v>150</v>
      </c>
      <c r="G1133" s="462" t="s">
        <v>925</v>
      </c>
      <c r="H1133" s="464"/>
      <c r="I1133" s="20"/>
      <c r="J1133" s="462"/>
      <c r="K1133" s="464"/>
      <c r="L1133" s="76"/>
      <c r="M1133" s="25"/>
      <c r="N1133" s="295"/>
      <c r="O1133" s="140" t="s">
        <v>321</v>
      </c>
      <c r="P1133" s="132">
        <f>SUM(M1124:M1137)</f>
        <v>150</v>
      </c>
      <c r="Q1133" s="72">
        <f>Q1132-Q1115</f>
        <v>0</v>
      </c>
      <c r="R1133" s="144" t="s">
        <v>418</v>
      </c>
      <c r="S1133" s="465"/>
      <c r="T1133" s="466"/>
      <c r="U1133" s="467"/>
      <c r="V1133" s="468"/>
      <c r="W1133" s="282" t="s">
        <v>378</v>
      </c>
      <c r="X1133" s="281"/>
      <c r="Y1133" s="470" t="s">
        <v>1000</v>
      </c>
      <c r="Z1133" s="471"/>
    </row>
    <row r="1134" spans="3:26" ht="16.5" thickTop="1" thickBot="1">
      <c r="C1134" s="266"/>
      <c r="D1134" s="448" t="s">
        <v>1001</v>
      </c>
      <c r="E1134" s="469"/>
      <c r="F1134" s="6">
        <f t="shared" si="27"/>
        <v>30</v>
      </c>
      <c r="G1134" s="462" t="s">
        <v>33</v>
      </c>
      <c r="H1134" s="464"/>
      <c r="I1134" s="20"/>
      <c r="J1134" s="462"/>
      <c r="K1134" s="464"/>
      <c r="L1134" s="76"/>
      <c r="M1134" s="25"/>
      <c r="N1134" s="293"/>
      <c r="O1134" s="141" t="s">
        <v>322</v>
      </c>
      <c r="P1134" s="133">
        <f>P1133/29</f>
        <v>5.1724137931034484</v>
      </c>
      <c r="Q1134" s="10">
        <f>Q1133/29</f>
        <v>0</v>
      </c>
      <c r="R1134" s="144" t="s">
        <v>438</v>
      </c>
      <c r="S1134" s="465"/>
      <c r="T1134" s="466"/>
      <c r="U1134" s="472"/>
      <c r="V1134" s="473"/>
      <c r="W1134" s="289" t="s">
        <v>379</v>
      </c>
      <c r="X1134" s="281"/>
      <c r="Y1134" s="143" t="s">
        <v>12</v>
      </c>
      <c r="Z1134" s="12"/>
    </row>
    <row r="1135" spans="3:26" ht="15.75" thickBot="1">
      <c r="C1135" s="15">
        <f>C1118</f>
        <v>4775.66</v>
      </c>
      <c r="D1135" s="455" t="s">
        <v>11</v>
      </c>
      <c r="E1135" s="456"/>
      <c r="F1135" s="15"/>
      <c r="G1135" s="462"/>
      <c r="H1135" s="464"/>
      <c r="I1135" s="20"/>
      <c r="J1135" s="462"/>
      <c r="K1135" s="464"/>
      <c r="L1135" s="76"/>
      <c r="M1135" s="25"/>
      <c r="N1135" s="295"/>
      <c r="O1135" s="136" t="s">
        <v>323</v>
      </c>
      <c r="P1135" s="319">
        <f>P1118+P1136</f>
        <v>13312.45730445853</v>
      </c>
      <c r="Q1135" s="320">
        <f>S1124+U1124</f>
        <v>0</v>
      </c>
      <c r="R1135" s="144" t="s">
        <v>380</v>
      </c>
      <c r="S1135" s="291">
        <f>S1126-S1127</f>
        <v>0</v>
      </c>
      <c r="T1135" s="327" t="e">
        <f>S1135/S1127</f>
        <v>#DIV/0!</v>
      </c>
      <c r="U1135" s="291">
        <f>U1126-U1127</f>
        <v>0</v>
      </c>
      <c r="V1135" s="329" t="e">
        <f>U1135/U1127</f>
        <v>#DIV/0!</v>
      </c>
      <c r="W1135" s="146" t="s">
        <v>375</v>
      </c>
      <c r="X1135" s="326"/>
      <c r="Y1135" s="144" t="s">
        <v>373</v>
      </c>
      <c r="Z1135" s="72"/>
    </row>
    <row r="1136" spans="3:26">
      <c r="C1136" s="15"/>
      <c r="D1136" s="455" t="s">
        <v>390</v>
      </c>
      <c r="E1136" s="456"/>
      <c r="F1136" s="15"/>
      <c r="G1136" s="457" t="s">
        <v>38</v>
      </c>
      <c r="H1136" s="458"/>
      <c r="I1136" s="20"/>
      <c r="J1136" s="457" t="s">
        <v>38</v>
      </c>
      <c r="K1136" s="458"/>
      <c r="L1136" s="76"/>
      <c r="M1136" s="25"/>
      <c r="N1136" s="293"/>
      <c r="O1136" s="140" t="s">
        <v>321</v>
      </c>
      <c r="P1136" s="132">
        <f>SUM(N1124:N1137)</f>
        <v>200</v>
      </c>
      <c r="Q1136" s="72">
        <f>Q1135-Q1118</f>
        <v>0</v>
      </c>
      <c r="R1136" s="144" t="s">
        <v>381</v>
      </c>
      <c r="S1136" s="291">
        <f>S1124-S1129</f>
        <v>0</v>
      </c>
      <c r="T1136" s="327" t="e">
        <f>S1136/S1129</f>
        <v>#DIV/0!</v>
      </c>
      <c r="U1136" s="291">
        <f>U1124-U1129</f>
        <v>0</v>
      </c>
      <c r="V1136" s="366" t="e">
        <f>U1136/ABS(U1129)</f>
        <v>#DIV/0!</v>
      </c>
      <c r="W1136" s="337" t="s">
        <v>410</v>
      </c>
      <c r="X1136" s="1" t="s">
        <v>558</v>
      </c>
      <c r="Y1136" s="144" t="s">
        <v>379</v>
      </c>
      <c r="Z1136" s="72"/>
    </row>
    <row r="1137" spans="3:26" ht="15.75" thickBot="1">
      <c r="C1137" s="17"/>
      <c r="D1137" s="459"/>
      <c r="E1137" s="460"/>
      <c r="F1137" s="17"/>
      <c r="G1137" s="459"/>
      <c r="H1137" s="461"/>
      <c r="I1137" s="21"/>
      <c r="J1137" s="459"/>
      <c r="K1137" s="461"/>
      <c r="L1137" s="42"/>
      <c r="M1137" s="5"/>
      <c r="N1137" s="21"/>
      <c r="O1137" s="137" t="s">
        <v>322</v>
      </c>
      <c r="P1137" s="138">
        <f>P1136/29</f>
        <v>6.8965517241379306</v>
      </c>
      <c r="Q1137" s="24">
        <f>Q1136/29</f>
        <v>0</v>
      </c>
      <c r="R1137" s="153" t="s">
        <v>410</v>
      </c>
      <c r="S1137" s="296">
        <f>S1135+S1136</f>
        <v>0</v>
      </c>
      <c r="T1137" s="328" t="e">
        <f>S1137/S1125</f>
        <v>#DIV/0!</v>
      </c>
      <c r="U1137" s="296">
        <f>U1136+U1135</f>
        <v>0</v>
      </c>
      <c r="V1137" s="330" t="e">
        <f>U1137/U1125</f>
        <v>#DIV/0!</v>
      </c>
      <c r="W1137" s="296">
        <f>S1137+U1137</f>
        <v>0</v>
      </c>
      <c r="X1137" s="330" t="e">
        <f>(W1137+S1125+U1125)/(S1125+U1125)-1</f>
        <v>#DIV/0!</v>
      </c>
      <c r="Y1137" s="153" t="s">
        <v>375</v>
      </c>
      <c r="Z1137" s="389"/>
    </row>
    <row r="1138" spans="3:26" ht="17.25" thickTop="1" thickBot="1">
      <c r="C1138" s="264">
        <v>46600</v>
      </c>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3:26" ht="17.25" thickTop="1" thickBot="1">
      <c r="C1139" s="480" t="s">
        <v>386</v>
      </c>
      <c r="D1139" s="481"/>
      <c r="E1139" s="482"/>
      <c r="F1139" s="483" t="s">
        <v>387</v>
      </c>
      <c r="G1139" s="484"/>
      <c r="H1139" s="484"/>
      <c r="I1139" s="484"/>
      <c r="J1139" s="484"/>
      <c r="K1139" s="484"/>
      <c r="L1139" s="484"/>
      <c r="M1139" s="484"/>
      <c r="N1139" s="485"/>
      <c r="O1139" s="261" t="s">
        <v>320</v>
      </c>
      <c r="P1139" s="262" t="s">
        <v>257</v>
      </c>
      <c r="Q1139" s="263" t="s">
        <v>319</v>
      </c>
      <c r="R1139" s="486" t="s">
        <v>144</v>
      </c>
      <c r="S1139" s="487"/>
      <c r="T1139" s="487"/>
      <c r="U1139" s="487"/>
      <c r="V1139" s="487"/>
      <c r="W1139" s="487"/>
      <c r="X1139" s="487"/>
      <c r="Y1139" s="487"/>
      <c r="Z1139" s="488"/>
    </row>
    <row r="1140" spans="3:26" ht="15.75" thickBot="1">
      <c r="C1140" s="265"/>
      <c r="D1140" s="489"/>
      <c r="E1140" s="490"/>
      <c r="F1140" s="470" t="s">
        <v>3</v>
      </c>
      <c r="G1140" s="491"/>
      <c r="H1140" s="492"/>
      <c r="I1140" s="493" t="s">
        <v>4</v>
      </c>
      <c r="J1140" s="491"/>
      <c r="K1140" s="492"/>
      <c r="L1140" s="267" t="s">
        <v>324</v>
      </c>
      <c r="M1140" s="267" t="s">
        <v>325</v>
      </c>
      <c r="N1140" s="267" t="s">
        <v>323</v>
      </c>
      <c r="O1140" s="316" t="s">
        <v>5</v>
      </c>
      <c r="P1140" s="317">
        <f>P1143+P1146+P1149+P1152</f>
        <v>22850.187304458523</v>
      </c>
      <c r="Q1140" s="318">
        <f>Q1149+Q1146+Q1143+Q1152</f>
        <v>0</v>
      </c>
      <c r="R1140" s="268" t="s">
        <v>323</v>
      </c>
      <c r="S1140" s="493" t="s">
        <v>317</v>
      </c>
      <c r="T1140" s="492"/>
      <c r="U1140" s="493" t="s">
        <v>369</v>
      </c>
      <c r="V1140" s="471"/>
      <c r="W1140" s="470" t="s">
        <v>310</v>
      </c>
      <c r="X1140" s="471"/>
      <c r="Y1140" s="470" t="s">
        <v>13</v>
      </c>
      <c r="Z1140" s="471"/>
    </row>
    <row r="1141" spans="3:26" ht="16.5" thickTop="1" thickBot="1">
      <c r="C1141" s="15"/>
      <c r="D1141" s="494"/>
      <c r="E1141" s="495"/>
      <c r="G1141" s="496"/>
      <c r="H1141" s="497"/>
      <c r="J1141" s="496"/>
      <c r="K1141" s="497"/>
      <c r="L1141" s="76"/>
      <c r="M1141" s="25"/>
      <c r="N1141" s="292"/>
      <c r="O1141" s="258" t="s">
        <v>321</v>
      </c>
      <c r="P1141" s="315">
        <f>SUM(C1141:C1154)-SUM(F1141:F1154)-SUM(I1141:I1154)</f>
        <v>689.02999999999986</v>
      </c>
      <c r="Q1141" s="12">
        <f>Q1140-Q1123</f>
        <v>0</v>
      </c>
      <c r="R1141" s="307" t="s">
        <v>343</v>
      </c>
      <c r="S1141" s="498"/>
      <c r="T1141" s="499"/>
      <c r="U1141" s="498"/>
      <c r="V1141" s="500"/>
      <c r="W1141" s="501" t="s">
        <v>326</v>
      </c>
      <c r="X1141" s="502"/>
      <c r="Y1141" s="143" t="s">
        <v>17</v>
      </c>
      <c r="Z1141" s="12"/>
    </row>
    <row r="1142" spans="3:26" ht="16.5" thickTop="1" thickBot="1">
      <c r="C1142" s="15"/>
      <c r="D1142" s="455" t="s">
        <v>11</v>
      </c>
      <c r="E1142" s="456"/>
      <c r="F1142" s="6">
        <f>F1125</f>
        <v>400</v>
      </c>
      <c r="G1142" s="462" t="s">
        <v>223</v>
      </c>
      <c r="H1142" s="464"/>
      <c r="I1142" s="20">
        <f>I1125</f>
        <v>11.99</v>
      </c>
      <c r="J1142" s="462" t="s">
        <v>385</v>
      </c>
      <c r="K1142" s="464"/>
      <c r="L1142" s="76">
        <f>L1125</f>
        <v>200</v>
      </c>
      <c r="M1142" s="76">
        <f>M1125</f>
        <v>150</v>
      </c>
      <c r="N1142" s="76">
        <f>N1125</f>
        <v>200</v>
      </c>
      <c r="O1142" s="141" t="s">
        <v>322</v>
      </c>
      <c r="P1142" s="133">
        <f>P1141/29</f>
        <v>23.759655172413787</v>
      </c>
      <c r="Q1142" s="10">
        <f>Q1141/29</f>
        <v>0</v>
      </c>
      <c r="R1142" s="308" t="s">
        <v>382</v>
      </c>
      <c r="S1142" s="474"/>
      <c r="T1142" s="475"/>
      <c r="U1142" s="467"/>
      <c r="V1142" s="468"/>
      <c r="W1142" s="289" t="s">
        <v>12</v>
      </c>
      <c r="X1142" s="315"/>
      <c r="Y1142" s="144" t="s">
        <v>18</v>
      </c>
      <c r="Z1142" s="72"/>
    </row>
    <row r="1143" spans="3:26">
      <c r="C1143" s="15"/>
      <c r="D1143" s="455" t="s">
        <v>390</v>
      </c>
      <c r="E1143" s="456"/>
      <c r="F1143" s="6">
        <f t="shared" ref="F1143:F1151" si="29">F1126</f>
        <v>100</v>
      </c>
      <c r="G1143" s="462" t="s">
        <v>9</v>
      </c>
      <c r="H1143" s="464"/>
      <c r="I1143" s="20">
        <f t="shared" ref="I1143:I1148" si="30">I1126</f>
        <v>11.99</v>
      </c>
      <c r="J1143" s="462" t="s">
        <v>22</v>
      </c>
      <c r="K1143" s="464"/>
      <c r="L1143" s="76"/>
      <c r="M1143" s="25"/>
      <c r="N1143" s="294"/>
      <c r="O1143" s="136" t="s">
        <v>12</v>
      </c>
      <c r="P1143" s="319">
        <f>P1126+P1141-SUM(L1141:L1154)-SUM(M1141:M1154)-SUM(N1141:N1154)</f>
        <v>2793.8499999999926</v>
      </c>
      <c r="Q1143" s="320">
        <f>Z1141+Z1146+Z1149</f>
        <v>0</v>
      </c>
      <c r="R1143" s="308" t="s">
        <v>383</v>
      </c>
      <c r="S1143" s="474"/>
      <c r="T1143" s="475"/>
      <c r="U1143" s="467"/>
      <c r="V1143" s="468"/>
      <c r="W1143" s="282" t="s">
        <v>373</v>
      </c>
      <c r="X1143" s="132"/>
      <c r="Y1143" s="144" t="s">
        <v>19</v>
      </c>
      <c r="Z1143" s="72"/>
    </row>
    <row r="1144" spans="3:26" ht="15.75" thickBot="1">
      <c r="C1144" s="15"/>
      <c r="D1144" s="462"/>
      <c r="E1144" s="463"/>
      <c r="F1144" s="6">
        <f t="shared" si="29"/>
        <v>150</v>
      </c>
      <c r="G1144" s="462" t="s">
        <v>6</v>
      </c>
      <c r="H1144" s="464"/>
      <c r="I1144" s="20">
        <f t="shared" si="30"/>
        <v>20</v>
      </c>
      <c r="J1144" s="462" t="s">
        <v>920</v>
      </c>
      <c r="K1144" s="464"/>
      <c r="L1144" s="76"/>
      <c r="M1144" s="25"/>
      <c r="N1144" s="20"/>
      <c r="O1144" s="140" t="s">
        <v>321</v>
      </c>
      <c r="P1144" s="132">
        <f>SUM(C1141:C1154)-SUM(F1141:F1154)-SUM(I1141:I1154)-P1147-P1150-P1153</f>
        <v>139.02999999999986</v>
      </c>
      <c r="Q1144" s="72">
        <f>Q1143-Q1126</f>
        <v>0</v>
      </c>
      <c r="R1144" s="308" t="s">
        <v>424</v>
      </c>
      <c r="S1144" s="474"/>
      <c r="T1144" s="475"/>
      <c r="U1144" s="467"/>
      <c r="V1144" s="468"/>
      <c r="W1144" s="282" t="s">
        <v>378</v>
      </c>
      <c r="X1144" s="132"/>
      <c r="Y1144" s="145" t="s">
        <v>324</v>
      </c>
      <c r="Z1144" s="135"/>
    </row>
    <row r="1145" spans="3:26" ht="15.75" thickBot="1">
      <c r="C1145" s="15"/>
      <c r="D1145" s="455"/>
      <c r="E1145" s="456"/>
      <c r="F1145" s="6">
        <f t="shared" si="29"/>
        <v>370</v>
      </c>
      <c r="G1145" s="462" t="s">
        <v>97</v>
      </c>
      <c r="H1145" s="464"/>
      <c r="I1145" s="20">
        <f t="shared" si="30"/>
        <v>11.9</v>
      </c>
      <c r="J1145" s="462" t="s">
        <v>249</v>
      </c>
      <c r="K1145" s="464"/>
      <c r="L1145" s="76"/>
      <c r="M1145" s="25"/>
      <c r="N1145" s="294"/>
      <c r="O1145" s="141" t="s">
        <v>322</v>
      </c>
      <c r="P1145" s="133">
        <f>P1144/29</f>
        <v>4.7941379310344781</v>
      </c>
      <c r="Q1145" s="10">
        <f>Q1144/29</f>
        <v>0</v>
      </c>
      <c r="R1145" s="143" t="s">
        <v>12</v>
      </c>
      <c r="S1145" s="476"/>
      <c r="T1145" s="477"/>
      <c r="U1145" s="478"/>
      <c r="V1145" s="479"/>
      <c r="W1145" s="289" t="s">
        <v>379</v>
      </c>
      <c r="X1145" s="132"/>
      <c r="Y1145" s="470" t="s">
        <v>14</v>
      </c>
      <c r="Z1145" s="471"/>
    </row>
    <row r="1146" spans="3:26" ht="15.75" thickBot="1">
      <c r="C1146" s="15"/>
      <c r="D1146" s="455"/>
      <c r="E1146" s="456"/>
      <c r="F1146" s="6">
        <f t="shared" si="29"/>
        <v>1860.75</v>
      </c>
      <c r="G1146" s="462" t="s">
        <v>304</v>
      </c>
      <c r="H1146" s="464"/>
      <c r="I1146" s="20">
        <f t="shared" si="30"/>
        <v>150</v>
      </c>
      <c r="J1146" s="462" t="s">
        <v>974</v>
      </c>
      <c r="K1146" s="464"/>
      <c r="L1146" s="76"/>
      <c r="M1146" s="25"/>
      <c r="N1146" s="294"/>
      <c r="O1146" s="136" t="s">
        <v>324</v>
      </c>
      <c r="P1146" s="319">
        <f>P1129+P1147</f>
        <v>3735</v>
      </c>
      <c r="Q1146" s="320">
        <f>Z1142+Z1143+Z1144</f>
        <v>0</v>
      </c>
      <c r="R1146" s="144" t="s">
        <v>425</v>
      </c>
      <c r="S1146" s="465"/>
      <c r="T1146" s="466"/>
      <c r="U1146" s="467"/>
      <c r="V1146" s="468"/>
      <c r="W1146" s="146" t="s">
        <v>375</v>
      </c>
      <c r="X1146" s="325"/>
      <c r="Y1146" s="143" t="s">
        <v>15</v>
      </c>
      <c r="Z1146" s="12"/>
    </row>
    <row r="1147" spans="3:26" ht="15.75" thickBot="1">
      <c r="C1147" s="15"/>
      <c r="D1147" s="462"/>
      <c r="E1147" s="463"/>
      <c r="F1147" s="6">
        <f t="shared" si="29"/>
        <v>70</v>
      </c>
      <c r="G1147" s="462" t="s">
        <v>982</v>
      </c>
      <c r="H1147" s="464"/>
      <c r="I1147" s="20">
        <f t="shared" si="30"/>
        <v>150</v>
      </c>
      <c r="J1147" s="462" t="s">
        <v>105</v>
      </c>
      <c r="K1147" s="464"/>
      <c r="L1147" s="76"/>
      <c r="M1147" s="25"/>
      <c r="N1147" s="294"/>
      <c r="O1147" s="140" t="s">
        <v>321</v>
      </c>
      <c r="P1147" s="132">
        <f>SUM(L1141:L1154)</f>
        <v>200</v>
      </c>
      <c r="Q1147" s="72">
        <f>Q1146-Q1129</f>
        <v>0</v>
      </c>
      <c r="R1147" s="144" t="s">
        <v>426</v>
      </c>
      <c r="S1147" s="465"/>
      <c r="T1147" s="466"/>
      <c r="U1147" s="467"/>
      <c r="V1147" s="468"/>
      <c r="W1147" s="470" t="s">
        <v>376</v>
      </c>
      <c r="X1147" s="471"/>
      <c r="Y1147" s="146" t="s">
        <v>325</v>
      </c>
      <c r="Z1147" s="10"/>
    </row>
    <row r="1148" spans="3:26" ht="16.5" thickTop="1" thickBot="1">
      <c r="C1148" s="15"/>
      <c r="D1148" s="462"/>
      <c r="E1148" s="463"/>
      <c r="F1148" s="6">
        <f t="shared" si="29"/>
        <v>50</v>
      </c>
      <c r="G1148" s="462" t="s">
        <v>926</v>
      </c>
      <c r="H1148" s="464"/>
      <c r="I1148" s="20">
        <f t="shared" si="30"/>
        <v>400</v>
      </c>
      <c r="J1148" s="462" t="s">
        <v>206</v>
      </c>
      <c r="K1148" s="464"/>
      <c r="L1148" s="76"/>
      <c r="M1148" s="25"/>
      <c r="N1148" s="292"/>
      <c r="O1148" s="141" t="s">
        <v>322</v>
      </c>
      <c r="P1148" s="133">
        <f>P1147/29</f>
        <v>6.8965517241379306</v>
      </c>
      <c r="Q1148" s="10">
        <f>Q1147/29</f>
        <v>0</v>
      </c>
      <c r="R1148" s="144" t="s">
        <v>422</v>
      </c>
      <c r="S1148" s="465"/>
      <c r="T1148" s="466"/>
      <c r="U1148" s="467"/>
      <c r="V1148" s="468"/>
      <c r="W1148" s="289" t="s">
        <v>12</v>
      </c>
      <c r="X1148" s="38"/>
      <c r="Y1148" s="470" t="s">
        <v>374</v>
      </c>
      <c r="Z1148" s="471"/>
    </row>
    <row r="1149" spans="3:26" ht="16.5" thickTop="1" thickBot="1">
      <c r="C1149" s="15"/>
      <c r="D1149" s="462"/>
      <c r="E1149" s="463"/>
      <c r="F1149" s="6">
        <f t="shared" si="29"/>
        <v>150</v>
      </c>
      <c r="G1149" s="462" t="s">
        <v>927</v>
      </c>
      <c r="H1149" s="464"/>
      <c r="I1149" s="20"/>
      <c r="J1149" s="462"/>
      <c r="K1149" s="464"/>
      <c r="L1149" s="76"/>
      <c r="M1149" s="25"/>
      <c r="N1149" s="293"/>
      <c r="O1149" s="136" t="s">
        <v>325</v>
      </c>
      <c r="P1149" s="319">
        <f>P1132+P1150</f>
        <v>2808.88</v>
      </c>
      <c r="Q1149" s="320">
        <f>Z1147</f>
        <v>0</v>
      </c>
      <c r="R1149" s="143" t="s">
        <v>421</v>
      </c>
      <c r="S1149" s="465"/>
      <c r="T1149" s="466"/>
      <c r="U1149" s="467"/>
      <c r="V1149" s="468"/>
      <c r="W1149" s="282" t="s">
        <v>373</v>
      </c>
      <c r="X1149" s="281"/>
      <c r="Y1149" s="321" t="s">
        <v>181</v>
      </c>
      <c r="Z1149" s="322">
        <v>0</v>
      </c>
    </row>
    <row r="1150" spans="3:26" ht="15.75" thickBot="1">
      <c r="C1150" s="266"/>
      <c r="D1150" s="448"/>
      <c r="E1150" s="469"/>
      <c r="F1150" s="6">
        <f t="shared" si="29"/>
        <v>150</v>
      </c>
      <c r="G1150" s="462" t="s">
        <v>925</v>
      </c>
      <c r="H1150" s="464"/>
      <c r="I1150" s="20"/>
      <c r="J1150" s="462"/>
      <c r="K1150" s="464"/>
      <c r="L1150" s="76"/>
      <c r="M1150" s="25"/>
      <c r="N1150" s="295"/>
      <c r="O1150" s="140" t="s">
        <v>321</v>
      </c>
      <c r="P1150" s="132">
        <f>SUM(M1141:M1154)</f>
        <v>150</v>
      </c>
      <c r="Q1150" s="72">
        <f>Q1149-Q1132</f>
        <v>0</v>
      </c>
      <c r="R1150" s="144" t="s">
        <v>418</v>
      </c>
      <c r="S1150" s="465"/>
      <c r="T1150" s="466"/>
      <c r="U1150" s="467"/>
      <c r="V1150" s="468"/>
      <c r="W1150" s="282" t="s">
        <v>378</v>
      </c>
      <c r="X1150" s="281"/>
      <c r="Y1150" s="470" t="s">
        <v>1000</v>
      </c>
      <c r="Z1150" s="471"/>
    </row>
    <row r="1151" spans="3:26" ht="16.5" thickTop="1" thickBot="1">
      <c r="C1151" s="266"/>
      <c r="D1151" s="448" t="s">
        <v>1001</v>
      </c>
      <c r="E1151" s="469"/>
      <c r="F1151" s="6">
        <f t="shared" si="29"/>
        <v>30</v>
      </c>
      <c r="G1151" s="462" t="s">
        <v>33</v>
      </c>
      <c r="H1151" s="464"/>
      <c r="I1151" s="20"/>
      <c r="J1151" s="462"/>
      <c r="K1151" s="464"/>
      <c r="L1151" s="76"/>
      <c r="M1151" s="25"/>
      <c r="N1151" s="293"/>
      <c r="O1151" s="141" t="s">
        <v>322</v>
      </c>
      <c r="P1151" s="133">
        <f>P1150/29</f>
        <v>5.1724137931034484</v>
      </c>
      <c r="Q1151" s="10">
        <f>Q1150/29</f>
        <v>0</v>
      </c>
      <c r="R1151" s="144" t="s">
        <v>438</v>
      </c>
      <c r="S1151" s="465"/>
      <c r="T1151" s="466"/>
      <c r="U1151" s="472"/>
      <c r="V1151" s="473"/>
      <c r="W1151" s="289" t="s">
        <v>379</v>
      </c>
      <c r="X1151" s="281"/>
      <c r="Y1151" s="143" t="s">
        <v>12</v>
      </c>
      <c r="Z1151" s="12"/>
    </row>
    <row r="1152" spans="3:26" ht="15.75" thickBot="1">
      <c r="C1152" s="15">
        <f>C1135</f>
        <v>4775.66</v>
      </c>
      <c r="D1152" s="455" t="s">
        <v>11</v>
      </c>
      <c r="E1152" s="456"/>
      <c r="F1152" s="15"/>
      <c r="G1152" s="462"/>
      <c r="H1152" s="464"/>
      <c r="I1152" s="20"/>
      <c r="J1152" s="462"/>
      <c r="K1152" s="464"/>
      <c r="L1152" s="76"/>
      <c r="M1152" s="25"/>
      <c r="N1152" s="295"/>
      <c r="O1152" s="136" t="s">
        <v>323</v>
      </c>
      <c r="P1152" s="319">
        <f>P1135+P1153</f>
        <v>13512.45730445853</v>
      </c>
      <c r="Q1152" s="320">
        <f>S1141+U1141</f>
        <v>0</v>
      </c>
      <c r="R1152" s="144" t="s">
        <v>380</v>
      </c>
      <c r="S1152" s="291">
        <f>S1143-S1144</f>
        <v>0</v>
      </c>
      <c r="T1152" s="327" t="e">
        <f>S1152/S1144</f>
        <v>#DIV/0!</v>
      </c>
      <c r="U1152" s="291">
        <f>U1143-U1144</f>
        <v>0</v>
      </c>
      <c r="V1152" s="329" t="e">
        <f>U1152/U1144</f>
        <v>#DIV/0!</v>
      </c>
      <c r="W1152" s="146" t="s">
        <v>375</v>
      </c>
      <c r="X1152" s="326"/>
      <c r="Y1152" s="144" t="s">
        <v>373</v>
      </c>
      <c r="Z1152" s="72"/>
    </row>
    <row r="1153" spans="3:26">
      <c r="C1153" s="15"/>
      <c r="D1153" s="455" t="s">
        <v>390</v>
      </c>
      <c r="E1153" s="456"/>
      <c r="F1153" s="15"/>
      <c r="G1153" s="457" t="s">
        <v>38</v>
      </c>
      <c r="H1153" s="458"/>
      <c r="I1153" s="20"/>
      <c r="J1153" s="457" t="s">
        <v>38</v>
      </c>
      <c r="K1153" s="458"/>
      <c r="L1153" s="76"/>
      <c r="M1153" s="25"/>
      <c r="N1153" s="293"/>
      <c r="O1153" s="140" t="s">
        <v>321</v>
      </c>
      <c r="P1153" s="132">
        <f>SUM(N1141:N1154)</f>
        <v>200</v>
      </c>
      <c r="Q1153" s="72">
        <f>Q1152-Q1135</f>
        <v>0</v>
      </c>
      <c r="R1153" s="144" t="s">
        <v>381</v>
      </c>
      <c r="S1153" s="291">
        <f>S1141-S1146</f>
        <v>0</v>
      </c>
      <c r="T1153" s="327" t="e">
        <f>S1153/S1146</f>
        <v>#DIV/0!</v>
      </c>
      <c r="U1153" s="291">
        <f>U1141-U1146</f>
        <v>0</v>
      </c>
      <c r="V1153" s="366" t="e">
        <f>U1153/ABS(U1146)</f>
        <v>#DIV/0!</v>
      </c>
      <c r="W1153" s="337" t="s">
        <v>410</v>
      </c>
      <c r="X1153" s="1" t="s">
        <v>558</v>
      </c>
      <c r="Y1153" s="144" t="s">
        <v>379</v>
      </c>
      <c r="Z1153" s="72"/>
    </row>
    <row r="1154" spans="3:26" ht="15.75" thickBot="1">
      <c r="C1154" s="17"/>
      <c r="D1154" s="459"/>
      <c r="E1154" s="460"/>
      <c r="F1154" s="17"/>
      <c r="G1154" s="459"/>
      <c r="H1154" s="461"/>
      <c r="I1154" s="21"/>
      <c r="J1154" s="459"/>
      <c r="K1154" s="461"/>
      <c r="L1154" s="42"/>
      <c r="M1154" s="5"/>
      <c r="N1154" s="21"/>
      <c r="O1154" s="137" t="s">
        <v>322</v>
      </c>
      <c r="P1154" s="138">
        <f>P1153/29</f>
        <v>6.8965517241379306</v>
      </c>
      <c r="Q1154" s="24">
        <f>Q1153/29</f>
        <v>0</v>
      </c>
      <c r="R1154" s="153" t="s">
        <v>410</v>
      </c>
      <c r="S1154" s="296">
        <f>S1152+S1153</f>
        <v>0</v>
      </c>
      <c r="T1154" s="328" t="e">
        <f>S1154/S1142</f>
        <v>#DIV/0!</v>
      </c>
      <c r="U1154" s="296">
        <f>U1153+U1152</f>
        <v>0</v>
      </c>
      <c r="V1154" s="330" t="e">
        <f>U1154/U1142</f>
        <v>#DIV/0!</v>
      </c>
      <c r="W1154" s="296">
        <f>S1154+U1154</f>
        <v>0</v>
      </c>
      <c r="X1154" s="330" t="e">
        <f>(W1154+S1142+U1142)/(S1142+U1142)-1</f>
        <v>#DIV/0!</v>
      </c>
      <c r="Y1154" s="153" t="s">
        <v>375</v>
      </c>
      <c r="Z1154" s="389"/>
    </row>
    <row r="1155" spans="3:26" ht="17.25" thickTop="1" thickBot="1">
      <c r="C1155" s="264">
        <v>46631</v>
      </c>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3:26" ht="17.25" thickTop="1" thickBot="1">
      <c r="C1156" s="480" t="s">
        <v>386</v>
      </c>
      <c r="D1156" s="481"/>
      <c r="E1156" s="482"/>
      <c r="F1156" s="483" t="s">
        <v>387</v>
      </c>
      <c r="G1156" s="484"/>
      <c r="H1156" s="484"/>
      <c r="I1156" s="484"/>
      <c r="J1156" s="484"/>
      <c r="K1156" s="484"/>
      <c r="L1156" s="484"/>
      <c r="M1156" s="484"/>
      <c r="N1156" s="485"/>
      <c r="O1156" s="261" t="s">
        <v>320</v>
      </c>
      <c r="P1156" s="262" t="s">
        <v>257</v>
      </c>
      <c r="Q1156" s="263" t="s">
        <v>319</v>
      </c>
      <c r="R1156" s="486" t="s">
        <v>144</v>
      </c>
      <c r="S1156" s="487"/>
      <c r="T1156" s="487"/>
      <c r="U1156" s="487"/>
      <c r="V1156" s="487"/>
      <c r="W1156" s="487"/>
      <c r="X1156" s="487"/>
      <c r="Y1156" s="487"/>
      <c r="Z1156" s="488"/>
    </row>
    <row r="1157" spans="3:26" ht="15.75" thickBot="1">
      <c r="C1157" s="265"/>
      <c r="D1157" s="489"/>
      <c r="E1157" s="490"/>
      <c r="F1157" s="470" t="s">
        <v>3</v>
      </c>
      <c r="G1157" s="491"/>
      <c r="H1157" s="492"/>
      <c r="I1157" s="493" t="s">
        <v>4</v>
      </c>
      <c r="J1157" s="491"/>
      <c r="K1157" s="492"/>
      <c r="L1157" s="267" t="s">
        <v>324</v>
      </c>
      <c r="M1157" s="267" t="s">
        <v>325</v>
      </c>
      <c r="N1157" s="267" t="s">
        <v>323</v>
      </c>
      <c r="O1157" s="316" t="s">
        <v>5</v>
      </c>
      <c r="P1157" s="317">
        <f>P1160+P1163+P1166+P1169</f>
        <v>23539.217304458522</v>
      </c>
      <c r="Q1157" s="318">
        <f>Q1166+Q1163+Q1160+Q1169</f>
        <v>0</v>
      </c>
      <c r="R1157" s="268" t="s">
        <v>323</v>
      </c>
      <c r="S1157" s="493" t="s">
        <v>317</v>
      </c>
      <c r="T1157" s="492"/>
      <c r="U1157" s="493" t="s">
        <v>369</v>
      </c>
      <c r="V1157" s="471"/>
      <c r="W1157" s="470" t="s">
        <v>310</v>
      </c>
      <c r="X1157" s="471"/>
      <c r="Y1157" s="470" t="s">
        <v>13</v>
      </c>
      <c r="Z1157" s="471"/>
    </row>
    <row r="1158" spans="3:26" ht="16.5" thickTop="1" thickBot="1">
      <c r="C1158" s="15"/>
      <c r="D1158" s="494"/>
      <c r="E1158" s="495"/>
      <c r="G1158" s="496"/>
      <c r="H1158" s="497"/>
      <c r="J1158" s="496"/>
      <c r="K1158" s="497"/>
      <c r="L1158" s="76"/>
      <c r="M1158" s="25"/>
      <c r="N1158" s="292"/>
      <c r="O1158" s="258" t="s">
        <v>321</v>
      </c>
      <c r="P1158" s="315">
        <f>SUM(C1158:C1171)-SUM(F1158:F1171)-SUM(I1158:I1171)</f>
        <v>689.02999999999986</v>
      </c>
      <c r="Q1158" s="12">
        <f>Q1157-Q1140</f>
        <v>0</v>
      </c>
      <c r="R1158" s="307" t="s">
        <v>343</v>
      </c>
      <c r="S1158" s="498"/>
      <c r="T1158" s="499"/>
      <c r="U1158" s="498"/>
      <c r="V1158" s="500"/>
      <c r="W1158" s="501" t="s">
        <v>326</v>
      </c>
      <c r="X1158" s="502"/>
      <c r="Y1158" s="143" t="s">
        <v>17</v>
      </c>
      <c r="Z1158" s="12"/>
    </row>
    <row r="1159" spans="3:26" ht="16.5" thickTop="1" thickBot="1">
      <c r="C1159" s="15"/>
      <c r="D1159" s="455" t="s">
        <v>11</v>
      </c>
      <c r="E1159" s="456"/>
      <c r="F1159" s="6">
        <f>F1142</f>
        <v>400</v>
      </c>
      <c r="G1159" s="462" t="s">
        <v>223</v>
      </c>
      <c r="H1159" s="464"/>
      <c r="I1159" s="20">
        <f>I1142</f>
        <v>11.99</v>
      </c>
      <c r="J1159" s="462" t="s">
        <v>385</v>
      </c>
      <c r="K1159" s="464"/>
      <c r="L1159" s="76">
        <f>L1142</f>
        <v>200</v>
      </c>
      <c r="M1159" s="76">
        <f>M1142</f>
        <v>150</v>
      </c>
      <c r="N1159" s="76">
        <f>N1142</f>
        <v>200</v>
      </c>
      <c r="O1159" s="141" t="s">
        <v>322</v>
      </c>
      <c r="P1159" s="133">
        <f>P1158/29</f>
        <v>23.759655172413787</v>
      </c>
      <c r="Q1159" s="10">
        <f>Q1158/29</f>
        <v>0</v>
      </c>
      <c r="R1159" s="308" t="s">
        <v>382</v>
      </c>
      <c r="S1159" s="474"/>
      <c r="T1159" s="475"/>
      <c r="U1159" s="467"/>
      <c r="V1159" s="468"/>
      <c r="W1159" s="289" t="s">
        <v>12</v>
      </c>
      <c r="X1159" s="315"/>
      <c r="Y1159" s="144" t="s">
        <v>18</v>
      </c>
      <c r="Z1159" s="72"/>
    </row>
    <row r="1160" spans="3:26">
      <c r="C1160" s="15"/>
      <c r="D1160" s="455" t="s">
        <v>390</v>
      </c>
      <c r="E1160" s="456"/>
      <c r="F1160" s="6">
        <f t="shared" ref="F1160:F1168" si="31">F1143</f>
        <v>100</v>
      </c>
      <c r="G1160" s="462" t="s">
        <v>9</v>
      </c>
      <c r="H1160" s="464"/>
      <c r="I1160" s="20">
        <f t="shared" ref="I1160:I1165" si="32">I1143</f>
        <v>11.99</v>
      </c>
      <c r="J1160" s="462" t="s">
        <v>22</v>
      </c>
      <c r="K1160" s="464"/>
      <c r="L1160" s="76"/>
      <c r="M1160" s="25"/>
      <c r="N1160" s="294"/>
      <c r="O1160" s="136" t="s">
        <v>12</v>
      </c>
      <c r="P1160" s="319">
        <f>P1143+P1158-SUM(L1158:L1171)-SUM(M1158:M1171)-SUM(N1158:N1171)</f>
        <v>2932.8799999999924</v>
      </c>
      <c r="Q1160" s="320">
        <f>Z1158+Z1163+Z1166</f>
        <v>0</v>
      </c>
      <c r="R1160" s="308" t="s">
        <v>383</v>
      </c>
      <c r="S1160" s="474"/>
      <c r="T1160" s="475"/>
      <c r="U1160" s="467"/>
      <c r="V1160" s="468"/>
      <c r="W1160" s="282" t="s">
        <v>373</v>
      </c>
      <c r="X1160" s="132"/>
      <c r="Y1160" s="144" t="s">
        <v>19</v>
      </c>
      <c r="Z1160" s="72"/>
    </row>
    <row r="1161" spans="3:26" ht="15.75" thickBot="1">
      <c r="C1161" s="15"/>
      <c r="D1161" s="462"/>
      <c r="E1161" s="463"/>
      <c r="F1161" s="6">
        <f t="shared" si="31"/>
        <v>150</v>
      </c>
      <c r="G1161" s="462" t="s">
        <v>6</v>
      </c>
      <c r="H1161" s="464"/>
      <c r="I1161" s="20">
        <f t="shared" si="32"/>
        <v>20</v>
      </c>
      <c r="J1161" s="462" t="s">
        <v>920</v>
      </c>
      <c r="K1161" s="464"/>
      <c r="L1161" s="76"/>
      <c r="M1161" s="25"/>
      <c r="N1161" s="20"/>
      <c r="O1161" s="140" t="s">
        <v>321</v>
      </c>
      <c r="P1161" s="132">
        <f>SUM(C1158:C1171)-SUM(F1158:F1171)-SUM(I1158:I1171)-P1164-P1167-P1170</f>
        <v>139.02999999999986</v>
      </c>
      <c r="Q1161" s="72">
        <f>Q1160-Q1143</f>
        <v>0</v>
      </c>
      <c r="R1161" s="308" t="s">
        <v>424</v>
      </c>
      <c r="S1161" s="474"/>
      <c r="T1161" s="475"/>
      <c r="U1161" s="467"/>
      <c r="V1161" s="468"/>
      <c r="W1161" s="282" t="s">
        <v>378</v>
      </c>
      <c r="X1161" s="132"/>
      <c r="Y1161" s="145" t="s">
        <v>324</v>
      </c>
      <c r="Z1161" s="135"/>
    </row>
    <row r="1162" spans="3:26" ht="15.75" thickBot="1">
      <c r="C1162" s="15"/>
      <c r="D1162" s="455"/>
      <c r="E1162" s="456"/>
      <c r="F1162" s="6">
        <f t="shared" si="31"/>
        <v>370</v>
      </c>
      <c r="G1162" s="462" t="s">
        <v>97</v>
      </c>
      <c r="H1162" s="464"/>
      <c r="I1162" s="20">
        <f t="shared" si="32"/>
        <v>11.9</v>
      </c>
      <c r="J1162" s="462" t="s">
        <v>249</v>
      </c>
      <c r="K1162" s="464"/>
      <c r="L1162" s="76"/>
      <c r="M1162" s="25"/>
      <c r="N1162" s="294"/>
      <c r="O1162" s="141" t="s">
        <v>322</v>
      </c>
      <c r="P1162" s="133">
        <f>P1161/29</f>
        <v>4.7941379310344781</v>
      </c>
      <c r="Q1162" s="10">
        <f>Q1161/29</f>
        <v>0</v>
      </c>
      <c r="R1162" s="143" t="s">
        <v>12</v>
      </c>
      <c r="S1162" s="476"/>
      <c r="T1162" s="477"/>
      <c r="U1162" s="478"/>
      <c r="V1162" s="479"/>
      <c r="W1162" s="289" t="s">
        <v>379</v>
      </c>
      <c r="X1162" s="132"/>
      <c r="Y1162" s="470" t="s">
        <v>14</v>
      </c>
      <c r="Z1162" s="471"/>
    </row>
    <row r="1163" spans="3:26" ht="15.75" thickBot="1">
      <c r="C1163" s="15"/>
      <c r="D1163" s="455"/>
      <c r="E1163" s="456"/>
      <c r="F1163" s="6">
        <f t="shared" si="31"/>
        <v>1860.75</v>
      </c>
      <c r="G1163" s="462" t="s">
        <v>304</v>
      </c>
      <c r="H1163" s="464"/>
      <c r="I1163" s="20">
        <f t="shared" si="32"/>
        <v>150</v>
      </c>
      <c r="J1163" s="462" t="s">
        <v>974</v>
      </c>
      <c r="K1163" s="464"/>
      <c r="L1163" s="76"/>
      <c r="M1163" s="25"/>
      <c r="N1163" s="294"/>
      <c r="O1163" s="136" t="s">
        <v>324</v>
      </c>
      <c r="P1163" s="319">
        <f>P1146+P1164</f>
        <v>3935</v>
      </c>
      <c r="Q1163" s="320">
        <f>Z1159+Z1160+Z1161</f>
        <v>0</v>
      </c>
      <c r="R1163" s="144" t="s">
        <v>425</v>
      </c>
      <c r="S1163" s="465"/>
      <c r="T1163" s="466"/>
      <c r="U1163" s="467"/>
      <c r="V1163" s="468"/>
      <c r="W1163" s="146" t="s">
        <v>375</v>
      </c>
      <c r="X1163" s="325"/>
      <c r="Y1163" s="143" t="s">
        <v>15</v>
      </c>
      <c r="Z1163" s="12"/>
    </row>
    <row r="1164" spans="3:26" ht="15.75" thickBot="1">
      <c r="C1164" s="15"/>
      <c r="D1164" s="462"/>
      <c r="E1164" s="463"/>
      <c r="F1164" s="6">
        <f t="shared" si="31"/>
        <v>70</v>
      </c>
      <c r="G1164" s="462" t="s">
        <v>982</v>
      </c>
      <c r="H1164" s="464"/>
      <c r="I1164" s="20">
        <f t="shared" si="32"/>
        <v>150</v>
      </c>
      <c r="J1164" s="462" t="s">
        <v>105</v>
      </c>
      <c r="K1164" s="464"/>
      <c r="L1164" s="76"/>
      <c r="M1164" s="25"/>
      <c r="N1164" s="294"/>
      <c r="O1164" s="140" t="s">
        <v>321</v>
      </c>
      <c r="P1164" s="132">
        <f>SUM(L1158:L1171)</f>
        <v>200</v>
      </c>
      <c r="Q1164" s="72">
        <f>Q1163-Q1146</f>
        <v>0</v>
      </c>
      <c r="R1164" s="144" t="s">
        <v>426</v>
      </c>
      <c r="S1164" s="465"/>
      <c r="T1164" s="466"/>
      <c r="U1164" s="467"/>
      <c r="V1164" s="468"/>
      <c r="W1164" s="470" t="s">
        <v>376</v>
      </c>
      <c r="X1164" s="471"/>
      <c r="Y1164" s="146" t="s">
        <v>325</v>
      </c>
      <c r="Z1164" s="10"/>
    </row>
    <row r="1165" spans="3:26" ht="16.5" thickTop="1" thickBot="1">
      <c r="C1165" s="15"/>
      <c r="D1165" s="462"/>
      <c r="E1165" s="463"/>
      <c r="F1165" s="6">
        <f t="shared" si="31"/>
        <v>50</v>
      </c>
      <c r="G1165" s="462" t="s">
        <v>926</v>
      </c>
      <c r="H1165" s="464"/>
      <c r="I1165" s="20">
        <f t="shared" si="32"/>
        <v>400</v>
      </c>
      <c r="J1165" s="462" t="s">
        <v>206</v>
      </c>
      <c r="K1165" s="464"/>
      <c r="L1165" s="76"/>
      <c r="M1165" s="25"/>
      <c r="N1165" s="292"/>
      <c r="O1165" s="141" t="s">
        <v>322</v>
      </c>
      <c r="P1165" s="133">
        <f>P1164/29</f>
        <v>6.8965517241379306</v>
      </c>
      <c r="Q1165" s="10">
        <f>Q1164/29</f>
        <v>0</v>
      </c>
      <c r="R1165" s="144" t="s">
        <v>422</v>
      </c>
      <c r="S1165" s="465"/>
      <c r="T1165" s="466"/>
      <c r="U1165" s="467"/>
      <c r="V1165" s="468"/>
      <c r="W1165" s="289" t="s">
        <v>12</v>
      </c>
      <c r="X1165" s="38"/>
      <c r="Y1165" s="470" t="s">
        <v>374</v>
      </c>
      <c r="Z1165" s="471"/>
    </row>
    <row r="1166" spans="3:26" ht="16.5" thickTop="1" thickBot="1">
      <c r="C1166" s="15"/>
      <c r="D1166" s="462"/>
      <c r="E1166" s="463"/>
      <c r="F1166" s="6">
        <f t="shared" si="31"/>
        <v>150</v>
      </c>
      <c r="G1166" s="462" t="s">
        <v>927</v>
      </c>
      <c r="H1166" s="464"/>
      <c r="I1166" s="20"/>
      <c r="J1166" s="462"/>
      <c r="K1166" s="464"/>
      <c r="L1166" s="76"/>
      <c r="M1166" s="25"/>
      <c r="N1166" s="293"/>
      <c r="O1166" s="136" t="s">
        <v>325</v>
      </c>
      <c r="P1166" s="319">
        <f>P1149+P1167</f>
        <v>2958.88</v>
      </c>
      <c r="Q1166" s="320">
        <f>Z1164</f>
        <v>0</v>
      </c>
      <c r="R1166" s="143" t="s">
        <v>421</v>
      </c>
      <c r="S1166" s="465"/>
      <c r="T1166" s="466"/>
      <c r="U1166" s="467"/>
      <c r="V1166" s="468"/>
      <c r="W1166" s="282" t="s">
        <v>373</v>
      </c>
      <c r="X1166" s="281"/>
      <c r="Y1166" s="321" t="s">
        <v>181</v>
      </c>
      <c r="Z1166" s="322">
        <v>0</v>
      </c>
    </row>
    <row r="1167" spans="3:26" ht="15.75" thickBot="1">
      <c r="C1167" s="266"/>
      <c r="D1167" s="448"/>
      <c r="E1167" s="469"/>
      <c r="F1167" s="6">
        <f t="shared" si="31"/>
        <v>150</v>
      </c>
      <c r="G1167" s="462" t="s">
        <v>925</v>
      </c>
      <c r="H1167" s="464"/>
      <c r="I1167" s="20"/>
      <c r="J1167" s="462"/>
      <c r="K1167" s="464"/>
      <c r="L1167" s="76"/>
      <c r="M1167" s="25"/>
      <c r="N1167" s="295"/>
      <c r="O1167" s="140" t="s">
        <v>321</v>
      </c>
      <c r="P1167" s="132">
        <f>SUM(M1158:M1171)</f>
        <v>150</v>
      </c>
      <c r="Q1167" s="72">
        <f>Q1166-Q1149</f>
        <v>0</v>
      </c>
      <c r="R1167" s="144" t="s">
        <v>418</v>
      </c>
      <c r="S1167" s="465"/>
      <c r="T1167" s="466"/>
      <c r="U1167" s="467"/>
      <c r="V1167" s="468"/>
      <c r="W1167" s="282" t="s">
        <v>378</v>
      </c>
      <c r="X1167" s="281"/>
      <c r="Y1167" s="470" t="s">
        <v>1000</v>
      </c>
      <c r="Z1167" s="471"/>
    </row>
    <row r="1168" spans="3:26" ht="16.5" thickTop="1" thickBot="1">
      <c r="C1168" s="266"/>
      <c r="D1168" s="448" t="s">
        <v>1001</v>
      </c>
      <c r="E1168" s="469"/>
      <c r="F1168" s="6">
        <f t="shared" si="31"/>
        <v>30</v>
      </c>
      <c r="G1168" s="462" t="s">
        <v>33</v>
      </c>
      <c r="H1168" s="464"/>
      <c r="I1168" s="20"/>
      <c r="J1168" s="462"/>
      <c r="K1168" s="464"/>
      <c r="L1168" s="76"/>
      <c r="M1168" s="25"/>
      <c r="N1168" s="293"/>
      <c r="O1168" s="141" t="s">
        <v>322</v>
      </c>
      <c r="P1168" s="133">
        <f>P1167/29</f>
        <v>5.1724137931034484</v>
      </c>
      <c r="Q1168" s="10">
        <f>Q1167/29</f>
        <v>0</v>
      </c>
      <c r="R1168" s="144" t="s">
        <v>438</v>
      </c>
      <c r="S1168" s="465"/>
      <c r="T1168" s="466"/>
      <c r="U1168" s="472"/>
      <c r="V1168" s="473"/>
      <c r="W1168" s="289" t="s">
        <v>379</v>
      </c>
      <c r="X1168" s="281"/>
      <c r="Y1168" s="143" t="s">
        <v>12</v>
      </c>
      <c r="Z1168" s="12"/>
    </row>
    <row r="1169" spans="3:26" ht="15.75" thickBot="1">
      <c r="C1169" s="15">
        <f>C1152</f>
        <v>4775.66</v>
      </c>
      <c r="D1169" s="455" t="s">
        <v>11</v>
      </c>
      <c r="E1169" s="456"/>
      <c r="F1169" s="15"/>
      <c r="G1169" s="462"/>
      <c r="H1169" s="464"/>
      <c r="I1169" s="20"/>
      <c r="J1169" s="462"/>
      <c r="K1169" s="464"/>
      <c r="L1169" s="76"/>
      <c r="M1169" s="25"/>
      <c r="N1169" s="295"/>
      <c r="O1169" s="136" t="s">
        <v>323</v>
      </c>
      <c r="P1169" s="319">
        <f>P1152+P1170</f>
        <v>13712.45730445853</v>
      </c>
      <c r="Q1169" s="320">
        <f>S1158+U1158</f>
        <v>0</v>
      </c>
      <c r="R1169" s="144" t="s">
        <v>380</v>
      </c>
      <c r="S1169" s="291">
        <f>S1160-S1161</f>
        <v>0</v>
      </c>
      <c r="T1169" s="327" t="e">
        <f>S1169/S1161</f>
        <v>#DIV/0!</v>
      </c>
      <c r="U1169" s="291">
        <f>U1160-U1161</f>
        <v>0</v>
      </c>
      <c r="V1169" s="329" t="e">
        <f>U1169/U1161</f>
        <v>#DIV/0!</v>
      </c>
      <c r="W1169" s="146" t="s">
        <v>375</v>
      </c>
      <c r="X1169" s="326"/>
      <c r="Y1169" s="144" t="s">
        <v>373</v>
      </c>
      <c r="Z1169" s="72"/>
    </row>
    <row r="1170" spans="3:26">
      <c r="C1170" s="15"/>
      <c r="D1170" s="455" t="s">
        <v>390</v>
      </c>
      <c r="E1170" s="456"/>
      <c r="F1170" s="15"/>
      <c r="G1170" s="457" t="s">
        <v>38</v>
      </c>
      <c r="H1170" s="458"/>
      <c r="I1170" s="20"/>
      <c r="J1170" s="457" t="s">
        <v>38</v>
      </c>
      <c r="K1170" s="458"/>
      <c r="L1170" s="76"/>
      <c r="M1170" s="25"/>
      <c r="N1170" s="293"/>
      <c r="O1170" s="140" t="s">
        <v>321</v>
      </c>
      <c r="P1170" s="132">
        <f>SUM(N1158:N1171)</f>
        <v>200</v>
      </c>
      <c r="Q1170" s="72">
        <f>Q1169-Q1152</f>
        <v>0</v>
      </c>
      <c r="R1170" s="144" t="s">
        <v>381</v>
      </c>
      <c r="S1170" s="291">
        <f>S1158-S1163</f>
        <v>0</v>
      </c>
      <c r="T1170" s="327" t="e">
        <f>S1170/S1163</f>
        <v>#DIV/0!</v>
      </c>
      <c r="U1170" s="291">
        <f>U1158-U1163</f>
        <v>0</v>
      </c>
      <c r="V1170" s="366" t="e">
        <f>U1170/ABS(U1163)</f>
        <v>#DIV/0!</v>
      </c>
      <c r="W1170" s="337" t="s">
        <v>410</v>
      </c>
      <c r="X1170" s="1" t="s">
        <v>558</v>
      </c>
      <c r="Y1170" s="144" t="s">
        <v>379</v>
      </c>
      <c r="Z1170" s="72"/>
    </row>
    <row r="1171" spans="3:26" ht="15.75" thickBot="1">
      <c r="C1171" s="17"/>
      <c r="D1171" s="459"/>
      <c r="E1171" s="460"/>
      <c r="F1171" s="17"/>
      <c r="G1171" s="459"/>
      <c r="H1171" s="461"/>
      <c r="I1171" s="21"/>
      <c r="J1171" s="459"/>
      <c r="K1171" s="461"/>
      <c r="L1171" s="42"/>
      <c r="M1171" s="5"/>
      <c r="N1171" s="21"/>
      <c r="O1171" s="137" t="s">
        <v>322</v>
      </c>
      <c r="P1171" s="138">
        <f>P1170/29</f>
        <v>6.8965517241379306</v>
      </c>
      <c r="Q1171" s="24">
        <f>Q1170/29</f>
        <v>0</v>
      </c>
      <c r="R1171" s="153" t="s">
        <v>410</v>
      </c>
      <c r="S1171" s="296">
        <f>S1169+S1170</f>
        <v>0</v>
      </c>
      <c r="T1171" s="328" t="e">
        <f>S1171/S1159</f>
        <v>#DIV/0!</v>
      </c>
      <c r="U1171" s="296">
        <f>U1170+U1169</f>
        <v>0</v>
      </c>
      <c r="V1171" s="330" t="e">
        <f>U1171/U1159</f>
        <v>#DIV/0!</v>
      </c>
      <c r="W1171" s="296">
        <f>S1171+U1171</f>
        <v>0</v>
      </c>
      <c r="X1171" s="330" t="e">
        <f>(W1171+S1159+U1159)/(S1159+U1159)-1</f>
        <v>#DIV/0!</v>
      </c>
      <c r="Y1171" s="153" t="s">
        <v>375</v>
      </c>
      <c r="Z1171" s="389"/>
    </row>
    <row r="1172" spans="3:26" ht="17.25" thickTop="1" thickBot="1">
      <c r="C1172" s="264">
        <v>46661</v>
      </c>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3:26" ht="17.25" thickTop="1" thickBot="1">
      <c r="C1173" s="480" t="s">
        <v>386</v>
      </c>
      <c r="D1173" s="481"/>
      <c r="E1173" s="482"/>
      <c r="F1173" s="483" t="s">
        <v>387</v>
      </c>
      <c r="G1173" s="484"/>
      <c r="H1173" s="484"/>
      <c r="I1173" s="484"/>
      <c r="J1173" s="484"/>
      <c r="K1173" s="484"/>
      <c r="L1173" s="484"/>
      <c r="M1173" s="484"/>
      <c r="N1173" s="485"/>
      <c r="O1173" s="261" t="s">
        <v>320</v>
      </c>
      <c r="P1173" s="262" t="s">
        <v>257</v>
      </c>
      <c r="Q1173" s="263" t="s">
        <v>319</v>
      </c>
      <c r="R1173" s="486" t="s">
        <v>144</v>
      </c>
      <c r="S1173" s="487"/>
      <c r="T1173" s="487"/>
      <c r="U1173" s="487"/>
      <c r="V1173" s="487"/>
      <c r="W1173" s="487"/>
      <c r="X1173" s="487"/>
      <c r="Y1173" s="487"/>
      <c r="Z1173" s="488"/>
    </row>
    <row r="1174" spans="3:26" ht="15.75" thickBot="1">
      <c r="C1174" s="265"/>
      <c r="D1174" s="489"/>
      <c r="E1174" s="490"/>
      <c r="F1174" s="470" t="s">
        <v>3</v>
      </c>
      <c r="G1174" s="491"/>
      <c r="H1174" s="492"/>
      <c r="I1174" s="493" t="s">
        <v>4</v>
      </c>
      <c r="J1174" s="491"/>
      <c r="K1174" s="492"/>
      <c r="L1174" s="267" t="s">
        <v>324</v>
      </c>
      <c r="M1174" s="267" t="s">
        <v>325</v>
      </c>
      <c r="N1174" s="267" t="s">
        <v>323</v>
      </c>
      <c r="O1174" s="316" t="s">
        <v>5</v>
      </c>
      <c r="P1174" s="317">
        <f>P1177+P1180+P1183+P1186</f>
        <v>24228.247304458524</v>
      </c>
      <c r="Q1174" s="318">
        <f>Q1183+Q1180+Q1177+Q1186</f>
        <v>0</v>
      </c>
      <c r="R1174" s="268" t="s">
        <v>323</v>
      </c>
      <c r="S1174" s="493" t="s">
        <v>317</v>
      </c>
      <c r="T1174" s="492"/>
      <c r="U1174" s="493" t="s">
        <v>369</v>
      </c>
      <c r="V1174" s="471"/>
      <c r="W1174" s="470" t="s">
        <v>310</v>
      </c>
      <c r="X1174" s="471"/>
      <c r="Y1174" s="470" t="s">
        <v>13</v>
      </c>
      <c r="Z1174" s="471"/>
    </row>
    <row r="1175" spans="3:26" ht="16.5" thickTop="1" thickBot="1">
      <c r="C1175" s="15"/>
      <c r="D1175" s="494"/>
      <c r="E1175" s="495"/>
      <c r="G1175" s="496"/>
      <c r="H1175" s="497"/>
      <c r="J1175" s="496"/>
      <c r="K1175" s="497"/>
      <c r="L1175" s="76"/>
      <c r="M1175" s="25"/>
      <c r="N1175" s="292"/>
      <c r="O1175" s="258" t="s">
        <v>321</v>
      </c>
      <c r="P1175" s="315">
        <f>SUM(C1175:C1188)-SUM(F1175:F1188)-SUM(I1175:I1188)</f>
        <v>689.02999999999986</v>
      </c>
      <c r="Q1175" s="12">
        <f>Q1174-Q1157</f>
        <v>0</v>
      </c>
      <c r="R1175" s="307" t="s">
        <v>343</v>
      </c>
      <c r="S1175" s="498"/>
      <c r="T1175" s="499"/>
      <c r="U1175" s="498"/>
      <c r="V1175" s="500"/>
      <c r="W1175" s="501" t="s">
        <v>326</v>
      </c>
      <c r="X1175" s="502"/>
      <c r="Y1175" s="143" t="s">
        <v>17</v>
      </c>
      <c r="Z1175" s="12"/>
    </row>
    <row r="1176" spans="3:26" ht="16.5" thickTop="1" thickBot="1">
      <c r="C1176" s="15"/>
      <c r="D1176" s="455" t="s">
        <v>11</v>
      </c>
      <c r="E1176" s="456"/>
      <c r="F1176" s="6">
        <f>F1159</f>
        <v>400</v>
      </c>
      <c r="G1176" s="462" t="s">
        <v>223</v>
      </c>
      <c r="H1176" s="464"/>
      <c r="I1176" s="20">
        <f>I1159</f>
        <v>11.99</v>
      </c>
      <c r="J1176" s="462" t="s">
        <v>385</v>
      </c>
      <c r="K1176" s="464"/>
      <c r="L1176" s="76">
        <f>L1159</f>
        <v>200</v>
      </c>
      <c r="M1176" s="76">
        <f>M1159</f>
        <v>150</v>
      </c>
      <c r="N1176" s="76">
        <f>N1159</f>
        <v>200</v>
      </c>
      <c r="O1176" s="141" t="s">
        <v>322</v>
      </c>
      <c r="P1176" s="133">
        <f>P1175/29</f>
        <v>23.759655172413787</v>
      </c>
      <c r="Q1176" s="10">
        <f>Q1175/29</f>
        <v>0</v>
      </c>
      <c r="R1176" s="308" t="s">
        <v>382</v>
      </c>
      <c r="S1176" s="474"/>
      <c r="T1176" s="475"/>
      <c r="U1176" s="467"/>
      <c r="V1176" s="468"/>
      <c r="W1176" s="289" t="s">
        <v>12</v>
      </c>
      <c r="X1176" s="315"/>
      <c r="Y1176" s="144" t="s">
        <v>18</v>
      </c>
      <c r="Z1176" s="72"/>
    </row>
    <row r="1177" spans="3:26">
      <c r="C1177" s="15"/>
      <c r="D1177" s="455" t="s">
        <v>390</v>
      </c>
      <c r="E1177" s="456"/>
      <c r="F1177" s="6">
        <f t="shared" ref="F1177:F1185" si="33">F1160</f>
        <v>100</v>
      </c>
      <c r="G1177" s="462" t="s">
        <v>9</v>
      </c>
      <c r="H1177" s="464"/>
      <c r="I1177" s="20">
        <f t="shared" ref="I1177:I1182" si="34">I1160</f>
        <v>11.99</v>
      </c>
      <c r="J1177" s="462" t="s">
        <v>22</v>
      </c>
      <c r="K1177" s="464"/>
      <c r="L1177" s="76"/>
      <c r="M1177" s="25"/>
      <c r="N1177" s="294"/>
      <c r="O1177" s="136" t="s">
        <v>12</v>
      </c>
      <c r="P1177" s="319">
        <f>P1160+P1175-SUM(L1175:L1188)-SUM(M1175:M1188)-SUM(N1175:N1188)</f>
        <v>3071.9099999999921</v>
      </c>
      <c r="Q1177" s="320">
        <f>Z1175+Z1180+Z1183</f>
        <v>0</v>
      </c>
      <c r="R1177" s="308" t="s">
        <v>383</v>
      </c>
      <c r="S1177" s="474"/>
      <c r="T1177" s="475"/>
      <c r="U1177" s="467"/>
      <c r="V1177" s="468"/>
      <c r="W1177" s="282" t="s">
        <v>373</v>
      </c>
      <c r="X1177" s="132"/>
      <c r="Y1177" s="144" t="s">
        <v>19</v>
      </c>
      <c r="Z1177" s="72"/>
    </row>
    <row r="1178" spans="3:26" ht="15.75" thickBot="1">
      <c r="C1178" s="15"/>
      <c r="D1178" s="462"/>
      <c r="E1178" s="463"/>
      <c r="F1178" s="6">
        <f t="shared" si="33"/>
        <v>150</v>
      </c>
      <c r="G1178" s="462" t="s">
        <v>6</v>
      </c>
      <c r="H1178" s="464"/>
      <c r="I1178" s="20">
        <f t="shared" si="34"/>
        <v>20</v>
      </c>
      <c r="J1178" s="462" t="s">
        <v>920</v>
      </c>
      <c r="K1178" s="464"/>
      <c r="L1178" s="76"/>
      <c r="M1178" s="25"/>
      <c r="N1178" s="20"/>
      <c r="O1178" s="140" t="s">
        <v>321</v>
      </c>
      <c r="P1178" s="132">
        <f>SUM(C1175:C1188)-SUM(F1175:F1188)-SUM(I1175:I1188)-P1181-P1184-P1187</f>
        <v>139.02999999999986</v>
      </c>
      <c r="Q1178" s="72">
        <f>Q1177-Q1160</f>
        <v>0</v>
      </c>
      <c r="R1178" s="308" t="s">
        <v>424</v>
      </c>
      <c r="S1178" s="474"/>
      <c r="T1178" s="475"/>
      <c r="U1178" s="467"/>
      <c r="V1178" s="468"/>
      <c r="W1178" s="282" t="s">
        <v>378</v>
      </c>
      <c r="X1178" s="132"/>
      <c r="Y1178" s="145" t="s">
        <v>324</v>
      </c>
      <c r="Z1178" s="135"/>
    </row>
    <row r="1179" spans="3:26" ht="15.75" thickBot="1">
      <c r="C1179" s="15"/>
      <c r="D1179" s="455"/>
      <c r="E1179" s="456"/>
      <c r="F1179" s="6">
        <f t="shared" si="33"/>
        <v>370</v>
      </c>
      <c r="G1179" s="462" t="s">
        <v>97</v>
      </c>
      <c r="H1179" s="464"/>
      <c r="I1179" s="20">
        <f t="shared" si="34"/>
        <v>11.9</v>
      </c>
      <c r="J1179" s="462" t="s">
        <v>249</v>
      </c>
      <c r="K1179" s="464"/>
      <c r="L1179" s="76"/>
      <c r="M1179" s="25"/>
      <c r="N1179" s="294"/>
      <c r="O1179" s="141" t="s">
        <v>322</v>
      </c>
      <c r="P1179" s="133">
        <f>P1178/29</f>
        <v>4.7941379310344781</v>
      </c>
      <c r="Q1179" s="10">
        <f>Q1178/29</f>
        <v>0</v>
      </c>
      <c r="R1179" s="143" t="s">
        <v>12</v>
      </c>
      <c r="S1179" s="476"/>
      <c r="T1179" s="477"/>
      <c r="U1179" s="478"/>
      <c r="V1179" s="479"/>
      <c r="W1179" s="289" t="s">
        <v>379</v>
      </c>
      <c r="X1179" s="132"/>
      <c r="Y1179" s="470" t="s">
        <v>14</v>
      </c>
      <c r="Z1179" s="471"/>
    </row>
    <row r="1180" spans="3:26" ht="15.75" thickBot="1">
      <c r="C1180" s="15"/>
      <c r="D1180" s="455"/>
      <c r="E1180" s="456"/>
      <c r="F1180" s="6">
        <f t="shared" si="33"/>
        <v>1860.75</v>
      </c>
      <c r="G1180" s="462" t="s">
        <v>304</v>
      </c>
      <c r="H1180" s="464"/>
      <c r="I1180" s="20">
        <f t="shared" si="34"/>
        <v>150</v>
      </c>
      <c r="J1180" s="462" t="s">
        <v>974</v>
      </c>
      <c r="K1180" s="464"/>
      <c r="L1180" s="76"/>
      <c r="M1180" s="25"/>
      <c r="N1180" s="294"/>
      <c r="O1180" s="136" t="s">
        <v>324</v>
      </c>
      <c r="P1180" s="319">
        <f>P1163+P1181</f>
        <v>4135</v>
      </c>
      <c r="Q1180" s="320">
        <f>Z1176+Z1177+Z1178</f>
        <v>0</v>
      </c>
      <c r="R1180" s="144" t="s">
        <v>425</v>
      </c>
      <c r="S1180" s="465"/>
      <c r="T1180" s="466"/>
      <c r="U1180" s="467"/>
      <c r="V1180" s="468"/>
      <c r="W1180" s="146" t="s">
        <v>375</v>
      </c>
      <c r="X1180" s="325"/>
      <c r="Y1180" s="143" t="s">
        <v>15</v>
      </c>
      <c r="Z1180" s="12"/>
    </row>
    <row r="1181" spans="3:26" ht="15.75" thickBot="1">
      <c r="C1181" s="15"/>
      <c r="D1181" s="462"/>
      <c r="E1181" s="463"/>
      <c r="F1181" s="6">
        <f t="shared" si="33"/>
        <v>70</v>
      </c>
      <c r="G1181" s="462" t="s">
        <v>982</v>
      </c>
      <c r="H1181" s="464"/>
      <c r="I1181" s="20">
        <f t="shared" si="34"/>
        <v>150</v>
      </c>
      <c r="J1181" s="462" t="s">
        <v>105</v>
      </c>
      <c r="K1181" s="464"/>
      <c r="L1181" s="76"/>
      <c r="M1181" s="25"/>
      <c r="N1181" s="294"/>
      <c r="O1181" s="140" t="s">
        <v>321</v>
      </c>
      <c r="P1181" s="132">
        <f>SUM(L1175:L1188)</f>
        <v>200</v>
      </c>
      <c r="Q1181" s="72">
        <f>Q1180-Q1163</f>
        <v>0</v>
      </c>
      <c r="R1181" s="144" t="s">
        <v>426</v>
      </c>
      <c r="S1181" s="465"/>
      <c r="T1181" s="466"/>
      <c r="U1181" s="467"/>
      <c r="V1181" s="468"/>
      <c r="W1181" s="470" t="s">
        <v>376</v>
      </c>
      <c r="X1181" s="471"/>
      <c r="Y1181" s="146" t="s">
        <v>325</v>
      </c>
      <c r="Z1181" s="10"/>
    </row>
    <row r="1182" spans="3:26" ht="16.5" thickTop="1" thickBot="1">
      <c r="C1182" s="15"/>
      <c r="D1182" s="462"/>
      <c r="E1182" s="463"/>
      <c r="F1182" s="6">
        <f t="shared" si="33"/>
        <v>50</v>
      </c>
      <c r="G1182" s="462" t="s">
        <v>926</v>
      </c>
      <c r="H1182" s="464"/>
      <c r="I1182" s="20">
        <f t="shared" si="34"/>
        <v>400</v>
      </c>
      <c r="J1182" s="462" t="s">
        <v>206</v>
      </c>
      <c r="K1182" s="464"/>
      <c r="L1182" s="76"/>
      <c r="M1182" s="25"/>
      <c r="N1182" s="292"/>
      <c r="O1182" s="141" t="s">
        <v>322</v>
      </c>
      <c r="P1182" s="133">
        <f>P1181/29</f>
        <v>6.8965517241379306</v>
      </c>
      <c r="Q1182" s="10">
        <f>Q1181/29</f>
        <v>0</v>
      </c>
      <c r="R1182" s="144" t="s">
        <v>422</v>
      </c>
      <c r="S1182" s="465"/>
      <c r="T1182" s="466"/>
      <c r="U1182" s="467"/>
      <c r="V1182" s="468"/>
      <c r="W1182" s="289" t="s">
        <v>12</v>
      </c>
      <c r="X1182" s="38"/>
      <c r="Y1182" s="470" t="s">
        <v>374</v>
      </c>
      <c r="Z1182" s="471"/>
    </row>
    <row r="1183" spans="3:26" ht="16.5" thickTop="1" thickBot="1">
      <c r="C1183" s="15"/>
      <c r="D1183" s="462"/>
      <c r="E1183" s="463"/>
      <c r="F1183" s="6">
        <f t="shared" si="33"/>
        <v>150</v>
      </c>
      <c r="G1183" s="462" t="s">
        <v>927</v>
      </c>
      <c r="H1183" s="464"/>
      <c r="I1183" s="20"/>
      <c r="J1183" s="462"/>
      <c r="K1183" s="464"/>
      <c r="L1183" s="76"/>
      <c r="M1183" s="25"/>
      <c r="N1183" s="293"/>
      <c r="O1183" s="136" t="s">
        <v>325</v>
      </c>
      <c r="P1183" s="319">
        <f>P1166+P1184</f>
        <v>3108.88</v>
      </c>
      <c r="Q1183" s="320">
        <f>Z1181</f>
        <v>0</v>
      </c>
      <c r="R1183" s="143" t="s">
        <v>421</v>
      </c>
      <c r="S1183" s="465"/>
      <c r="T1183" s="466"/>
      <c r="U1183" s="467"/>
      <c r="V1183" s="468"/>
      <c r="W1183" s="282" t="s">
        <v>373</v>
      </c>
      <c r="X1183" s="281"/>
      <c r="Y1183" s="321" t="s">
        <v>181</v>
      </c>
      <c r="Z1183" s="322">
        <v>0</v>
      </c>
    </row>
    <row r="1184" spans="3:26" ht="15.75" thickBot="1">
      <c r="C1184" s="266"/>
      <c r="D1184" s="448"/>
      <c r="E1184" s="469"/>
      <c r="F1184" s="6">
        <f t="shared" si="33"/>
        <v>150</v>
      </c>
      <c r="G1184" s="462" t="s">
        <v>925</v>
      </c>
      <c r="H1184" s="464"/>
      <c r="I1184" s="20"/>
      <c r="J1184" s="462"/>
      <c r="K1184" s="464"/>
      <c r="L1184" s="76"/>
      <c r="M1184" s="25"/>
      <c r="N1184" s="295"/>
      <c r="O1184" s="140" t="s">
        <v>321</v>
      </c>
      <c r="P1184" s="132">
        <f>SUM(M1175:M1188)</f>
        <v>150</v>
      </c>
      <c r="Q1184" s="72">
        <f>Q1183-Q1166</f>
        <v>0</v>
      </c>
      <c r="R1184" s="144" t="s">
        <v>418</v>
      </c>
      <c r="S1184" s="465"/>
      <c r="T1184" s="466"/>
      <c r="U1184" s="467"/>
      <c r="V1184" s="468"/>
      <c r="W1184" s="282" t="s">
        <v>378</v>
      </c>
      <c r="X1184" s="281"/>
      <c r="Y1184" s="470" t="s">
        <v>1000</v>
      </c>
      <c r="Z1184" s="471"/>
    </row>
    <row r="1185" spans="3:26" ht="16.5" thickTop="1" thickBot="1">
      <c r="C1185" s="266"/>
      <c r="D1185" s="448" t="s">
        <v>1001</v>
      </c>
      <c r="E1185" s="469"/>
      <c r="F1185" s="6">
        <f t="shared" si="33"/>
        <v>30</v>
      </c>
      <c r="G1185" s="462" t="s">
        <v>33</v>
      </c>
      <c r="H1185" s="464"/>
      <c r="I1185" s="20"/>
      <c r="J1185" s="462"/>
      <c r="K1185" s="464"/>
      <c r="L1185" s="76"/>
      <c r="M1185" s="25"/>
      <c r="N1185" s="293"/>
      <c r="O1185" s="141" t="s">
        <v>322</v>
      </c>
      <c r="P1185" s="133">
        <f>P1184/29</f>
        <v>5.1724137931034484</v>
      </c>
      <c r="Q1185" s="10">
        <f>Q1184/29</f>
        <v>0</v>
      </c>
      <c r="R1185" s="144" t="s">
        <v>438</v>
      </c>
      <c r="S1185" s="465"/>
      <c r="T1185" s="466"/>
      <c r="U1185" s="472"/>
      <c r="V1185" s="473"/>
      <c r="W1185" s="289" t="s">
        <v>379</v>
      </c>
      <c r="X1185" s="281"/>
      <c r="Y1185" s="143" t="s">
        <v>12</v>
      </c>
      <c r="Z1185" s="12"/>
    </row>
    <row r="1186" spans="3:26" ht="15.75" thickBot="1">
      <c r="C1186" s="15">
        <f>C1169</f>
        <v>4775.66</v>
      </c>
      <c r="D1186" s="455" t="s">
        <v>11</v>
      </c>
      <c r="E1186" s="456"/>
      <c r="F1186" s="15"/>
      <c r="G1186" s="462"/>
      <c r="H1186" s="464"/>
      <c r="I1186" s="20"/>
      <c r="J1186" s="462"/>
      <c r="K1186" s="464"/>
      <c r="L1186" s="76"/>
      <c r="M1186" s="25"/>
      <c r="N1186" s="295"/>
      <c r="O1186" s="136" t="s">
        <v>323</v>
      </c>
      <c r="P1186" s="319">
        <f>P1169+P1187</f>
        <v>13912.45730445853</v>
      </c>
      <c r="Q1186" s="320">
        <f>S1175+U1175</f>
        <v>0</v>
      </c>
      <c r="R1186" s="144" t="s">
        <v>380</v>
      </c>
      <c r="S1186" s="291">
        <f>S1177-S1178</f>
        <v>0</v>
      </c>
      <c r="T1186" s="327" t="e">
        <f>S1186/S1178</f>
        <v>#DIV/0!</v>
      </c>
      <c r="U1186" s="291">
        <f>U1177-U1178</f>
        <v>0</v>
      </c>
      <c r="V1186" s="329" t="e">
        <f>U1186/U1178</f>
        <v>#DIV/0!</v>
      </c>
      <c r="W1186" s="146" t="s">
        <v>375</v>
      </c>
      <c r="X1186" s="326"/>
      <c r="Y1186" s="144" t="s">
        <v>373</v>
      </c>
      <c r="Z1186" s="72"/>
    </row>
    <row r="1187" spans="3:26">
      <c r="C1187" s="15"/>
      <c r="D1187" s="455" t="s">
        <v>390</v>
      </c>
      <c r="E1187" s="456"/>
      <c r="F1187" s="15"/>
      <c r="G1187" s="457" t="s">
        <v>38</v>
      </c>
      <c r="H1187" s="458"/>
      <c r="I1187" s="20"/>
      <c r="J1187" s="457" t="s">
        <v>38</v>
      </c>
      <c r="K1187" s="458"/>
      <c r="L1187" s="76"/>
      <c r="M1187" s="25"/>
      <c r="N1187" s="293"/>
      <c r="O1187" s="140" t="s">
        <v>321</v>
      </c>
      <c r="P1187" s="132">
        <f>SUM(N1175:N1188)</f>
        <v>200</v>
      </c>
      <c r="Q1187" s="72">
        <f>Q1186-Q1169</f>
        <v>0</v>
      </c>
      <c r="R1187" s="144" t="s">
        <v>381</v>
      </c>
      <c r="S1187" s="291">
        <f>S1175-S1180</f>
        <v>0</v>
      </c>
      <c r="T1187" s="327" t="e">
        <f>S1187/S1180</f>
        <v>#DIV/0!</v>
      </c>
      <c r="U1187" s="291">
        <f>U1175-U1180</f>
        <v>0</v>
      </c>
      <c r="V1187" s="366" t="e">
        <f>U1187/ABS(U1180)</f>
        <v>#DIV/0!</v>
      </c>
      <c r="W1187" s="337" t="s">
        <v>410</v>
      </c>
      <c r="X1187" s="1" t="s">
        <v>558</v>
      </c>
      <c r="Y1187" s="144" t="s">
        <v>379</v>
      </c>
      <c r="Z1187" s="72"/>
    </row>
    <row r="1188" spans="3:26" ht="15.75" thickBot="1">
      <c r="C1188" s="17"/>
      <c r="D1188" s="459"/>
      <c r="E1188" s="460"/>
      <c r="F1188" s="17"/>
      <c r="G1188" s="459"/>
      <c r="H1188" s="461"/>
      <c r="I1188" s="21"/>
      <c r="J1188" s="459"/>
      <c r="K1188" s="461"/>
      <c r="L1188" s="42"/>
      <c r="M1188" s="5"/>
      <c r="N1188" s="21"/>
      <c r="O1188" s="137" t="s">
        <v>322</v>
      </c>
      <c r="P1188" s="138">
        <f>P1187/29</f>
        <v>6.8965517241379306</v>
      </c>
      <c r="Q1188" s="24">
        <f>Q1187/29</f>
        <v>0</v>
      </c>
      <c r="R1188" s="153" t="s">
        <v>410</v>
      </c>
      <c r="S1188" s="296">
        <f>S1186+S1187</f>
        <v>0</v>
      </c>
      <c r="T1188" s="328" t="e">
        <f>S1188/S1176</f>
        <v>#DIV/0!</v>
      </c>
      <c r="U1188" s="296">
        <f>U1187+U1186</f>
        <v>0</v>
      </c>
      <c r="V1188" s="330" t="e">
        <f>U1188/U1176</f>
        <v>#DIV/0!</v>
      </c>
      <c r="W1188" s="296">
        <f>S1188+U1188</f>
        <v>0</v>
      </c>
      <c r="X1188" s="330" t="e">
        <f>(W1188+S1176+U1176)/(S1176+U1176)-1</f>
        <v>#DIV/0!</v>
      </c>
      <c r="Y1188" s="153" t="s">
        <v>375</v>
      </c>
      <c r="Z1188" s="389"/>
    </row>
    <row r="1189" spans="3:26" ht="17.25" thickTop="1" thickBot="1">
      <c r="C1189" s="264">
        <v>46692</v>
      </c>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3:26" ht="17.25" thickTop="1" thickBot="1">
      <c r="C1190" s="480" t="s">
        <v>386</v>
      </c>
      <c r="D1190" s="481"/>
      <c r="E1190" s="482"/>
      <c r="F1190" s="483" t="s">
        <v>387</v>
      </c>
      <c r="G1190" s="484"/>
      <c r="H1190" s="484"/>
      <c r="I1190" s="484"/>
      <c r="J1190" s="484"/>
      <c r="K1190" s="484"/>
      <c r="L1190" s="484"/>
      <c r="M1190" s="484"/>
      <c r="N1190" s="485"/>
      <c r="O1190" s="261" t="s">
        <v>320</v>
      </c>
      <c r="P1190" s="262" t="s">
        <v>257</v>
      </c>
      <c r="Q1190" s="263" t="s">
        <v>319</v>
      </c>
      <c r="R1190" s="486" t="s">
        <v>144</v>
      </c>
      <c r="S1190" s="487"/>
      <c r="T1190" s="487"/>
      <c r="U1190" s="487"/>
      <c r="V1190" s="487"/>
      <c r="W1190" s="487"/>
      <c r="X1190" s="487"/>
      <c r="Y1190" s="487"/>
      <c r="Z1190" s="488"/>
    </row>
    <row r="1191" spans="3:26" ht="15.75" thickBot="1">
      <c r="C1191" s="265"/>
      <c r="D1191" s="489"/>
      <c r="E1191" s="490"/>
      <c r="F1191" s="470" t="s">
        <v>3</v>
      </c>
      <c r="G1191" s="491"/>
      <c r="H1191" s="492"/>
      <c r="I1191" s="493" t="s">
        <v>4</v>
      </c>
      <c r="J1191" s="491"/>
      <c r="K1191" s="492"/>
      <c r="L1191" s="267" t="s">
        <v>324</v>
      </c>
      <c r="M1191" s="267" t="s">
        <v>325</v>
      </c>
      <c r="N1191" s="267" t="s">
        <v>323</v>
      </c>
      <c r="O1191" s="316" t="s">
        <v>5</v>
      </c>
      <c r="P1191" s="317">
        <f>P1194+P1197+P1200+P1203</f>
        <v>24917.277304458523</v>
      </c>
      <c r="Q1191" s="318">
        <f>Q1200+Q1197+Q1194+Q1203</f>
        <v>0</v>
      </c>
      <c r="R1191" s="268" t="s">
        <v>323</v>
      </c>
      <c r="S1191" s="493" t="s">
        <v>317</v>
      </c>
      <c r="T1191" s="492"/>
      <c r="U1191" s="493" t="s">
        <v>369</v>
      </c>
      <c r="V1191" s="471"/>
      <c r="W1191" s="470" t="s">
        <v>310</v>
      </c>
      <c r="X1191" s="471"/>
      <c r="Y1191" s="470" t="s">
        <v>13</v>
      </c>
      <c r="Z1191" s="471"/>
    </row>
    <row r="1192" spans="3:26" ht="16.5" thickTop="1" thickBot="1">
      <c r="C1192" s="15"/>
      <c r="D1192" s="494"/>
      <c r="E1192" s="495"/>
      <c r="G1192" s="496"/>
      <c r="H1192" s="497"/>
      <c r="J1192" s="496"/>
      <c r="K1192" s="497"/>
      <c r="L1192" s="76"/>
      <c r="M1192" s="25"/>
      <c r="N1192" s="292"/>
      <c r="O1192" s="258" t="s">
        <v>321</v>
      </c>
      <c r="P1192" s="315">
        <f>SUM(C1192:C1205)-SUM(F1192:F1205)-SUM(I1192:I1205)</f>
        <v>689.02999999999986</v>
      </c>
      <c r="Q1192" s="12">
        <f>Q1191-Q1174</f>
        <v>0</v>
      </c>
      <c r="R1192" s="307" t="s">
        <v>343</v>
      </c>
      <c r="S1192" s="498"/>
      <c r="T1192" s="499"/>
      <c r="U1192" s="498"/>
      <c r="V1192" s="500"/>
      <c r="W1192" s="501" t="s">
        <v>326</v>
      </c>
      <c r="X1192" s="502"/>
      <c r="Y1192" s="143" t="s">
        <v>17</v>
      </c>
      <c r="Z1192" s="12"/>
    </row>
    <row r="1193" spans="3:26" ht="16.5" thickTop="1" thickBot="1">
      <c r="C1193" s="15"/>
      <c r="D1193" s="455" t="s">
        <v>11</v>
      </c>
      <c r="E1193" s="456"/>
      <c r="F1193" s="6">
        <f>F1176</f>
        <v>400</v>
      </c>
      <c r="G1193" s="462" t="s">
        <v>223</v>
      </c>
      <c r="H1193" s="464"/>
      <c r="I1193" s="20">
        <f>I1176</f>
        <v>11.99</v>
      </c>
      <c r="J1193" s="462" t="s">
        <v>385</v>
      </c>
      <c r="K1193" s="464"/>
      <c r="L1193" s="76">
        <f>L1176</f>
        <v>200</v>
      </c>
      <c r="M1193" s="76">
        <f>M1176</f>
        <v>150</v>
      </c>
      <c r="N1193" s="76">
        <f>N1176</f>
        <v>200</v>
      </c>
      <c r="O1193" s="141" t="s">
        <v>322</v>
      </c>
      <c r="P1193" s="133">
        <f>P1192/29</f>
        <v>23.759655172413787</v>
      </c>
      <c r="Q1193" s="10">
        <f>Q1192/29</f>
        <v>0</v>
      </c>
      <c r="R1193" s="308" t="s">
        <v>382</v>
      </c>
      <c r="S1193" s="474"/>
      <c r="T1193" s="475"/>
      <c r="U1193" s="467"/>
      <c r="V1193" s="468"/>
      <c r="W1193" s="289" t="s">
        <v>12</v>
      </c>
      <c r="X1193" s="315"/>
      <c r="Y1193" s="144" t="s">
        <v>18</v>
      </c>
      <c r="Z1193" s="72"/>
    </row>
    <row r="1194" spans="3:26">
      <c r="C1194" s="15"/>
      <c r="D1194" s="455" t="s">
        <v>390</v>
      </c>
      <c r="E1194" s="456"/>
      <c r="F1194" s="6">
        <f t="shared" ref="F1194:F1202" si="35">F1177</f>
        <v>100</v>
      </c>
      <c r="G1194" s="462" t="s">
        <v>9</v>
      </c>
      <c r="H1194" s="464"/>
      <c r="I1194" s="20">
        <f t="shared" ref="I1194:I1199" si="36">I1177</f>
        <v>11.99</v>
      </c>
      <c r="J1194" s="462" t="s">
        <v>22</v>
      </c>
      <c r="K1194" s="464"/>
      <c r="L1194" s="76"/>
      <c r="M1194" s="25"/>
      <c r="N1194" s="294"/>
      <c r="O1194" s="136" t="s">
        <v>12</v>
      </c>
      <c r="P1194" s="319">
        <f>P1177+P1192-SUM(L1192:L1205)-SUM(M1192:M1205)-SUM(N1192:N1205)</f>
        <v>3210.9399999999919</v>
      </c>
      <c r="Q1194" s="320">
        <f>Z1192+Z1197+Z1200</f>
        <v>0</v>
      </c>
      <c r="R1194" s="308" t="s">
        <v>383</v>
      </c>
      <c r="S1194" s="474"/>
      <c r="T1194" s="475"/>
      <c r="U1194" s="467"/>
      <c r="V1194" s="468"/>
      <c r="W1194" s="282" t="s">
        <v>373</v>
      </c>
      <c r="X1194" s="132"/>
      <c r="Y1194" s="144" t="s">
        <v>19</v>
      </c>
      <c r="Z1194" s="72"/>
    </row>
    <row r="1195" spans="3:26" ht="15.75" thickBot="1">
      <c r="C1195" s="15"/>
      <c r="D1195" s="462"/>
      <c r="E1195" s="463"/>
      <c r="F1195" s="6">
        <f t="shared" si="35"/>
        <v>150</v>
      </c>
      <c r="G1195" s="462" t="s">
        <v>6</v>
      </c>
      <c r="H1195" s="464"/>
      <c r="I1195" s="20">
        <f t="shared" si="36"/>
        <v>20</v>
      </c>
      <c r="J1195" s="462" t="s">
        <v>920</v>
      </c>
      <c r="K1195" s="464"/>
      <c r="L1195" s="76"/>
      <c r="M1195" s="25"/>
      <c r="N1195" s="20"/>
      <c r="O1195" s="140" t="s">
        <v>321</v>
      </c>
      <c r="P1195" s="132">
        <f>SUM(C1192:C1205)-SUM(F1192:F1205)-SUM(I1192:I1205)-P1198-P1201-P1204</f>
        <v>139.02999999999986</v>
      </c>
      <c r="Q1195" s="72">
        <f>Q1194-Q1177</f>
        <v>0</v>
      </c>
      <c r="R1195" s="308" t="s">
        <v>424</v>
      </c>
      <c r="S1195" s="474"/>
      <c r="T1195" s="475"/>
      <c r="U1195" s="467"/>
      <c r="V1195" s="468"/>
      <c r="W1195" s="282" t="s">
        <v>378</v>
      </c>
      <c r="X1195" s="132"/>
      <c r="Y1195" s="145" t="s">
        <v>324</v>
      </c>
      <c r="Z1195" s="135"/>
    </row>
    <row r="1196" spans="3:26" ht="15.75" thickBot="1">
      <c r="C1196" s="15"/>
      <c r="D1196" s="455"/>
      <c r="E1196" s="456"/>
      <c r="F1196" s="6">
        <f t="shared" si="35"/>
        <v>370</v>
      </c>
      <c r="G1196" s="462" t="s">
        <v>97</v>
      </c>
      <c r="H1196" s="464"/>
      <c r="I1196" s="20">
        <f t="shared" si="36"/>
        <v>11.9</v>
      </c>
      <c r="J1196" s="462" t="s">
        <v>249</v>
      </c>
      <c r="K1196" s="464"/>
      <c r="L1196" s="76"/>
      <c r="M1196" s="25"/>
      <c r="N1196" s="294"/>
      <c r="O1196" s="141" t="s">
        <v>322</v>
      </c>
      <c r="P1196" s="133">
        <f>P1195/29</f>
        <v>4.7941379310344781</v>
      </c>
      <c r="Q1196" s="10">
        <f>Q1195/29</f>
        <v>0</v>
      </c>
      <c r="R1196" s="143" t="s">
        <v>12</v>
      </c>
      <c r="S1196" s="476"/>
      <c r="T1196" s="477"/>
      <c r="U1196" s="478"/>
      <c r="V1196" s="479"/>
      <c r="W1196" s="289" t="s">
        <v>379</v>
      </c>
      <c r="X1196" s="132"/>
      <c r="Y1196" s="470" t="s">
        <v>14</v>
      </c>
      <c r="Z1196" s="471"/>
    </row>
    <row r="1197" spans="3:26" ht="15.75" thickBot="1">
      <c r="C1197" s="15"/>
      <c r="D1197" s="455"/>
      <c r="E1197" s="456"/>
      <c r="F1197" s="6">
        <f t="shared" si="35"/>
        <v>1860.75</v>
      </c>
      <c r="G1197" s="462" t="s">
        <v>304</v>
      </c>
      <c r="H1197" s="464"/>
      <c r="I1197" s="20">
        <f t="shared" si="36"/>
        <v>150</v>
      </c>
      <c r="J1197" s="462" t="s">
        <v>974</v>
      </c>
      <c r="K1197" s="464"/>
      <c r="L1197" s="76"/>
      <c r="M1197" s="25"/>
      <c r="N1197" s="294"/>
      <c r="O1197" s="136" t="s">
        <v>324</v>
      </c>
      <c r="P1197" s="319">
        <f>P1180+P1198</f>
        <v>4335</v>
      </c>
      <c r="Q1197" s="320">
        <f>Z1193+Z1194+Z1195</f>
        <v>0</v>
      </c>
      <c r="R1197" s="144" t="s">
        <v>425</v>
      </c>
      <c r="S1197" s="465"/>
      <c r="T1197" s="466"/>
      <c r="U1197" s="467"/>
      <c r="V1197" s="468"/>
      <c r="W1197" s="146" t="s">
        <v>375</v>
      </c>
      <c r="X1197" s="325"/>
      <c r="Y1197" s="143" t="s">
        <v>15</v>
      </c>
      <c r="Z1197" s="12"/>
    </row>
    <row r="1198" spans="3:26" ht="15.75" thickBot="1">
      <c r="C1198" s="15"/>
      <c r="D1198" s="462"/>
      <c r="E1198" s="463"/>
      <c r="F1198" s="6">
        <f t="shared" si="35"/>
        <v>70</v>
      </c>
      <c r="G1198" s="462" t="s">
        <v>982</v>
      </c>
      <c r="H1198" s="464"/>
      <c r="I1198" s="20">
        <f t="shared" si="36"/>
        <v>150</v>
      </c>
      <c r="J1198" s="462" t="s">
        <v>105</v>
      </c>
      <c r="K1198" s="464"/>
      <c r="L1198" s="76"/>
      <c r="M1198" s="25"/>
      <c r="N1198" s="294"/>
      <c r="O1198" s="140" t="s">
        <v>321</v>
      </c>
      <c r="P1198" s="132">
        <f>SUM(L1192:L1205)</f>
        <v>200</v>
      </c>
      <c r="Q1198" s="72">
        <f>Q1197-Q1180</f>
        <v>0</v>
      </c>
      <c r="R1198" s="144" t="s">
        <v>426</v>
      </c>
      <c r="S1198" s="465"/>
      <c r="T1198" s="466"/>
      <c r="U1198" s="467"/>
      <c r="V1198" s="468"/>
      <c r="W1198" s="470" t="s">
        <v>376</v>
      </c>
      <c r="X1198" s="471"/>
      <c r="Y1198" s="146" t="s">
        <v>325</v>
      </c>
      <c r="Z1198" s="10"/>
    </row>
    <row r="1199" spans="3:26" ht="16.5" thickTop="1" thickBot="1">
      <c r="C1199" s="15"/>
      <c r="D1199" s="462"/>
      <c r="E1199" s="463"/>
      <c r="F1199" s="6">
        <f t="shared" si="35"/>
        <v>50</v>
      </c>
      <c r="G1199" s="462" t="s">
        <v>926</v>
      </c>
      <c r="H1199" s="464"/>
      <c r="I1199" s="20">
        <f t="shared" si="36"/>
        <v>400</v>
      </c>
      <c r="J1199" s="462" t="s">
        <v>206</v>
      </c>
      <c r="K1199" s="464"/>
      <c r="L1199" s="76"/>
      <c r="M1199" s="25"/>
      <c r="N1199" s="292"/>
      <c r="O1199" s="141" t="s">
        <v>322</v>
      </c>
      <c r="P1199" s="133">
        <f>P1198/29</f>
        <v>6.8965517241379306</v>
      </c>
      <c r="Q1199" s="10">
        <f>Q1198/29</f>
        <v>0</v>
      </c>
      <c r="R1199" s="144" t="s">
        <v>422</v>
      </c>
      <c r="S1199" s="465"/>
      <c r="T1199" s="466"/>
      <c r="U1199" s="467"/>
      <c r="V1199" s="468"/>
      <c r="W1199" s="289" t="s">
        <v>12</v>
      </c>
      <c r="X1199" s="38"/>
      <c r="Y1199" s="470" t="s">
        <v>374</v>
      </c>
      <c r="Z1199" s="471"/>
    </row>
    <row r="1200" spans="3:26" ht="16.5" thickTop="1" thickBot="1">
      <c r="C1200" s="15"/>
      <c r="D1200" s="462"/>
      <c r="E1200" s="463"/>
      <c r="F1200" s="6">
        <f t="shared" si="35"/>
        <v>150</v>
      </c>
      <c r="G1200" s="462" t="s">
        <v>927</v>
      </c>
      <c r="H1200" s="464"/>
      <c r="I1200" s="20"/>
      <c r="J1200" s="462"/>
      <c r="K1200" s="464"/>
      <c r="L1200" s="76"/>
      <c r="M1200" s="25"/>
      <c r="N1200" s="293"/>
      <c r="O1200" s="136" t="s">
        <v>325</v>
      </c>
      <c r="P1200" s="319">
        <f>P1183+P1201</f>
        <v>3258.88</v>
      </c>
      <c r="Q1200" s="320">
        <f>Z1198</f>
        <v>0</v>
      </c>
      <c r="R1200" s="143" t="s">
        <v>421</v>
      </c>
      <c r="S1200" s="465"/>
      <c r="T1200" s="466"/>
      <c r="U1200" s="467"/>
      <c r="V1200" s="468"/>
      <c r="W1200" s="282" t="s">
        <v>373</v>
      </c>
      <c r="X1200" s="281"/>
      <c r="Y1200" s="321" t="s">
        <v>181</v>
      </c>
      <c r="Z1200" s="322">
        <v>0</v>
      </c>
    </row>
    <row r="1201" spans="3:26" ht="15.75" thickBot="1">
      <c r="C1201" s="266"/>
      <c r="D1201" s="448"/>
      <c r="E1201" s="469"/>
      <c r="F1201" s="6">
        <f t="shared" si="35"/>
        <v>150</v>
      </c>
      <c r="G1201" s="462" t="s">
        <v>925</v>
      </c>
      <c r="H1201" s="464"/>
      <c r="I1201" s="20"/>
      <c r="J1201" s="462"/>
      <c r="K1201" s="464"/>
      <c r="L1201" s="76"/>
      <c r="M1201" s="25"/>
      <c r="N1201" s="295"/>
      <c r="O1201" s="140" t="s">
        <v>321</v>
      </c>
      <c r="P1201" s="132">
        <f>SUM(M1192:M1205)</f>
        <v>150</v>
      </c>
      <c r="Q1201" s="72">
        <f>Q1200-Q1183</f>
        <v>0</v>
      </c>
      <c r="R1201" s="144" t="s">
        <v>418</v>
      </c>
      <c r="S1201" s="465"/>
      <c r="T1201" s="466"/>
      <c r="U1201" s="467"/>
      <c r="V1201" s="468"/>
      <c r="W1201" s="282" t="s">
        <v>378</v>
      </c>
      <c r="X1201" s="281"/>
      <c r="Y1201" s="470" t="s">
        <v>1000</v>
      </c>
      <c r="Z1201" s="471"/>
    </row>
    <row r="1202" spans="3:26" ht="16.5" thickTop="1" thickBot="1">
      <c r="C1202" s="266"/>
      <c r="D1202" s="448" t="s">
        <v>1001</v>
      </c>
      <c r="E1202" s="469"/>
      <c r="F1202" s="6">
        <f t="shared" si="35"/>
        <v>30</v>
      </c>
      <c r="G1202" s="462" t="s">
        <v>33</v>
      </c>
      <c r="H1202" s="464"/>
      <c r="I1202" s="20"/>
      <c r="J1202" s="462"/>
      <c r="K1202" s="464"/>
      <c r="L1202" s="76"/>
      <c r="M1202" s="25"/>
      <c r="N1202" s="293"/>
      <c r="O1202" s="141" t="s">
        <v>322</v>
      </c>
      <c r="P1202" s="133">
        <f>P1201/29</f>
        <v>5.1724137931034484</v>
      </c>
      <c r="Q1202" s="10">
        <f>Q1201/29</f>
        <v>0</v>
      </c>
      <c r="R1202" s="144" t="s">
        <v>438</v>
      </c>
      <c r="S1202" s="465"/>
      <c r="T1202" s="466"/>
      <c r="U1202" s="472"/>
      <c r="V1202" s="473"/>
      <c r="W1202" s="289" t="s">
        <v>379</v>
      </c>
      <c r="X1202" s="281"/>
      <c r="Y1202" s="143" t="s">
        <v>12</v>
      </c>
      <c r="Z1202" s="12"/>
    </row>
    <row r="1203" spans="3:26" ht="15.75" thickBot="1">
      <c r="C1203" s="15">
        <f>C1186</f>
        <v>4775.66</v>
      </c>
      <c r="D1203" s="455" t="s">
        <v>11</v>
      </c>
      <c r="E1203" s="456"/>
      <c r="F1203" s="15"/>
      <c r="G1203" s="462"/>
      <c r="H1203" s="464"/>
      <c r="I1203" s="20"/>
      <c r="J1203" s="462"/>
      <c r="K1203" s="464"/>
      <c r="L1203" s="76"/>
      <c r="M1203" s="25"/>
      <c r="N1203" s="295"/>
      <c r="O1203" s="136" t="s">
        <v>323</v>
      </c>
      <c r="P1203" s="319">
        <f>P1186+P1204</f>
        <v>14112.45730445853</v>
      </c>
      <c r="Q1203" s="320">
        <f>S1192+U1192</f>
        <v>0</v>
      </c>
      <c r="R1203" s="144" t="s">
        <v>380</v>
      </c>
      <c r="S1203" s="291">
        <f>S1194-S1195</f>
        <v>0</v>
      </c>
      <c r="T1203" s="327" t="e">
        <f>S1203/S1195</f>
        <v>#DIV/0!</v>
      </c>
      <c r="U1203" s="291">
        <f>U1194-U1195</f>
        <v>0</v>
      </c>
      <c r="V1203" s="329" t="e">
        <f>U1203/U1195</f>
        <v>#DIV/0!</v>
      </c>
      <c r="W1203" s="146" t="s">
        <v>375</v>
      </c>
      <c r="X1203" s="326"/>
      <c r="Y1203" s="144" t="s">
        <v>373</v>
      </c>
      <c r="Z1203" s="72"/>
    </row>
    <row r="1204" spans="3:26">
      <c r="C1204" s="15"/>
      <c r="D1204" s="455" t="s">
        <v>390</v>
      </c>
      <c r="E1204" s="456"/>
      <c r="F1204" s="15"/>
      <c r="G1204" s="457" t="s">
        <v>38</v>
      </c>
      <c r="H1204" s="458"/>
      <c r="I1204" s="20"/>
      <c r="J1204" s="457" t="s">
        <v>38</v>
      </c>
      <c r="K1204" s="458"/>
      <c r="L1204" s="76"/>
      <c r="M1204" s="25"/>
      <c r="N1204" s="293"/>
      <c r="O1204" s="140" t="s">
        <v>321</v>
      </c>
      <c r="P1204" s="132">
        <f>SUM(N1192:N1205)</f>
        <v>200</v>
      </c>
      <c r="Q1204" s="72">
        <f>Q1203-Q1186</f>
        <v>0</v>
      </c>
      <c r="R1204" s="144" t="s">
        <v>381</v>
      </c>
      <c r="S1204" s="291">
        <f>S1192-S1197</f>
        <v>0</v>
      </c>
      <c r="T1204" s="327" t="e">
        <f>S1204/S1197</f>
        <v>#DIV/0!</v>
      </c>
      <c r="U1204" s="291">
        <f>U1192-U1197</f>
        <v>0</v>
      </c>
      <c r="V1204" s="366" t="e">
        <f>U1204/ABS(U1197)</f>
        <v>#DIV/0!</v>
      </c>
      <c r="W1204" s="337" t="s">
        <v>410</v>
      </c>
      <c r="X1204" s="1" t="s">
        <v>558</v>
      </c>
      <c r="Y1204" s="144" t="s">
        <v>379</v>
      </c>
      <c r="Z1204" s="72"/>
    </row>
    <row r="1205" spans="3:26" ht="15.75" thickBot="1">
      <c r="C1205" s="17"/>
      <c r="D1205" s="459"/>
      <c r="E1205" s="460"/>
      <c r="F1205" s="17"/>
      <c r="G1205" s="459"/>
      <c r="H1205" s="461"/>
      <c r="I1205" s="21"/>
      <c r="J1205" s="459"/>
      <c r="K1205" s="461"/>
      <c r="L1205" s="42"/>
      <c r="M1205" s="5"/>
      <c r="N1205" s="21"/>
      <c r="O1205" s="137" t="s">
        <v>322</v>
      </c>
      <c r="P1205" s="138">
        <f>P1204/29</f>
        <v>6.8965517241379306</v>
      </c>
      <c r="Q1205" s="24">
        <f>Q1204/29</f>
        <v>0</v>
      </c>
      <c r="R1205" s="153" t="s">
        <v>410</v>
      </c>
      <c r="S1205" s="296">
        <f>S1203+S1204</f>
        <v>0</v>
      </c>
      <c r="T1205" s="328" t="e">
        <f>S1205/S1193</f>
        <v>#DIV/0!</v>
      </c>
      <c r="U1205" s="296">
        <f>U1204+U1203</f>
        <v>0</v>
      </c>
      <c r="V1205" s="330" t="e">
        <f>U1205/U1193</f>
        <v>#DIV/0!</v>
      </c>
      <c r="W1205" s="296">
        <f>S1205+U1205</f>
        <v>0</v>
      </c>
      <c r="X1205" s="330" t="e">
        <f>(W1205+S1193+U1193)/(S1193+U1193)-1</f>
        <v>#DIV/0!</v>
      </c>
      <c r="Y1205" s="153" t="s">
        <v>375</v>
      </c>
      <c r="Z1205" s="389"/>
    </row>
    <row r="1206" spans="3:26" ht="17.25" thickTop="1" thickBot="1">
      <c r="C1206" s="264">
        <v>46722</v>
      </c>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3:26" ht="17.25" thickTop="1" thickBot="1">
      <c r="C1207" s="480" t="s">
        <v>386</v>
      </c>
      <c r="D1207" s="481"/>
      <c r="E1207" s="482"/>
      <c r="F1207" s="483" t="s">
        <v>387</v>
      </c>
      <c r="G1207" s="484"/>
      <c r="H1207" s="484"/>
      <c r="I1207" s="484"/>
      <c r="J1207" s="484"/>
      <c r="K1207" s="484"/>
      <c r="L1207" s="484"/>
      <c r="M1207" s="484"/>
      <c r="N1207" s="485"/>
      <c r="O1207" s="261" t="s">
        <v>320</v>
      </c>
      <c r="P1207" s="262" t="s">
        <v>257</v>
      </c>
      <c r="Q1207" s="263" t="s">
        <v>319</v>
      </c>
      <c r="R1207" s="486" t="s">
        <v>144</v>
      </c>
      <c r="S1207" s="487"/>
      <c r="T1207" s="487"/>
      <c r="U1207" s="487"/>
      <c r="V1207" s="487"/>
      <c r="W1207" s="487"/>
      <c r="X1207" s="487"/>
      <c r="Y1207" s="487"/>
      <c r="Z1207" s="488"/>
    </row>
    <row r="1208" spans="3:26" ht="15.75" thickBot="1">
      <c r="C1208" s="265"/>
      <c r="D1208" s="489"/>
      <c r="E1208" s="490"/>
      <c r="F1208" s="470" t="s">
        <v>3</v>
      </c>
      <c r="G1208" s="491"/>
      <c r="H1208" s="492"/>
      <c r="I1208" s="493" t="s">
        <v>4</v>
      </c>
      <c r="J1208" s="491"/>
      <c r="K1208" s="492"/>
      <c r="L1208" s="267" t="s">
        <v>324</v>
      </c>
      <c r="M1208" s="267" t="s">
        <v>325</v>
      </c>
      <c r="N1208" s="267" t="s">
        <v>323</v>
      </c>
      <c r="O1208" s="316" t="s">
        <v>5</v>
      </c>
      <c r="P1208" s="317">
        <f>P1211+P1214+P1217+P1220</f>
        <v>25606.307304458522</v>
      </c>
      <c r="Q1208" s="318">
        <f>Q1217+Q1214+Q1211+Q1220</f>
        <v>0</v>
      </c>
      <c r="R1208" s="268" t="s">
        <v>323</v>
      </c>
      <c r="S1208" s="493" t="s">
        <v>317</v>
      </c>
      <c r="T1208" s="492"/>
      <c r="U1208" s="493" t="s">
        <v>369</v>
      </c>
      <c r="V1208" s="471"/>
      <c r="W1208" s="470" t="s">
        <v>310</v>
      </c>
      <c r="X1208" s="471"/>
      <c r="Y1208" s="470" t="s">
        <v>13</v>
      </c>
      <c r="Z1208" s="471"/>
    </row>
    <row r="1209" spans="3:26" ht="16.5" thickTop="1" thickBot="1">
      <c r="C1209" s="15"/>
      <c r="D1209" s="494"/>
      <c r="E1209" s="495"/>
      <c r="G1209" s="496"/>
      <c r="H1209" s="497"/>
      <c r="J1209" s="496"/>
      <c r="K1209" s="497"/>
      <c r="L1209" s="76"/>
      <c r="M1209" s="25"/>
      <c r="N1209" s="292"/>
      <c r="O1209" s="258" t="s">
        <v>321</v>
      </c>
      <c r="P1209" s="315">
        <f>SUM(C1209:C1222)-SUM(F1209:F1222)-SUM(I1209:I1222)</f>
        <v>689.02999999999986</v>
      </c>
      <c r="Q1209" s="12">
        <f>Q1208-Q1191</f>
        <v>0</v>
      </c>
      <c r="R1209" s="307" t="s">
        <v>343</v>
      </c>
      <c r="S1209" s="498"/>
      <c r="T1209" s="499"/>
      <c r="U1209" s="498"/>
      <c r="V1209" s="500"/>
      <c r="W1209" s="501" t="s">
        <v>326</v>
      </c>
      <c r="X1209" s="502"/>
      <c r="Y1209" s="143" t="s">
        <v>17</v>
      </c>
      <c r="Z1209" s="12"/>
    </row>
    <row r="1210" spans="3:26" ht="16.5" thickTop="1" thickBot="1">
      <c r="C1210" s="15"/>
      <c r="D1210" s="455" t="s">
        <v>11</v>
      </c>
      <c r="E1210" s="456"/>
      <c r="F1210" s="6">
        <f>F1193</f>
        <v>400</v>
      </c>
      <c r="G1210" s="462" t="s">
        <v>223</v>
      </c>
      <c r="H1210" s="464"/>
      <c r="I1210" s="20">
        <f>I1193</f>
        <v>11.99</v>
      </c>
      <c r="J1210" s="462" t="s">
        <v>385</v>
      </c>
      <c r="K1210" s="464"/>
      <c r="L1210" s="76">
        <f>L1193</f>
        <v>200</v>
      </c>
      <c r="M1210" s="76">
        <f>M1193</f>
        <v>150</v>
      </c>
      <c r="N1210" s="76">
        <f>N1193</f>
        <v>200</v>
      </c>
      <c r="O1210" s="141" t="s">
        <v>322</v>
      </c>
      <c r="P1210" s="133">
        <f>P1209/29</f>
        <v>23.759655172413787</v>
      </c>
      <c r="Q1210" s="10">
        <f>Q1209/29</f>
        <v>0</v>
      </c>
      <c r="R1210" s="308" t="s">
        <v>382</v>
      </c>
      <c r="S1210" s="474"/>
      <c r="T1210" s="475"/>
      <c r="U1210" s="467"/>
      <c r="V1210" s="468"/>
      <c r="W1210" s="289" t="s">
        <v>12</v>
      </c>
      <c r="X1210" s="315"/>
      <c r="Y1210" s="144" t="s">
        <v>18</v>
      </c>
      <c r="Z1210" s="72"/>
    </row>
    <row r="1211" spans="3:26">
      <c r="C1211" s="15"/>
      <c r="D1211" s="455" t="s">
        <v>390</v>
      </c>
      <c r="E1211" s="456"/>
      <c r="F1211" s="6">
        <f t="shared" ref="F1211:F1219" si="37">F1194</f>
        <v>100</v>
      </c>
      <c r="G1211" s="462" t="s">
        <v>9</v>
      </c>
      <c r="H1211" s="464"/>
      <c r="I1211" s="20">
        <f t="shared" ref="I1211:I1216" si="38">I1194</f>
        <v>11.99</v>
      </c>
      <c r="J1211" s="462" t="s">
        <v>22</v>
      </c>
      <c r="K1211" s="464"/>
      <c r="L1211" s="76"/>
      <c r="M1211" s="25"/>
      <c r="N1211" s="294"/>
      <c r="O1211" s="136" t="s">
        <v>12</v>
      </c>
      <c r="P1211" s="319">
        <f>P1194+P1209-SUM(L1209:L1222)-SUM(M1209:M1222)-SUM(N1209:N1222)</f>
        <v>3349.9699999999916</v>
      </c>
      <c r="Q1211" s="320">
        <f>Z1209+Z1214+Z1217</f>
        <v>0</v>
      </c>
      <c r="R1211" s="308" t="s">
        <v>383</v>
      </c>
      <c r="S1211" s="474"/>
      <c r="T1211" s="475"/>
      <c r="U1211" s="467"/>
      <c r="V1211" s="468"/>
      <c r="W1211" s="282" t="s">
        <v>373</v>
      </c>
      <c r="X1211" s="132"/>
      <c r="Y1211" s="144" t="s">
        <v>19</v>
      </c>
      <c r="Z1211" s="72"/>
    </row>
    <row r="1212" spans="3:26" ht="15.75" thickBot="1">
      <c r="C1212" s="15"/>
      <c r="D1212" s="462"/>
      <c r="E1212" s="463"/>
      <c r="F1212" s="6">
        <f t="shared" si="37"/>
        <v>150</v>
      </c>
      <c r="G1212" s="462" t="s">
        <v>6</v>
      </c>
      <c r="H1212" s="464"/>
      <c r="I1212" s="20">
        <f t="shared" si="38"/>
        <v>20</v>
      </c>
      <c r="J1212" s="462" t="s">
        <v>920</v>
      </c>
      <c r="K1212" s="464"/>
      <c r="L1212" s="76"/>
      <c r="M1212" s="25"/>
      <c r="N1212" s="20"/>
      <c r="O1212" s="140" t="s">
        <v>321</v>
      </c>
      <c r="P1212" s="132">
        <f>SUM(C1209:C1222)-SUM(F1209:F1222)-SUM(I1209:I1222)-P1215-P1218-P1221</f>
        <v>139.02999999999986</v>
      </c>
      <c r="Q1212" s="72">
        <f>Q1211-Q1194</f>
        <v>0</v>
      </c>
      <c r="R1212" s="308" t="s">
        <v>424</v>
      </c>
      <c r="S1212" s="474"/>
      <c r="T1212" s="475"/>
      <c r="U1212" s="467"/>
      <c r="V1212" s="468"/>
      <c r="W1212" s="282" t="s">
        <v>378</v>
      </c>
      <c r="X1212" s="132"/>
      <c r="Y1212" s="145" t="s">
        <v>324</v>
      </c>
      <c r="Z1212" s="135"/>
    </row>
    <row r="1213" spans="3:26" ht="15.75" thickBot="1">
      <c r="C1213" s="15"/>
      <c r="D1213" s="455"/>
      <c r="E1213" s="456"/>
      <c r="F1213" s="6">
        <f t="shared" si="37"/>
        <v>370</v>
      </c>
      <c r="G1213" s="462" t="s">
        <v>97</v>
      </c>
      <c r="H1213" s="464"/>
      <c r="I1213" s="20">
        <f t="shared" si="38"/>
        <v>11.9</v>
      </c>
      <c r="J1213" s="462" t="s">
        <v>249</v>
      </c>
      <c r="K1213" s="464"/>
      <c r="L1213" s="76"/>
      <c r="M1213" s="25"/>
      <c r="N1213" s="294"/>
      <c r="O1213" s="141" t="s">
        <v>322</v>
      </c>
      <c r="P1213" s="133">
        <f>P1212/29</f>
        <v>4.7941379310344781</v>
      </c>
      <c r="Q1213" s="10">
        <f>Q1212/29</f>
        <v>0</v>
      </c>
      <c r="R1213" s="143" t="s">
        <v>12</v>
      </c>
      <c r="S1213" s="476"/>
      <c r="T1213" s="477"/>
      <c r="U1213" s="478"/>
      <c r="V1213" s="479"/>
      <c r="W1213" s="289" t="s">
        <v>379</v>
      </c>
      <c r="X1213" s="132"/>
      <c r="Y1213" s="470" t="s">
        <v>14</v>
      </c>
      <c r="Z1213" s="471"/>
    </row>
    <row r="1214" spans="3:26" ht="15.75" thickBot="1">
      <c r="C1214" s="15"/>
      <c r="D1214" s="455"/>
      <c r="E1214" s="456"/>
      <c r="F1214" s="6">
        <f t="shared" si="37"/>
        <v>1860.75</v>
      </c>
      <c r="G1214" s="462" t="s">
        <v>304</v>
      </c>
      <c r="H1214" s="464"/>
      <c r="I1214" s="20">
        <f t="shared" si="38"/>
        <v>150</v>
      </c>
      <c r="J1214" s="462" t="s">
        <v>974</v>
      </c>
      <c r="K1214" s="464"/>
      <c r="L1214" s="76"/>
      <c r="M1214" s="25"/>
      <c r="N1214" s="294"/>
      <c r="O1214" s="136" t="s">
        <v>324</v>
      </c>
      <c r="P1214" s="319">
        <f>P1197+P1215</f>
        <v>4535</v>
      </c>
      <c r="Q1214" s="320">
        <f>Z1210+Z1211+Z1212</f>
        <v>0</v>
      </c>
      <c r="R1214" s="144" t="s">
        <v>425</v>
      </c>
      <c r="S1214" s="465"/>
      <c r="T1214" s="466"/>
      <c r="U1214" s="467"/>
      <c r="V1214" s="468"/>
      <c r="W1214" s="146" t="s">
        <v>375</v>
      </c>
      <c r="X1214" s="325"/>
      <c r="Y1214" s="143" t="s">
        <v>15</v>
      </c>
      <c r="Z1214" s="12"/>
    </row>
    <row r="1215" spans="3:26" ht="15.75" thickBot="1">
      <c r="C1215" s="15"/>
      <c r="D1215" s="462"/>
      <c r="E1215" s="463"/>
      <c r="F1215" s="6">
        <f t="shared" si="37"/>
        <v>70</v>
      </c>
      <c r="G1215" s="462" t="s">
        <v>982</v>
      </c>
      <c r="H1215" s="464"/>
      <c r="I1215" s="20">
        <f t="shared" si="38"/>
        <v>150</v>
      </c>
      <c r="J1215" s="462" t="s">
        <v>105</v>
      </c>
      <c r="K1215" s="464"/>
      <c r="L1215" s="76"/>
      <c r="M1215" s="25"/>
      <c r="N1215" s="294"/>
      <c r="O1215" s="140" t="s">
        <v>321</v>
      </c>
      <c r="P1215" s="132">
        <f>SUM(L1209:L1222)</f>
        <v>200</v>
      </c>
      <c r="Q1215" s="72">
        <f>Q1214-Q1197</f>
        <v>0</v>
      </c>
      <c r="R1215" s="144" t="s">
        <v>426</v>
      </c>
      <c r="S1215" s="465"/>
      <c r="T1215" s="466"/>
      <c r="U1215" s="467"/>
      <c r="V1215" s="468"/>
      <c r="W1215" s="470" t="s">
        <v>376</v>
      </c>
      <c r="X1215" s="471"/>
      <c r="Y1215" s="146" t="s">
        <v>325</v>
      </c>
      <c r="Z1215" s="10"/>
    </row>
    <row r="1216" spans="3:26" ht="16.5" thickTop="1" thickBot="1">
      <c r="C1216" s="15"/>
      <c r="D1216" s="462"/>
      <c r="E1216" s="463"/>
      <c r="F1216" s="6">
        <f t="shared" si="37"/>
        <v>50</v>
      </c>
      <c r="G1216" s="462" t="s">
        <v>926</v>
      </c>
      <c r="H1216" s="464"/>
      <c r="I1216" s="20">
        <f t="shared" si="38"/>
        <v>400</v>
      </c>
      <c r="J1216" s="462" t="s">
        <v>206</v>
      </c>
      <c r="K1216" s="464"/>
      <c r="L1216" s="76"/>
      <c r="M1216" s="25"/>
      <c r="N1216" s="292"/>
      <c r="O1216" s="141" t="s">
        <v>322</v>
      </c>
      <c r="P1216" s="133">
        <f>P1215/29</f>
        <v>6.8965517241379306</v>
      </c>
      <c r="Q1216" s="10">
        <f>Q1215/29</f>
        <v>0</v>
      </c>
      <c r="R1216" s="144" t="s">
        <v>422</v>
      </c>
      <c r="S1216" s="465"/>
      <c r="T1216" s="466"/>
      <c r="U1216" s="467"/>
      <c r="V1216" s="468"/>
      <c r="W1216" s="289" t="s">
        <v>12</v>
      </c>
      <c r="X1216" s="38"/>
      <c r="Y1216" s="470" t="s">
        <v>374</v>
      </c>
      <c r="Z1216" s="471"/>
    </row>
    <row r="1217" spans="3:26" ht="16.5" thickTop="1" thickBot="1">
      <c r="C1217" s="15"/>
      <c r="D1217" s="462"/>
      <c r="E1217" s="463"/>
      <c r="F1217" s="6">
        <f t="shared" si="37"/>
        <v>150</v>
      </c>
      <c r="G1217" s="462" t="s">
        <v>927</v>
      </c>
      <c r="H1217" s="464"/>
      <c r="I1217" s="20"/>
      <c r="J1217" s="462"/>
      <c r="K1217" s="464"/>
      <c r="L1217" s="76"/>
      <c r="M1217" s="25"/>
      <c r="N1217" s="293"/>
      <c r="O1217" s="136" t="s">
        <v>325</v>
      </c>
      <c r="P1217" s="319">
        <f>P1200+P1218</f>
        <v>3408.88</v>
      </c>
      <c r="Q1217" s="320">
        <f>Z1215</f>
        <v>0</v>
      </c>
      <c r="R1217" s="143" t="s">
        <v>421</v>
      </c>
      <c r="S1217" s="465"/>
      <c r="T1217" s="466"/>
      <c r="U1217" s="467"/>
      <c r="V1217" s="468"/>
      <c r="W1217" s="282" t="s">
        <v>373</v>
      </c>
      <c r="X1217" s="281"/>
      <c r="Y1217" s="321" t="s">
        <v>181</v>
      </c>
      <c r="Z1217" s="322">
        <v>0</v>
      </c>
    </row>
    <row r="1218" spans="3:26" ht="15.75" thickBot="1">
      <c r="C1218" s="266"/>
      <c r="D1218" s="448"/>
      <c r="E1218" s="469"/>
      <c r="F1218" s="6">
        <f t="shared" si="37"/>
        <v>150</v>
      </c>
      <c r="G1218" s="462" t="s">
        <v>925</v>
      </c>
      <c r="H1218" s="464"/>
      <c r="I1218" s="20"/>
      <c r="J1218" s="462"/>
      <c r="K1218" s="464"/>
      <c r="L1218" s="76"/>
      <c r="M1218" s="25"/>
      <c r="N1218" s="295"/>
      <c r="O1218" s="140" t="s">
        <v>321</v>
      </c>
      <c r="P1218" s="132">
        <f>SUM(M1209:M1222)</f>
        <v>150</v>
      </c>
      <c r="Q1218" s="72">
        <f>Q1217-Q1200</f>
        <v>0</v>
      </c>
      <c r="R1218" s="144" t="s">
        <v>418</v>
      </c>
      <c r="S1218" s="465"/>
      <c r="T1218" s="466"/>
      <c r="U1218" s="467"/>
      <c r="V1218" s="468"/>
      <c r="W1218" s="282" t="s">
        <v>378</v>
      </c>
      <c r="X1218" s="281"/>
      <c r="Y1218" s="470" t="s">
        <v>1000</v>
      </c>
      <c r="Z1218" s="471"/>
    </row>
    <row r="1219" spans="3:26" ht="16.5" thickTop="1" thickBot="1">
      <c r="C1219" s="266"/>
      <c r="D1219" s="448" t="s">
        <v>1001</v>
      </c>
      <c r="E1219" s="469"/>
      <c r="F1219" s="6">
        <f t="shared" si="37"/>
        <v>30</v>
      </c>
      <c r="G1219" s="462" t="s">
        <v>33</v>
      </c>
      <c r="H1219" s="464"/>
      <c r="I1219" s="20"/>
      <c r="J1219" s="462"/>
      <c r="K1219" s="464"/>
      <c r="L1219" s="76"/>
      <c r="M1219" s="25"/>
      <c r="N1219" s="293"/>
      <c r="O1219" s="141" t="s">
        <v>322</v>
      </c>
      <c r="P1219" s="133">
        <f>P1218/29</f>
        <v>5.1724137931034484</v>
      </c>
      <c r="Q1219" s="10">
        <f>Q1218/29</f>
        <v>0</v>
      </c>
      <c r="R1219" s="144" t="s">
        <v>438</v>
      </c>
      <c r="S1219" s="465"/>
      <c r="T1219" s="466"/>
      <c r="U1219" s="472"/>
      <c r="V1219" s="473"/>
      <c r="W1219" s="289" t="s">
        <v>379</v>
      </c>
      <c r="X1219" s="281"/>
      <c r="Y1219" s="143" t="s">
        <v>12</v>
      </c>
      <c r="Z1219" s="12"/>
    </row>
    <row r="1220" spans="3:26" ht="15.75" thickBot="1">
      <c r="C1220" s="15">
        <f>C1203</f>
        <v>4775.66</v>
      </c>
      <c r="D1220" s="455" t="s">
        <v>11</v>
      </c>
      <c r="E1220" s="456"/>
      <c r="F1220" s="15"/>
      <c r="G1220" s="462"/>
      <c r="H1220" s="464"/>
      <c r="I1220" s="20"/>
      <c r="J1220" s="462"/>
      <c r="K1220" s="464"/>
      <c r="L1220" s="76"/>
      <c r="M1220" s="25"/>
      <c r="N1220" s="295"/>
      <c r="O1220" s="136" t="s">
        <v>323</v>
      </c>
      <c r="P1220" s="319">
        <f>P1203+P1221</f>
        <v>14312.45730445853</v>
      </c>
      <c r="Q1220" s="320">
        <f>S1209+U1209</f>
        <v>0</v>
      </c>
      <c r="R1220" s="144" t="s">
        <v>380</v>
      </c>
      <c r="S1220" s="291">
        <f>S1211-S1212</f>
        <v>0</v>
      </c>
      <c r="T1220" s="327" t="e">
        <f>S1220/S1212</f>
        <v>#DIV/0!</v>
      </c>
      <c r="U1220" s="291">
        <f>U1211-U1212</f>
        <v>0</v>
      </c>
      <c r="V1220" s="329" t="e">
        <f>U1220/U1212</f>
        <v>#DIV/0!</v>
      </c>
      <c r="W1220" s="146" t="s">
        <v>375</v>
      </c>
      <c r="X1220" s="326"/>
      <c r="Y1220" s="144" t="s">
        <v>373</v>
      </c>
      <c r="Z1220" s="72"/>
    </row>
    <row r="1221" spans="3:26">
      <c r="C1221" s="15"/>
      <c r="D1221" s="455" t="s">
        <v>390</v>
      </c>
      <c r="E1221" s="456"/>
      <c r="F1221" s="15"/>
      <c r="G1221" s="457" t="s">
        <v>38</v>
      </c>
      <c r="H1221" s="458"/>
      <c r="I1221" s="20"/>
      <c r="J1221" s="457" t="s">
        <v>38</v>
      </c>
      <c r="K1221" s="458"/>
      <c r="L1221" s="76"/>
      <c r="M1221" s="25"/>
      <c r="N1221" s="293"/>
      <c r="O1221" s="140" t="s">
        <v>321</v>
      </c>
      <c r="P1221" s="132">
        <f>SUM(N1209:N1222)</f>
        <v>200</v>
      </c>
      <c r="Q1221" s="72">
        <f>Q1220-Q1203</f>
        <v>0</v>
      </c>
      <c r="R1221" s="144" t="s">
        <v>381</v>
      </c>
      <c r="S1221" s="291">
        <f>S1209-S1214</f>
        <v>0</v>
      </c>
      <c r="T1221" s="327" t="e">
        <f>S1221/S1214</f>
        <v>#DIV/0!</v>
      </c>
      <c r="U1221" s="291">
        <f>U1209-U1214</f>
        <v>0</v>
      </c>
      <c r="V1221" s="366" t="e">
        <f>U1221/ABS(U1214)</f>
        <v>#DIV/0!</v>
      </c>
      <c r="W1221" s="337" t="s">
        <v>410</v>
      </c>
      <c r="X1221" s="1" t="s">
        <v>558</v>
      </c>
      <c r="Y1221" s="144" t="s">
        <v>379</v>
      </c>
      <c r="Z1221" s="72"/>
    </row>
    <row r="1222" spans="3:26" ht="15.75" thickBot="1">
      <c r="C1222" s="17"/>
      <c r="D1222" s="459"/>
      <c r="E1222" s="460"/>
      <c r="F1222" s="17"/>
      <c r="G1222" s="459"/>
      <c r="H1222" s="461"/>
      <c r="I1222" s="21"/>
      <c r="J1222" s="459"/>
      <c r="K1222" s="461"/>
      <c r="L1222" s="42"/>
      <c r="M1222" s="5"/>
      <c r="N1222" s="21"/>
      <c r="O1222" s="137" t="s">
        <v>322</v>
      </c>
      <c r="P1222" s="138">
        <f>P1221/29</f>
        <v>6.8965517241379306</v>
      </c>
      <c r="Q1222" s="24">
        <f>Q1221/29</f>
        <v>0</v>
      </c>
      <c r="R1222" s="153" t="s">
        <v>410</v>
      </c>
      <c r="S1222" s="296">
        <f>S1220+S1221</f>
        <v>0</v>
      </c>
      <c r="T1222" s="328" t="e">
        <f>S1222/S1210</f>
        <v>#DIV/0!</v>
      </c>
      <c r="U1222" s="296">
        <f>U1221+U1220</f>
        <v>0</v>
      </c>
      <c r="V1222" s="330" t="e">
        <f>U1222/U1210</f>
        <v>#DIV/0!</v>
      </c>
      <c r="W1222" s="296">
        <f>S1222+U1222</f>
        <v>0</v>
      </c>
      <c r="X1222" s="330" t="e">
        <f>(W1222+S1210+U1210)/(S1210+U1210)-1</f>
        <v>#DIV/0!</v>
      </c>
      <c r="Y1222" s="153" t="s">
        <v>375</v>
      </c>
      <c r="Z1222" s="389"/>
    </row>
    <row r="1223" spans="3:26" ht="17.25" thickTop="1" thickBot="1">
      <c r="C1223" s="264">
        <v>46753</v>
      </c>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3:26" ht="17.25" thickTop="1" thickBot="1">
      <c r="C1224" s="480" t="s">
        <v>386</v>
      </c>
      <c r="D1224" s="481"/>
      <c r="E1224" s="482"/>
      <c r="F1224" s="483" t="s">
        <v>387</v>
      </c>
      <c r="G1224" s="484"/>
      <c r="H1224" s="484"/>
      <c r="I1224" s="484"/>
      <c r="J1224" s="484"/>
      <c r="K1224" s="484"/>
      <c r="L1224" s="484"/>
      <c r="M1224" s="484"/>
      <c r="N1224" s="485"/>
      <c r="O1224" s="261" t="s">
        <v>320</v>
      </c>
      <c r="P1224" s="262" t="s">
        <v>257</v>
      </c>
      <c r="Q1224" s="263" t="s">
        <v>319</v>
      </c>
      <c r="R1224" s="486" t="s">
        <v>144</v>
      </c>
      <c r="S1224" s="487"/>
      <c r="T1224" s="487"/>
      <c r="U1224" s="487"/>
      <c r="V1224" s="487"/>
      <c r="W1224" s="487"/>
      <c r="X1224" s="487"/>
      <c r="Y1224" s="487"/>
      <c r="Z1224" s="488"/>
    </row>
    <row r="1225" spans="3:26" ht="15.75" thickBot="1">
      <c r="C1225" s="265"/>
      <c r="D1225" s="489"/>
      <c r="E1225" s="490"/>
      <c r="F1225" s="470" t="s">
        <v>3</v>
      </c>
      <c r="G1225" s="491"/>
      <c r="H1225" s="492"/>
      <c r="I1225" s="493" t="s">
        <v>4</v>
      </c>
      <c r="J1225" s="491"/>
      <c r="K1225" s="492"/>
      <c r="L1225" s="267" t="s">
        <v>324</v>
      </c>
      <c r="M1225" s="267" t="s">
        <v>325</v>
      </c>
      <c r="N1225" s="267" t="s">
        <v>323</v>
      </c>
      <c r="O1225" s="316" t="s">
        <v>5</v>
      </c>
      <c r="P1225" s="317">
        <f>P1228+P1231+P1234+P1237</f>
        <v>26295.337304458521</v>
      </c>
      <c r="Q1225" s="318">
        <f>Q1234+Q1231+Q1228+Q1237</f>
        <v>0</v>
      </c>
      <c r="R1225" s="268" t="s">
        <v>323</v>
      </c>
      <c r="S1225" s="493" t="s">
        <v>317</v>
      </c>
      <c r="T1225" s="492"/>
      <c r="U1225" s="493" t="s">
        <v>369</v>
      </c>
      <c r="V1225" s="471"/>
      <c r="W1225" s="470" t="s">
        <v>310</v>
      </c>
      <c r="X1225" s="471"/>
      <c r="Y1225" s="470" t="s">
        <v>13</v>
      </c>
      <c r="Z1225" s="471"/>
    </row>
    <row r="1226" spans="3:26" ht="16.5" thickTop="1" thickBot="1">
      <c r="C1226" s="15"/>
      <c r="D1226" s="494"/>
      <c r="E1226" s="495"/>
      <c r="G1226" s="496"/>
      <c r="H1226" s="497"/>
      <c r="J1226" s="496"/>
      <c r="K1226" s="497"/>
      <c r="L1226" s="76"/>
      <c r="M1226" s="25"/>
      <c r="N1226" s="292"/>
      <c r="O1226" s="258" t="s">
        <v>321</v>
      </c>
      <c r="P1226" s="315">
        <f>SUM(C1226:C1239)-SUM(F1226:F1239)-SUM(I1226:I1239)</f>
        <v>689.02999999999986</v>
      </c>
      <c r="Q1226" s="12">
        <f>Q1225-Q1208</f>
        <v>0</v>
      </c>
      <c r="R1226" s="307" t="s">
        <v>343</v>
      </c>
      <c r="S1226" s="498"/>
      <c r="T1226" s="499"/>
      <c r="U1226" s="498"/>
      <c r="V1226" s="500"/>
      <c r="W1226" s="501" t="s">
        <v>326</v>
      </c>
      <c r="X1226" s="502"/>
      <c r="Y1226" s="143" t="s">
        <v>17</v>
      </c>
      <c r="Z1226" s="12"/>
    </row>
    <row r="1227" spans="3:26" ht="16.5" thickTop="1" thickBot="1">
      <c r="C1227" s="15"/>
      <c r="D1227" s="455" t="s">
        <v>11</v>
      </c>
      <c r="E1227" s="456"/>
      <c r="F1227" s="6">
        <f>F1210</f>
        <v>400</v>
      </c>
      <c r="G1227" s="462" t="s">
        <v>223</v>
      </c>
      <c r="H1227" s="464"/>
      <c r="I1227" s="20">
        <f>I1210</f>
        <v>11.99</v>
      </c>
      <c r="J1227" s="462" t="s">
        <v>385</v>
      </c>
      <c r="K1227" s="464"/>
      <c r="L1227" s="76">
        <f>L1210</f>
        <v>200</v>
      </c>
      <c r="M1227" s="76">
        <f>M1210</f>
        <v>150</v>
      </c>
      <c r="N1227" s="76">
        <f>N1210</f>
        <v>200</v>
      </c>
      <c r="O1227" s="141" t="s">
        <v>322</v>
      </c>
      <c r="P1227" s="133">
        <f>P1226/29</f>
        <v>23.759655172413787</v>
      </c>
      <c r="Q1227" s="10">
        <f>Q1226/29</f>
        <v>0</v>
      </c>
      <c r="R1227" s="308" t="s">
        <v>382</v>
      </c>
      <c r="S1227" s="474"/>
      <c r="T1227" s="475"/>
      <c r="U1227" s="467"/>
      <c r="V1227" s="468"/>
      <c r="W1227" s="289" t="s">
        <v>12</v>
      </c>
      <c r="X1227" s="315"/>
      <c r="Y1227" s="144" t="s">
        <v>18</v>
      </c>
      <c r="Z1227" s="72"/>
    </row>
    <row r="1228" spans="3:26">
      <c r="C1228" s="15"/>
      <c r="D1228" s="455" t="s">
        <v>390</v>
      </c>
      <c r="E1228" s="456"/>
      <c r="F1228" s="6">
        <f t="shared" ref="F1228:F1236" si="39">F1211</f>
        <v>100</v>
      </c>
      <c r="G1228" s="462" t="s">
        <v>9</v>
      </c>
      <c r="H1228" s="464"/>
      <c r="I1228" s="20">
        <f>I1211</f>
        <v>11.99</v>
      </c>
      <c r="J1228" s="462" t="s">
        <v>22</v>
      </c>
      <c r="K1228" s="464"/>
      <c r="L1228" s="76"/>
      <c r="M1228" s="25"/>
      <c r="N1228" s="294"/>
      <c r="O1228" s="136" t="s">
        <v>12</v>
      </c>
      <c r="P1228" s="319">
        <f>P1211+P1226-SUM(L1226:L1239)-SUM(M1226:M1239)-SUM(N1226:N1239)</f>
        <v>3488.9999999999914</v>
      </c>
      <c r="Q1228" s="320">
        <f>Z1226+Z1231+Z1234</f>
        <v>0</v>
      </c>
      <c r="R1228" s="308" t="s">
        <v>383</v>
      </c>
      <c r="S1228" s="474"/>
      <c r="T1228" s="475"/>
      <c r="U1228" s="467"/>
      <c r="V1228" s="468"/>
      <c r="W1228" s="282" t="s">
        <v>373</v>
      </c>
      <c r="X1228" s="132"/>
      <c r="Y1228" s="144" t="s">
        <v>19</v>
      </c>
      <c r="Z1228" s="72"/>
    </row>
    <row r="1229" spans="3:26" ht="15.75" thickBot="1">
      <c r="C1229" s="15"/>
      <c r="D1229" s="462"/>
      <c r="E1229" s="463"/>
      <c r="F1229" s="6">
        <f t="shared" si="39"/>
        <v>150</v>
      </c>
      <c r="G1229" s="462" t="s">
        <v>6</v>
      </c>
      <c r="H1229" s="464"/>
      <c r="I1229" s="20">
        <f>I1212</f>
        <v>20</v>
      </c>
      <c r="J1229" s="462" t="s">
        <v>920</v>
      </c>
      <c r="K1229" s="464"/>
      <c r="L1229" s="76"/>
      <c r="M1229" s="25"/>
      <c r="N1229" s="20"/>
      <c r="O1229" s="140" t="s">
        <v>321</v>
      </c>
      <c r="P1229" s="132">
        <f>SUM(C1226:C1239)-SUM(F1226:F1239)-SUM(I1226:I1239)-P1232-P1235-P1238</f>
        <v>139.02999999999986</v>
      </c>
      <c r="Q1229" s="72">
        <f>Q1228-Q1211</f>
        <v>0</v>
      </c>
      <c r="R1229" s="308" t="s">
        <v>424</v>
      </c>
      <c r="S1229" s="474"/>
      <c r="T1229" s="475"/>
      <c r="U1229" s="467"/>
      <c r="V1229" s="468"/>
      <c r="W1229" s="282" t="s">
        <v>378</v>
      </c>
      <c r="X1229" s="132"/>
      <c r="Y1229" s="145" t="s">
        <v>324</v>
      </c>
      <c r="Z1229" s="135"/>
    </row>
    <row r="1230" spans="3:26" ht="15.75" thickBot="1">
      <c r="C1230" s="15"/>
      <c r="D1230" s="455"/>
      <c r="E1230" s="456"/>
      <c r="F1230" s="6">
        <f t="shared" si="39"/>
        <v>370</v>
      </c>
      <c r="G1230" s="462" t="s">
        <v>97</v>
      </c>
      <c r="H1230" s="464"/>
      <c r="I1230" s="20">
        <f>I1213</f>
        <v>11.9</v>
      </c>
      <c r="J1230" s="462" t="s">
        <v>249</v>
      </c>
      <c r="K1230" s="464"/>
      <c r="L1230" s="76"/>
      <c r="M1230" s="25"/>
      <c r="N1230" s="294"/>
      <c r="O1230" s="141" t="s">
        <v>322</v>
      </c>
      <c r="P1230" s="133">
        <f>P1229/29</f>
        <v>4.7941379310344781</v>
      </c>
      <c r="Q1230" s="10">
        <f>Q1229/29</f>
        <v>0</v>
      </c>
      <c r="R1230" s="143" t="s">
        <v>12</v>
      </c>
      <c r="S1230" s="476"/>
      <c r="T1230" s="477"/>
      <c r="U1230" s="478"/>
      <c r="V1230" s="479"/>
      <c r="W1230" s="289" t="s">
        <v>379</v>
      </c>
      <c r="X1230" s="132"/>
      <c r="Y1230" s="470" t="s">
        <v>14</v>
      </c>
      <c r="Z1230" s="471"/>
    </row>
    <row r="1231" spans="3:26" ht="15.75" thickBot="1">
      <c r="C1231" s="15"/>
      <c r="D1231" s="455"/>
      <c r="E1231" s="456"/>
      <c r="F1231" s="6">
        <f t="shared" si="39"/>
        <v>1860.75</v>
      </c>
      <c r="G1231" s="462" t="s">
        <v>304</v>
      </c>
      <c r="H1231" s="464"/>
      <c r="I1231" s="63">
        <v>150</v>
      </c>
      <c r="J1231" s="462" t="s">
        <v>974</v>
      </c>
      <c r="K1231" s="464"/>
      <c r="L1231" s="76"/>
      <c r="M1231" s="25"/>
      <c r="N1231" s="294"/>
      <c r="O1231" s="136" t="s">
        <v>324</v>
      </c>
      <c r="P1231" s="319">
        <f>P1214+P1232</f>
        <v>4735</v>
      </c>
      <c r="Q1231" s="320">
        <f>Z1227+Z1228+Z1229</f>
        <v>0</v>
      </c>
      <c r="R1231" s="144" t="s">
        <v>425</v>
      </c>
      <c r="S1231" s="465"/>
      <c r="T1231" s="466"/>
      <c r="U1231" s="467"/>
      <c r="V1231" s="468"/>
      <c r="W1231" s="146" t="s">
        <v>375</v>
      </c>
      <c r="X1231" s="325"/>
      <c r="Y1231" s="143" t="s">
        <v>15</v>
      </c>
      <c r="Z1231" s="12"/>
    </row>
    <row r="1232" spans="3:26" ht="15.75" thickBot="1">
      <c r="C1232" s="15"/>
      <c r="D1232" s="462"/>
      <c r="E1232" s="463"/>
      <c r="F1232" s="6">
        <f t="shared" si="39"/>
        <v>70</v>
      </c>
      <c r="G1232" s="462" t="s">
        <v>982</v>
      </c>
      <c r="H1232" s="464"/>
      <c r="I1232" s="20">
        <v>150</v>
      </c>
      <c r="J1232" s="462" t="s">
        <v>105</v>
      </c>
      <c r="K1232" s="464"/>
      <c r="L1232" s="76"/>
      <c r="M1232" s="25"/>
      <c r="N1232" s="294"/>
      <c r="O1232" s="140" t="s">
        <v>321</v>
      </c>
      <c r="P1232" s="132">
        <f>SUM(L1226:L1239)</f>
        <v>200</v>
      </c>
      <c r="Q1232" s="72">
        <f>Q1231-Q1214</f>
        <v>0</v>
      </c>
      <c r="R1232" s="144" t="s">
        <v>426</v>
      </c>
      <c r="S1232" s="465"/>
      <c r="T1232" s="466"/>
      <c r="U1232" s="467"/>
      <c r="V1232" s="468"/>
      <c r="W1232" s="470" t="s">
        <v>376</v>
      </c>
      <c r="X1232" s="471"/>
      <c r="Y1232" s="146" t="s">
        <v>325</v>
      </c>
      <c r="Z1232" s="10"/>
    </row>
    <row r="1233" spans="3:26" ht="16.5" thickTop="1" thickBot="1">
      <c r="C1233" s="15"/>
      <c r="D1233" s="462"/>
      <c r="E1233" s="463"/>
      <c r="F1233" s="6">
        <f t="shared" si="39"/>
        <v>50</v>
      </c>
      <c r="G1233" s="462" t="s">
        <v>926</v>
      </c>
      <c r="H1233" s="464"/>
      <c r="I1233" s="20">
        <v>400</v>
      </c>
      <c r="J1233" s="462" t="s">
        <v>206</v>
      </c>
      <c r="K1233" s="464"/>
      <c r="L1233" s="76"/>
      <c r="M1233" s="25"/>
      <c r="N1233" s="292"/>
      <c r="O1233" s="141" t="s">
        <v>322</v>
      </c>
      <c r="P1233" s="133">
        <f>P1232/29</f>
        <v>6.8965517241379306</v>
      </c>
      <c r="Q1233" s="10">
        <f>Q1232/29</f>
        <v>0</v>
      </c>
      <c r="R1233" s="144" t="s">
        <v>422</v>
      </c>
      <c r="S1233" s="465"/>
      <c r="T1233" s="466"/>
      <c r="U1233" s="467"/>
      <c r="V1233" s="468"/>
      <c r="W1233" s="289" t="s">
        <v>12</v>
      </c>
      <c r="X1233" s="38"/>
      <c r="Y1233" s="470" t="s">
        <v>374</v>
      </c>
      <c r="Z1233" s="471"/>
    </row>
    <row r="1234" spans="3:26" ht="16.5" thickTop="1" thickBot="1">
      <c r="C1234" s="15"/>
      <c r="D1234" s="462"/>
      <c r="E1234" s="463"/>
      <c r="F1234" s="6">
        <f t="shared" si="39"/>
        <v>150</v>
      </c>
      <c r="G1234" s="462" t="s">
        <v>927</v>
      </c>
      <c r="H1234" s="464"/>
      <c r="I1234" s="20"/>
      <c r="J1234" s="462"/>
      <c r="K1234" s="464"/>
      <c r="L1234" s="76"/>
      <c r="M1234" s="25"/>
      <c r="N1234" s="293"/>
      <c r="O1234" s="136" t="s">
        <v>325</v>
      </c>
      <c r="P1234" s="319">
        <f>P1217+P1235</f>
        <v>3558.88</v>
      </c>
      <c r="Q1234" s="320">
        <f>Z1232</f>
        <v>0</v>
      </c>
      <c r="R1234" s="143" t="s">
        <v>421</v>
      </c>
      <c r="S1234" s="465"/>
      <c r="T1234" s="466"/>
      <c r="U1234" s="467"/>
      <c r="V1234" s="468"/>
      <c r="W1234" s="282" t="s">
        <v>373</v>
      </c>
      <c r="X1234" s="281"/>
      <c r="Y1234" s="321" t="s">
        <v>181</v>
      </c>
      <c r="Z1234" s="322">
        <v>0</v>
      </c>
    </row>
    <row r="1235" spans="3:26" ht="15.75" thickBot="1">
      <c r="C1235" s="266"/>
      <c r="D1235" s="448"/>
      <c r="E1235" s="469"/>
      <c r="F1235" s="6">
        <f t="shared" si="39"/>
        <v>150</v>
      </c>
      <c r="G1235" s="462" t="s">
        <v>925</v>
      </c>
      <c r="H1235" s="464"/>
      <c r="I1235" s="20"/>
      <c r="J1235" s="462"/>
      <c r="K1235" s="464"/>
      <c r="L1235" s="76"/>
      <c r="M1235" s="25"/>
      <c r="N1235" s="295"/>
      <c r="O1235" s="140" t="s">
        <v>321</v>
      </c>
      <c r="P1235" s="132">
        <f>SUM(M1226:M1239)</f>
        <v>150</v>
      </c>
      <c r="Q1235" s="72">
        <f>Q1234-Q1217</f>
        <v>0</v>
      </c>
      <c r="R1235" s="144" t="s">
        <v>418</v>
      </c>
      <c r="S1235" s="465"/>
      <c r="T1235" s="466"/>
      <c r="U1235" s="467"/>
      <c r="V1235" s="468"/>
      <c r="W1235" s="282" t="s">
        <v>378</v>
      </c>
      <c r="X1235" s="281"/>
      <c r="Y1235" s="470" t="s">
        <v>1000</v>
      </c>
      <c r="Z1235" s="471"/>
    </row>
    <row r="1236" spans="3:26" ht="16.5" thickTop="1" thickBot="1">
      <c r="C1236" s="266"/>
      <c r="D1236" s="448" t="s">
        <v>1001</v>
      </c>
      <c r="E1236" s="469"/>
      <c r="F1236" s="6">
        <f t="shared" si="39"/>
        <v>30</v>
      </c>
      <c r="G1236" s="462" t="s">
        <v>33</v>
      </c>
      <c r="H1236" s="464"/>
      <c r="I1236" s="20"/>
      <c r="J1236" s="462"/>
      <c r="K1236" s="464"/>
      <c r="L1236" s="76"/>
      <c r="M1236" s="25"/>
      <c r="N1236" s="293"/>
      <c r="O1236" s="141" t="s">
        <v>322</v>
      </c>
      <c r="P1236" s="133">
        <f>P1235/29</f>
        <v>5.1724137931034484</v>
      </c>
      <c r="Q1236" s="10">
        <f>Q1235/29</f>
        <v>0</v>
      </c>
      <c r="R1236" s="144" t="s">
        <v>438</v>
      </c>
      <c r="S1236" s="465"/>
      <c r="T1236" s="466"/>
      <c r="U1236" s="472"/>
      <c r="V1236" s="473"/>
      <c r="W1236" s="289" t="s">
        <v>379</v>
      </c>
      <c r="X1236" s="281"/>
      <c r="Y1236" s="143" t="s">
        <v>12</v>
      </c>
      <c r="Z1236" s="12"/>
    </row>
    <row r="1237" spans="3:26" ht="15.75" thickBot="1">
      <c r="C1237" s="15">
        <f>C1220</f>
        <v>4775.66</v>
      </c>
      <c r="D1237" s="455" t="s">
        <v>11</v>
      </c>
      <c r="E1237" s="456"/>
      <c r="F1237" s="15"/>
      <c r="G1237" s="462"/>
      <c r="H1237" s="464"/>
      <c r="I1237" s="20"/>
      <c r="J1237" s="462"/>
      <c r="K1237" s="464"/>
      <c r="L1237" s="76"/>
      <c r="M1237" s="25"/>
      <c r="N1237" s="295"/>
      <c r="O1237" s="136" t="s">
        <v>323</v>
      </c>
      <c r="P1237" s="319">
        <f>P1220+P1238</f>
        <v>14512.45730445853</v>
      </c>
      <c r="Q1237" s="320">
        <f>S1226+U1226</f>
        <v>0</v>
      </c>
      <c r="R1237" s="144" t="s">
        <v>380</v>
      </c>
      <c r="S1237" s="291">
        <f>S1228-S1229</f>
        <v>0</v>
      </c>
      <c r="T1237" s="327" t="e">
        <f>S1237/S1229</f>
        <v>#DIV/0!</v>
      </c>
      <c r="U1237" s="291">
        <f>U1228-U1229</f>
        <v>0</v>
      </c>
      <c r="V1237" s="329" t="e">
        <f>U1237/U1229</f>
        <v>#DIV/0!</v>
      </c>
      <c r="W1237" s="146" t="s">
        <v>375</v>
      </c>
      <c r="X1237" s="326"/>
      <c r="Y1237" s="144" t="s">
        <v>373</v>
      </c>
      <c r="Z1237" s="72"/>
    </row>
    <row r="1238" spans="3:26">
      <c r="C1238" s="15"/>
      <c r="D1238" s="455" t="s">
        <v>390</v>
      </c>
      <c r="E1238" s="456"/>
      <c r="F1238" s="15"/>
      <c r="G1238" s="457" t="s">
        <v>38</v>
      </c>
      <c r="H1238" s="458"/>
      <c r="I1238" s="20"/>
      <c r="J1238" s="457" t="s">
        <v>38</v>
      </c>
      <c r="K1238" s="458"/>
      <c r="L1238" s="76"/>
      <c r="M1238" s="25"/>
      <c r="N1238" s="293"/>
      <c r="O1238" s="140" t="s">
        <v>321</v>
      </c>
      <c r="P1238" s="132">
        <f>SUM(N1226:N1239)</f>
        <v>200</v>
      </c>
      <c r="Q1238" s="72">
        <f>Q1237-Q1220</f>
        <v>0</v>
      </c>
      <c r="R1238" s="144" t="s">
        <v>381</v>
      </c>
      <c r="S1238" s="291">
        <f>S1226-S1231</f>
        <v>0</v>
      </c>
      <c r="T1238" s="327" t="e">
        <f>S1238/S1231</f>
        <v>#DIV/0!</v>
      </c>
      <c r="U1238" s="291">
        <f>U1226-U1231</f>
        <v>0</v>
      </c>
      <c r="V1238" s="366" t="e">
        <f>U1238/ABS(U1231)</f>
        <v>#DIV/0!</v>
      </c>
      <c r="W1238" s="337" t="s">
        <v>410</v>
      </c>
      <c r="X1238" s="1" t="s">
        <v>558</v>
      </c>
      <c r="Y1238" s="144" t="s">
        <v>379</v>
      </c>
      <c r="Z1238" s="72"/>
    </row>
    <row r="1239" spans="3:26" ht="15.75" thickBot="1">
      <c r="C1239" s="17"/>
      <c r="D1239" s="459"/>
      <c r="E1239" s="460"/>
      <c r="F1239" s="17"/>
      <c r="G1239" s="459"/>
      <c r="H1239" s="461"/>
      <c r="I1239" s="21"/>
      <c r="J1239" s="459"/>
      <c r="K1239" s="461"/>
      <c r="L1239" s="42"/>
      <c r="M1239" s="5"/>
      <c r="N1239" s="21"/>
      <c r="O1239" s="137" t="s">
        <v>322</v>
      </c>
      <c r="P1239" s="138">
        <f>P1238/29</f>
        <v>6.8965517241379306</v>
      </c>
      <c r="Q1239" s="24">
        <f>Q1238/29</f>
        <v>0</v>
      </c>
      <c r="R1239" s="153" t="s">
        <v>410</v>
      </c>
      <c r="S1239" s="296">
        <f>S1237+S1238</f>
        <v>0</v>
      </c>
      <c r="T1239" s="328" t="e">
        <f>S1239/S1227</f>
        <v>#DIV/0!</v>
      </c>
      <c r="U1239" s="296">
        <f>U1238+U1237</f>
        <v>0</v>
      </c>
      <c r="V1239" s="330" t="e">
        <f>U1239/U1227</f>
        <v>#DIV/0!</v>
      </c>
      <c r="W1239" s="296">
        <f>S1239+U1239</f>
        <v>0</v>
      </c>
      <c r="X1239" s="330" t="e">
        <f>(W1239+S1227+U1227)/(S1227+U1227)-1</f>
        <v>#DIV/0!</v>
      </c>
      <c r="Y1239" s="153" t="s">
        <v>375</v>
      </c>
      <c r="Z1239" s="389"/>
    </row>
    <row r="1240" spans="3:26" ht="17.25" thickTop="1" thickBot="1">
      <c r="C1240" s="264">
        <v>46784</v>
      </c>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3:26" ht="17.25" thickTop="1" thickBot="1">
      <c r="C1241" s="480" t="s">
        <v>386</v>
      </c>
      <c r="D1241" s="481"/>
      <c r="E1241" s="482"/>
      <c r="F1241" s="483" t="s">
        <v>387</v>
      </c>
      <c r="G1241" s="484"/>
      <c r="H1241" s="484"/>
      <c r="I1241" s="484"/>
      <c r="J1241" s="484"/>
      <c r="K1241" s="484"/>
      <c r="L1241" s="484"/>
      <c r="M1241" s="484"/>
      <c r="N1241" s="485"/>
      <c r="O1241" s="261" t="s">
        <v>320</v>
      </c>
      <c r="P1241" s="262" t="s">
        <v>257</v>
      </c>
      <c r="Q1241" s="263" t="s">
        <v>319</v>
      </c>
      <c r="R1241" s="486" t="s">
        <v>144</v>
      </c>
      <c r="S1241" s="487"/>
      <c r="T1241" s="487"/>
      <c r="U1241" s="487"/>
      <c r="V1241" s="487"/>
      <c r="W1241" s="487"/>
      <c r="X1241" s="487"/>
      <c r="Y1241" s="487"/>
      <c r="Z1241" s="488"/>
    </row>
    <row r="1242" spans="3:26" ht="15.75" thickBot="1">
      <c r="C1242" s="265"/>
      <c r="D1242" s="489"/>
      <c r="E1242" s="490"/>
      <c r="F1242" s="470" t="s">
        <v>3</v>
      </c>
      <c r="G1242" s="491"/>
      <c r="H1242" s="492"/>
      <c r="I1242" s="493" t="s">
        <v>4</v>
      </c>
      <c r="J1242" s="491"/>
      <c r="K1242" s="492"/>
      <c r="L1242" s="267" t="s">
        <v>324</v>
      </c>
      <c r="M1242" s="267" t="s">
        <v>325</v>
      </c>
      <c r="N1242" s="267" t="s">
        <v>323</v>
      </c>
      <c r="O1242" s="316" t="s">
        <v>5</v>
      </c>
      <c r="P1242" s="317">
        <f>P1245+P1248+P1251+P1254</f>
        <v>26984.367304458523</v>
      </c>
      <c r="Q1242" s="318">
        <f>Q1251+Q1248+Q1245+Q1254</f>
        <v>0</v>
      </c>
      <c r="R1242" s="268" t="s">
        <v>323</v>
      </c>
      <c r="S1242" s="493" t="s">
        <v>317</v>
      </c>
      <c r="T1242" s="492"/>
      <c r="U1242" s="493" t="s">
        <v>369</v>
      </c>
      <c r="V1242" s="471"/>
      <c r="W1242" s="470" t="s">
        <v>310</v>
      </c>
      <c r="X1242" s="471"/>
      <c r="Y1242" s="470" t="s">
        <v>13</v>
      </c>
      <c r="Z1242" s="471"/>
    </row>
    <row r="1243" spans="3:26" ht="16.5" thickTop="1" thickBot="1">
      <c r="C1243" s="15"/>
      <c r="D1243" s="494"/>
      <c r="E1243" s="495"/>
      <c r="G1243" s="496"/>
      <c r="H1243" s="497"/>
      <c r="J1243" s="496"/>
      <c r="K1243" s="497"/>
      <c r="L1243" s="76"/>
      <c r="M1243" s="25"/>
      <c r="N1243" s="292"/>
      <c r="O1243" s="258" t="s">
        <v>321</v>
      </c>
      <c r="P1243" s="315">
        <f>SUM(C1243:C1256)-SUM(F1243:F1256)-SUM(I1243:I1256)</f>
        <v>689.02999999999986</v>
      </c>
      <c r="Q1243" s="12">
        <f>Q1242-Q1225</f>
        <v>0</v>
      </c>
      <c r="R1243" s="307" t="s">
        <v>343</v>
      </c>
      <c r="S1243" s="498"/>
      <c r="T1243" s="499"/>
      <c r="U1243" s="498"/>
      <c r="V1243" s="500"/>
      <c r="W1243" s="501" t="s">
        <v>326</v>
      </c>
      <c r="X1243" s="502"/>
      <c r="Y1243" s="143" t="s">
        <v>17</v>
      </c>
      <c r="Z1243" s="12"/>
    </row>
    <row r="1244" spans="3:26" ht="16.5" thickTop="1" thickBot="1">
      <c r="C1244" s="15"/>
      <c r="D1244" s="455" t="s">
        <v>11</v>
      </c>
      <c r="E1244" s="456"/>
      <c r="F1244" s="6">
        <f>F1227</f>
        <v>400</v>
      </c>
      <c r="G1244" s="462" t="s">
        <v>223</v>
      </c>
      <c r="H1244" s="464"/>
      <c r="I1244" s="20">
        <f>I1227</f>
        <v>11.99</v>
      </c>
      <c r="J1244" s="462" t="s">
        <v>385</v>
      </c>
      <c r="K1244" s="464"/>
      <c r="L1244" s="76">
        <f>L1227</f>
        <v>200</v>
      </c>
      <c r="M1244" s="76">
        <f>M1227</f>
        <v>150</v>
      </c>
      <c r="N1244" s="76">
        <f>N1227</f>
        <v>200</v>
      </c>
      <c r="O1244" s="141" t="s">
        <v>322</v>
      </c>
      <c r="P1244" s="133">
        <f>P1243/29</f>
        <v>23.759655172413787</v>
      </c>
      <c r="Q1244" s="10">
        <f>Q1243/29</f>
        <v>0</v>
      </c>
      <c r="R1244" s="308" t="s">
        <v>382</v>
      </c>
      <c r="S1244" s="474"/>
      <c r="T1244" s="475"/>
      <c r="U1244" s="467"/>
      <c r="V1244" s="468"/>
      <c r="W1244" s="289" t="s">
        <v>12</v>
      </c>
      <c r="X1244" s="315"/>
      <c r="Y1244" s="144" t="s">
        <v>18</v>
      </c>
      <c r="Z1244" s="72"/>
    </row>
    <row r="1245" spans="3:26">
      <c r="C1245" s="15"/>
      <c r="D1245" s="455" t="s">
        <v>390</v>
      </c>
      <c r="E1245" s="456"/>
      <c r="F1245" s="6">
        <f t="shared" ref="F1245:F1253" si="40">F1228</f>
        <v>100</v>
      </c>
      <c r="G1245" s="462" t="s">
        <v>9</v>
      </c>
      <c r="H1245" s="464"/>
      <c r="I1245" s="20">
        <f>I1228</f>
        <v>11.99</v>
      </c>
      <c r="J1245" s="462" t="s">
        <v>22</v>
      </c>
      <c r="K1245" s="464"/>
      <c r="L1245" s="76"/>
      <c r="M1245" s="25"/>
      <c r="N1245" s="294"/>
      <c r="O1245" s="136" t="s">
        <v>12</v>
      </c>
      <c r="P1245" s="319">
        <f>P1228+P1243-SUM(L1243:L1256)-SUM(M1243:M1256)-SUM(N1243:N1256)</f>
        <v>3628.0299999999916</v>
      </c>
      <c r="Q1245" s="320">
        <f>Z1243+Z1248+Z1251</f>
        <v>0</v>
      </c>
      <c r="R1245" s="308" t="s">
        <v>383</v>
      </c>
      <c r="S1245" s="474"/>
      <c r="T1245" s="475"/>
      <c r="U1245" s="467"/>
      <c r="V1245" s="468"/>
      <c r="W1245" s="282" t="s">
        <v>373</v>
      </c>
      <c r="X1245" s="132"/>
      <c r="Y1245" s="144" t="s">
        <v>19</v>
      </c>
      <c r="Z1245" s="72"/>
    </row>
    <row r="1246" spans="3:26" ht="15.75" thickBot="1">
      <c r="C1246" s="15"/>
      <c r="D1246" s="462"/>
      <c r="E1246" s="463"/>
      <c r="F1246" s="6">
        <f t="shared" si="40"/>
        <v>150</v>
      </c>
      <c r="G1246" s="462" t="s">
        <v>6</v>
      </c>
      <c r="H1246" s="464"/>
      <c r="I1246" s="20">
        <f>I1229</f>
        <v>20</v>
      </c>
      <c r="J1246" s="462" t="s">
        <v>920</v>
      </c>
      <c r="K1246" s="464"/>
      <c r="L1246" s="76"/>
      <c r="M1246" s="25"/>
      <c r="N1246" s="20"/>
      <c r="O1246" s="140" t="s">
        <v>321</v>
      </c>
      <c r="P1246" s="132">
        <f>SUM(C1243:C1256)-SUM(F1243:F1256)-SUM(I1243:I1256)-P1249-P1252-P1255</f>
        <v>139.02999999999986</v>
      </c>
      <c r="Q1246" s="72">
        <f>Q1245-Q1228</f>
        <v>0</v>
      </c>
      <c r="R1246" s="308" t="s">
        <v>424</v>
      </c>
      <c r="S1246" s="474"/>
      <c r="T1246" s="475"/>
      <c r="U1246" s="467"/>
      <c r="V1246" s="468"/>
      <c r="W1246" s="282" t="s">
        <v>378</v>
      </c>
      <c r="X1246" s="132"/>
      <c r="Y1246" s="145" t="s">
        <v>324</v>
      </c>
      <c r="Z1246" s="135"/>
    </row>
    <row r="1247" spans="3:26" ht="15.75" thickBot="1">
      <c r="C1247" s="15"/>
      <c r="D1247" s="455"/>
      <c r="E1247" s="456"/>
      <c r="F1247" s="6">
        <f t="shared" si="40"/>
        <v>370</v>
      </c>
      <c r="G1247" s="462" t="s">
        <v>97</v>
      </c>
      <c r="H1247" s="464"/>
      <c r="I1247" s="20">
        <f>I1230</f>
        <v>11.9</v>
      </c>
      <c r="J1247" s="462" t="s">
        <v>249</v>
      </c>
      <c r="K1247" s="464"/>
      <c r="L1247" s="76"/>
      <c r="M1247" s="25"/>
      <c r="N1247" s="294"/>
      <c r="O1247" s="141" t="s">
        <v>322</v>
      </c>
      <c r="P1247" s="133">
        <f>P1246/29</f>
        <v>4.7941379310344781</v>
      </c>
      <c r="Q1247" s="10">
        <f>Q1246/29</f>
        <v>0</v>
      </c>
      <c r="R1247" s="143" t="s">
        <v>12</v>
      </c>
      <c r="S1247" s="476"/>
      <c r="T1247" s="477"/>
      <c r="U1247" s="478"/>
      <c r="V1247" s="479"/>
      <c r="W1247" s="289" t="s">
        <v>379</v>
      </c>
      <c r="X1247" s="132"/>
      <c r="Y1247" s="470" t="s">
        <v>14</v>
      </c>
      <c r="Z1247" s="471"/>
    </row>
    <row r="1248" spans="3:26" ht="15.75" thickBot="1">
      <c r="C1248" s="15"/>
      <c r="D1248" s="455"/>
      <c r="E1248" s="456"/>
      <c r="F1248" s="6">
        <f t="shared" si="40"/>
        <v>1860.75</v>
      </c>
      <c r="G1248" s="462" t="s">
        <v>304</v>
      </c>
      <c r="H1248" s="464"/>
      <c r="I1248" s="63">
        <v>150</v>
      </c>
      <c r="J1248" s="462" t="s">
        <v>974</v>
      </c>
      <c r="K1248" s="464"/>
      <c r="L1248" s="76"/>
      <c r="M1248" s="25"/>
      <c r="N1248" s="294"/>
      <c r="O1248" s="136" t="s">
        <v>324</v>
      </c>
      <c r="P1248" s="319">
        <f>P1231+P1249</f>
        <v>4935</v>
      </c>
      <c r="Q1248" s="320">
        <f>Z1244+Z1245+Z1246</f>
        <v>0</v>
      </c>
      <c r="R1248" s="144" t="s">
        <v>425</v>
      </c>
      <c r="S1248" s="465"/>
      <c r="T1248" s="466"/>
      <c r="U1248" s="467"/>
      <c r="V1248" s="468"/>
      <c r="W1248" s="146" t="s">
        <v>375</v>
      </c>
      <c r="X1248" s="325"/>
      <c r="Y1248" s="143" t="s">
        <v>15</v>
      </c>
      <c r="Z1248" s="12"/>
    </row>
    <row r="1249" spans="3:26" ht="15.75" thickBot="1">
      <c r="C1249" s="15"/>
      <c r="D1249" s="462"/>
      <c r="E1249" s="463"/>
      <c r="F1249" s="6">
        <f t="shared" si="40"/>
        <v>70</v>
      </c>
      <c r="G1249" s="462" t="s">
        <v>982</v>
      </c>
      <c r="H1249" s="464"/>
      <c r="I1249" s="20">
        <v>150</v>
      </c>
      <c r="J1249" s="462" t="s">
        <v>105</v>
      </c>
      <c r="K1249" s="464"/>
      <c r="L1249" s="76"/>
      <c r="M1249" s="25"/>
      <c r="N1249" s="294"/>
      <c r="O1249" s="140" t="s">
        <v>321</v>
      </c>
      <c r="P1249" s="132">
        <f>SUM(L1243:L1256)</f>
        <v>200</v>
      </c>
      <c r="Q1249" s="72">
        <f>Q1248-Q1231</f>
        <v>0</v>
      </c>
      <c r="R1249" s="144" t="s">
        <v>426</v>
      </c>
      <c r="S1249" s="465"/>
      <c r="T1249" s="466"/>
      <c r="U1249" s="467"/>
      <c r="V1249" s="468"/>
      <c r="W1249" s="470" t="s">
        <v>376</v>
      </c>
      <c r="X1249" s="471"/>
      <c r="Y1249" s="146" t="s">
        <v>325</v>
      </c>
      <c r="Z1249" s="10"/>
    </row>
    <row r="1250" spans="3:26" ht="16.5" thickTop="1" thickBot="1">
      <c r="C1250" s="15"/>
      <c r="D1250" s="462"/>
      <c r="E1250" s="463"/>
      <c r="F1250" s="6">
        <f t="shared" si="40"/>
        <v>50</v>
      </c>
      <c r="G1250" s="462" t="s">
        <v>926</v>
      </c>
      <c r="H1250" s="464"/>
      <c r="I1250" s="20">
        <v>400</v>
      </c>
      <c r="J1250" s="462" t="s">
        <v>206</v>
      </c>
      <c r="K1250" s="464"/>
      <c r="L1250" s="76"/>
      <c r="M1250" s="25"/>
      <c r="N1250" s="292"/>
      <c r="O1250" s="141" t="s">
        <v>322</v>
      </c>
      <c r="P1250" s="133">
        <f>P1249/29</f>
        <v>6.8965517241379306</v>
      </c>
      <c r="Q1250" s="10">
        <f>Q1249/29</f>
        <v>0</v>
      </c>
      <c r="R1250" s="144" t="s">
        <v>422</v>
      </c>
      <c r="S1250" s="465"/>
      <c r="T1250" s="466"/>
      <c r="U1250" s="467"/>
      <c r="V1250" s="468"/>
      <c r="W1250" s="289" t="s">
        <v>12</v>
      </c>
      <c r="X1250" s="38"/>
      <c r="Y1250" s="470" t="s">
        <v>374</v>
      </c>
      <c r="Z1250" s="471"/>
    </row>
    <row r="1251" spans="3:26" ht="16.5" thickTop="1" thickBot="1">
      <c r="C1251" s="15"/>
      <c r="D1251" s="462"/>
      <c r="E1251" s="463"/>
      <c r="F1251" s="6">
        <f t="shared" si="40"/>
        <v>150</v>
      </c>
      <c r="G1251" s="462" t="s">
        <v>927</v>
      </c>
      <c r="H1251" s="464"/>
      <c r="I1251" s="20"/>
      <c r="J1251" s="462"/>
      <c r="K1251" s="464"/>
      <c r="L1251" s="76"/>
      <c r="M1251" s="25"/>
      <c r="N1251" s="293"/>
      <c r="O1251" s="136" t="s">
        <v>325</v>
      </c>
      <c r="P1251" s="319">
        <f>P1234+P1252</f>
        <v>3708.88</v>
      </c>
      <c r="Q1251" s="320">
        <f>Z1249</f>
        <v>0</v>
      </c>
      <c r="R1251" s="143" t="s">
        <v>421</v>
      </c>
      <c r="S1251" s="465"/>
      <c r="T1251" s="466"/>
      <c r="U1251" s="467"/>
      <c r="V1251" s="468"/>
      <c r="W1251" s="282" t="s">
        <v>373</v>
      </c>
      <c r="X1251" s="281"/>
      <c r="Y1251" s="321" t="s">
        <v>181</v>
      </c>
      <c r="Z1251" s="322">
        <v>0</v>
      </c>
    </row>
    <row r="1252" spans="3:26" ht="15.75" thickBot="1">
      <c r="C1252" s="266"/>
      <c r="D1252" s="448"/>
      <c r="E1252" s="469"/>
      <c r="F1252" s="6">
        <f t="shared" si="40"/>
        <v>150</v>
      </c>
      <c r="G1252" s="462" t="s">
        <v>925</v>
      </c>
      <c r="H1252" s="464"/>
      <c r="I1252" s="20"/>
      <c r="J1252" s="462"/>
      <c r="K1252" s="464"/>
      <c r="L1252" s="76"/>
      <c r="M1252" s="25"/>
      <c r="N1252" s="295"/>
      <c r="O1252" s="140" t="s">
        <v>321</v>
      </c>
      <c r="P1252" s="132">
        <f>SUM(M1243:M1256)</f>
        <v>150</v>
      </c>
      <c r="Q1252" s="72">
        <f>Q1251-Q1234</f>
        <v>0</v>
      </c>
      <c r="R1252" s="144" t="s">
        <v>418</v>
      </c>
      <c r="S1252" s="465"/>
      <c r="T1252" s="466"/>
      <c r="U1252" s="467"/>
      <c r="V1252" s="468"/>
      <c r="W1252" s="282" t="s">
        <v>378</v>
      </c>
      <c r="X1252" s="281"/>
      <c r="Y1252" s="470" t="s">
        <v>1000</v>
      </c>
      <c r="Z1252" s="471"/>
    </row>
    <row r="1253" spans="3:26" ht="16.5" thickTop="1" thickBot="1">
      <c r="C1253" s="266"/>
      <c r="D1253" s="448" t="s">
        <v>1001</v>
      </c>
      <c r="E1253" s="469"/>
      <c r="F1253" s="6">
        <f t="shared" si="40"/>
        <v>30</v>
      </c>
      <c r="G1253" s="462" t="s">
        <v>33</v>
      </c>
      <c r="H1253" s="464"/>
      <c r="I1253" s="20"/>
      <c r="J1253" s="462"/>
      <c r="K1253" s="464"/>
      <c r="L1253" s="76"/>
      <c r="M1253" s="25"/>
      <c r="N1253" s="293"/>
      <c r="O1253" s="141" t="s">
        <v>322</v>
      </c>
      <c r="P1253" s="133">
        <f>P1252/29</f>
        <v>5.1724137931034484</v>
      </c>
      <c r="Q1253" s="10">
        <f>Q1252/29</f>
        <v>0</v>
      </c>
      <c r="R1253" s="144" t="s">
        <v>438</v>
      </c>
      <c r="S1253" s="465"/>
      <c r="T1253" s="466"/>
      <c r="U1253" s="472"/>
      <c r="V1253" s="473"/>
      <c r="W1253" s="289" t="s">
        <v>379</v>
      </c>
      <c r="X1253" s="281"/>
      <c r="Y1253" s="143" t="s">
        <v>12</v>
      </c>
      <c r="Z1253" s="12"/>
    </row>
    <row r="1254" spans="3:26" ht="15.75" thickBot="1">
      <c r="C1254" s="15">
        <f>C1237</f>
        <v>4775.66</v>
      </c>
      <c r="D1254" s="455" t="s">
        <v>11</v>
      </c>
      <c r="E1254" s="456"/>
      <c r="F1254" s="15"/>
      <c r="G1254" s="462"/>
      <c r="H1254" s="464"/>
      <c r="I1254" s="20"/>
      <c r="J1254" s="462"/>
      <c r="K1254" s="464"/>
      <c r="L1254" s="76"/>
      <c r="M1254" s="25"/>
      <c r="N1254" s="295"/>
      <c r="O1254" s="136" t="s">
        <v>323</v>
      </c>
      <c r="P1254" s="319">
        <f>P1237+P1255</f>
        <v>14712.45730445853</v>
      </c>
      <c r="Q1254" s="320">
        <f>S1243+U1243</f>
        <v>0</v>
      </c>
      <c r="R1254" s="144" t="s">
        <v>380</v>
      </c>
      <c r="S1254" s="291">
        <f>S1245-S1246</f>
        <v>0</v>
      </c>
      <c r="T1254" s="327" t="e">
        <f>S1254/S1246</f>
        <v>#DIV/0!</v>
      </c>
      <c r="U1254" s="291">
        <f>U1245-U1246</f>
        <v>0</v>
      </c>
      <c r="V1254" s="329" t="e">
        <f>U1254/U1246</f>
        <v>#DIV/0!</v>
      </c>
      <c r="W1254" s="146" t="s">
        <v>375</v>
      </c>
      <c r="X1254" s="326"/>
      <c r="Y1254" s="144" t="s">
        <v>373</v>
      </c>
      <c r="Z1254" s="72"/>
    </row>
    <row r="1255" spans="3:26">
      <c r="C1255" s="15"/>
      <c r="D1255" s="455" t="s">
        <v>390</v>
      </c>
      <c r="E1255" s="456"/>
      <c r="F1255" s="15"/>
      <c r="G1255" s="457" t="s">
        <v>38</v>
      </c>
      <c r="H1255" s="458"/>
      <c r="I1255" s="20"/>
      <c r="J1255" s="457" t="s">
        <v>38</v>
      </c>
      <c r="K1255" s="458"/>
      <c r="L1255" s="76"/>
      <c r="M1255" s="25"/>
      <c r="N1255" s="293"/>
      <c r="O1255" s="140" t="s">
        <v>321</v>
      </c>
      <c r="P1255" s="132">
        <f>SUM(N1243:N1256)</f>
        <v>200</v>
      </c>
      <c r="Q1255" s="72">
        <f>Q1254-Q1237</f>
        <v>0</v>
      </c>
      <c r="R1255" s="144" t="s">
        <v>381</v>
      </c>
      <c r="S1255" s="291">
        <f>S1243-S1248</f>
        <v>0</v>
      </c>
      <c r="T1255" s="327" t="e">
        <f>S1255/S1248</f>
        <v>#DIV/0!</v>
      </c>
      <c r="U1255" s="291">
        <f>U1243-U1248</f>
        <v>0</v>
      </c>
      <c r="V1255" s="366" t="e">
        <f>U1255/ABS(U1248)</f>
        <v>#DIV/0!</v>
      </c>
      <c r="W1255" s="337" t="s">
        <v>410</v>
      </c>
      <c r="X1255" s="1" t="s">
        <v>558</v>
      </c>
      <c r="Y1255" s="144" t="s">
        <v>379</v>
      </c>
      <c r="Z1255" s="72"/>
    </row>
    <row r="1256" spans="3:26" ht="15.75" thickBot="1">
      <c r="C1256" s="17"/>
      <c r="D1256" s="459"/>
      <c r="E1256" s="460"/>
      <c r="F1256" s="17"/>
      <c r="G1256" s="459"/>
      <c r="H1256" s="461"/>
      <c r="I1256" s="21"/>
      <c r="J1256" s="459"/>
      <c r="K1256" s="461"/>
      <c r="L1256" s="42"/>
      <c r="M1256" s="5"/>
      <c r="N1256" s="21"/>
      <c r="O1256" s="137" t="s">
        <v>322</v>
      </c>
      <c r="P1256" s="138">
        <f>P1255/29</f>
        <v>6.8965517241379306</v>
      </c>
      <c r="Q1256" s="24">
        <f>Q1255/29</f>
        <v>0</v>
      </c>
      <c r="R1256" s="153" t="s">
        <v>410</v>
      </c>
      <c r="S1256" s="296">
        <f>S1254+S1255</f>
        <v>0</v>
      </c>
      <c r="T1256" s="328" t="e">
        <f>S1256/S1244</f>
        <v>#DIV/0!</v>
      </c>
      <c r="U1256" s="296">
        <f>U1255+U1254</f>
        <v>0</v>
      </c>
      <c r="V1256" s="330" t="e">
        <f>U1256/U1244</f>
        <v>#DIV/0!</v>
      </c>
      <c r="W1256" s="296">
        <f>S1256+U1256</f>
        <v>0</v>
      </c>
      <c r="X1256" s="330" t="e">
        <f>(W1256+S1244+U1244)/(S1244+U1244)-1</f>
        <v>#DIV/0!</v>
      </c>
      <c r="Y1256" s="153" t="s">
        <v>375</v>
      </c>
      <c r="Z1256" s="389"/>
    </row>
    <row r="1257" spans="3:26" ht="17.25" thickTop="1" thickBot="1">
      <c r="C1257" s="264">
        <v>46813</v>
      </c>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3:26" ht="17.25" thickTop="1" thickBot="1">
      <c r="C1258" s="480" t="s">
        <v>386</v>
      </c>
      <c r="D1258" s="481"/>
      <c r="E1258" s="482"/>
      <c r="F1258" s="483" t="s">
        <v>387</v>
      </c>
      <c r="G1258" s="484"/>
      <c r="H1258" s="484"/>
      <c r="I1258" s="484"/>
      <c r="J1258" s="484"/>
      <c r="K1258" s="484"/>
      <c r="L1258" s="484"/>
      <c r="M1258" s="484"/>
      <c r="N1258" s="485"/>
      <c r="O1258" s="261" t="s">
        <v>320</v>
      </c>
      <c r="P1258" s="262" t="s">
        <v>257</v>
      </c>
      <c r="Q1258" s="263" t="s">
        <v>319</v>
      </c>
      <c r="R1258" s="486" t="s">
        <v>144</v>
      </c>
      <c r="S1258" s="487"/>
      <c r="T1258" s="487"/>
      <c r="U1258" s="487"/>
      <c r="V1258" s="487"/>
      <c r="W1258" s="487"/>
      <c r="X1258" s="487"/>
      <c r="Y1258" s="487"/>
      <c r="Z1258" s="488"/>
    </row>
    <row r="1259" spans="3:26" ht="15.75" thickBot="1">
      <c r="C1259" s="265"/>
      <c r="D1259" s="489"/>
      <c r="E1259" s="490"/>
      <c r="F1259" s="470" t="s">
        <v>3</v>
      </c>
      <c r="G1259" s="491"/>
      <c r="H1259" s="492"/>
      <c r="I1259" s="493" t="s">
        <v>4</v>
      </c>
      <c r="J1259" s="491"/>
      <c r="K1259" s="492"/>
      <c r="L1259" s="267" t="s">
        <v>324</v>
      </c>
      <c r="M1259" s="267" t="s">
        <v>325</v>
      </c>
      <c r="N1259" s="267" t="s">
        <v>323</v>
      </c>
      <c r="O1259" s="316" t="s">
        <v>5</v>
      </c>
      <c r="P1259" s="317">
        <f>P1262+P1265+P1268+P1271</f>
        <v>27673.397304458522</v>
      </c>
      <c r="Q1259" s="318">
        <f>Q1268+Q1265+Q1262+Q1271</f>
        <v>0</v>
      </c>
      <c r="R1259" s="268" t="s">
        <v>323</v>
      </c>
      <c r="S1259" s="493" t="s">
        <v>317</v>
      </c>
      <c r="T1259" s="492"/>
      <c r="U1259" s="493" t="s">
        <v>369</v>
      </c>
      <c r="V1259" s="471"/>
      <c r="W1259" s="470" t="s">
        <v>310</v>
      </c>
      <c r="X1259" s="471"/>
      <c r="Y1259" s="470" t="s">
        <v>13</v>
      </c>
      <c r="Z1259" s="471"/>
    </row>
    <row r="1260" spans="3:26" ht="16.5" thickTop="1" thickBot="1">
      <c r="C1260" s="15"/>
      <c r="D1260" s="494"/>
      <c r="E1260" s="495"/>
      <c r="G1260" s="496"/>
      <c r="H1260" s="497"/>
      <c r="J1260" s="496"/>
      <c r="K1260" s="497"/>
      <c r="L1260" s="76"/>
      <c r="M1260" s="25"/>
      <c r="N1260" s="292"/>
      <c r="O1260" s="258" t="s">
        <v>321</v>
      </c>
      <c r="P1260" s="315">
        <f>SUM(C1260:C1273)-SUM(F1260:F1273)-SUM(I1260:I1273)</f>
        <v>689.02999999999986</v>
      </c>
      <c r="Q1260" s="12">
        <f>Q1259-Q1242</f>
        <v>0</v>
      </c>
      <c r="R1260" s="307" t="s">
        <v>343</v>
      </c>
      <c r="S1260" s="498"/>
      <c r="T1260" s="499"/>
      <c r="U1260" s="498"/>
      <c r="V1260" s="500"/>
      <c r="W1260" s="501" t="s">
        <v>326</v>
      </c>
      <c r="X1260" s="502"/>
      <c r="Y1260" s="143" t="s">
        <v>17</v>
      </c>
      <c r="Z1260" s="12"/>
    </row>
    <row r="1261" spans="3:26" ht="16.5" thickTop="1" thickBot="1">
      <c r="C1261" s="15"/>
      <c r="D1261" s="455" t="s">
        <v>11</v>
      </c>
      <c r="E1261" s="456"/>
      <c r="F1261" s="6">
        <f>F1244</f>
        <v>400</v>
      </c>
      <c r="G1261" s="462" t="s">
        <v>223</v>
      </c>
      <c r="H1261" s="464"/>
      <c r="I1261" s="20">
        <f>I1244</f>
        <v>11.99</v>
      </c>
      <c r="J1261" s="462" t="s">
        <v>385</v>
      </c>
      <c r="K1261" s="464"/>
      <c r="L1261" s="76">
        <f>L1244</f>
        <v>200</v>
      </c>
      <c r="M1261" s="76">
        <f>M1244</f>
        <v>150</v>
      </c>
      <c r="N1261" s="76">
        <f>N1244</f>
        <v>200</v>
      </c>
      <c r="O1261" s="141" t="s">
        <v>322</v>
      </c>
      <c r="P1261" s="133">
        <f>P1260/29</f>
        <v>23.759655172413787</v>
      </c>
      <c r="Q1261" s="10">
        <f>Q1260/29</f>
        <v>0</v>
      </c>
      <c r="R1261" s="308" t="s">
        <v>382</v>
      </c>
      <c r="S1261" s="474"/>
      <c r="T1261" s="475"/>
      <c r="U1261" s="467"/>
      <c r="V1261" s="468"/>
      <c r="W1261" s="289" t="s">
        <v>12</v>
      </c>
      <c r="X1261" s="315"/>
      <c r="Y1261" s="144" t="s">
        <v>18</v>
      </c>
      <c r="Z1261" s="72"/>
    </row>
    <row r="1262" spans="3:26">
      <c r="C1262" s="15"/>
      <c r="D1262" s="455" t="s">
        <v>390</v>
      </c>
      <c r="E1262" s="456"/>
      <c r="F1262" s="6">
        <f t="shared" ref="F1262:F1270" si="41">F1245</f>
        <v>100</v>
      </c>
      <c r="G1262" s="462" t="s">
        <v>9</v>
      </c>
      <c r="H1262" s="464"/>
      <c r="I1262" s="20">
        <f>I1245</f>
        <v>11.99</v>
      </c>
      <c r="J1262" s="462" t="s">
        <v>22</v>
      </c>
      <c r="K1262" s="464"/>
      <c r="L1262" s="76"/>
      <c r="M1262" s="25"/>
      <c r="N1262" s="294"/>
      <c r="O1262" s="136" t="s">
        <v>12</v>
      </c>
      <c r="P1262" s="319">
        <f>P1245+P1260-SUM(L1260:L1273)-SUM(M1260:M1273)-SUM(N1260:N1273)</f>
        <v>3767.0599999999913</v>
      </c>
      <c r="Q1262" s="320">
        <f>Z1260+Z1265+Z1268</f>
        <v>0</v>
      </c>
      <c r="R1262" s="308" t="s">
        <v>383</v>
      </c>
      <c r="S1262" s="474"/>
      <c r="T1262" s="475"/>
      <c r="U1262" s="467"/>
      <c r="V1262" s="468"/>
      <c r="W1262" s="282" t="s">
        <v>373</v>
      </c>
      <c r="X1262" s="132"/>
      <c r="Y1262" s="144" t="s">
        <v>19</v>
      </c>
      <c r="Z1262" s="72"/>
    </row>
    <row r="1263" spans="3:26" ht="15.75" thickBot="1">
      <c r="C1263" s="15"/>
      <c r="D1263" s="462"/>
      <c r="E1263" s="463"/>
      <c r="F1263" s="6">
        <f t="shared" si="41"/>
        <v>150</v>
      </c>
      <c r="G1263" s="462" t="s">
        <v>6</v>
      </c>
      <c r="H1263" s="464"/>
      <c r="I1263" s="20">
        <f>I1246</f>
        <v>20</v>
      </c>
      <c r="J1263" s="462" t="s">
        <v>920</v>
      </c>
      <c r="K1263" s="464"/>
      <c r="L1263" s="76"/>
      <c r="M1263" s="25"/>
      <c r="N1263" s="20"/>
      <c r="O1263" s="140" t="s">
        <v>321</v>
      </c>
      <c r="P1263" s="132">
        <f>SUM(C1260:C1273)-SUM(F1260:F1273)-SUM(I1260:I1273)-P1266-P1269-P1272</f>
        <v>139.02999999999986</v>
      </c>
      <c r="Q1263" s="72">
        <f>Q1262-Q1245</f>
        <v>0</v>
      </c>
      <c r="R1263" s="308" t="s">
        <v>424</v>
      </c>
      <c r="S1263" s="474"/>
      <c r="T1263" s="475"/>
      <c r="U1263" s="467"/>
      <c r="V1263" s="468"/>
      <c r="W1263" s="282" t="s">
        <v>378</v>
      </c>
      <c r="X1263" s="132"/>
      <c r="Y1263" s="145" t="s">
        <v>324</v>
      </c>
      <c r="Z1263" s="135"/>
    </row>
    <row r="1264" spans="3:26" ht="15.75" thickBot="1">
      <c r="C1264" s="15"/>
      <c r="D1264" s="455"/>
      <c r="E1264" s="456"/>
      <c r="F1264" s="6">
        <f t="shared" si="41"/>
        <v>370</v>
      </c>
      <c r="G1264" s="462" t="s">
        <v>97</v>
      </c>
      <c r="H1264" s="464"/>
      <c r="I1264" s="20">
        <f>I1247</f>
        <v>11.9</v>
      </c>
      <c r="J1264" s="462" t="s">
        <v>249</v>
      </c>
      <c r="K1264" s="464"/>
      <c r="L1264" s="76"/>
      <c r="M1264" s="25"/>
      <c r="N1264" s="294"/>
      <c r="O1264" s="141" t="s">
        <v>322</v>
      </c>
      <c r="P1264" s="133">
        <f>P1263/29</f>
        <v>4.7941379310344781</v>
      </c>
      <c r="Q1264" s="10">
        <f>Q1263/29</f>
        <v>0</v>
      </c>
      <c r="R1264" s="143" t="s">
        <v>12</v>
      </c>
      <c r="S1264" s="476"/>
      <c r="T1264" s="477"/>
      <c r="U1264" s="478"/>
      <c r="V1264" s="479"/>
      <c r="W1264" s="289" t="s">
        <v>379</v>
      </c>
      <c r="X1264" s="132"/>
      <c r="Y1264" s="470" t="s">
        <v>14</v>
      </c>
      <c r="Z1264" s="471"/>
    </row>
    <row r="1265" spans="3:26" ht="15.75" thickBot="1">
      <c r="C1265" s="15"/>
      <c r="D1265" s="455"/>
      <c r="E1265" s="456"/>
      <c r="F1265" s="6">
        <f t="shared" si="41"/>
        <v>1860.75</v>
      </c>
      <c r="G1265" s="462" t="s">
        <v>304</v>
      </c>
      <c r="H1265" s="464"/>
      <c r="I1265" s="63">
        <v>150</v>
      </c>
      <c r="J1265" s="462" t="s">
        <v>974</v>
      </c>
      <c r="K1265" s="464"/>
      <c r="L1265" s="76"/>
      <c r="M1265" s="25"/>
      <c r="N1265" s="294"/>
      <c r="O1265" s="136" t="s">
        <v>324</v>
      </c>
      <c r="P1265" s="319">
        <f>P1248+P1266</f>
        <v>5135</v>
      </c>
      <c r="Q1265" s="320">
        <f>Z1261+Z1262+Z1263</f>
        <v>0</v>
      </c>
      <c r="R1265" s="144" t="s">
        <v>425</v>
      </c>
      <c r="S1265" s="465"/>
      <c r="T1265" s="466"/>
      <c r="U1265" s="467"/>
      <c r="V1265" s="468"/>
      <c r="W1265" s="146" t="s">
        <v>375</v>
      </c>
      <c r="X1265" s="325"/>
      <c r="Y1265" s="143" t="s">
        <v>15</v>
      </c>
      <c r="Z1265" s="12"/>
    </row>
    <row r="1266" spans="3:26" ht="15.75" thickBot="1">
      <c r="C1266" s="15"/>
      <c r="D1266" s="462"/>
      <c r="E1266" s="463"/>
      <c r="F1266" s="6">
        <f t="shared" si="41"/>
        <v>70</v>
      </c>
      <c r="G1266" s="462" t="s">
        <v>982</v>
      </c>
      <c r="H1266" s="464"/>
      <c r="I1266" s="20">
        <v>150</v>
      </c>
      <c r="J1266" s="462" t="s">
        <v>105</v>
      </c>
      <c r="K1266" s="464"/>
      <c r="L1266" s="76"/>
      <c r="M1266" s="25"/>
      <c r="N1266" s="294"/>
      <c r="O1266" s="140" t="s">
        <v>321</v>
      </c>
      <c r="P1266" s="132">
        <f>SUM(L1260:L1273)</f>
        <v>200</v>
      </c>
      <c r="Q1266" s="72">
        <f>Q1265-Q1248</f>
        <v>0</v>
      </c>
      <c r="R1266" s="144" t="s">
        <v>426</v>
      </c>
      <c r="S1266" s="465"/>
      <c r="T1266" s="466"/>
      <c r="U1266" s="467"/>
      <c r="V1266" s="468"/>
      <c r="W1266" s="470" t="s">
        <v>376</v>
      </c>
      <c r="X1266" s="471"/>
      <c r="Y1266" s="146" t="s">
        <v>325</v>
      </c>
      <c r="Z1266" s="10"/>
    </row>
    <row r="1267" spans="3:26" ht="16.5" thickTop="1" thickBot="1">
      <c r="C1267" s="15"/>
      <c r="D1267" s="462"/>
      <c r="E1267" s="463"/>
      <c r="F1267" s="6">
        <f t="shared" si="41"/>
        <v>50</v>
      </c>
      <c r="G1267" s="462" t="s">
        <v>926</v>
      </c>
      <c r="H1267" s="464"/>
      <c r="I1267" s="20">
        <v>400</v>
      </c>
      <c r="J1267" s="462" t="s">
        <v>206</v>
      </c>
      <c r="K1267" s="464"/>
      <c r="L1267" s="76"/>
      <c r="M1267" s="25"/>
      <c r="N1267" s="292"/>
      <c r="O1267" s="141" t="s">
        <v>322</v>
      </c>
      <c r="P1267" s="133">
        <f>P1266/29</f>
        <v>6.8965517241379306</v>
      </c>
      <c r="Q1267" s="10">
        <f>Q1266/29</f>
        <v>0</v>
      </c>
      <c r="R1267" s="144" t="s">
        <v>422</v>
      </c>
      <c r="S1267" s="465"/>
      <c r="T1267" s="466"/>
      <c r="U1267" s="467"/>
      <c r="V1267" s="468"/>
      <c r="W1267" s="289" t="s">
        <v>12</v>
      </c>
      <c r="X1267" s="38"/>
      <c r="Y1267" s="470" t="s">
        <v>374</v>
      </c>
      <c r="Z1267" s="471"/>
    </row>
    <row r="1268" spans="3:26" ht="16.5" thickTop="1" thickBot="1">
      <c r="C1268" s="15"/>
      <c r="D1268" s="462"/>
      <c r="E1268" s="463"/>
      <c r="F1268" s="6">
        <f t="shared" si="41"/>
        <v>150</v>
      </c>
      <c r="G1268" s="462" t="s">
        <v>927</v>
      </c>
      <c r="H1268" s="464"/>
      <c r="I1268" s="20"/>
      <c r="J1268" s="462"/>
      <c r="K1268" s="464"/>
      <c r="L1268" s="76"/>
      <c r="M1268" s="25"/>
      <c r="N1268" s="293"/>
      <c r="O1268" s="136" t="s">
        <v>325</v>
      </c>
      <c r="P1268" s="319">
        <f>P1251+P1269</f>
        <v>3858.88</v>
      </c>
      <c r="Q1268" s="320">
        <f>Z1266</f>
        <v>0</v>
      </c>
      <c r="R1268" s="143" t="s">
        <v>421</v>
      </c>
      <c r="S1268" s="465"/>
      <c r="T1268" s="466"/>
      <c r="U1268" s="467"/>
      <c r="V1268" s="468"/>
      <c r="W1268" s="282" t="s">
        <v>373</v>
      </c>
      <c r="X1268" s="281"/>
      <c r="Y1268" s="321" t="s">
        <v>181</v>
      </c>
      <c r="Z1268" s="322">
        <v>0</v>
      </c>
    </row>
    <row r="1269" spans="3:26" ht="15.75" thickBot="1">
      <c r="C1269" s="266"/>
      <c r="D1269" s="448"/>
      <c r="E1269" s="469"/>
      <c r="F1269" s="6">
        <f t="shared" si="41"/>
        <v>150</v>
      </c>
      <c r="G1269" s="462" t="s">
        <v>925</v>
      </c>
      <c r="H1269" s="464"/>
      <c r="I1269" s="20"/>
      <c r="J1269" s="462"/>
      <c r="K1269" s="464"/>
      <c r="L1269" s="76"/>
      <c r="M1269" s="25"/>
      <c r="N1269" s="295"/>
      <c r="O1269" s="140" t="s">
        <v>321</v>
      </c>
      <c r="P1269" s="132">
        <f>SUM(M1260:M1273)</f>
        <v>150</v>
      </c>
      <c r="Q1269" s="72">
        <f>Q1268-Q1251</f>
        <v>0</v>
      </c>
      <c r="R1269" s="144" t="s">
        <v>418</v>
      </c>
      <c r="S1269" s="465"/>
      <c r="T1269" s="466"/>
      <c r="U1269" s="467"/>
      <c r="V1269" s="468"/>
      <c r="W1269" s="282" t="s">
        <v>378</v>
      </c>
      <c r="X1269" s="281"/>
      <c r="Y1269" s="470" t="s">
        <v>1000</v>
      </c>
      <c r="Z1269" s="471"/>
    </row>
    <row r="1270" spans="3:26" ht="16.5" thickTop="1" thickBot="1">
      <c r="C1270" s="266"/>
      <c r="D1270" s="448" t="s">
        <v>1001</v>
      </c>
      <c r="E1270" s="469"/>
      <c r="F1270" s="6">
        <f t="shared" si="41"/>
        <v>30</v>
      </c>
      <c r="G1270" s="462" t="s">
        <v>33</v>
      </c>
      <c r="H1270" s="464"/>
      <c r="I1270" s="20"/>
      <c r="J1270" s="462"/>
      <c r="K1270" s="464"/>
      <c r="L1270" s="76"/>
      <c r="M1270" s="25"/>
      <c r="N1270" s="293"/>
      <c r="O1270" s="141" t="s">
        <v>322</v>
      </c>
      <c r="P1270" s="133">
        <f>P1269/29</f>
        <v>5.1724137931034484</v>
      </c>
      <c r="Q1270" s="10">
        <f>Q1269/29</f>
        <v>0</v>
      </c>
      <c r="R1270" s="144" t="s">
        <v>438</v>
      </c>
      <c r="S1270" s="465"/>
      <c r="T1270" s="466"/>
      <c r="U1270" s="472"/>
      <c r="V1270" s="473"/>
      <c r="W1270" s="289" t="s">
        <v>379</v>
      </c>
      <c r="X1270" s="281"/>
      <c r="Y1270" s="143" t="s">
        <v>12</v>
      </c>
      <c r="Z1270" s="12"/>
    </row>
    <row r="1271" spans="3:26" ht="15.75" thickBot="1">
      <c r="C1271" s="15">
        <f>C1254</f>
        <v>4775.66</v>
      </c>
      <c r="D1271" s="455" t="s">
        <v>11</v>
      </c>
      <c r="E1271" s="456"/>
      <c r="F1271" s="15"/>
      <c r="G1271" s="462"/>
      <c r="H1271" s="464"/>
      <c r="I1271" s="20"/>
      <c r="J1271" s="462"/>
      <c r="K1271" s="464"/>
      <c r="L1271" s="76"/>
      <c r="M1271" s="25"/>
      <c r="N1271" s="295"/>
      <c r="O1271" s="136" t="s">
        <v>323</v>
      </c>
      <c r="P1271" s="319">
        <f>P1254+P1272</f>
        <v>14912.45730445853</v>
      </c>
      <c r="Q1271" s="320">
        <f>S1260+U1260</f>
        <v>0</v>
      </c>
      <c r="R1271" s="144" t="s">
        <v>380</v>
      </c>
      <c r="S1271" s="291">
        <f>S1262-S1263</f>
        <v>0</v>
      </c>
      <c r="T1271" s="327" t="e">
        <f>S1271/S1263</f>
        <v>#DIV/0!</v>
      </c>
      <c r="U1271" s="291">
        <f>U1262-U1263</f>
        <v>0</v>
      </c>
      <c r="V1271" s="329" t="e">
        <f>U1271/U1263</f>
        <v>#DIV/0!</v>
      </c>
      <c r="W1271" s="146" t="s">
        <v>375</v>
      </c>
      <c r="X1271" s="326"/>
      <c r="Y1271" s="144" t="s">
        <v>373</v>
      </c>
      <c r="Z1271" s="72"/>
    </row>
    <row r="1272" spans="3:26">
      <c r="C1272" s="15"/>
      <c r="D1272" s="455" t="s">
        <v>390</v>
      </c>
      <c r="E1272" s="456"/>
      <c r="F1272" s="15"/>
      <c r="G1272" s="457" t="s">
        <v>38</v>
      </c>
      <c r="H1272" s="458"/>
      <c r="I1272" s="20"/>
      <c r="J1272" s="457" t="s">
        <v>38</v>
      </c>
      <c r="K1272" s="458"/>
      <c r="L1272" s="76"/>
      <c r="M1272" s="25"/>
      <c r="N1272" s="293"/>
      <c r="O1272" s="140" t="s">
        <v>321</v>
      </c>
      <c r="P1272" s="132">
        <f>SUM(N1260:N1273)</f>
        <v>200</v>
      </c>
      <c r="Q1272" s="72">
        <f>Q1271-Q1254</f>
        <v>0</v>
      </c>
      <c r="R1272" s="144" t="s">
        <v>381</v>
      </c>
      <c r="S1272" s="291">
        <f>S1260-S1265</f>
        <v>0</v>
      </c>
      <c r="T1272" s="327" t="e">
        <f>S1272/S1265</f>
        <v>#DIV/0!</v>
      </c>
      <c r="U1272" s="291">
        <f>U1260-U1265</f>
        <v>0</v>
      </c>
      <c r="V1272" s="366" t="e">
        <f>U1272/ABS(U1265)</f>
        <v>#DIV/0!</v>
      </c>
      <c r="W1272" s="337" t="s">
        <v>410</v>
      </c>
      <c r="X1272" s="1" t="s">
        <v>558</v>
      </c>
      <c r="Y1272" s="144" t="s">
        <v>379</v>
      </c>
      <c r="Z1272" s="72"/>
    </row>
    <row r="1273" spans="3:26" ht="15.75" thickBot="1">
      <c r="C1273" s="17"/>
      <c r="D1273" s="459"/>
      <c r="E1273" s="460"/>
      <c r="F1273" s="17"/>
      <c r="G1273" s="459"/>
      <c r="H1273" s="461"/>
      <c r="I1273" s="21"/>
      <c r="J1273" s="459"/>
      <c r="K1273" s="461"/>
      <c r="L1273" s="42"/>
      <c r="M1273" s="5"/>
      <c r="N1273" s="21"/>
      <c r="O1273" s="137" t="s">
        <v>322</v>
      </c>
      <c r="P1273" s="138">
        <f>P1272/29</f>
        <v>6.8965517241379306</v>
      </c>
      <c r="Q1273" s="24">
        <f>Q1272/29</f>
        <v>0</v>
      </c>
      <c r="R1273" s="153" t="s">
        <v>410</v>
      </c>
      <c r="S1273" s="296">
        <f>S1271+S1272</f>
        <v>0</v>
      </c>
      <c r="T1273" s="328" t="e">
        <f>S1273/S1261</f>
        <v>#DIV/0!</v>
      </c>
      <c r="U1273" s="296">
        <f>U1272+U1271</f>
        <v>0</v>
      </c>
      <c r="V1273" s="330" t="e">
        <f>U1273/U1261</f>
        <v>#DIV/0!</v>
      </c>
      <c r="W1273" s="296">
        <f>S1273+U1273</f>
        <v>0</v>
      </c>
      <c r="X1273" s="330" t="e">
        <f>(W1273+S1261+U1261)/(S1261+U1261)-1</f>
        <v>#DIV/0!</v>
      </c>
      <c r="Y1273" s="153" t="s">
        <v>375</v>
      </c>
      <c r="Z1273" s="389"/>
    </row>
    <row r="1274" spans="3:26" ht="17.25" thickTop="1" thickBot="1">
      <c r="C1274" s="264">
        <v>46844</v>
      </c>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spans="3:26" ht="17.25" thickTop="1" thickBot="1">
      <c r="C1275" s="480" t="s">
        <v>386</v>
      </c>
      <c r="D1275" s="481"/>
      <c r="E1275" s="482"/>
      <c r="F1275" s="483" t="s">
        <v>387</v>
      </c>
      <c r="G1275" s="484"/>
      <c r="H1275" s="484"/>
      <c r="I1275" s="484"/>
      <c r="J1275" s="484"/>
      <c r="K1275" s="484"/>
      <c r="L1275" s="484"/>
      <c r="M1275" s="484"/>
      <c r="N1275" s="485"/>
      <c r="O1275" s="261" t="s">
        <v>320</v>
      </c>
      <c r="P1275" s="262" t="s">
        <v>257</v>
      </c>
      <c r="Q1275" s="263" t="s">
        <v>319</v>
      </c>
      <c r="R1275" s="486" t="s">
        <v>144</v>
      </c>
      <c r="S1275" s="487"/>
      <c r="T1275" s="487"/>
      <c r="U1275" s="487"/>
      <c r="V1275" s="487"/>
      <c r="W1275" s="487"/>
      <c r="X1275" s="487"/>
      <c r="Y1275" s="487"/>
      <c r="Z1275" s="488"/>
    </row>
    <row r="1276" spans="3:26" ht="15.75" thickBot="1">
      <c r="C1276" s="265"/>
      <c r="D1276" s="489"/>
      <c r="E1276" s="490"/>
      <c r="F1276" s="470" t="s">
        <v>3</v>
      </c>
      <c r="G1276" s="491"/>
      <c r="H1276" s="492"/>
      <c r="I1276" s="493" t="s">
        <v>4</v>
      </c>
      <c r="J1276" s="491"/>
      <c r="K1276" s="492"/>
      <c r="L1276" s="267" t="s">
        <v>324</v>
      </c>
      <c r="M1276" s="267" t="s">
        <v>325</v>
      </c>
      <c r="N1276" s="267" t="s">
        <v>323</v>
      </c>
      <c r="O1276" s="316" t="s">
        <v>5</v>
      </c>
      <c r="P1276" s="317">
        <f>P1279+P1282+P1285+P1288</f>
        <v>28362.427304458521</v>
      </c>
      <c r="Q1276" s="318">
        <f>Q1285+Q1282+Q1279+Q1288</f>
        <v>0</v>
      </c>
      <c r="R1276" s="268" t="s">
        <v>323</v>
      </c>
      <c r="S1276" s="493" t="s">
        <v>317</v>
      </c>
      <c r="T1276" s="492"/>
      <c r="U1276" s="493" t="s">
        <v>369</v>
      </c>
      <c r="V1276" s="471"/>
      <c r="W1276" s="470" t="s">
        <v>310</v>
      </c>
      <c r="X1276" s="471"/>
      <c r="Y1276" s="470" t="s">
        <v>13</v>
      </c>
      <c r="Z1276" s="471"/>
    </row>
    <row r="1277" spans="3:26" ht="16.5" thickTop="1" thickBot="1">
      <c r="C1277" s="15"/>
      <c r="D1277" s="494"/>
      <c r="E1277" s="495"/>
      <c r="G1277" s="496"/>
      <c r="H1277" s="497"/>
      <c r="J1277" s="496"/>
      <c r="K1277" s="497"/>
      <c r="L1277" s="76"/>
      <c r="M1277" s="25"/>
      <c r="N1277" s="292"/>
      <c r="O1277" s="258" t="s">
        <v>321</v>
      </c>
      <c r="P1277" s="315">
        <f>SUM(C1277:C1290)-SUM(F1277:F1290)-SUM(I1277:I1290)</f>
        <v>689.02999999999986</v>
      </c>
      <c r="Q1277" s="12">
        <f>Q1276-Q1259</f>
        <v>0</v>
      </c>
      <c r="R1277" s="307" t="s">
        <v>343</v>
      </c>
      <c r="S1277" s="498"/>
      <c r="T1277" s="499"/>
      <c r="U1277" s="498"/>
      <c r="V1277" s="500"/>
      <c r="W1277" s="501" t="s">
        <v>326</v>
      </c>
      <c r="X1277" s="502"/>
      <c r="Y1277" s="143" t="s">
        <v>17</v>
      </c>
      <c r="Z1277" s="12"/>
    </row>
    <row r="1278" spans="3:26" ht="16.5" thickTop="1" thickBot="1">
      <c r="C1278" s="15"/>
      <c r="D1278" s="455" t="s">
        <v>11</v>
      </c>
      <c r="E1278" s="456"/>
      <c r="F1278" s="6">
        <f>F1261</f>
        <v>400</v>
      </c>
      <c r="G1278" s="462" t="s">
        <v>223</v>
      </c>
      <c r="H1278" s="464"/>
      <c r="I1278" s="20">
        <f>I1261</f>
        <v>11.99</v>
      </c>
      <c r="J1278" s="462" t="s">
        <v>385</v>
      </c>
      <c r="K1278" s="464"/>
      <c r="L1278" s="76">
        <f>L1261</f>
        <v>200</v>
      </c>
      <c r="M1278" s="76">
        <f>M1261</f>
        <v>150</v>
      </c>
      <c r="N1278" s="76">
        <f>N1261</f>
        <v>200</v>
      </c>
      <c r="O1278" s="141" t="s">
        <v>322</v>
      </c>
      <c r="P1278" s="133">
        <f>P1277/29</f>
        <v>23.759655172413787</v>
      </c>
      <c r="Q1278" s="10">
        <f>Q1277/29</f>
        <v>0</v>
      </c>
      <c r="R1278" s="308" t="s">
        <v>382</v>
      </c>
      <c r="S1278" s="474"/>
      <c r="T1278" s="475"/>
      <c r="U1278" s="467"/>
      <c r="V1278" s="468"/>
      <c r="W1278" s="289" t="s">
        <v>12</v>
      </c>
      <c r="X1278" s="315"/>
      <c r="Y1278" s="144" t="s">
        <v>18</v>
      </c>
      <c r="Z1278" s="72"/>
    </row>
    <row r="1279" spans="3:26">
      <c r="C1279" s="15"/>
      <c r="D1279" s="455" t="s">
        <v>390</v>
      </c>
      <c r="E1279" s="456"/>
      <c r="F1279" s="6">
        <f t="shared" ref="F1279:F1287" si="42">F1262</f>
        <v>100</v>
      </c>
      <c r="G1279" s="462" t="s">
        <v>9</v>
      </c>
      <c r="H1279" s="464"/>
      <c r="I1279" s="20">
        <f t="shared" ref="I1279:I1284" si="43">I1262</f>
        <v>11.99</v>
      </c>
      <c r="J1279" s="462" t="s">
        <v>22</v>
      </c>
      <c r="K1279" s="464"/>
      <c r="L1279" s="76"/>
      <c r="M1279" s="25"/>
      <c r="N1279" s="294"/>
      <c r="O1279" s="136" t="s">
        <v>12</v>
      </c>
      <c r="P1279" s="319">
        <f>P1262+P1277-SUM(L1277:L1290)-SUM(M1277:M1290)-SUM(N1277:N1290)</f>
        <v>3906.0899999999911</v>
      </c>
      <c r="Q1279" s="320">
        <f>Z1277+Z1282+Z1285</f>
        <v>0</v>
      </c>
      <c r="R1279" s="308" t="s">
        <v>383</v>
      </c>
      <c r="S1279" s="474"/>
      <c r="T1279" s="475"/>
      <c r="U1279" s="467"/>
      <c r="V1279" s="468"/>
      <c r="W1279" s="282" t="s">
        <v>373</v>
      </c>
      <c r="X1279" s="132"/>
      <c r="Y1279" s="144" t="s">
        <v>19</v>
      </c>
      <c r="Z1279" s="72"/>
    </row>
    <row r="1280" spans="3:26" ht="15.75" thickBot="1">
      <c r="C1280" s="15"/>
      <c r="D1280" s="462"/>
      <c r="E1280" s="463"/>
      <c r="F1280" s="6">
        <f t="shared" si="42"/>
        <v>150</v>
      </c>
      <c r="G1280" s="462" t="s">
        <v>6</v>
      </c>
      <c r="H1280" s="464"/>
      <c r="I1280" s="20">
        <f t="shared" si="43"/>
        <v>20</v>
      </c>
      <c r="J1280" s="462" t="s">
        <v>920</v>
      </c>
      <c r="K1280" s="464"/>
      <c r="L1280" s="76"/>
      <c r="M1280" s="25"/>
      <c r="N1280" s="20"/>
      <c r="O1280" s="140" t="s">
        <v>321</v>
      </c>
      <c r="P1280" s="132">
        <f>SUM(C1277:C1290)-SUM(F1277:F1290)-SUM(I1277:I1290)-P1283-P1286-P1289</f>
        <v>139.02999999999986</v>
      </c>
      <c r="Q1280" s="72">
        <f>Q1279-Q1262</f>
        <v>0</v>
      </c>
      <c r="R1280" s="308" t="s">
        <v>424</v>
      </c>
      <c r="S1280" s="474"/>
      <c r="T1280" s="475"/>
      <c r="U1280" s="467"/>
      <c r="V1280" s="468"/>
      <c r="W1280" s="282" t="s">
        <v>378</v>
      </c>
      <c r="X1280" s="132"/>
      <c r="Y1280" s="145" t="s">
        <v>324</v>
      </c>
      <c r="Z1280" s="135"/>
    </row>
    <row r="1281" spans="3:26" ht="15.75" thickBot="1">
      <c r="C1281" s="15"/>
      <c r="D1281" s="455"/>
      <c r="E1281" s="456"/>
      <c r="F1281" s="6">
        <f t="shared" si="42"/>
        <v>370</v>
      </c>
      <c r="G1281" s="462" t="s">
        <v>97</v>
      </c>
      <c r="H1281" s="464"/>
      <c r="I1281" s="20">
        <f t="shared" si="43"/>
        <v>11.9</v>
      </c>
      <c r="J1281" s="462" t="s">
        <v>249</v>
      </c>
      <c r="K1281" s="464"/>
      <c r="L1281" s="76"/>
      <c r="M1281" s="25"/>
      <c r="N1281" s="294"/>
      <c r="O1281" s="141" t="s">
        <v>322</v>
      </c>
      <c r="P1281" s="133">
        <f>P1280/29</f>
        <v>4.7941379310344781</v>
      </c>
      <c r="Q1281" s="10">
        <f>Q1280/29</f>
        <v>0</v>
      </c>
      <c r="R1281" s="143" t="s">
        <v>12</v>
      </c>
      <c r="S1281" s="476"/>
      <c r="T1281" s="477"/>
      <c r="U1281" s="478"/>
      <c r="V1281" s="479"/>
      <c r="W1281" s="289" t="s">
        <v>379</v>
      </c>
      <c r="X1281" s="132"/>
      <c r="Y1281" s="470" t="s">
        <v>14</v>
      </c>
      <c r="Z1281" s="471"/>
    </row>
    <row r="1282" spans="3:26" ht="15.75" thickBot="1">
      <c r="C1282" s="15"/>
      <c r="D1282" s="455"/>
      <c r="E1282" s="456"/>
      <c r="F1282" s="6">
        <f t="shared" si="42"/>
        <v>1860.75</v>
      </c>
      <c r="G1282" s="462" t="s">
        <v>304</v>
      </c>
      <c r="H1282" s="464"/>
      <c r="I1282" s="20">
        <f t="shared" si="43"/>
        <v>150</v>
      </c>
      <c r="J1282" s="462" t="s">
        <v>974</v>
      </c>
      <c r="K1282" s="464"/>
      <c r="L1282" s="76"/>
      <c r="M1282" s="25"/>
      <c r="N1282" s="294"/>
      <c r="O1282" s="136" t="s">
        <v>324</v>
      </c>
      <c r="P1282" s="319">
        <f>P1265+P1283</f>
        <v>5335</v>
      </c>
      <c r="Q1282" s="320">
        <f>Z1278+Z1279+Z1280</f>
        <v>0</v>
      </c>
      <c r="R1282" s="144" t="s">
        <v>425</v>
      </c>
      <c r="S1282" s="465"/>
      <c r="T1282" s="466"/>
      <c r="U1282" s="467"/>
      <c r="V1282" s="468"/>
      <c r="W1282" s="146" t="s">
        <v>375</v>
      </c>
      <c r="X1282" s="325"/>
      <c r="Y1282" s="143" t="s">
        <v>15</v>
      </c>
      <c r="Z1282" s="12"/>
    </row>
    <row r="1283" spans="3:26" ht="15.75" thickBot="1">
      <c r="C1283" s="15"/>
      <c r="D1283" s="462"/>
      <c r="E1283" s="463"/>
      <c r="F1283" s="6">
        <f t="shared" si="42"/>
        <v>70</v>
      </c>
      <c r="G1283" s="462" t="s">
        <v>982</v>
      </c>
      <c r="H1283" s="464"/>
      <c r="I1283" s="20">
        <f t="shared" si="43"/>
        <v>150</v>
      </c>
      <c r="J1283" s="462" t="s">
        <v>105</v>
      </c>
      <c r="K1283" s="464"/>
      <c r="L1283" s="76"/>
      <c r="M1283" s="25"/>
      <c r="N1283" s="294"/>
      <c r="O1283" s="140" t="s">
        <v>321</v>
      </c>
      <c r="P1283" s="132">
        <f>SUM(L1277:L1290)</f>
        <v>200</v>
      </c>
      <c r="Q1283" s="72">
        <f>Q1282-Q1265</f>
        <v>0</v>
      </c>
      <c r="R1283" s="144" t="s">
        <v>426</v>
      </c>
      <c r="S1283" s="465"/>
      <c r="T1283" s="466"/>
      <c r="U1283" s="467"/>
      <c r="V1283" s="468"/>
      <c r="W1283" s="470" t="s">
        <v>376</v>
      </c>
      <c r="X1283" s="471"/>
      <c r="Y1283" s="146" t="s">
        <v>325</v>
      </c>
      <c r="Z1283" s="10"/>
    </row>
    <row r="1284" spans="3:26" ht="16.5" thickTop="1" thickBot="1">
      <c r="C1284" s="15"/>
      <c r="D1284" s="462"/>
      <c r="E1284" s="463"/>
      <c r="F1284" s="6">
        <f t="shared" si="42"/>
        <v>50</v>
      </c>
      <c r="G1284" s="462" t="s">
        <v>926</v>
      </c>
      <c r="H1284" s="464"/>
      <c r="I1284" s="20">
        <f t="shared" si="43"/>
        <v>400</v>
      </c>
      <c r="J1284" s="462" t="s">
        <v>206</v>
      </c>
      <c r="K1284" s="464"/>
      <c r="L1284" s="76"/>
      <c r="M1284" s="25"/>
      <c r="N1284" s="292"/>
      <c r="O1284" s="141" t="s">
        <v>322</v>
      </c>
      <c r="P1284" s="133">
        <f>P1283/29</f>
        <v>6.8965517241379306</v>
      </c>
      <c r="Q1284" s="10">
        <f>Q1283/29</f>
        <v>0</v>
      </c>
      <c r="R1284" s="144" t="s">
        <v>422</v>
      </c>
      <c r="S1284" s="465"/>
      <c r="T1284" s="466"/>
      <c r="U1284" s="467"/>
      <c r="V1284" s="468"/>
      <c r="W1284" s="289" t="s">
        <v>12</v>
      </c>
      <c r="X1284" s="38"/>
      <c r="Y1284" s="470" t="s">
        <v>374</v>
      </c>
      <c r="Z1284" s="471"/>
    </row>
    <row r="1285" spans="3:26" ht="16.5" thickTop="1" thickBot="1">
      <c r="C1285" s="15"/>
      <c r="D1285" s="462"/>
      <c r="E1285" s="463"/>
      <c r="F1285" s="6">
        <f t="shared" si="42"/>
        <v>150</v>
      </c>
      <c r="G1285" s="462" t="s">
        <v>927</v>
      </c>
      <c r="H1285" s="464"/>
      <c r="I1285" s="20"/>
      <c r="J1285" s="462"/>
      <c r="K1285" s="464"/>
      <c r="L1285" s="76"/>
      <c r="M1285" s="25"/>
      <c r="N1285" s="293"/>
      <c r="O1285" s="136" t="s">
        <v>325</v>
      </c>
      <c r="P1285" s="319">
        <f>P1268+P1286</f>
        <v>4008.88</v>
      </c>
      <c r="Q1285" s="320">
        <f>Z1283</f>
        <v>0</v>
      </c>
      <c r="R1285" s="143" t="s">
        <v>421</v>
      </c>
      <c r="S1285" s="465"/>
      <c r="T1285" s="466"/>
      <c r="U1285" s="467"/>
      <c r="V1285" s="468"/>
      <c r="W1285" s="282" t="s">
        <v>373</v>
      </c>
      <c r="X1285" s="281"/>
      <c r="Y1285" s="321" t="s">
        <v>181</v>
      </c>
      <c r="Z1285" s="322">
        <v>0</v>
      </c>
    </row>
    <row r="1286" spans="3:26" ht="15.75" thickBot="1">
      <c r="C1286" s="266"/>
      <c r="D1286" s="448"/>
      <c r="E1286" s="469"/>
      <c r="F1286" s="6">
        <f t="shared" si="42"/>
        <v>150</v>
      </c>
      <c r="G1286" s="462" t="s">
        <v>925</v>
      </c>
      <c r="H1286" s="464"/>
      <c r="I1286" s="20"/>
      <c r="J1286" s="462"/>
      <c r="K1286" s="464"/>
      <c r="L1286" s="76"/>
      <c r="M1286" s="25"/>
      <c r="N1286" s="295"/>
      <c r="O1286" s="140" t="s">
        <v>321</v>
      </c>
      <c r="P1286" s="132">
        <f>SUM(M1277:M1290)</f>
        <v>150</v>
      </c>
      <c r="Q1286" s="72">
        <f>Q1285-Q1268</f>
        <v>0</v>
      </c>
      <c r="R1286" s="144" t="s">
        <v>418</v>
      </c>
      <c r="S1286" s="465"/>
      <c r="T1286" s="466"/>
      <c r="U1286" s="467"/>
      <c r="V1286" s="468"/>
      <c r="W1286" s="282" t="s">
        <v>378</v>
      </c>
      <c r="X1286" s="281"/>
      <c r="Y1286" s="470" t="s">
        <v>1000</v>
      </c>
      <c r="Z1286" s="471"/>
    </row>
    <row r="1287" spans="3:26" ht="16.5" thickTop="1" thickBot="1">
      <c r="C1287" s="266"/>
      <c r="D1287" s="448" t="s">
        <v>1001</v>
      </c>
      <c r="E1287" s="469"/>
      <c r="F1287" s="6">
        <f t="shared" si="42"/>
        <v>30</v>
      </c>
      <c r="G1287" s="462" t="s">
        <v>33</v>
      </c>
      <c r="H1287" s="464"/>
      <c r="I1287" s="20"/>
      <c r="J1287" s="462"/>
      <c r="K1287" s="464"/>
      <c r="L1287" s="76"/>
      <c r="M1287" s="25"/>
      <c r="N1287" s="293"/>
      <c r="O1287" s="141" t="s">
        <v>322</v>
      </c>
      <c r="P1287" s="133">
        <f>P1286/29</f>
        <v>5.1724137931034484</v>
      </c>
      <c r="Q1287" s="10">
        <f>Q1286/29</f>
        <v>0</v>
      </c>
      <c r="R1287" s="144" t="s">
        <v>438</v>
      </c>
      <c r="S1287" s="465"/>
      <c r="T1287" s="466"/>
      <c r="U1287" s="472"/>
      <c r="V1287" s="473"/>
      <c r="W1287" s="289" t="s">
        <v>379</v>
      </c>
      <c r="X1287" s="281"/>
      <c r="Y1287" s="143" t="s">
        <v>12</v>
      </c>
      <c r="Z1287" s="12"/>
    </row>
    <row r="1288" spans="3:26" ht="15.75" thickBot="1">
      <c r="C1288" s="15">
        <f>C1271</f>
        <v>4775.66</v>
      </c>
      <c r="D1288" s="455" t="s">
        <v>11</v>
      </c>
      <c r="E1288" s="456"/>
      <c r="F1288" s="15"/>
      <c r="G1288" s="462"/>
      <c r="H1288" s="464"/>
      <c r="I1288" s="20"/>
      <c r="J1288" s="462"/>
      <c r="K1288" s="464"/>
      <c r="L1288" s="76"/>
      <c r="M1288" s="25"/>
      <c r="N1288" s="295"/>
      <c r="O1288" s="136" t="s">
        <v>323</v>
      </c>
      <c r="P1288" s="319">
        <f>P1271+P1289</f>
        <v>15112.45730445853</v>
      </c>
      <c r="Q1288" s="320">
        <f>S1277+U1277</f>
        <v>0</v>
      </c>
      <c r="R1288" s="144" t="s">
        <v>380</v>
      </c>
      <c r="S1288" s="291">
        <f>S1279-S1280</f>
        <v>0</v>
      </c>
      <c r="T1288" s="327" t="e">
        <f>S1288/S1280</f>
        <v>#DIV/0!</v>
      </c>
      <c r="U1288" s="291">
        <f>U1279-U1280</f>
        <v>0</v>
      </c>
      <c r="V1288" s="329" t="e">
        <f>U1288/U1280</f>
        <v>#DIV/0!</v>
      </c>
      <c r="W1288" s="146" t="s">
        <v>375</v>
      </c>
      <c r="X1288" s="326"/>
      <c r="Y1288" s="144" t="s">
        <v>373</v>
      </c>
      <c r="Z1288" s="72"/>
    </row>
    <row r="1289" spans="3:26">
      <c r="C1289" s="15"/>
      <c r="D1289" s="455" t="s">
        <v>390</v>
      </c>
      <c r="E1289" s="456"/>
      <c r="F1289" s="15"/>
      <c r="G1289" s="457" t="s">
        <v>38</v>
      </c>
      <c r="H1289" s="458"/>
      <c r="I1289" s="20"/>
      <c r="J1289" s="457" t="s">
        <v>38</v>
      </c>
      <c r="K1289" s="458"/>
      <c r="L1289" s="76"/>
      <c r="M1289" s="25"/>
      <c r="N1289" s="293"/>
      <c r="O1289" s="140" t="s">
        <v>321</v>
      </c>
      <c r="P1289" s="132">
        <f>SUM(N1277:N1290)</f>
        <v>200</v>
      </c>
      <c r="Q1289" s="72">
        <f>Q1288-Q1271</f>
        <v>0</v>
      </c>
      <c r="R1289" s="144" t="s">
        <v>381</v>
      </c>
      <c r="S1289" s="291">
        <f>S1277-S1282</f>
        <v>0</v>
      </c>
      <c r="T1289" s="327" t="e">
        <f>S1289/S1282</f>
        <v>#DIV/0!</v>
      </c>
      <c r="U1289" s="291">
        <f>U1277-U1282</f>
        <v>0</v>
      </c>
      <c r="V1289" s="366" t="e">
        <f>U1289/ABS(U1282)</f>
        <v>#DIV/0!</v>
      </c>
      <c r="W1289" s="337" t="s">
        <v>410</v>
      </c>
      <c r="X1289" s="1" t="s">
        <v>558</v>
      </c>
      <c r="Y1289" s="144" t="s">
        <v>379</v>
      </c>
      <c r="Z1289" s="72"/>
    </row>
    <row r="1290" spans="3:26" ht="15.75" thickBot="1">
      <c r="C1290" s="17"/>
      <c r="D1290" s="459"/>
      <c r="E1290" s="460"/>
      <c r="F1290" s="17"/>
      <c r="G1290" s="459"/>
      <c r="H1290" s="461"/>
      <c r="I1290" s="21"/>
      <c r="J1290" s="459"/>
      <c r="K1290" s="461"/>
      <c r="L1290" s="42"/>
      <c r="M1290" s="5"/>
      <c r="N1290" s="21"/>
      <c r="O1290" s="137" t="s">
        <v>322</v>
      </c>
      <c r="P1290" s="138">
        <f>P1289/29</f>
        <v>6.8965517241379306</v>
      </c>
      <c r="Q1290" s="24">
        <f>Q1289/29</f>
        <v>0</v>
      </c>
      <c r="R1290" s="153" t="s">
        <v>410</v>
      </c>
      <c r="S1290" s="296">
        <f>S1288+S1289</f>
        <v>0</v>
      </c>
      <c r="T1290" s="328" t="e">
        <f>S1290/S1278</f>
        <v>#DIV/0!</v>
      </c>
      <c r="U1290" s="296">
        <f>U1289+U1288</f>
        <v>0</v>
      </c>
      <c r="V1290" s="330" t="e">
        <f>U1290/U1278</f>
        <v>#DIV/0!</v>
      </c>
      <c r="W1290" s="296">
        <f>S1290+U1290</f>
        <v>0</v>
      </c>
      <c r="X1290" s="330" t="e">
        <f>(W1290+S1278+U1278)/(S1278+U1278)-1</f>
        <v>#DIV/0!</v>
      </c>
      <c r="Y1290" s="153" t="s">
        <v>375</v>
      </c>
      <c r="Z1290" s="389"/>
    </row>
    <row r="1291" spans="3:26" ht="17.25" thickTop="1" thickBot="1">
      <c r="C1291" s="264">
        <v>46874</v>
      </c>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spans="3:26" ht="17.25" thickTop="1" thickBot="1">
      <c r="C1292" s="480" t="s">
        <v>386</v>
      </c>
      <c r="D1292" s="481"/>
      <c r="E1292" s="482"/>
      <c r="F1292" s="483" t="s">
        <v>387</v>
      </c>
      <c r="G1292" s="484"/>
      <c r="H1292" s="484"/>
      <c r="I1292" s="484"/>
      <c r="J1292" s="484"/>
      <c r="K1292" s="484"/>
      <c r="L1292" s="484"/>
      <c r="M1292" s="484"/>
      <c r="N1292" s="485"/>
      <c r="O1292" s="261" t="s">
        <v>320</v>
      </c>
      <c r="P1292" s="262" t="s">
        <v>257</v>
      </c>
      <c r="Q1292" s="263" t="s">
        <v>319</v>
      </c>
      <c r="R1292" s="486" t="s">
        <v>144</v>
      </c>
      <c r="S1292" s="487"/>
      <c r="T1292" s="487"/>
      <c r="U1292" s="487"/>
      <c r="V1292" s="487"/>
      <c r="W1292" s="487"/>
      <c r="X1292" s="487"/>
      <c r="Y1292" s="487"/>
      <c r="Z1292" s="488"/>
    </row>
    <row r="1293" spans="3:26" ht="15.75" thickBot="1">
      <c r="C1293" s="265"/>
      <c r="D1293" s="489"/>
      <c r="E1293" s="490"/>
      <c r="F1293" s="470" t="s">
        <v>3</v>
      </c>
      <c r="G1293" s="491"/>
      <c r="H1293" s="492"/>
      <c r="I1293" s="493" t="s">
        <v>4</v>
      </c>
      <c r="J1293" s="491"/>
      <c r="K1293" s="492"/>
      <c r="L1293" s="267" t="s">
        <v>324</v>
      </c>
      <c r="M1293" s="267" t="s">
        <v>325</v>
      </c>
      <c r="N1293" s="267" t="s">
        <v>323</v>
      </c>
      <c r="O1293" s="316" t="s">
        <v>5</v>
      </c>
      <c r="P1293" s="317">
        <f>P1296+P1299+P1302+P1305</f>
        <v>29051.457304458523</v>
      </c>
      <c r="Q1293" s="318">
        <f>Q1302+Q1299+Q1296+Q1305</f>
        <v>0</v>
      </c>
      <c r="R1293" s="268" t="s">
        <v>323</v>
      </c>
      <c r="S1293" s="493" t="s">
        <v>317</v>
      </c>
      <c r="T1293" s="492"/>
      <c r="U1293" s="493" t="s">
        <v>369</v>
      </c>
      <c r="V1293" s="471"/>
      <c r="W1293" s="470" t="s">
        <v>310</v>
      </c>
      <c r="X1293" s="471"/>
      <c r="Y1293" s="470" t="s">
        <v>13</v>
      </c>
      <c r="Z1293" s="471"/>
    </row>
    <row r="1294" spans="3:26" ht="16.5" thickTop="1" thickBot="1">
      <c r="C1294" s="15"/>
      <c r="D1294" s="494"/>
      <c r="E1294" s="495"/>
      <c r="G1294" s="496"/>
      <c r="H1294" s="497"/>
      <c r="J1294" s="496"/>
      <c r="K1294" s="497"/>
      <c r="L1294" s="76"/>
      <c r="M1294" s="25"/>
      <c r="N1294" s="292"/>
      <c r="O1294" s="258" t="s">
        <v>321</v>
      </c>
      <c r="P1294" s="315">
        <f>SUM(C1294:C1307)-SUM(F1294:F1307)-SUM(I1294:I1307)</f>
        <v>689.02999999999986</v>
      </c>
      <c r="Q1294" s="12">
        <f>Q1293-Q1276</f>
        <v>0</v>
      </c>
      <c r="R1294" s="307" t="s">
        <v>343</v>
      </c>
      <c r="S1294" s="498"/>
      <c r="T1294" s="499"/>
      <c r="U1294" s="498"/>
      <c r="V1294" s="500"/>
      <c r="W1294" s="501" t="s">
        <v>326</v>
      </c>
      <c r="X1294" s="502"/>
      <c r="Y1294" s="143" t="s">
        <v>17</v>
      </c>
      <c r="Z1294" s="12"/>
    </row>
    <row r="1295" spans="3:26" ht="16.5" thickTop="1" thickBot="1">
      <c r="C1295" s="15"/>
      <c r="D1295" s="455" t="s">
        <v>11</v>
      </c>
      <c r="E1295" s="456"/>
      <c r="F1295" s="6">
        <f>F1278</f>
        <v>400</v>
      </c>
      <c r="G1295" s="462" t="s">
        <v>223</v>
      </c>
      <c r="H1295" s="464"/>
      <c r="I1295" s="20">
        <f>I1278</f>
        <v>11.99</v>
      </c>
      <c r="J1295" s="462" t="s">
        <v>385</v>
      </c>
      <c r="K1295" s="464"/>
      <c r="L1295" s="76">
        <f>L1278</f>
        <v>200</v>
      </c>
      <c r="M1295" s="76">
        <f>M1278</f>
        <v>150</v>
      </c>
      <c r="N1295" s="76">
        <f>N1278</f>
        <v>200</v>
      </c>
      <c r="O1295" s="141" t="s">
        <v>322</v>
      </c>
      <c r="P1295" s="133">
        <f>P1294/29</f>
        <v>23.759655172413787</v>
      </c>
      <c r="Q1295" s="10">
        <f>Q1294/29</f>
        <v>0</v>
      </c>
      <c r="R1295" s="308" t="s">
        <v>382</v>
      </c>
      <c r="S1295" s="474"/>
      <c r="T1295" s="475"/>
      <c r="U1295" s="467"/>
      <c r="V1295" s="468"/>
      <c r="W1295" s="289" t="s">
        <v>12</v>
      </c>
      <c r="X1295" s="315"/>
      <c r="Y1295" s="144" t="s">
        <v>18</v>
      </c>
      <c r="Z1295" s="72"/>
    </row>
    <row r="1296" spans="3:26">
      <c r="C1296" s="15"/>
      <c r="D1296" s="455" t="s">
        <v>390</v>
      </c>
      <c r="E1296" s="456"/>
      <c r="F1296" s="6">
        <f t="shared" ref="F1296:F1304" si="44">F1279</f>
        <v>100</v>
      </c>
      <c r="G1296" s="462" t="s">
        <v>9</v>
      </c>
      <c r="H1296" s="464"/>
      <c r="I1296" s="20">
        <f t="shared" ref="I1296:I1301" si="45">I1279</f>
        <v>11.99</v>
      </c>
      <c r="J1296" s="462" t="s">
        <v>22</v>
      </c>
      <c r="K1296" s="464"/>
      <c r="L1296" s="76"/>
      <c r="M1296" s="25"/>
      <c r="N1296" s="294"/>
      <c r="O1296" s="136" t="s">
        <v>12</v>
      </c>
      <c r="P1296" s="319">
        <f>P1279+P1294-SUM(L1294:L1307)-SUM(M1294:M1307)-SUM(N1294:N1307)</f>
        <v>4045.1199999999908</v>
      </c>
      <c r="Q1296" s="320">
        <f>Z1294+Z1299+Z1302</f>
        <v>0</v>
      </c>
      <c r="R1296" s="308" t="s">
        <v>383</v>
      </c>
      <c r="S1296" s="474"/>
      <c r="T1296" s="475"/>
      <c r="U1296" s="467"/>
      <c r="V1296" s="468"/>
      <c r="W1296" s="282" t="s">
        <v>373</v>
      </c>
      <c r="X1296" s="132"/>
      <c r="Y1296" s="144" t="s">
        <v>19</v>
      </c>
      <c r="Z1296" s="72"/>
    </row>
    <row r="1297" spans="3:26" ht="15.75" thickBot="1">
      <c r="C1297" s="15"/>
      <c r="D1297" s="462"/>
      <c r="E1297" s="463"/>
      <c r="F1297" s="6">
        <f t="shared" si="44"/>
        <v>150</v>
      </c>
      <c r="G1297" s="462" t="s">
        <v>6</v>
      </c>
      <c r="H1297" s="464"/>
      <c r="I1297" s="20">
        <f t="shared" si="45"/>
        <v>20</v>
      </c>
      <c r="J1297" s="462" t="s">
        <v>920</v>
      </c>
      <c r="K1297" s="464"/>
      <c r="L1297" s="76"/>
      <c r="M1297" s="25"/>
      <c r="N1297" s="20"/>
      <c r="O1297" s="140" t="s">
        <v>321</v>
      </c>
      <c r="P1297" s="132">
        <f>SUM(C1294:C1307)-SUM(F1294:F1307)-SUM(I1294:I1307)-P1300-P1303-P1306</f>
        <v>139.02999999999986</v>
      </c>
      <c r="Q1297" s="72">
        <f>Q1296-Q1279</f>
        <v>0</v>
      </c>
      <c r="R1297" s="308" t="s">
        <v>424</v>
      </c>
      <c r="S1297" s="474"/>
      <c r="T1297" s="475"/>
      <c r="U1297" s="467"/>
      <c r="V1297" s="468"/>
      <c r="W1297" s="282" t="s">
        <v>378</v>
      </c>
      <c r="X1297" s="132"/>
      <c r="Y1297" s="145" t="s">
        <v>324</v>
      </c>
      <c r="Z1297" s="135"/>
    </row>
    <row r="1298" spans="3:26" ht="15.75" thickBot="1">
      <c r="C1298" s="15"/>
      <c r="D1298" s="455"/>
      <c r="E1298" s="456"/>
      <c r="F1298" s="6">
        <f t="shared" si="44"/>
        <v>370</v>
      </c>
      <c r="G1298" s="462" t="s">
        <v>97</v>
      </c>
      <c r="H1298" s="464"/>
      <c r="I1298" s="20">
        <f t="shared" si="45"/>
        <v>11.9</v>
      </c>
      <c r="J1298" s="462" t="s">
        <v>249</v>
      </c>
      <c r="K1298" s="464"/>
      <c r="L1298" s="76"/>
      <c r="M1298" s="25"/>
      <c r="N1298" s="294"/>
      <c r="O1298" s="141" t="s">
        <v>322</v>
      </c>
      <c r="P1298" s="133">
        <f>P1297/29</f>
        <v>4.7941379310344781</v>
      </c>
      <c r="Q1298" s="10">
        <f>Q1297/29</f>
        <v>0</v>
      </c>
      <c r="R1298" s="143" t="s">
        <v>12</v>
      </c>
      <c r="S1298" s="476"/>
      <c r="T1298" s="477"/>
      <c r="U1298" s="478"/>
      <c r="V1298" s="479"/>
      <c r="W1298" s="289" t="s">
        <v>379</v>
      </c>
      <c r="X1298" s="132"/>
      <c r="Y1298" s="470" t="s">
        <v>14</v>
      </c>
      <c r="Z1298" s="471"/>
    </row>
    <row r="1299" spans="3:26" ht="15.75" thickBot="1">
      <c r="C1299" s="15"/>
      <c r="D1299" s="455"/>
      <c r="E1299" s="456"/>
      <c r="F1299" s="6">
        <f t="shared" si="44"/>
        <v>1860.75</v>
      </c>
      <c r="G1299" s="462" t="s">
        <v>304</v>
      </c>
      <c r="H1299" s="464"/>
      <c r="I1299" s="20">
        <f t="shared" si="45"/>
        <v>150</v>
      </c>
      <c r="J1299" s="462" t="s">
        <v>974</v>
      </c>
      <c r="K1299" s="464"/>
      <c r="L1299" s="76"/>
      <c r="M1299" s="25"/>
      <c r="N1299" s="294"/>
      <c r="O1299" s="136" t="s">
        <v>324</v>
      </c>
      <c r="P1299" s="319">
        <f>P1282+P1300</f>
        <v>5535</v>
      </c>
      <c r="Q1299" s="320">
        <f>Z1295+Z1296+Z1297</f>
        <v>0</v>
      </c>
      <c r="R1299" s="144" t="s">
        <v>425</v>
      </c>
      <c r="S1299" s="465"/>
      <c r="T1299" s="466"/>
      <c r="U1299" s="467"/>
      <c r="V1299" s="468"/>
      <c r="W1299" s="146" t="s">
        <v>375</v>
      </c>
      <c r="X1299" s="325"/>
      <c r="Y1299" s="143" t="s">
        <v>15</v>
      </c>
      <c r="Z1299" s="12"/>
    </row>
    <row r="1300" spans="3:26" ht="15.75" thickBot="1">
      <c r="C1300" s="15"/>
      <c r="D1300" s="462"/>
      <c r="E1300" s="463"/>
      <c r="F1300" s="6">
        <f t="shared" si="44"/>
        <v>70</v>
      </c>
      <c r="G1300" s="462" t="s">
        <v>982</v>
      </c>
      <c r="H1300" s="464"/>
      <c r="I1300" s="20">
        <f t="shared" si="45"/>
        <v>150</v>
      </c>
      <c r="J1300" s="462" t="s">
        <v>105</v>
      </c>
      <c r="K1300" s="464"/>
      <c r="L1300" s="76"/>
      <c r="M1300" s="25"/>
      <c r="N1300" s="294"/>
      <c r="O1300" s="140" t="s">
        <v>321</v>
      </c>
      <c r="P1300" s="132">
        <f>SUM(L1294:L1307)</f>
        <v>200</v>
      </c>
      <c r="Q1300" s="72">
        <f>Q1299-Q1282</f>
        <v>0</v>
      </c>
      <c r="R1300" s="144" t="s">
        <v>426</v>
      </c>
      <c r="S1300" s="465"/>
      <c r="T1300" s="466"/>
      <c r="U1300" s="467"/>
      <c r="V1300" s="468"/>
      <c r="W1300" s="470" t="s">
        <v>376</v>
      </c>
      <c r="X1300" s="471"/>
      <c r="Y1300" s="146" t="s">
        <v>325</v>
      </c>
      <c r="Z1300" s="10"/>
    </row>
    <row r="1301" spans="3:26" ht="16.5" thickTop="1" thickBot="1">
      <c r="C1301" s="15"/>
      <c r="D1301" s="462"/>
      <c r="E1301" s="463"/>
      <c r="F1301" s="6">
        <f t="shared" si="44"/>
        <v>50</v>
      </c>
      <c r="G1301" s="462" t="s">
        <v>926</v>
      </c>
      <c r="H1301" s="464"/>
      <c r="I1301" s="20">
        <f t="shared" si="45"/>
        <v>400</v>
      </c>
      <c r="J1301" s="462" t="s">
        <v>206</v>
      </c>
      <c r="K1301" s="464"/>
      <c r="L1301" s="76"/>
      <c r="M1301" s="25"/>
      <c r="N1301" s="292"/>
      <c r="O1301" s="141" t="s">
        <v>322</v>
      </c>
      <c r="P1301" s="133">
        <f>P1300/29</f>
        <v>6.8965517241379306</v>
      </c>
      <c r="Q1301" s="10">
        <f>Q1300/29</f>
        <v>0</v>
      </c>
      <c r="R1301" s="144" t="s">
        <v>422</v>
      </c>
      <c r="S1301" s="465"/>
      <c r="T1301" s="466"/>
      <c r="U1301" s="467"/>
      <c r="V1301" s="468"/>
      <c r="W1301" s="289" t="s">
        <v>12</v>
      </c>
      <c r="X1301" s="38"/>
      <c r="Y1301" s="470" t="s">
        <v>374</v>
      </c>
      <c r="Z1301" s="471"/>
    </row>
    <row r="1302" spans="3:26" ht="16.5" thickTop="1" thickBot="1">
      <c r="C1302" s="15"/>
      <c r="D1302" s="462"/>
      <c r="E1302" s="463"/>
      <c r="F1302" s="6">
        <f t="shared" si="44"/>
        <v>150</v>
      </c>
      <c r="G1302" s="462" t="s">
        <v>927</v>
      </c>
      <c r="H1302" s="464"/>
      <c r="I1302" s="20"/>
      <c r="J1302" s="462"/>
      <c r="K1302" s="464"/>
      <c r="L1302" s="76"/>
      <c r="M1302" s="25"/>
      <c r="N1302" s="293"/>
      <c r="O1302" s="136" t="s">
        <v>325</v>
      </c>
      <c r="P1302" s="319">
        <f>P1285+P1303</f>
        <v>4158.88</v>
      </c>
      <c r="Q1302" s="320">
        <f>Z1300</f>
        <v>0</v>
      </c>
      <c r="R1302" s="143" t="s">
        <v>421</v>
      </c>
      <c r="S1302" s="465"/>
      <c r="T1302" s="466"/>
      <c r="U1302" s="467"/>
      <c r="V1302" s="468"/>
      <c r="W1302" s="282" t="s">
        <v>373</v>
      </c>
      <c r="X1302" s="281"/>
      <c r="Y1302" s="321" t="s">
        <v>181</v>
      </c>
      <c r="Z1302" s="322">
        <v>0</v>
      </c>
    </row>
    <row r="1303" spans="3:26" ht="15.75" thickBot="1">
      <c r="C1303" s="266"/>
      <c r="D1303" s="448"/>
      <c r="E1303" s="469"/>
      <c r="F1303" s="6">
        <f t="shared" si="44"/>
        <v>150</v>
      </c>
      <c r="G1303" s="462" t="s">
        <v>925</v>
      </c>
      <c r="H1303" s="464"/>
      <c r="I1303" s="20"/>
      <c r="J1303" s="462"/>
      <c r="K1303" s="464"/>
      <c r="L1303" s="76"/>
      <c r="M1303" s="25"/>
      <c r="N1303" s="295"/>
      <c r="O1303" s="140" t="s">
        <v>321</v>
      </c>
      <c r="P1303" s="132">
        <f>SUM(M1294:M1307)</f>
        <v>150</v>
      </c>
      <c r="Q1303" s="72">
        <f>Q1302-Q1285</f>
        <v>0</v>
      </c>
      <c r="R1303" s="144" t="s">
        <v>418</v>
      </c>
      <c r="S1303" s="465"/>
      <c r="T1303" s="466"/>
      <c r="U1303" s="467"/>
      <c r="V1303" s="468"/>
      <c r="W1303" s="282" t="s">
        <v>378</v>
      </c>
      <c r="X1303" s="281"/>
      <c r="Y1303" s="470" t="s">
        <v>1000</v>
      </c>
      <c r="Z1303" s="471"/>
    </row>
    <row r="1304" spans="3:26" ht="16.5" thickTop="1" thickBot="1">
      <c r="C1304" s="266"/>
      <c r="D1304" s="448" t="s">
        <v>1001</v>
      </c>
      <c r="E1304" s="469"/>
      <c r="F1304" s="6">
        <f t="shared" si="44"/>
        <v>30</v>
      </c>
      <c r="G1304" s="462" t="s">
        <v>33</v>
      </c>
      <c r="H1304" s="464"/>
      <c r="I1304" s="20"/>
      <c r="J1304" s="462"/>
      <c r="K1304" s="464"/>
      <c r="L1304" s="76"/>
      <c r="M1304" s="25"/>
      <c r="N1304" s="293"/>
      <c r="O1304" s="141" t="s">
        <v>322</v>
      </c>
      <c r="P1304" s="133">
        <f>P1303/29</f>
        <v>5.1724137931034484</v>
      </c>
      <c r="Q1304" s="10">
        <f>Q1303/29</f>
        <v>0</v>
      </c>
      <c r="R1304" s="144" t="s">
        <v>438</v>
      </c>
      <c r="S1304" s="465"/>
      <c r="T1304" s="466"/>
      <c r="U1304" s="472"/>
      <c r="V1304" s="473"/>
      <c r="W1304" s="289" t="s">
        <v>379</v>
      </c>
      <c r="X1304" s="281"/>
      <c r="Y1304" s="143" t="s">
        <v>12</v>
      </c>
      <c r="Z1304" s="12"/>
    </row>
    <row r="1305" spans="3:26" ht="15.75" thickBot="1">
      <c r="C1305" s="15">
        <f>C1288</f>
        <v>4775.66</v>
      </c>
      <c r="D1305" s="455" t="s">
        <v>11</v>
      </c>
      <c r="E1305" s="456"/>
      <c r="F1305" s="15"/>
      <c r="G1305" s="462"/>
      <c r="H1305" s="464"/>
      <c r="I1305" s="20"/>
      <c r="J1305" s="462"/>
      <c r="K1305" s="464"/>
      <c r="L1305" s="76"/>
      <c r="M1305" s="25"/>
      <c r="N1305" s="295"/>
      <c r="O1305" s="136" t="s">
        <v>323</v>
      </c>
      <c r="P1305" s="319">
        <f>P1288+P1306</f>
        <v>15312.45730445853</v>
      </c>
      <c r="Q1305" s="320">
        <f>S1294+U1294</f>
        <v>0</v>
      </c>
      <c r="R1305" s="144" t="s">
        <v>380</v>
      </c>
      <c r="S1305" s="291">
        <f>S1296-S1297</f>
        <v>0</v>
      </c>
      <c r="T1305" s="327" t="e">
        <f>S1305/S1297</f>
        <v>#DIV/0!</v>
      </c>
      <c r="U1305" s="291">
        <f>U1296-U1297</f>
        <v>0</v>
      </c>
      <c r="V1305" s="329" t="e">
        <f>U1305/U1297</f>
        <v>#DIV/0!</v>
      </c>
      <c r="W1305" s="146" t="s">
        <v>375</v>
      </c>
      <c r="X1305" s="326"/>
      <c r="Y1305" s="144" t="s">
        <v>373</v>
      </c>
      <c r="Z1305" s="72"/>
    </row>
    <row r="1306" spans="3:26">
      <c r="C1306" s="15"/>
      <c r="D1306" s="455" t="s">
        <v>390</v>
      </c>
      <c r="E1306" s="456"/>
      <c r="F1306" s="15"/>
      <c r="G1306" s="457" t="s">
        <v>38</v>
      </c>
      <c r="H1306" s="458"/>
      <c r="I1306" s="20"/>
      <c r="J1306" s="457" t="s">
        <v>38</v>
      </c>
      <c r="K1306" s="458"/>
      <c r="L1306" s="76"/>
      <c r="M1306" s="25"/>
      <c r="N1306" s="293"/>
      <c r="O1306" s="140" t="s">
        <v>321</v>
      </c>
      <c r="P1306" s="132">
        <f>SUM(N1294:N1307)</f>
        <v>200</v>
      </c>
      <c r="Q1306" s="72">
        <f>Q1305-Q1288</f>
        <v>0</v>
      </c>
      <c r="R1306" s="144" t="s">
        <v>381</v>
      </c>
      <c r="S1306" s="291">
        <f>S1294-S1299</f>
        <v>0</v>
      </c>
      <c r="T1306" s="327" t="e">
        <f>S1306/S1299</f>
        <v>#DIV/0!</v>
      </c>
      <c r="U1306" s="291">
        <f>U1294-U1299</f>
        <v>0</v>
      </c>
      <c r="V1306" s="366" t="e">
        <f>U1306/ABS(U1299)</f>
        <v>#DIV/0!</v>
      </c>
      <c r="W1306" s="337" t="s">
        <v>410</v>
      </c>
      <c r="X1306" s="1" t="s">
        <v>558</v>
      </c>
      <c r="Y1306" s="144" t="s">
        <v>379</v>
      </c>
      <c r="Z1306" s="72"/>
    </row>
    <row r="1307" spans="3:26" ht="15.75" thickBot="1">
      <c r="C1307" s="17"/>
      <c r="D1307" s="459"/>
      <c r="E1307" s="460"/>
      <c r="F1307" s="17"/>
      <c r="G1307" s="459"/>
      <c r="H1307" s="461"/>
      <c r="I1307" s="21"/>
      <c r="J1307" s="459"/>
      <c r="K1307" s="461"/>
      <c r="L1307" s="42"/>
      <c r="M1307" s="5"/>
      <c r="N1307" s="21"/>
      <c r="O1307" s="137" t="s">
        <v>322</v>
      </c>
      <c r="P1307" s="138">
        <f>P1306/29</f>
        <v>6.8965517241379306</v>
      </c>
      <c r="Q1307" s="24">
        <f>Q1306/29</f>
        <v>0</v>
      </c>
      <c r="R1307" s="153" t="s">
        <v>410</v>
      </c>
      <c r="S1307" s="296">
        <f>S1305+S1306</f>
        <v>0</v>
      </c>
      <c r="T1307" s="328" t="e">
        <f>S1307/S1295</f>
        <v>#DIV/0!</v>
      </c>
      <c r="U1307" s="296">
        <f>U1306+U1305</f>
        <v>0</v>
      </c>
      <c r="V1307" s="330" t="e">
        <f>U1307/U1295</f>
        <v>#DIV/0!</v>
      </c>
      <c r="W1307" s="296">
        <f>S1307+U1307</f>
        <v>0</v>
      </c>
      <c r="X1307" s="330" t="e">
        <f>(W1307+S1295+U1295)/(S1295+U1295)-1</f>
        <v>#DIV/0!</v>
      </c>
      <c r="Y1307" s="153" t="s">
        <v>375</v>
      </c>
      <c r="Z1307" s="389"/>
    </row>
    <row r="1308" spans="3:26" ht="17.25" thickTop="1" thickBot="1">
      <c r="C1308" s="264">
        <v>46905</v>
      </c>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spans="3:26" ht="17.25" thickTop="1" thickBot="1">
      <c r="C1309" s="480" t="s">
        <v>386</v>
      </c>
      <c r="D1309" s="481"/>
      <c r="E1309" s="482"/>
      <c r="F1309" s="483" t="s">
        <v>387</v>
      </c>
      <c r="G1309" s="484"/>
      <c r="H1309" s="484"/>
      <c r="I1309" s="484"/>
      <c r="J1309" s="484"/>
      <c r="K1309" s="484"/>
      <c r="L1309" s="484"/>
      <c r="M1309" s="484"/>
      <c r="N1309" s="485"/>
      <c r="O1309" s="261" t="s">
        <v>320</v>
      </c>
      <c r="P1309" s="262" t="s">
        <v>257</v>
      </c>
      <c r="Q1309" s="263" t="s">
        <v>319</v>
      </c>
      <c r="R1309" s="486" t="s">
        <v>144</v>
      </c>
      <c r="S1309" s="487"/>
      <c r="T1309" s="487"/>
      <c r="U1309" s="487"/>
      <c r="V1309" s="487"/>
      <c r="W1309" s="487"/>
      <c r="X1309" s="487"/>
      <c r="Y1309" s="487"/>
      <c r="Z1309" s="488"/>
    </row>
    <row r="1310" spans="3:26" ht="15.75" thickBot="1">
      <c r="C1310" s="265"/>
      <c r="D1310" s="489"/>
      <c r="E1310" s="490"/>
      <c r="F1310" s="470" t="s">
        <v>3</v>
      </c>
      <c r="G1310" s="491"/>
      <c r="H1310" s="492"/>
      <c r="I1310" s="493" t="s">
        <v>4</v>
      </c>
      <c r="J1310" s="491"/>
      <c r="K1310" s="492"/>
      <c r="L1310" s="267" t="s">
        <v>324</v>
      </c>
      <c r="M1310" s="267" t="s">
        <v>325</v>
      </c>
      <c r="N1310" s="267" t="s">
        <v>323</v>
      </c>
      <c r="O1310" s="316" t="s">
        <v>5</v>
      </c>
      <c r="P1310" s="317">
        <f>P1313+P1316+P1319+P1322</f>
        <v>29740.487304458522</v>
      </c>
      <c r="Q1310" s="318">
        <f>Q1319+Q1316+Q1313+Q1322</f>
        <v>0</v>
      </c>
      <c r="R1310" s="268" t="s">
        <v>323</v>
      </c>
      <c r="S1310" s="493" t="s">
        <v>317</v>
      </c>
      <c r="T1310" s="492"/>
      <c r="U1310" s="493" t="s">
        <v>369</v>
      </c>
      <c r="V1310" s="471"/>
      <c r="W1310" s="470" t="s">
        <v>310</v>
      </c>
      <c r="X1310" s="471"/>
      <c r="Y1310" s="470" t="s">
        <v>13</v>
      </c>
      <c r="Z1310" s="471"/>
    </row>
    <row r="1311" spans="3:26" ht="16.5" thickTop="1" thickBot="1">
      <c r="C1311" s="15"/>
      <c r="D1311" s="494"/>
      <c r="E1311" s="495"/>
      <c r="G1311" s="496"/>
      <c r="H1311" s="497"/>
      <c r="J1311" s="496"/>
      <c r="K1311" s="497"/>
      <c r="L1311" s="76"/>
      <c r="M1311" s="25"/>
      <c r="N1311" s="292"/>
      <c r="O1311" s="258" t="s">
        <v>321</v>
      </c>
      <c r="P1311" s="315">
        <f>SUM(C1311:C1324)-SUM(F1311:F1324)-SUM(I1311:I1324)</f>
        <v>689.02999999999986</v>
      </c>
      <c r="Q1311" s="12">
        <f>Q1310-Q1293</f>
        <v>0</v>
      </c>
      <c r="R1311" s="307" t="s">
        <v>343</v>
      </c>
      <c r="S1311" s="498"/>
      <c r="T1311" s="499"/>
      <c r="U1311" s="498"/>
      <c r="V1311" s="500"/>
      <c r="W1311" s="501" t="s">
        <v>326</v>
      </c>
      <c r="X1311" s="502"/>
      <c r="Y1311" s="143" t="s">
        <v>17</v>
      </c>
      <c r="Z1311" s="12"/>
    </row>
    <row r="1312" spans="3:26" ht="16.5" thickTop="1" thickBot="1">
      <c r="C1312" s="15"/>
      <c r="D1312" s="455" t="s">
        <v>11</v>
      </c>
      <c r="E1312" s="456"/>
      <c r="F1312" s="6">
        <f>F1295</f>
        <v>400</v>
      </c>
      <c r="G1312" s="462" t="s">
        <v>223</v>
      </c>
      <c r="H1312" s="464"/>
      <c r="I1312" s="20">
        <f>I1295</f>
        <v>11.99</v>
      </c>
      <c r="J1312" s="462" t="s">
        <v>385</v>
      </c>
      <c r="K1312" s="464"/>
      <c r="L1312" s="76">
        <f>L1295</f>
        <v>200</v>
      </c>
      <c r="M1312" s="76">
        <f>M1295</f>
        <v>150</v>
      </c>
      <c r="N1312" s="76">
        <f>N1295</f>
        <v>200</v>
      </c>
      <c r="O1312" s="141" t="s">
        <v>322</v>
      </c>
      <c r="P1312" s="133">
        <f>P1311/29</f>
        <v>23.759655172413787</v>
      </c>
      <c r="Q1312" s="10">
        <f>Q1311/29</f>
        <v>0</v>
      </c>
      <c r="R1312" s="308" t="s">
        <v>382</v>
      </c>
      <c r="S1312" s="474"/>
      <c r="T1312" s="475"/>
      <c r="U1312" s="467"/>
      <c r="V1312" s="468"/>
      <c r="W1312" s="289" t="s">
        <v>12</v>
      </c>
      <c r="X1312" s="315"/>
      <c r="Y1312" s="144" t="s">
        <v>18</v>
      </c>
      <c r="Z1312" s="72"/>
    </row>
    <row r="1313" spans="3:26">
      <c r="C1313" s="15"/>
      <c r="D1313" s="455" t="s">
        <v>390</v>
      </c>
      <c r="E1313" s="456"/>
      <c r="F1313" s="6">
        <f t="shared" ref="F1313:F1321" si="46">F1296</f>
        <v>100</v>
      </c>
      <c r="G1313" s="462" t="s">
        <v>9</v>
      </c>
      <c r="H1313" s="464"/>
      <c r="I1313" s="20">
        <f t="shared" ref="I1313:I1318" si="47">I1296</f>
        <v>11.99</v>
      </c>
      <c r="J1313" s="462" t="s">
        <v>22</v>
      </c>
      <c r="K1313" s="464"/>
      <c r="L1313" s="76"/>
      <c r="M1313" s="25"/>
      <c r="N1313" s="294"/>
      <c r="O1313" s="136" t="s">
        <v>12</v>
      </c>
      <c r="P1313" s="319">
        <f>P1296+P1311-SUM(L1311:L1324)-SUM(M1311:M1324)-SUM(N1311:N1324)</f>
        <v>4184.1499999999905</v>
      </c>
      <c r="Q1313" s="320">
        <f>Z1311+Z1316+Z1319</f>
        <v>0</v>
      </c>
      <c r="R1313" s="308" t="s">
        <v>383</v>
      </c>
      <c r="S1313" s="474"/>
      <c r="T1313" s="475"/>
      <c r="U1313" s="467"/>
      <c r="V1313" s="468"/>
      <c r="W1313" s="282" t="s">
        <v>373</v>
      </c>
      <c r="X1313" s="132"/>
      <c r="Y1313" s="144" t="s">
        <v>19</v>
      </c>
      <c r="Z1313" s="72"/>
    </row>
    <row r="1314" spans="3:26" ht="15.75" thickBot="1">
      <c r="C1314" s="15"/>
      <c r="D1314" s="462"/>
      <c r="E1314" s="463"/>
      <c r="F1314" s="6">
        <f t="shared" si="46"/>
        <v>150</v>
      </c>
      <c r="G1314" s="462" t="s">
        <v>6</v>
      </c>
      <c r="H1314" s="464"/>
      <c r="I1314" s="20">
        <f t="shared" si="47"/>
        <v>20</v>
      </c>
      <c r="J1314" s="462" t="s">
        <v>920</v>
      </c>
      <c r="K1314" s="464"/>
      <c r="L1314" s="76"/>
      <c r="M1314" s="25"/>
      <c r="N1314" s="20"/>
      <c r="O1314" s="140" t="s">
        <v>321</v>
      </c>
      <c r="P1314" s="132">
        <f>SUM(C1311:C1324)-SUM(F1311:F1324)-SUM(I1311:I1324)-P1317-P1320-P1323</f>
        <v>139.02999999999986</v>
      </c>
      <c r="Q1314" s="72">
        <f>Q1313-Q1296</f>
        <v>0</v>
      </c>
      <c r="R1314" s="308" t="s">
        <v>424</v>
      </c>
      <c r="S1314" s="474"/>
      <c r="T1314" s="475"/>
      <c r="U1314" s="467"/>
      <c r="V1314" s="468"/>
      <c r="W1314" s="282" t="s">
        <v>378</v>
      </c>
      <c r="X1314" s="132"/>
      <c r="Y1314" s="145" t="s">
        <v>324</v>
      </c>
      <c r="Z1314" s="135"/>
    </row>
    <row r="1315" spans="3:26" ht="15.75" thickBot="1">
      <c r="C1315" s="15"/>
      <c r="D1315" s="455"/>
      <c r="E1315" s="456"/>
      <c r="F1315" s="6">
        <f t="shared" si="46"/>
        <v>370</v>
      </c>
      <c r="G1315" s="462" t="s">
        <v>97</v>
      </c>
      <c r="H1315" s="464"/>
      <c r="I1315" s="20">
        <f t="shared" si="47"/>
        <v>11.9</v>
      </c>
      <c r="J1315" s="462" t="s">
        <v>249</v>
      </c>
      <c r="K1315" s="464"/>
      <c r="L1315" s="76"/>
      <c r="M1315" s="25"/>
      <c r="N1315" s="294"/>
      <c r="O1315" s="141" t="s">
        <v>322</v>
      </c>
      <c r="P1315" s="133">
        <f>P1314/29</f>
        <v>4.7941379310344781</v>
      </c>
      <c r="Q1315" s="10">
        <f>Q1314/29</f>
        <v>0</v>
      </c>
      <c r="R1315" s="143" t="s">
        <v>12</v>
      </c>
      <c r="S1315" s="476"/>
      <c r="T1315" s="477"/>
      <c r="U1315" s="478"/>
      <c r="V1315" s="479"/>
      <c r="W1315" s="289" t="s">
        <v>379</v>
      </c>
      <c r="X1315" s="132"/>
      <c r="Y1315" s="470" t="s">
        <v>14</v>
      </c>
      <c r="Z1315" s="471"/>
    </row>
    <row r="1316" spans="3:26" ht="15.75" thickBot="1">
      <c r="C1316" s="15"/>
      <c r="D1316" s="455"/>
      <c r="E1316" s="456"/>
      <c r="F1316" s="6">
        <f t="shared" si="46"/>
        <v>1860.75</v>
      </c>
      <c r="G1316" s="462" t="s">
        <v>304</v>
      </c>
      <c r="H1316" s="464"/>
      <c r="I1316" s="20">
        <f t="shared" si="47"/>
        <v>150</v>
      </c>
      <c r="J1316" s="462" t="s">
        <v>974</v>
      </c>
      <c r="K1316" s="464"/>
      <c r="L1316" s="76"/>
      <c r="M1316" s="25"/>
      <c r="N1316" s="294"/>
      <c r="O1316" s="136" t="s">
        <v>324</v>
      </c>
      <c r="P1316" s="319">
        <f>P1299+P1317</f>
        <v>5735</v>
      </c>
      <c r="Q1316" s="320">
        <f>Z1312+Z1313+Z1314</f>
        <v>0</v>
      </c>
      <c r="R1316" s="144" t="s">
        <v>425</v>
      </c>
      <c r="S1316" s="465"/>
      <c r="T1316" s="466"/>
      <c r="U1316" s="467"/>
      <c r="V1316" s="468"/>
      <c r="W1316" s="146" t="s">
        <v>375</v>
      </c>
      <c r="X1316" s="325"/>
      <c r="Y1316" s="143" t="s">
        <v>15</v>
      </c>
      <c r="Z1316" s="12"/>
    </row>
    <row r="1317" spans="3:26" ht="15.75" thickBot="1">
      <c r="C1317" s="15"/>
      <c r="D1317" s="462"/>
      <c r="E1317" s="463"/>
      <c r="F1317" s="6">
        <f t="shared" si="46"/>
        <v>70</v>
      </c>
      <c r="G1317" s="462" t="s">
        <v>982</v>
      </c>
      <c r="H1317" s="464"/>
      <c r="I1317" s="20">
        <f t="shared" si="47"/>
        <v>150</v>
      </c>
      <c r="J1317" s="462" t="s">
        <v>105</v>
      </c>
      <c r="K1317" s="464"/>
      <c r="L1317" s="76"/>
      <c r="M1317" s="25"/>
      <c r="N1317" s="294"/>
      <c r="O1317" s="140" t="s">
        <v>321</v>
      </c>
      <c r="P1317" s="132">
        <f>SUM(L1311:L1324)</f>
        <v>200</v>
      </c>
      <c r="Q1317" s="72">
        <f>Q1316-Q1299</f>
        <v>0</v>
      </c>
      <c r="R1317" s="144" t="s">
        <v>426</v>
      </c>
      <c r="S1317" s="465"/>
      <c r="T1317" s="466"/>
      <c r="U1317" s="467"/>
      <c r="V1317" s="468"/>
      <c r="W1317" s="470" t="s">
        <v>376</v>
      </c>
      <c r="X1317" s="471"/>
      <c r="Y1317" s="146" t="s">
        <v>325</v>
      </c>
      <c r="Z1317" s="10"/>
    </row>
    <row r="1318" spans="3:26" ht="16.5" thickTop="1" thickBot="1">
      <c r="C1318" s="15"/>
      <c r="D1318" s="462"/>
      <c r="E1318" s="463"/>
      <c r="F1318" s="6">
        <f t="shared" si="46"/>
        <v>50</v>
      </c>
      <c r="G1318" s="462" t="s">
        <v>926</v>
      </c>
      <c r="H1318" s="464"/>
      <c r="I1318" s="20">
        <f t="shared" si="47"/>
        <v>400</v>
      </c>
      <c r="J1318" s="462" t="s">
        <v>206</v>
      </c>
      <c r="K1318" s="464"/>
      <c r="L1318" s="76"/>
      <c r="M1318" s="25"/>
      <c r="N1318" s="292"/>
      <c r="O1318" s="141" t="s">
        <v>322</v>
      </c>
      <c r="P1318" s="133">
        <f>P1317/29</f>
        <v>6.8965517241379306</v>
      </c>
      <c r="Q1318" s="10">
        <f>Q1317/29</f>
        <v>0</v>
      </c>
      <c r="R1318" s="144" t="s">
        <v>422</v>
      </c>
      <c r="S1318" s="465"/>
      <c r="T1318" s="466"/>
      <c r="U1318" s="467"/>
      <c r="V1318" s="468"/>
      <c r="W1318" s="289" t="s">
        <v>12</v>
      </c>
      <c r="X1318" s="38"/>
      <c r="Y1318" s="470" t="s">
        <v>374</v>
      </c>
      <c r="Z1318" s="471"/>
    </row>
    <row r="1319" spans="3:26" ht="16.5" thickTop="1" thickBot="1">
      <c r="C1319" s="15"/>
      <c r="D1319" s="462"/>
      <c r="E1319" s="463"/>
      <c r="F1319" s="6">
        <f t="shared" si="46"/>
        <v>150</v>
      </c>
      <c r="G1319" s="462" t="s">
        <v>927</v>
      </c>
      <c r="H1319" s="464"/>
      <c r="I1319" s="20"/>
      <c r="J1319" s="462"/>
      <c r="K1319" s="464"/>
      <c r="L1319" s="76"/>
      <c r="M1319" s="25"/>
      <c r="N1319" s="293"/>
      <c r="O1319" s="136" t="s">
        <v>325</v>
      </c>
      <c r="P1319" s="319">
        <f>P1302+P1320</f>
        <v>4308.88</v>
      </c>
      <c r="Q1319" s="320">
        <f>Z1317</f>
        <v>0</v>
      </c>
      <c r="R1319" s="143" t="s">
        <v>421</v>
      </c>
      <c r="S1319" s="465"/>
      <c r="T1319" s="466"/>
      <c r="U1319" s="467"/>
      <c r="V1319" s="468"/>
      <c r="W1319" s="282" t="s">
        <v>373</v>
      </c>
      <c r="X1319" s="281"/>
      <c r="Y1319" s="321" t="s">
        <v>181</v>
      </c>
      <c r="Z1319" s="322">
        <v>0</v>
      </c>
    </row>
    <row r="1320" spans="3:26" ht="15.75" thickBot="1">
      <c r="C1320" s="266"/>
      <c r="D1320" s="448"/>
      <c r="E1320" s="469"/>
      <c r="F1320" s="6">
        <f t="shared" si="46"/>
        <v>150</v>
      </c>
      <c r="G1320" s="462" t="s">
        <v>925</v>
      </c>
      <c r="H1320" s="464"/>
      <c r="I1320" s="20"/>
      <c r="J1320" s="462"/>
      <c r="K1320" s="464"/>
      <c r="L1320" s="76"/>
      <c r="M1320" s="25"/>
      <c r="N1320" s="295"/>
      <c r="O1320" s="140" t="s">
        <v>321</v>
      </c>
      <c r="P1320" s="132">
        <f>SUM(M1311:M1324)</f>
        <v>150</v>
      </c>
      <c r="Q1320" s="72">
        <f>Q1319-Q1302</f>
        <v>0</v>
      </c>
      <c r="R1320" s="144" t="s">
        <v>418</v>
      </c>
      <c r="S1320" s="465"/>
      <c r="T1320" s="466"/>
      <c r="U1320" s="467"/>
      <c r="V1320" s="468"/>
      <c r="W1320" s="282" t="s">
        <v>378</v>
      </c>
      <c r="X1320" s="281"/>
      <c r="Y1320" s="470" t="s">
        <v>1000</v>
      </c>
      <c r="Z1320" s="471"/>
    </row>
    <row r="1321" spans="3:26" ht="16.5" thickTop="1" thickBot="1">
      <c r="C1321" s="266"/>
      <c r="D1321" s="448" t="s">
        <v>1001</v>
      </c>
      <c r="E1321" s="469"/>
      <c r="F1321" s="6">
        <f t="shared" si="46"/>
        <v>30</v>
      </c>
      <c r="G1321" s="462" t="s">
        <v>33</v>
      </c>
      <c r="H1321" s="464"/>
      <c r="I1321" s="20"/>
      <c r="J1321" s="462"/>
      <c r="K1321" s="464"/>
      <c r="L1321" s="76"/>
      <c r="M1321" s="25"/>
      <c r="N1321" s="293"/>
      <c r="O1321" s="141" t="s">
        <v>322</v>
      </c>
      <c r="P1321" s="133">
        <f>P1320/29</f>
        <v>5.1724137931034484</v>
      </c>
      <c r="Q1321" s="10">
        <f>Q1320/29</f>
        <v>0</v>
      </c>
      <c r="R1321" s="144" t="s">
        <v>438</v>
      </c>
      <c r="S1321" s="465"/>
      <c r="T1321" s="466"/>
      <c r="U1321" s="472"/>
      <c r="V1321" s="473"/>
      <c r="W1321" s="289" t="s">
        <v>379</v>
      </c>
      <c r="X1321" s="281"/>
      <c r="Y1321" s="143" t="s">
        <v>12</v>
      </c>
      <c r="Z1321" s="12"/>
    </row>
    <row r="1322" spans="3:26" ht="15.75" thickBot="1">
      <c r="C1322" s="15">
        <f>C1305</f>
        <v>4775.66</v>
      </c>
      <c r="D1322" s="455" t="s">
        <v>11</v>
      </c>
      <c r="E1322" s="456"/>
      <c r="F1322" s="15"/>
      <c r="G1322" s="462"/>
      <c r="H1322" s="464"/>
      <c r="I1322" s="20"/>
      <c r="J1322" s="462"/>
      <c r="K1322" s="464"/>
      <c r="L1322" s="76"/>
      <c r="M1322" s="25"/>
      <c r="N1322" s="295"/>
      <c r="O1322" s="136" t="s">
        <v>323</v>
      </c>
      <c r="P1322" s="319">
        <f>P1305+P1323</f>
        <v>15512.45730445853</v>
      </c>
      <c r="Q1322" s="320">
        <f>S1311+U1311</f>
        <v>0</v>
      </c>
      <c r="R1322" s="144" t="s">
        <v>380</v>
      </c>
      <c r="S1322" s="291">
        <f>S1313-S1314</f>
        <v>0</v>
      </c>
      <c r="T1322" s="327" t="e">
        <f>S1322/S1314</f>
        <v>#DIV/0!</v>
      </c>
      <c r="U1322" s="291">
        <f>U1313-U1314</f>
        <v>0</v>
      </c>
      <c r="V1322" s="329" t="e">
        <f>U1322/U1314</f>
        <v>#DIV/0!</v>
      </c>
      <c r="W1322" s="146" t="s">
        <v>375</v>
      </c>
      <c r="X1322" s="326"/>
      <c r="Y1322" s="144" t="s">
        <v>373</v>
      </c>
      <c r="Z1322" s="72"/>
    </row>
    <row r="1323" spans="3:26">
      <c r="C1323" s="15"/>
      <c r="D1323" s="455" t="s">
        <v>390</v>
      </c>
      <c r="E1323" s="456"/>
      <c r="F1323" s="15"/>
      <c r="G1323" s="457" t="s">
        <v>38</v>
      </c>
      <c r="H1323" s="458"/>
      <c r="I1323" s="20"/>
      <c r="J1323" s="457" t="s">
        <v>38</v>
      </c>
      <c r="K1323" s="458"/>
      <c r="L1323" s="76"/>
      <c r="M1323" s="25"/>
      <c r="N1323" s="293"/>
      <c r="O1323" s="140" t="s">
        <v>321</v>
      </c>
      <c r="P1323" s="132">
        <f>SUM(N1311:N1324)</f>
        <v>200</v>
      </c>
      <c r="Q1323" s="72">
        <f>Q1322-Q1305</f>
        <v>0</v>
      </c>
      <c r="R1323" s="144" t="s">
        <v>381</v>
      </c>
      <c r="S1323" s="291">
        <f>S1311-S1316</f>
        <v>0</v>
      </c>
      <c r="T1323" s="327" t="e">
        <f>S1323/S1316</f>
        <v>#DIV/0!</v>
      </c>
      <c r="U1323" s="291">
        <f>U1311-U1316</f>
        <v>0</v>
      </c>
      <c r="V1323" s="366" t="e">
        <f>U1323/ABS(U1316)</f>
        <v>#DIV/0!</v>
      </c>
      <c r="W1323" s="337" t="s">
        <v>410</v>
      </c>
      <c r="X1323" s="1" t="s">
        <v>558</v>
      </c>
      <c r="Y1323" s="144" t="s">
        <v>379</v>
      </c>
      <c r="Z1323" s="72"/>
    </row>
    <row r="1324" spans="3:26" ht="15.75" thickBot="1">
      <c r="C1324" s="17"/>
      <c r="D1324" s="459"/>
      <c r="E1324" s="460"/>
      <c r="F1324" s="17"/>
      <c r="G1324" s="459"/>
      <c r="H1324" s="461"/>
      <c r="I1324" s="21"/>
      <c r="J1324" s="459"/>
      <c r="K1324" s="461"/>
      <c r="L1324" s="42"/>
      <c r="M1324" s="5"/>
      <c r="N1324" s="21"/>
      <c r="O1324" s="137" t="s">
        <v>322</v>
      </c>
      <c r="P1324" s="138">
        <f>P1323/29</f>
        <v>6.8965517241379306</v>
      </c>
      <c r="Q1324" s="24">
        <f>Q1323/29</f>
        <v>0</v>
      </c>
      <c r="R1324" s="153" t="s">
        <v>410</v>
      </c>
      <c r="S1324" s="296">
        <f>S1322+S1323</f>
        <v>0</v>
      </c>
      <c r="T1324" s="328" t="e">
        <f>S1324/S1312</f>
        <v>#DIV/0!</v>
      </c>
      <c r="U1324" s="296">
        <f>U1323+U1322</f>
        <v>0</v>
      </c>
      <c r="V1324" s="330" t="e">
        <f>U1324/U1312</f>
        <v>#DIV/0!</v>
      </c>
      <c r="W1324" s="296">
        <f>S1324+U1324</f>
        <v>0</v>
      </c>
      <c r="X1324" s="330" t="e">
        <f>(W1324+S1312+U1312)/(S1312+U1312)-1</f>
        <v>#DIV/0!</v>
      </c>
      <c r="Y1324" s="153" t="s">
        <v>375</v>
      </c>
      <c r="Z1324" s="389"/>
    </row>
    <row r="1325" spans="3:26" ht="17.25" thickTop="1" thickBot="1">
      <c r="C1325" s="264">
        <v>46935</v>
      </c>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spans="3:26" ht="17.25" thickTop="1" thickBot="1">
      <c r="C1326" s="480" t="s">
        <v>386</v>
      </c>
      <c r="D1326" s="481"/>
      <c r="E1326" s="482"/>
      <c r="F1326" s="483" t="s">
        <v>387</v>
      </c>
      <c r="G1326" s="484"/>
      <c r="H1326" s="484"/>
      <c r="I1326" s="484"/>
      <c r="J1326" s="484"/>
      <c r="K1326" s="484"/>
      <c r="L1326" s="484"/>
      <c r="M1326" s="484"/>
      <c r="N1326" s="485"/>
      <c r="O1326" s="261" t="s">
        <v>320</v>
      </c>
      <c r="P1326" s="262" t="s">
        <v>257</v>
      </c>
      <c r="Q1326" s="263" t="s">
        <v>319</v>
      </c>
      <c r="R1326" s="486" t="s">
        <v>144</v>
      </c>
      <c r="S1326" s="487"/>
      <c r="T1326" s="487"/>
      <c r="U1326" s="487"/>
      <c r="V1326" s="487"/>
      <c r="W1326" s="487"/>
      <c r="X1326" s="487"/>
      <c r="Y1326" s="487"/>
      <c r="Z1326" s="488"/>
    </row>
    <row r="1327" spans="3:26" ht="15.75" thickBot="1">
      <c r="C1327" s="265"/>
      <c r="D1327" s="489"/>
      <c r="E1327" s="490"/>
      <c r="F1327" s="470" t="s">
        <v>3</v>
      </c>
      <c r="G1327" s="491"/>
      <c r="H1327" s="492"/>
      <c r="I1327" s="493" t="s">
        <v>4</v>
      </c>
      <c r="J1327" s="491"/>
      <c r="K1327" s="492"/>
      <c r="L1327" s="267" t="s">
        <v>324</v>
      </c>
      <c r="M1327" s="267" t="s">
        <v>325</v>
      </c>
      <c r="N1327" s="267" t="s">
        <v>323</v>
      </c>
      <c r="O1327" s="316" t="s">
        <v>5</v>
      </c>
      <c r="P1327" s="317">
        <f>P1330+P1333+P1336+P1339</f>
        <v>30429.517304458521</v>
      </c>
      <c r="Q1327" s="318">
        <f>Q1336+Q1333+Q1330+Q1339</f>
        <v>0</v>
      </c>
      <c r="R1327" s="268" t="s">
        <v>323</v>
      </c>
      <c r="S1327" s="493" t="s">
        <v>317</v>
      </c>
      <c r="T1327" s="492"/>
      <c r="U1327" s="493" t="s">
        <v>369</v>
      </c>
      <c r="V1327" s="471"/>
      <c r="W1327" s="470" t="s">
        <v>310</v>
      </c>
      <c r="X1327" s="471"/>
      <c r="Y1327" s="470" t="s">
        <v>13</v>
      </c>
      <c r="Z1327" s="471"/>
    </row>
    <row r="1328" spans="3:26" ht="16.5" thickTop="1" thickBot="1">
      <c r="C1328" s="15"/>
      <c r="D1328" s="494"/>
      <c r="E1328" s="495"/>
      <c r="G1328" s="496"/>
      <c r="H1328" s="497"/>
      <c r="J1328" s="496"/>
      <c r="K1328" s="497"/>
      <c r="L1328" s="76"/>
      <c r="M1328" s="25"/>
      <c r="N1328" s="292"/>
      <c r="O1328" s="258" t="s">
        <v>321</v>
      </c>
      <c r="P1328" s="315">
        <f>SUM(C1328:C1341)-SUM(F1328:F1341)-SUM(I1328:I1341)</f>
        <v>689.02999999999986</v>
      </c>
      <c r="Q1328" s="12">
        <f>Q1327-Q1310</f>
        <v>0</v>
      </c>
      <c r="R1328" s="307" t="s">
        <v>343</v>
      </c>
      <c r="S1328" s="498"/>
      <c r="T1328" s="499"/>
      <c r="U1328" s="498"/>
      <c r="V1328" s="500"/>
      <c r="W1328" s="501" t="s">
        <v>326</v>
      </c>
      <c r="X1328" s="502"/>
      <c r="Y1328" s="143" t="s">
        <v>17</v>
      </c>
      <c r="Z1328" s="12"/>
    </row>
    <row r="1329" spans="3:26" ht="16.5" thickTop="1" thickBot="1">
      <c r="C1329" s="15"/>
      <c r="D1329" s="455" t="s">
        <v>11</v>
      </c>
      <c r="E1329" s="456"/>
      <c r="F1329" s="6">
        <f>F1312</f>
        <v>400</v>
      </c>
      <c r="G1329" s="462" t="s">
        <v>223</v>
      </c>
      <c r="H1329" s="464"/>
      <c r="I1329" s="20">
        <f>I1312</f>
        <v>11.99</v>
      </c>
      <c r="J1329" s="462" t="s">
        <v>385</v>
      </c>
      <c r="K1329" s="464"/>
      <c r="L1329" s="76">
        <f>L1312</f>
        <v>200</v>
      </c>
      <c r="M1329" s="76">
        <f>M1312</f>
        <v>150</v>
      </c>
      <c r="N1329" s="76">
        <f>N1312</f>
        <v>200</v>
      </c>
      <c r="O1329" s="141" t="s">
        <v>322</v>
      </c>
      <c r="P1329" s="133">
        <f>P1328/29</f>
        <v>23.759655172413787</v>
      </c>
      <c r="Q1329" s="10">
        <f>Q1328/29</f>
        <v>0</v>
      </c>
      <c r="R1329" s="308" t="s">
        <v>382</v>
      </c>
      <c r="S1329" s="474"/>
      <c r="T1329" s="475"/>
      <c r="U1329" s="467"/>
      <c r="V1329" s="468"/>
      <c r="W1329" s="289" t="s">
        <v>12</v>
      </c>
      <c r="X1329" s="315"/>
      <c r="Y1329" s="144" t="s">
        <v>18</v>
      </c>
      <c r="Z1329" s="72"/>
    </row>
    <row r="1330" spans="3:26">
      <c r="C1330" s="15"/>
      <c r="D1330" s="455" t="s">
        <v>390</v>
      </c>
      <c r="E1330" s="456"/>
      <c r="F1330" s="6">
        <f t="shared" ref="F1330:F1338" si="48">F1313</f>
        <v>100</v>
      </c>
      <c r="G1330" s="462" t="s">
        <v>9</v>
      </c>
      <c r="H1330" s="464"/>
      <c r="I1330" s="20">
        <f t="shared" ref="I1330:I1335" si="49">I1313</f>
        <v>11.99</v>
      </c>
      <c r="J1330" s="462" t="s">
        <v>22</v>
      </c>
      <c r="K1330" s="464"/>
      <c r="L1330" s="76"/>
      <c r="M1330" s="25"/>
      <c r="N1330" s="294"/>
      <c r="O1330" s="136" t="s">
        <v>12</v>
      </c>
      <c r="P1330" s="319">
        <f>P1313+P1328-SUM(L1328:L1341)-SUM(M1328:M1341)-SUM(N1328:N1341)</f>
        <v>4323.1799999999903</v>
      </c>
      <c r="Q1330" s="320">
        <f>Z1328+Z1333+Z1336</f>
        <v>0</v>
      </c>
      <c r="R1330" s="308" t="s">
        <v>383</v>
      </c>
      <c r="S1330" s="474"/>
      <c r="T1330" s="475"/>
      <c r="U1330" s="467"/>
      <c r="V1330" s="468"/>
      <c r="W1330" s="282" t="s">
        <v>373</v>
      </c>
      <c r="X1330" s="132"/>
      <c r="Y1330" s="144" t="s">
        <v>19</v>
      </c>
      <c r="Z1330" s="72"/>
    </row>
    <row r="1331" spans="3:26" ht="15.75" thickBot="1">
      <c r="C1331" s="15"/>
      <c r="D1331" s="462"/>
      <c r="E1331" s="463"/>
      <c r="F1331" s="6">
        <f t="shared" si="48"/>
        <v>150</v>
      </c>
      <c r="G1331" s="462" t="s">
        <v>6</v>
      </c>
      <c r="H1331" s="464"/>
      <c r="I1331" s="20">
        <f t="shared" si="49"/>
        <v>20</v>
      </c>
      <c r="J1331" s="462" t="s">
        <v>920</v>
      </c>
      <c r="K1331" s="464"/>
      <c r="L1331" s="76"/>
      <c r="M1331" s="25"/>
      <c r="N1331" s="20"/>
      <c r="O1331" s="140" t="s">
        <v>321</v>
      </c>
      <c r="P1331" s="132">
        <f>SUM(C1328:C1341)-SUM(F1328:F1341)-SUM(I1328:I1341)-P1334-P1337-P1340</f>
        <v>139.02999999999986</v>
      </c>
      <c r="Q1331" s="72">
        <f>Q1330-Q1313</f>
        <v>0</v>
      </c>
      <c r="R1331" s="308" t="s">
        <v>424</v>
      </c>
      <c r="S1331" s="474"/>
      <c r="T1331" s="475"/>
      <c r="U1331" s="467"/>
      <c r="V1331" s="468"/>
      <c r="W1331" s="282" t="s">
        <v>378</v>
      </c>
      <c r="X1331" s="132"/>
      <c r="Y1331" s="145" t="s">
        <v>324</v>
      </c>
      <c r="Z1331" s="135"/>
    </row>
    <row r="1332" spans="3:26" ht="15.75" thickBot="1">
      <c r="C1332" s="15"/>
      <c r="D1332" s="455"/>
      <c r="E1332" s="456"/>
      <c r="F1332" s="6">
        <f t="shared" si="48"/>
        <v>370</v>
      </c>
      <c r="G1332" s="462" t="s">
        <v>97</v>
      </c>
      <c r="H1332" s="464"/>
      <c r="I1332" s="20">
        <f t="shared" si="49"/>
        <v>11.9</v>
      </c>
      <c r="J1332" s="462" t="s">
        <v>249</v>
      </c>
      <c r="K1332" s="464"/>
      <c r="L1332" s="76"/>
      <c r="M1332" s="25"/>
      <c r="N1332" s="294"/>
      <c r="O1332" s="141" t="s">
        <v>322</v>
      </c>
      <c r="P1332" s="133">
        <f>P1331/29</f>
        <v>4.7941379310344781</v>
      </c>
      <c r="Q1332" s="10">
        <f>Q1331/29</f>
        <v>0</v>
      </c>
      <c r="R1332" s="143" t="s">
        <v>12</v>
      </c>
      <c r="S1332" s="476"/>
      <c r="T1332" s="477"/>
      <c r="U1332" s="478"/>
      <c r="V1332" s="479"/>
      <c r="W1332" s="289" t="s">
        <v>379</v>
      </c>
      <c r="X1332" s="132"/>
      <c r="Y1332" s="470" t="s">
        <v>14</v>
      </c>
      <c r="Z1332" s="471"/>
    </row>
    <row r="1333" spans="3:26" ht="15.75" thickBot="1">
      <c r="C1333" s="15"/>
      <c r="D1333" s="455"/>
      <c r="E1333" s="456"/>
      <c r="F1333" s="6">
        <f t="shared" si="48"/>
        <v>1860.75</v>
      </c>
      <c r="G1333" s="462" t="s">
        <v>304</v>
      </c>
      <c r="H1333" s="464"/>
      <c r="I1333" s="20">
        <f t="shared" si="49"/>
        <v>150</v>
      </c>
      <c r="J1333" s="462" t="s">
        <v>974</v>
      </c>
      <c r="K1333" s="464"/>
      <c r="L1333" s="76"/>
      <c r="M1333" s="25"/>
      <c r="N1333" s="294"/>
      <c r="O1333" s="136" t="s">
        <v>324</v>
      </c>
      <c r="P1333" s="319">
        <f>P1316+P1334</f>
        <v>5935</v>
      </c>
      <c r="Q1333" s="320">
        <f>Z1329+Z1330+Z1331</f>
        <v>0</v>
      </c>
      <c r="R1333" s="144" t="s">
        <v>425</v>
      </c>
      <c r="S1333" s="465"/>
      <c r="T1333" s="466"/>
      <c r="U1333" s="467"/>
      <c r="V1333" s="468"/>
      <c r="W1333" s="146" t="s">
        <v>375</v>
      </c>
      <c r="X1333" s="325"/>
      <c r="Y1333" s="143" t="s">
        <v>15</v>
      </c>
      <c r="Z1333" s="12"/>
    </row>
    <row r="1334" spans="3:26" ht="15.75" thickBot="1">
      <c r="C1334" s="15"/>
      <c r="D1334" s="462"/>
      <c r="E1334" s="463"/>
      <c r="F1334" s="6">
        <f t="shared" si="48"/>
        <v>70</v>
      </c>
      <c r="G1334" s="462" t="s">
        <v>982</v>
      </c>
      <c r="H1334" s="464"/>
      <c r="I1334" s="20">
        <f t="shared" si="49"/>
        <v>150</v>
      </c>
      <c r="J1334" s="462" t="s">
        <v>105</v>
      </c>
      <c r="K1334" s="464"/>
      <c r="L1334" s="76"/>
      <c r="M1334" s="25"/>
      <c r="N1334" s="294"/>
      <c r="O1334" s="140" t="s">
        <v>321</v>
      </c>
      <c r="P1334" s="132">
        <f>SUM(L1328:L1341)</f>
        <v>200</v>
      </c>
      <c r="Q1334" s="72">
        <f>Q1333-Q1316</f>
        <v>0</v>
      </c>
      <c r="R1334" s="144" t="s">
        <v>426</v>
      </c>
      <c r="S1334" s="465"/>
      <c r="T1334" s="466"/>
      <c r="U1334" s="467"/>
      <c r="V1334" s="468"/>
      <c r="W1334" s="470" t="s">
        <v>376</v>
      </c>
      <c r="X1334" s="471"/>
      <c r="Y1334" s="146" t="s">
        <v>325</v>
      </c>
      <c r="Z1334" s="10"/>
    </row>
    <row r="1335" spans="3:26" ht="16.5" thickTop="1" thickBot="1">
      <c r="C1335" s="15"/>
      <c r="D1335" s="462"/>
      <c r="E1335" s="463"/>
      <c r="F1335" s="6">
        <f t="shared" si="48"/>
        <v>50</v>
      </c>
      <c r="G1335" s="462" t="s">
        <v>926</v>
      </c>
      <c r="H1335" s="464"/>
      <c r="I1335" s="20">
        <f t="shared" si="49"/>
        <v>400</v>
      </c>
      <c r="J1335" s="462" t="s">
        <v>206</v>
      </c>
      <c r="K1335" s="464"/>
      <c r="L1335" s="76"/>
      <c r="M1335" s="25"/>
      <c r="N1335" s="292"/>
      <c r="O1335" s="141" t="s">
        <v>322</v>
      </c>
      <c r="P1335" s="133">
        <f>P1334/29</f>
        <v>6.8965517241379306</v>
      </c>
      <c r="Q1335" s="10">
        <f>Q1334/29</f>
        <v>0</v>
      </c>
      <c r="R1335" s="144" t="s">
        <v>422</v>
      </c>
      <c r="S1335" s="465"/>
      <c r="T1335" s="466"/>
      <c r="U1335" s="467"/>
      <c r="V1335" s="468"/>
      <c r="W1335" s="289" t="s">
        <v>12</v>
      </c>
      <c r="X1335" s="38"/>
      <c r="Y1335" s="470" t="s">
        <v>374</v>
      </c>
      <c r="Z1335" s="471"/>
    </row>
    <row r="1336" spans="3:26" ht="16.5" thickTop="1" thickBot="1">
      <c r="C1336" s="15"/>
      <c r="D1336" s="462"/>
      <c r="E1336" s="463"/>
      <c r="F1336" s="6">
        <f t="shared" si="48"/>
        <v>150</v>
      </c>
      <c r="G1336" s="462" t="s">
        <v>927</v>
      </c>
      <c r="H1336" s="464"/>
      <c r="I1336" s="20"/>
      <c r="J1336" s="462"/>
      <c r="K1336" s="464"/>
      <c r="L1336" s="76"/>
      <c r="M1336" s="25"/>
      <c r="N1336" s="293"/>
      <c r="O1336" s="136" t="s">
        <v>325</v>
      </c>
      <c r="P1336" s="319">
        <f>P1319+P1337</f>
        <v>4458.88</v>
      </c>
      <c r="Q1336" s="320">
        <f>Z1334</f>
        <v>0</v>
      </c>
      <c r="R1336" s="143" t="s">
        <v>421</v>
      </c>
      <c r="S1336" s="465"/>
      <c r="T1336" s="466"/>
      <c r="U1336" s="467"/>
      <c r="V1336" s="468"/>
      <c r="W1336" s="282" t="s">
        <v>373</v>
      </c>
      <c r="X1336" s="281"/>
      <c r="Y1336" s="321" t="s">
        <v>181</v>
      </c>
      <c r="Z1336" s="322">
        <v>0</v>
      </c>
    </row>
    <row r="1337" spans="3:26" ht="15.75" thickBot="1">
      <c r="C1337" s="266"/>
      <c r="D1337" s="448"/>
      <c r="E1337" s="469"/>
      <c r="F1337" s="6">
        <f t="shared" si="48"/>
        <v>150</v>
      </c>
      <c r="G1337" s="462" t="s">
        <v>925</v>
      </c>
      <c r="H1337" s="464"/>
      <c r="I1337" s="20"/>
      <c r="J1337" s="462"/>
      <c r="K1337" s="464"/>
      <c r="L1337" s="76"/>
      <c r="M1337" s="25"/>
      <c r="N1337" s="295"/>
      <c r="O1337" s="140" t="s">
        <v>321</v>
      </c>
      <c r="P1337" s="132">
        <f>SUM(M1328:M1341)</f>
        <v>150</v>
      </c>
      <c r="Q1337" s="72">
        <f>Q1336-Q1319</f>
        <v>0</v>
      </c>
      <c r="R1337" s="144" t="s">
        <v>418</v>
      </c>
      <c r="S1337" s="465"/>
      <c r="T1337" s="466"/>
      <c r="U1337" s="467"/>
      <c r="V1337" s="468"/>
      <c r="W1337" s="282" t="s">
        <v>378</v>
      </c>
      <c r="X1337" s="281"/>
      <c r="Y1337" s="470" t="s">
        <v>1000</v>
      </c>
      <c r="Z1337" s="471"/>
    </row>
    <row r="1338" spans="3:26" ht="16.5" thickTop="1" thickBot="1">
      <c r="C1338" s="266"/>
      <c r="D1338" s="448" t="s">
        <v>1001</v>
      </c>
      <c r="E1338" s="469"/>
      <c r="F1338" s="6">
        <f t="shared" si="48"/>
        <v>30</v>
      </c>
      <c r="G1338" s="462" t="s">
        <v>33</v>
      </c>
      <c r="H1338" s="464"/>
      <c r="I1338" s="20"/>
      <c r="J1338" s="462"/>
      <c r="K1338" s="464"/>
      <c r="L1338" s="76"/>
      <c r="M1338" s="25"/>
      <c r="N1338" s="293"/>
      <c r="O1338" s="141" t="s">
        <v>322</v>
      </c>
      <c r="P1338" s="133">
        <f>P1337/29</f>
        <v>5.1724137931034484</v>
      </c>
      <c r="Q1338" s="10">
        <f>Q1337/29</f>
        <v>0</v>
      </c>
      <c r="R1338" s="144" t="s">
        <v>438</v>
      </c>
      <c r="S1338" s="465"/>
      <c r="T1338" s="466"/>
      <c r="U1338" s="472"/>
      <c r="V1338" s="473"/>
      <c r="W1338" s="289" t="s">
        <v>379</v>
      </c>
      <c r="X1338" s="281"/>
      <c r="Y1338" s="143" t="s">
        <v>12</v>
      </c>
      <c r="Z1338" s="12"/>
    </row>
    <row r="1339" spans="3:26" ht="15.75" thickBot="1">
      <c r="C1339" s="15">
        <f>C1322</f>
        <v>4775.66</v>
      </c>
      <c r="D1339" s="455" t="s">
        <v>11</v>
      </c>
      <c r="E1339" s="456"/>
      <c r="F1339" s="15"/>
      <c r="G1339" s="462"/>
      <c r="H1339" s="464"/>
      <c r="I1339" s="20"/>
      <c r="J1339" s="462"/>
      <c r="K1339" s="464"/>
      <c r="L1339" s="76"/>
      <c r="M1339" s="25"/>
      <c r="N1339" s="295"/>
      <c r="O1339" s="136" t="s">
        <v>323</v>
      </c>
      <c r="P1339" s="319">
        <f>P1322+P1340</f>
        <v>15712.45730445853</v>
      </c>
      <c r="Q1339" s="320">
        <f>S1328+U1328</f>
        <v>0</v>
      </c>
      <c r="R1339" s="144" t="s">
        <v>380</v>
      </c>
      <c r="S1339" s="291">
        <f>S1330-S1331</f>
        <v>0</v>
      </c>
      <c r="T1339" s="327" t="e">
        <f>S1339/S1331</f>
        <v>#DIV/0!</v>
      </c>
      <c r="U1339" s="291">
        <f>U1330-U1331</f>
        <v>0</v>
      </c>
      <c r="V1339" s="329" t="e">
        <f>U1339/U1331</f>
        <v>#DIV/0!</v>
      </c>
      <c r="W1339" s="146" t="s">
        <v>375</v>
      </c>
      <c r="X1339" s="326"/>
      <c r="Y1339" s="144" t="s">
        <v>373</v>
      </c>
      <c r="Z1339" s="72"/>
    </row>
    <row r="1340" spans="3:26">
      <c r="C1340" s="15"/>
      <c r="D1340" s="455" t="s">
        <v>390</v>
      </c>
      <c r="E1340" s="456"/>
      <c r="F1340" s="15"/>
      <c r="G1340" s="457" t="s">
        <v>38</v>
      </c>
      <c r="H1340" s="458"/>
      <c r="I1340" s="20"/>
      <c r="J1340" s="457" t="s">
        <v>38</v>
      </c>
      <c r="K1340" s="458"/>
      <c r="L1340" s="76"/>
      <c r="M1340" s="25"/>
      <c r="N1340" s="293"/>
      <c r="O1340" s="140" t="s">
        <v>321</v>
      </c>
      <c r="P1340" s="132">
        <f>SUM(N1328:N1341)</f>
        <v>200</v>
      </c>
      <c r="Q1340" s="72">
        <f>Q1339-Q1322</f>
        <v>0</v>
      </c>
      <c r="R1340" s="144" t="s">
        <v>381</v>
      </c>
      <c r="S1340" s="291">
        <f>S1328-S1333</f>
        <v>0</v>
      </c>
      <c r="T1340" s="327" t="e">
        <f>S1340/S1333</f>
        <v>#DIV/0!</v>
      </c>
      <c r="U1340" s="291">
        <f>U1328-U1333</f>
        <v>0</v>
      </c>
      <c r="V1340" s="366" t="e">
        <f>U1340/ABS(U1333)</f>
        <v>#DIV/0!</v>
      </c>
      <c r="W1340" s="337" t="s">
        <v>410</v>
      </c>
      <c r="X1340" s="1" t="s">
        <v>558</v>
      </c>
      <c r="Y1340" s="144" t="s">
        <v>379</v>
      </c>
      <c r="Z1340" s="72"/>
    </row>
    <row r="1341" spans="3:26" ht="15.75" thickBot="1">
      <c r="C1341" s="17"/>
      <c r="D1341" s="459"/>
      <c r="E1341" s="460"/>
      <c r="F1341" s="17"/>
      <c r="G1341" s="459"/>
      <c r="H1341" s="461"/>
      <c r="I1341" s="21"/>
      <c r="J1341" s="459"/>
      <c r="K1341" s="461"/>
      <c r="L1341" s="42"/>
      <c r="M1341" s="5"/>
      <c r="N1341" s="21"/>
      <c r="O1341" s="137" t="s">
        <v>322</v>
      </c>
      <c r="P1341" s="138">
        <f>P1340/29</f>
        <v>6.8965517241379306</v>
      </c>
      <c r="Q1341" s="24">
        <f>Q1340/29</f>
        <v>0</v>
      </c>
      <c r="R1341" s="153" t="s">
        <v>410</v>
      </c>
      <c r="S1341" s="296">
        <f>S1339+S1340</f>
        <v>0</v>
      </c>
      <c r="T1341" s="328" t="e">
        <f>S1341/S1329</f>
        <v>#DIV/0!</v>
      </c>
      <c r="U1341" s="296">
        <f>U1340+U1339</f>
        <v>0</v>
      </c>
      <c r="V1341" s="330" t="e">
        <f>U1341/U1329</f>
        <v>#DIV/0!</v>
      </c>
      <c r="W1341" s="296">
        <f>S1341+U1341</f>
        <v>0</v>
      </c>
      <c r="X1341" s="330" t="e">
        <f>(W1341+S1329+U1329)/(S1329+U1329)-1</f>
        <v>#DIV/0!</v>
      </c>
      <c r="Y1341" s="153" t="s">
        <v>375</v>
      </c>
      <c r="Z1341" s="389"/>
    </row>
    <row r="1342" spans="3:26" ht="17.25" thickTop="1" thickBot="1">
      <c r="C1342" s="264">
        <v>46966</v>
      </c>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spans="3:26" ht="17.25" thickTop="1" thickBot="1">
      <c r="C1343" s="480" t="s">
        <v>386</v>
      </c>
      <c r="D1343" s="481"/>
      <c r="E1343" s="482"/>
      <c r="F1343" s="483" t="s">
        <v>387</v>
      </c>
      <c r="G1343" s="484"/>
      <c r="H1343" s="484"/>
      <c r="I1343" s="484"/>
      <c r="J1343" s="484"/>
      <c r="K1343" s="484"/>
      <c r="L1343" s="484"/>
      <c r="M1343" s="484"/>
      <c r="N1343" s="485"/>
      <c r="O1343" s="261" t="s">
        <v>320</v>
      </c>
      <c r="P1343" s="262" t="s">
        <v>257</v>
      </c>
      <c r="Q1343" s="263" t="s">
        <v>319</v>
      </c>
      <c r="R1343" s="486" t="s">
        <v>144</v>
      </c>
      <c r="S1343" s="487"/>
      <c r="T1343" s="487"/>
      <c r="U1343" s="487"/>
      <c r="V1343" s="487"/>
      <c r="W1343" s="487"/>
      <c r="X1343" s="487"/>
      <c r="Y1343" s="487"/>
      <c r="Z1343" s="488"/>
    </row>
    <row r="1344" spans="3:26" ht="15.75" thickBot="1">
      <c r="C1344" s="265"/>
      <c r="D1344" s="489"/>
      <c r="E1344" s="490"/>
      <c r="F1344" s="470" t="s">
        <v>3</v>
      </c>
      <c r="G1344" s="491"/>
      <c r="H1344" s="492"/>
      <c r="I1344" s="493" t="s">
        <v>4</v>
      </c>
      <c r="J1344" s="491"/>
      <c r="K1344" s="492"/>
      <c r="L1344" s="267" t="s">
        <v>324</v>
      </c>
      <c r="M1344" s="267" t="s">
        <v>325</v>
      </c>
      <c r="N1344" s="267" t="s">
        <v>323</v>
      </c>
      <c r="O1344" s="316" t="s">
        <v>5</v>
      </c>
      <c r="P1344" s="317">
        <f>P1347+P1350+P1353+P1356</f>
        <v>31118.54730445852</v>
      </c>
      <c r="Q1344" s="318">
        <f>Q1353+Q1350+Q1347+Q1356</f>
        <v>0</v>
      </c>
      <c r="R1344" s="268" t="s">
        <v>323</v>
      </c>
      <c r="S1344" s="493" t="s">
        <v>317</v>
      </c>
      <c r="T1344" s="492"/>
      <c r="U1344" s="493" t="s">
        <v>369</v>
      </c>
      <c r="V1344" s="471"/>
      <c r="W1344" s="470" t="s">
        <v>310</v>
      </c>
      <c r="X1344" s="471"/>
      <c r="Y1344" s="470" t="s">
        <v>13</v>
      </c>
      <c r="Z1344" s="471"/>
    </row>
    <row r="1345" spans="3:26" ht="16.5" thickTop="1" thickBot="1">
      <c r="C1345" s="15"/>
      <c r="D1345" s="494"/>
      <c r="E1345" s="495"/>
      <c r="G1345" s="496"/>
      <c r="H1345" s="497"/>
      <c r="J1345" s="496"/>
      <c r="K1345" s="497"/>
      <c r="L1345" s="76"/>
      <c r="M1345" s="25"/>
      <c r="N1345" s="292"/>
      <c r="O1345" s="258" t="s">
        <v>321</v>
      </c>
      <c r="P1345" s="315">
        <f>SUM(C1345:C1358)-SUM(F1345:F1358)-SUM(I1345:I1358)</f>
        <v>689.02999999999986</v>
      </c>
      <c r="Q1345" s="12">
        <f>Q1344-Q1327</f>
        <v>0</v>
      </c>
      <c r="R1345" s="307" t="s">
        <v>343</v>
      </c>
      <c r="S1345" s="498"/>
      <c r="T1345" s="499"/>
      <c r="U1345" s="498"/>
      <c r="V1345" s="500"/>
      <c r="W1345" s="501" t="s">
        <v>326</v>
      </c>
      <c r="X1345" s="502"/>
      <c r="Y1345" s="143" t="s">
        <v>17</v>
      </c>
      <c r="Z1345" s="12"/>
    </row>
    <row r="1346" spans="3:26" ht="16.5" thickTop="1" thickBot="1">
      <c r="C1346" s="15"/>
      <c r="D1346" s="455" t="s">
        <v>11</v>
      </c>
      <c r="E1346" s="456"/>
      <c r="F1346" s="6">
        <f>F1329</f>
        <v>400</v>
      </c>
      <c r="G1346" s="462" t="s">
        <v>223</v>
      </c>
      <c r="H1346" s="464"/>
      <c r="I1346" s="20">
        <f>I1329</f>
        <v>11.99</v>
      </c>
      <c r="J1346" s="462" t="s">
        <v>385</v>
      </c>
      <c r="K1346" s="464"/>
      <c r="L1346" s="76">
        <f>L1329</f>
        <v>200</v>
      </c>
      <c r="M1346" s="76">
        <f>M1329</f>
        <v>150</v>
      </c>
      <c r="N1346" s="76">
        <f>N1329</f>
        <v>200</v>
      </c>
      <c r="O1346" s="141" t="s">
        <v>322</v>
      </c>
      <c r="P1346" s="133">
        <f>P1345/29</f>
        <v>23.759655172413787</v>
      </c>
      <c r="Q1346" s="10">
        <f>Q1345/29</f>
        <v>0</v>
      </c>
      <c r="R1346" s="308" t="s">
        <v>382</v>
      </c>
      <c r="S1346" s="474"/>
      <c r="T1346" s="475"/>
      <c r="U1346" s="467"/>
      <c r="V1346" s="468"/>
      <c r="W1346" s="289" t="s">
        <v>12</v>
      </c>
      <c r="X1346" s="315"/>
      <c r="Y1346" s="144" t="s">
        <v>18</v>
      </c>
      <c r="Z1346" s="72"/>
    </row>
    <row r="1347" spans="3:26">
      <c r="C1347" s="15"/>
      <c r="D1347" s="455" t="s">
        <v>390</v>
      </c>
      <c r="E1347" s="456"/>
      <c r="F1347" s="6">
        <f t="shared" ref="F1347:F1355" si="50">F1330</f>
        <v>100</v>
      </c>
      <c r="G1347" s="462" t="s">
        <v>9</v>
      </c>
      <c r="H1347" s="464"/>
      <c r="I1347" s="20">
        <f t="shared" ref="I1347:I1352" si="51">I1330</f>
        <v>11.99</v>
      </c>
      <c r="J1347" s="462" t="s">
        <v>22</v>
      </c>
      <c r="K1347" s="464"/>
      <c r="L1347" s="76"/>
      <c r="M1347" s="25"/>
      <c r="N1347" s="294"/>
      <c r="O1347" s="136" t="s">
        <v>12</v>
      </c>
      <c r="P1347" s="319">
        <f>P1330+P1345-SUM(L1345:L1358)-SUM(M1345:M1358)-SUM(N1345:N1358)</f>
        <v>4462.20999999999</v>
      </c>
      <c r="Q1347" s="320">
        <f>Z1345+Z1350+Z1353</f>
        <v>0</v>
      </c>
      <c r="R1347" s="308" t="s">
        <v>383</v>
      </c>
      <c r="S1347" s="474"/>
      <c r="T1347" s="475"/>
      <c r="U1347" s="467"/>
      <c r="V1347" s="468"/>
      <c r="W1347" s="282" t="s">
        <v>373</v>
      </c>
      <c r="X1347" s="132"/>
      <c r="Y1347" s="144" t="s">
        <v>19</v>
      </c>
      <c r="Z1347" s="72"/>
    </row>
    <row r="1348" spans="3:26" ht="15.75" thickBot="1">
      <c r="C1348" s="15"/>
      <c r="D1348" s="462"/>
      <c r="E1348" s="463"/>
      <c r="F1348" s="6">
        <f t="shared" si="50"/>
        <v>150</v>
      </c>
      <c r="G1348" s="462" t="s">
        <v>6</v>
      </c>
      <c r="H1348" s="464"/>
      <c r="I1348" s="20">
        <f t="shared" si="51"/>
        <v>20</v>
      </c>
      <c r="J1348" s="462" t="s">
        <v>920</v>
      </c>
      <c r="K1348" s="464"/>
      <c r="L1348" s="76"/>
      <c r="M1348" s="25"/>
      <c r="N1348" s="20"/>
      <c r="O1348" s="140" t="s">
        <v>321</v>
      </c>
      <c r="P1348" s="132">
        <f>SUM(C1345:C1358)-SUM(F1345:F1358)-SUM(I1345:I1358)-P1351-P1354-P1357</f>
        <v>139.02999999999986</v>
      </c>
      <c r="Q1348" s="72">
        <f>Q1347-Q1330</f>
        <v>0</v>
      </c>
      <c r="R1348" s="308" t="s">
        <v>424</v>
      </c>
      <c r="S1348" s="474"/>
      <c r="T1348" s="475"/>
      <c r="U1348" s="467"/>
      <c r="V1348" s="468"/>
      <c r="W1348" s="282" t="s">
        <v>378</v>
      </c>
      <c r="X1348" s="132"/>
      <c r="Y1348" s="145" t="s">
        <v>324</v>
      </c>
      <c r="Z1348" s="135"/>
    </row>
    <row r="1349" spans="3:26" ht="15.75" thickBot="1">
      <c r="C1349" s="15"/>
      <c r="D1349" s="455"/>
      <c r="E1349" s="456"/>
      <c r="F1349" s="6">
        <f t="shared" si="50"/>
        <v>370</v>
      </c>
      <c r="G1349" s="462" t="s">
        <v>97</v>
      </c>
      <c r="H1349" s="464"/>
      <c r="I1349" s="20">
        <f t="shared" si="51"/>
        <v>11.9</v>
      </c>
      <c r="J1349" s="462" t="s">
        <v>249</v>
      </c>
      <c r="K1349" s="464"/>
      <c r="L1349" s="76"/>
      <c r="M1349" s="25"/>
      <c r="N1349" s="294"/>
      <c r="O1349" s="141" t="s">
        <v>322</v>
      </c>
      <c r="P1349" s="133">
        <f>P1348/29</f>
        <v>4.7941379310344781</v>
      </c>
      <c r="Q1349" s="10">
        <f>Q1348/29</f>
        <v>0</v>
      </c>
      <c r="R1349" s="143" t="s">
        <v>12</v>
      </c>
      <c r="S1349" s="476"/>
      <c r="T1349" s="477"/>
      <c r="U1349" s="478"/>
      <c r="V1349" s="479"/>
      <c r="W1349" s="289" t="s">
        <v>379</v>
      </c>
      <c r="X1349" s="132"/>
      <c r="Y1349" s="470" t="s">
        <v>14</v>
      </c>
      <c r="Z1349" s="471"/>
    </row>
    <row r="1350" spans="3:26" ht="15.75" thickBot="1">
      <c r="C1350" s="15"/>
      <c r="D1350" s="455"/>
      <c r="E1350" s="456"/>
      <c r="F1350" s="6">
        <f t="shared" si="50"/>
        <v>1860.75</v>
      </c>
      <c r="G1350" s="462" t="s">
        <v>304</v>
      </c>
      <c r="H1350" s="464"/>
      <c r="I1350" s="20">
        <f t="shared" si="51"/>
        <v>150</v>
      </c>
      <c r="J1350" s="462" t="s">
        <v>974</v>
      </c>
      <c r="K1350" s="464"/>
      <c r="L1350" s="76"/>
      <c r="M1350" s="25"/>
      <c r="N1350" s="294"/>
      <c r="O1350" s="136" t="s">
        <v>324</v>
      </c>
      <c r="P1350" s="319">
        <f>P1333+P1351</f>
        <v>6135</v>
      </c>
      <c r="Q1350" s="320">
        <f>Z1346+Z1347+Z1348</f>
        <v>0</v>
      </c>
      <c r="R1350" s="144" t="s">
        <v>425</v>
      </c>
      <c r="S1350" s="465"/>
      <c r="T1350" s="466"/>
      <c r="U1350" s="467"/>
      <c r="V1350" s="468"/>
      <c r="W1350" s="146" t="s">
        <v>375</v>
      </c>
      <c r="X1350" s="325"/>
      <c r="Y1350" s="143" t="s">
        <v>15</v>
      </c>
      <c r="Z1350" s="12"/>
    </row>
    <row r="1351" spans="3:26" ht="15.75" thickBot="1">
      <c r="C1351" s="15"/>
      <c r="D1351" s="462"/>
      <c r="E1351" s="463"/>
      <c r="F1351" s="6">
        <f t="shared" si="50"/>
        <v>70</v>
      </c>
      <c r="G1351" s="462" t="s">
        <v>982</v>
      </c>
      <c r="H1351" s="464"/>
      <c r="I1351" s="20">
        <f t="shared" si="51"/>
        <v>150</v>
      </c>
      <c r="J1351" s="462" t="s">
        <v>105</v>
      </c>
      <c r="K1351" s="464"/>
      <c r="L1351" s="76"/>
      <c r="M1351" s="25"/>
      <c r="N1351" s="294"/>
      <c r="O1351" s="140" t="s">
        <v>321</v>
      </c>
      <c r="P1351" s="132">
        <f>SUM(L1345:L1358)</f>
        <v>200</v>
      </c>
      <c r="Q1351" s="72">
        <f>Q1350-Q1333</f>
        <v>0</v>
      </c>
      <c r="R1351" s="144" t="s">
        <v>426</v>
      </c>
      <c r="S1351" s="465"/>
      <c r="T1351" s="466"/>
      <c r="U1351" s="467"/>
      <c r="V1351" s="468"/>
      <c r="W1351" s="470" t="s">
        <v>376</v>
      </c>
      <c r="X1351" s="471"/>
      <c r="Y1351" s="146" t="s">
        <v>325</v>
      </c>
      <c r="Z1351" s="10"/>
    </row>
    <row r="1352" spans="3:26" ht="16.5" thickTop="1" thickBot="1">
      <c r="C1352" s="15"/>
      <c r="D1352" s="462"/>
      <c r="E1352" s="463"/>
      <c r="F1352" s="6">
        <f t="shared" si="50"/>
        <v>50</v>
      </c>
      <c r="G1352" s="462" t="s">
        <v>926</v>
      </c>
      <c r="H1352" s="464"/>
      <c r="I1352" s="20">
        <f t="shared" si="51"/>
        <v>400</v>
      </c>
      <c r="J1352" s="462" t="s">
        <v>206</v>
      </c>
      <c r="K1352" s="464"/>
      <c r="L1352" s="76"/>
      <c r="M1352" s="25"/>
      <c r="N1352" s="292"/>
      <c r="O1352" s="141" t="s">
        <v>322</v>
      </c>
      <c r="P1352" s="133">
        <f>P1351/29</f>
        <v>6.8965517241379306</v>
      </c>
      <c r="Q1352" s="10">
        <f>Q1351/29</f>
        <v>0</v>
      </c>
      <c r="R1352" s="144" t="s">
        <v>422</v>
      </c>
      <c r="S1352" s="465"/>
      <c r="T1352" s="466"/>
      <c r="U1352" s="467"/>
      <c r="V1352" s="468"/>
      <c r="W1352" s="289" t="s">
        <v>12</v>
      </c>
      <c r="X1352" s="38"/>
      <c r="Y1352" s="470" t="s">
        <v>374</v>
      </c>
      <c r="Z1352" s="471"/>
    </row>
    <row r="1353" spans="3:26" ht="16.5" thickTop="1" thickBot="1">
      <c r="C1353" s="15"/>
      <c r="D1353" s="462"/>
      <c r="E1353" s="463"/>
      <c r="F1353" s="6">
        <f t="shared" si="50"/>
        <v>150</v>
      </c>
      <c r="G1353" s="462" t="s">
        <v>927</v>
      </c>
      <c r="H1353" s="464"/>
      <c r="I1353" s="20"/>
      <c r="J1353" s="462"/>
      <c r="K1353" s="464"/>
      <c r="L1353" s="76"/>
      <c r="M1353" s="25"/>
      <c r="N1353" s="293"/>
      <c r="O1353" s="136" t="s">
        <v>325</v>
      </c>
      <c r="P1353" s="319">
        <f>P1336+P1354</f>
        <v>4608.88</v>
      </c>
      <c r="Q1353" s="320">
        <f>Z1351</f>
        <v>0</v>
      </c>
      <c r="R1353" s="143" t="s">
        <v>421</v>
      </c>
      <c r="S1353" s="465"/>
      <c r="T1353" s="466"/>
      <c r="U1353" s="467"/>
      <c r="V1353" s="468"/>
      <c r="W1353" s="282" t="s">
        <v>373</v>
      </c>
      <c r="X1353" s="281"/>
      <c r="Y1353" s="321" t="s">
        <v>181</v>
      </c>
      <c r="Z1353" s="322">
        <v>0</v>
      </c>
    </row>
    <row r="1354" spans="3:26" ht="15.75" thickBot="1">
      <c r="C1354" s="266"/>
      <c r="D1354" s="448"/>
      <c r="E1354" s="469"/>
      <c r="F1354" s="6">
        <f t="shared" si="50"/>
        <v>150</v>
      </c>
      <c r="G1354" s="462" t="s">
        <v>925</v>
      </c>
      <c r="H1354" s="464"/>
      <c r="I1354" s="20"/>
      <c r="J1354" s="462"/>
      <c r="K1354" s="464"/>
      <c r="L1354" s="76"/>
      <c r="M1354" s="25"/>
      <c r="N1354" s="295"/>
      <c r="O1354" s="140" t="s">
        <v>321</v>
      </c>
      <c r="P1354" s="132">
        <f>SUM(M1345:M1358)</f>
        <v>150</v>
      </c>
      <c r="Q1354" s="72">
        <f>Q1353-Q1336</f>
        <v>0</v>
      </c>
      <c r="R1354" s="144" t="s">
        <v>418</v>
      </c>
      <c r="S1354" s="465"/>
      <c r="T1354" s="466"/>
      <c r="U1354" s="467"/>
      <c r="V1354" s="468"/>
      <c r="W1354" s="282" t="s">
        <v>378</v>
      </c>
      <c r="X1354" s="281"/>
      <c r="Y1354" s="470" t="s">
        <v>1000</v>
      </c>
      <c r="Z1354" s="471"/>
    </row>
    <row r="1355" spans="3:26" ht="16.5" thickTop="1" thickBot="1">
      <c r="C1355" s="266"/>
      <c r="D1355" s="448" t="s">
        <v>1001</v>
      </c>
      <c r="E1355" s="469"/>
      <c r="F1355" s="6">
        <f t="shared" si="50"/>
        <v>30</v>
      </c>
      <c r="G1355" s="462" t="s">
        <v>33</v>
      </c>
      <c r="H1355" s="464"/>
      <c r="I1355" s="20"/>
      <c r="J1355" s="462"/>
      <c r="K1355" s="464"/>
      <c r="L1355" s="76"/>
      <c r="M1355" s="25"/>
      <c r="N1355" s="293"/>
      <c r="O1355" s="141" t="s">
        <v>322</v>
      </c>
      <c r="P1355" s="133">
        <f>P1354/29</f>
        <v>5.1724137931034484</v>
      </c>
      <c r="Q1355" s="10">
        <f>Q1354/29</f>
        <v>0</v>
      </c>
      <c r="R1355" s="144" t="s">
        <v>438</v>
      </c>
      <c r="S1355" s="465"/>
      <c r="T1355" s="466"/>
      <c r="U1355" s="472"/>
      <c r="V1355" s="473"/>
      <c r="W1355" s="289" t="s">
        <v>379</v>
      </c>
      <c r="X1355" s="281"/>
      <c r="Y1355" s="143" t="s">
        <v>12</v>
      </c>
      <c r="Z1355" s="12"/>
    </row>
    <row r="1356" spans="3:26" ht="15.75" thickBot="1">
      <c r="C1356" s="15">
        <f>C1339</f>
        <v>4775.66</v>
      </c>
      <c r="D1356" s="455" t="s">
        <v>11</v>
      </c>
      <c r="E1356" s="456"/>
      <c r="F1356" s="15"/>
      <c r="G1356" s="462"/>
      <c r="H1356" s="464"/>
      <c r="I1356" s="20"/>
      <c r="J1356" s="462"/>
      <c r="K1356" s="464"/>
      <c r="L1356" s="76"/>
      <c r="M1356" s="25"/>
      <c r="N1356" s="295"/>
      <c r="O1356" s="136" t="s">
        <v>323</v>
      </c>
      <c r="P1356" s="319">
        <f>P1339+P1357</f>
        <v>15912.45730445853</v>
      </c>
      <c r="Q1356" s="320">
        <f>S1345+U1345</f>
        <v>0</v>
      </c>
      <c r="R1356" s="144" t="s">
        <v>380</v>
      </c>
      <c r="S1356" s="291">
        <f>S1347-S1348</f>
        <v>0</v>
      </c>
      <c r="T1356" s="327" t="e">
        <f>S1356/S1348</f>
        <v>#DIV/0!</v>
      </c>
      <c r="U1356" s="291">
        <f>U1347-U1348</f>
        <v>0</v>
      </c>
      <c r="V1356" s="329" t="e">
        <f>U1356/U1348</f>
        <v>#DIV/0!</v>
      </c>
      <c r="W1356" s="146" t="s">
        <v>375</v>
      </c>
      <c r="X1356" s="326"/>
      <c r="Y1356" s="144" t="s">
        <v>373</v>
      </c>
      <c r="Z1356" s="72"/>
    </row>
    <row r="1357" spans="3:26">
      <c r="C1357" s="15"/>
      <c r="D1357" s="455" t="s">
        <v>390</v>
      </c>
      <c r="E1357" s="456"/>
      <c r="F1357" s="15"/>
      <c r="G1357" s="457" t="s">
        <v>38</v>
      </c>
      <c r="H1357" s="458"/>
      <c r="I1357" s="20"/>
      <c r="J1357" s="457" t="s">
        <v>38</v>
      </c>
      <c r="K1357" s="458"/>
      <c r="L1357" s="76"/>
      <c r="M1357" s="25"/>
      <c r="N1357" s="293"/>
      <c r="O1357" s="140" t="s">
        <v>321</v>
      </c>
      <c r="P1357" s="132">
        <f>SUM(N1345:N1358)</f>
        <v>200</v>
      </c>
      <c r="Q1357" s="72">
        <f>Q1356-Q1339</f>
        <v>0</v>
      </c>
      <c r="R1357" s="144" t="s">
        <v>381</v>
      </c>
      <c r="S1357" s="291">
        <f>S1345-S1350</f>
        <v>0</v>
      </c>
      <c r="T1357" s="327" t="e">
        <f>S1357/S1350</f>
        <v>#DIV/0!</v>
      </c>
      <c r="U1357" s="291">
        <f>U1345-U1350</f>
        <v>0</v>
      </c>
      <c r="V1357" s="366" t="e">
        <f>U1357/ABS(U1350)</f>
        <v>#DIV/0!</v>
      </c>
      <c r="W1357" s="337" t="s">
        <v>410</v>
      </c>
      <c r="X1357" s="1" t="s">
        <v>558</v>
      </c>
      <c r="Y1357" s="144" t="s">
        <v>379</v>
      </c>
      <c r="Z1357" s="72"/>
    </row>
    <row r="1358" spans="3:26" ht="15.75" thickBot="1">
      <c r="C1358" s="17"/>
      <c r="D1358" s="459"/>
      <c r="E1358" s="460"/>
      <c r="F1358" s="17"/>
      <c r="G1358" s="459"/>
      <c r="H1358" s="461"/>
      <c r="I1358" s="21"/>
      <c r="J1358" s="459"/>
      <c r="K1358" s="461"/>
      <c r="L1358" s="42"/>
      <c r="M1358" s="5"/>
      <c r="N1358" s="21"/>
      <c r="O1358" s="137" t="s">
        <v>322</v>
      </c>
      <c r="P1358" s="138">
        <f>P1357/29</f>
        <v>6.8965517241379306</v>
      </c>
      <c r="Q1358" s="24">
        <f>Q1357/29</f>
        <v>0</v>
      </c>
      <c r="R1358" s="153" t="s">
        <v>410</v>
      </c>
      <c r="S1358" s="296">
        <f>S1356+S1357</f>
        <v>0</v>
      </c>
      <c r="T1358" s="328" t="e">
        <f>S1358/S1346</f>
        <v>#DIV/0!</v>
      </c>
      <c r="U1358" s="296">
        <f>U1357+U1356</f>
        <v>0</v>
      </c>
      <c r="V1358" s="330" t="e">
        <f>U1358/U1346</f>
        <v>#DIV/0!</v>
      </c>
      <c r="W1358" s="296">
        <f>S1358+U1358</f>
        <v>0</v>
      </c>
      <c r="X1358" s="330" t="e">
        <f>(W1358+S1346+U1346)/(S1346+U1346)-1</f>
        <v>#DIV/0!</v>
      </c>
      <c r="Y1358" s="153" t="s">
        <v>375</v>
      </c>
      <c r="Z1358" s="389"/>
    </row>
    <row r="1359" spans="3:26" ht="17.25" thickTop="1" thickBot="1">
      <c r="C1359" s="264">
        <v>46997</v>
      </c>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spans="3:26" ht="17.25" thickTop="1" thickBot="1">
      <c r="C1360" s="480" t="s">
        <v>386</v>
      </c>
      <c r="D1360" s="481"/>
      <c r="E1360" s="482"/>
      <c r="F1360" s="483" t="s">
        <v>387</v>
      </c>
      <c r="G1360" s="484"/>
      <c r="H1360" s="484"/>
      <c r="I1360" s="484"/>
      <c r="J1360" s="484"/>
      <c r="K1360" s="484"/>
      <c r="L1360" s="484"/>
      <c r="M1360" s="484"/>
      <c r="N1360" s="485"/>
      <c r="O1360" s="261" t="s">
        <v>320</v>
      </c>
      <c r="P1360" s="262" t="s">
        <v>257</v>
      </c>
      <c r="Q1360" s="263" t="s">
        <v>319</v>
      </c>
      <c r="R1360" s="486" t="s">
        <v>144</v>
      </c>
      <c r="S1360" s="487"/>
      <c r="T1360" s="487"/>
      <c r="U1360" s="487"/>
      <c r="V1360" s="487"/>
      <c r="W1360" s="487"/>
      <c r="X1360" s="487"/>
      <c r="Y1360" s="487"/>
      <c r="Z1360" s="488"/>
    </row>
    <row r="1361" spans="3:26" ht="15.75" thickBot="1">
      <c r="C1361" s="265"/>
      <c r="D1361" s="489"/>
      <c r="E1361" s="490"/>
      <c r="F1361" s="470" t="s">
        <v>3</v>
      </c>
      <c r="G1361" s="491"/>
      <c r="H1361" s="492"/>
      <c r="I1361" s="493" t="s">
        <v>4</v>
      </c>
      <c r="J1361" s="491"/>
      <c r="K1361" s="492"/>
      <c r="L1361" s="267" t="s">
        <v>324</v>
      </c>
      <c r="M1361" s="267" t="s">
        <v>325</v>
      </c>
      <c r="N1361" s="267" t="s">
        <v>323</v>
      </c>
      <c r="O1361" s="316" t="s">
        <v>5</v>
      </c>
      <c r="P1361" s="317">
        <f>P1364+P1367+P1370+P1373</f>
        <v>31807.577304458522</v>
      </c>
      <c r="Q1361" s="318">
        <f>Q1370+Q1367+Q1364+Q1373</f>
        <v>0</v>
      </c>
      <c r="R1361" s="268" t="s">
        <v>323</v>
      </c>
      <c r="S1361" s="493" t="s">
        <v>317</v>
      </c>
      <c r="T1361" s="492"/>
      <c r="U1361" s="493" t="s">
        <v>369</v>
      </c>
      <c r="V1361" s="471"/>
      <c r="W1361" s="470" t="s">
        <v>310</v>
      </c>
      <c r="X1361" s="471"/>
      <c r="Y1361" s="470" t="s">
        <v>13</v>
      </c>
      <c r="Z1361" s="471"/>
    </row>
    <row r="1362" spans="3:26" ht="16.5" thickTop="1" thickBot="1">
      <c r="C1362" s="15"/>
      <c r="D1362" s="494"/>
      <c r="E1362" s="495"/>
      <c r="G1362" s="496"/>
      <c r="H1362" s="497"/>
      <c r="J1362" s="496"/>
      <c r="K1362" s="497"/>
      <c r="L1362" s="76"/>
      <c r="M1362" s="25"/>
      <c r="N1362" s="292"/>
      <c r="O1362" s="258" t="s">
        <v>321</v>
      </c>
      <c r="P1362" s="315">
        <f>SUM(C1362:C1375)-SUM(F1362:F1375)-SUM(I1362:I1375)</f>
        <v>689.02999999999986</v>
      </c>
      <c r="Q1362" s="12">
        <f>Q1361-Q1344</f>
        <v>0</v>
      </c>
      <c r="R1362" s="307" t="s">
        <v>343</v>
      </c>
      <c r="S1362" s="498"/>
      <c r="T1362" s="499"/>
      <c r="U1362" s="498"/>
      <c r="V1362" s="500"/>
      <c r="W1362" s="501" t="s">
        <v>326</v>
      </c>
      <c r="X1362" s="502"/>
      <c r="Y1362" s="143" t="s">
        <v>17</v>
      </c>
      <c r="Z1362" s="12"/>
    </row>
    <row r="1363" spans="3:26" ht="16.5" thickTop="1" thickBot="1">
      <c r="C1363" s="15"/>
      <c r="D1363" s="455" t="s">
        <v>11</v>
      </c>
      <c r="E1363" s="456"/>
      <c r="F1363" s="6">
        <f>F1346</f>
        <v>400</v>
      </c>
      <c r="G1363" s="462" t="s">
        <v>223</v>
      </c>
      <c r="H1363" s="464"/>
      <c r="I1363" s="20">
        <f>I1346</f>
        <v>11.99</v>
      </c>
      <c r="J1363" s="462" t="s">
        <v>385</v>
      </c>
      <c r="K1363" s="464"/>
      <c r="L1363" s="76">
        <f>L1346</f>
        <v>200</v>
      </c>
      <c r="M1363" s="76">
        <f>M1346</f>
        <v>150</v>
      </c>
      <c r="N1363" s="76">
        <f>N1346</f>
        <v>200</v>
      </c>
      <c r="O1363" s="141" t="s">
        <v>322</v>
      </c>
      <c r="P1363" s="133">
        <f>P1362/29</f>
        <v>23.759655172413787</v>
      </c>
      <c r="Q1363" s="10">
        <f>Q1362/29</f>
        <v>0</v>
      </c>
      <c r="R1363" s="308" t="s">
        <v>382</v>
      </c>
      <c r="S1363" s="474"/>
      <c r="T1363" s="475"/>
      <c r="U1363" s="467"/>
      <c r="V1363" s="468"/>
      <c r="W1363" s="289" t="s">
        <v>12</v>
      </c>
      <c r="X1363" s="315"/>
      <c r="Y1363" s="144" t="s">
        <v>18</v>
      </c>
      <c r="Z1363" s="72"/>
    </row>
    <row r="1364" spans="3:26">
      <c r="C1364" s="15"/>
      <c r="D1364" s="455" t="s">
        <v>390</v>
      </c>
      <c r="E1364" s="456"/>
      <c r="F1364" s="6">
        <f t="shared" ref="F1364:F1372" si="52">F1347</f>
        <v>100</v>
      </c>
      <c r="G1364" s="462" t="s">
        <v>9</v>
      </c>
      <c r="H1364" s="464"/>
      <c r="I1364" s="20">
        <f t="shared" ref="I1364:I1369" si="53">I1347</f>
        <v>11.99</v>
      </c>
      <c r="J1364" s="462" t="s">
        <v>22</v>
      </c>
      <c r="K1364" s="464"/>
      <c r="L1364" s="76"/>
      <c r="M1364" s="25"/>
      <c r="N1364" s="294"/>
      <c r="O1364" s="136" t="s">
        <v>12</v>
      </c>
      <c r="P1364" s="319">
        <f>P1347+P1362-SUM(L1362:L1375)-SUM(M1362:M1375)-SUM(N1362:N1375)</f>
        <v>4601.2399999999898</v>
      </c>
      <c r="Q1364" s="320">
        <f>Z1362+Z1367+Z1370</f>
        <v>0</v>
      </c>
      <c r="R1364" s="308" t="s">
        <v>383</v>
      </c>
      <c r="S1364" s="474"/>
      <c r="T1364" s="475"/>
      <c r="U1364" s="467"/>
      <c r="V1364" s="468"/>
      <c r="W1364" s="282" t="s">
        <v>373</v>
      </c>
      <c r="X1364" s="132"/>
      <c r="Y1364" s="144" t="s">
        <v>19</v>
      </c>
      <c r="Z1364" s="72"/>
    </row>
    <row r="1365" spans="3:26" ht="15.75" thickBot="1">
      <c r="C1365" s="15"/>
      <c r="D1365" s="462"/>
      <c r="E1365" s="463"/>
      <c r="F1365" s="6">
        <f t="shared" si="52"/>
        <v>150</v>
      </c>
      <c r="G1365" s="462" t="s">
        <v>6</v>
      </c>
      <c r="H1365" s="464"/>
      <c r="I1365" s="20">
        <f t="shared" si="53"/>
        <v>20</v>
      </c>
      <c r="J1365" s="462" t="s">
        <v>920</v>
      </c>
      <c r="K1365" s="464"/>
      <c r="L1365" s="76"/>
      <c r="M1365" s="25"/>
      <c r="N1365" s="20"/>
      <c r="O1365" s="140" t="s">
        <v>321</v>
      </c>
      <c r="P1365" s="132">
        <f>SUM(C1362:C1375)-SUM(F1362:F1375)-SUM(I1362:I1375)-P1368-P1371-P1374</f>
        <v>139.02999999999986</v>
      </c>
      <c r="Q1365" s="72">
        <f>Q1364-Q1347</f>
        <v>0</v>
      </c>
      <c r="R1365" s="308" t="s">
        <v>424</v>
      </c>
      <c r="S1365" s="474"/>
      <c r="T1365" s="475"/>
      <c r="U1365" s="467"/>
      <c r="V1365" s="468"/>
      <c r="W1365" s="282" t="s">
        <v>378</v>
      </c>
      <c r="X1365" s="132"/>
      <c r="Y1365" s="145" t="s">
        <v>324</v>
      </c>
      <c r="Z1365" s="135"/>
    </row>
    <row r="1366" spans="3:26" ht="15.75" thickBot="1">
      <c r="C1366" s="15"/>
      <c r="D1366" s="455"/>
      <c r="E1366" s="456"/>
      <c r="F1366" s="6">
        <f t="shared" si="52"/>
        <v>370</v>
      </c>
      <c r="G1366" s="462" t="s">
        <v>97</v>
      </c>
      <c r="H1366" s="464"/>
      <c r="I1366" s="20">
        <f t="shared" si="53"/>
        <v>11.9</v>
      </c>
      <c r="J1366" s="462" t="s">
        <v>249</v>
      </c>
      <c r="K1366" s="464"/>
      <c r="L1366" s="76"/>
      <c r="M1366" s="25"/>
      <c r="N1366" s="294"/>
      <c r="O1366" s="141" t="s">
        <v>322</v>
      </c>
      <c r="P1366" s="133">
        <f>P1365/29</f>
        <v>4.7941379310344781</v>
      </c>
      <c r="Q1366" s="10">
        <f>Q1365/29</f>
        <v>0</v>
      </c>
      <c r="R1366" s="143" t="s">
        <v>12</v>
      </c>
      <c r="S1366" s="476"/>
      <c r="T1366" s="477"/>
      <c r="U1366" s="478"/>
      <c r="V1366" s="479"/>
      <c r="W1366" s="289" t="s">
        <v>379</v>
      </c>
      <c r="X1366" s="132"/>
      <c r="Y1366" s="470" t="s">
        <v>14</v>
      </c>
      <c r="Z1366" s="471"/>
    </row>
    <row r="1367" spans="3:26" ht="15.75" thickBot="1">
      <c r="C1367" s="15"/>
      <c r="D1367" s="455"/>
      <c r="E1367" s="456"/>
      <c r="F1367" s="6">
        <f t="shared" si="52"/>
        <v>1860.75</v>
      </c>
      <c r="G1367" s="462" t="s">
        <v>304</v>
      </c>
      <c r="H1367" s="464"/>
      <c r="I1367" s="20">
        <f t="shared" si="53"/>
        <v>150</v>
      </c>
      <c r="J1367" s="462" t="s">
        <v>974</v>
      </c>
      <c r="K1367" s="464"/>
      <c r="L1367" s="76"/>
      <c r="M1367" s="25"/>
      <c r="N1367" s="294"/>
      <c r="O1367" s="136" t="s">
        <v>324</v>
      </c>
      <c r="P1367" s="319">
        <f>P1350+P1368</f>
        <v>6335</v>
      </c>
      <c r="Q1367" s="320">
        <f>Z1363+Z1364+Z1365</f>
        <v>0</v>
      </c>
      <c r="R1367" s="144" t="s">
        <v>425</v>
      </c>
      <c r="S1367" s="465"/>
      <c r="T1367" s="466"/>
      <c r="U1367" s="467"/>
      <c r="V1367" s="468"/>
      <c r="W1367" s="146" t="s">
        <v>375</v>
      </c>
      <c r="X1367" s="325"/>
      <c r="Y1367" s="143" t="s">
        <v>15</v>
      </c>
      <c r="Z1367" s="12"/>
    </row>
    <row r="1368" spans="3:26" ht="15.75" thickBot="1">
      <c r="C1368" s="15"/>
      <c r="D1368" s="462"/>
      <c r="E1368" s="463"/>
      <c r="F1368" s="6">
        <f t="shared" si="52"/>
        <v>70</v>
      </c>
      <c r="G1368" s="462" t="s">
        <v>982</v>
      </c>
      <c r="H1368" s="464"/>
      <c r="I1368" s="20">
        <f t="shared" si="53"/>
        <v>150</v>
      </c>
      <c r="J1368" s="462" t="s">
        <v>105</v>
      </c>
      <c r="K1368" s="464"/>
      <c r="L1368" s="76"/>
      <c r="M1368" s="25"/>
      <c r="N1368" s="294"/>
      <c r="O1368" s="140" t="s">
        <v>321</v>
      </c>
      <c r="P1368" s="132">
        <f>SUM(L1362:L1375)</f>
        <v>200</v>
      </c>
      <c r="Q1368" s="72">
        <f>Q1367-Q1350</f>
        <v>0</v>
      </c>
      <c r="R1368" s="144" t="s">
        <v>426</v>
      </c>
      <c r="S1368" s="465"/>
      <c r="T1368" s="466"/>
      <c r="U1368" s="467"/>
      <c r="V1368" s="468"/>
      <c r="W1368" s="470" t="s">
        <v>376</v>
      </c>
      <c r="X1368" s="471"/>
      <c r="Y1368" s="146" t="s">
        <v>325</v>
      </c>
      <c r="Z1368" s="10"/>
    </row>
    <row r="1369" spans="3:26" ht="16.5" thickTop="1" thickBot="1">
      <c r="C1369" s="15"/>
      <c r="D1369" s="462"/>
      <c r="E1369" s="463"/>
      <c r="F1369" s="6">
        <f t="shared" si="52"/>
        <v>50</v>
      </c>
      <c r="G1369" s="462" t="s">
        <v>926</v>
      </c>
      <c r="H1369" s="464"/>
      <c r="I1369" s="20">
        <f t="shared" si="53"/>
        <v>400</v>
      </c>
      <c r="J1369" s="462" t="s">
        <v>206</v>
      </c>
      <c r="K1369" s="464"/>
      <c r="L1369" s="76"/>
      <c r="M1369" s="25"/>
      <c r="N1369" s="292"/>
      <c r="O1369" s="141" t="s">
        <v>322</v>
      </c>
      <c r="P1369" s="133">
        <f>P1368/29</f>
        <v>6.8965517241379306</v>
      </c>
      <c r="Q1369" s="10">
        <f>Q1368/29</f>
        <v>0</v>
      </c>
      <c r="R1369" s="144" t="s">
        <v>422</v>
      </c>
      <c r="S1369" s="465"/>
      <c r="T1369" s="466"/>
      <c r="U1369" s="467"/>
      <c r="V1369" s="468"/>
      <c r="W1369" s="289" t="s">
        <v>12</v>
      </c>
      <c r="X1369" s="38"/>
      <c r="Y1369" s="470" t="s">
        <v>374</v>
      </c>
      <c r="Z1369" s="471"/>
    </row>
    <row r="1370" spans="3:26" ht="16.5" thickTop="1" thickBot="1">
      <c r="C1370" s="15"/>
      <c r="D1370" s="462"/>
      <c r="E1370" s="463"/>
      <c r="F1370" s="6">
        <f t="shared" si="52"/>
        <v>150</v>
      </c>
      <c r="G1370" s="462" t="s">
        <v>927</v>
      </c>
      <c r="H1370" s="464"/>
      <c r="I1370" s="20"/>
      <c r="J1370" s="462"/>
      <c r="K1370" s="464"/>
      <c r="L1370" s="76"/>
      <c r="M1370" s="25"/>
      <c r="N1370" s="293"/>
      <c r="O1370" s="136" t="s">
        <v>325</v>
      </c>
      <c r="P1370" s="319">
        <f>P1353+P1371</f>
        <v>4758.88</v>
      </c>
      <c r="Q1370" s="320">
        <f>Z1368</f>
        <v>0</v>
      </c>
      <c r="R1370" s="143" t="s">
        <v>421</v>
      </c>
      <c r="S1370" s="465"/>
      <c r="T1370" s="466"/>
      <c r="U1370" s="467"/>
      <c r="V1370" s="468"/>
      <c r="W1370" s="282" t="s">
        <v>373</v>
      </c>
      <c r="X1370" s="281"/>
      <c r="Y1370" s="321" t="s">
        <v>181</v>
      </c>
      <c r="Z1370" s="322">
        <v>0</v>
      </c>
    </row>
    <row r="1371" spans="3:26" ht="15.75" thickBot="1">
      <c r="C1371" s="266"/>
      <c r="D1371" s="448"/>
      <c r="E1371" s="469"/>
      <c r="F1371" s="6">
        <f t="shared" si="52"/>
        <v>150</v>
      </c>
      <c r="G1371" s="462" t="s">
        <v>925</v>
      </c>
      <c r="H1371" s="464"/>
      <c r="I1371" s="20"/>
      <c r="J1371" s="462"/>
      <c r="K1371" s="464"/>
      <c r="L1371" s="76"/>
      <c r="M1371" s="25"/>
      <c r="N1371" s="295"/>
      <c r="O1371" s="140" t="s">
        <v>321</v>
      </c>
      <c r="P1371" s="132">
        <f>SUM(M1362:M1375)</f>
        <v>150</v>
      </c>
      <c r="Q1371" s="72">
        <f>Q1370-Q1353</f>
        <v>0</v>
      </c>
      <c r="R1371" s="144" t="s">
        <v>418</v>
      </c>
      <c r="S1371" s="465"/>
      <c r="T1371" s="466"/>
      <c r="U1371" s="467"/>
      <c r="V1371" s="468"/>
      <c r="W1371" s="282" t="s">
        <v>378</v>
      </c>
      <c r="X1371" s="281"/>
      <c r="Y1371" s="470" t="s">
        <v>1000</v>
      </c>
      <c r="Z1371" s="471"/>
    </row>
    <row r="1372" spans="3:26" ht="16.5" thickTop="1" thickBot="1">
      <c r="C1372" s="266"/>
      <c r="D1372" s="448" t="s">
        <v>1001</v>
      </c>
      <c r="E1372" s="469"/>
      <c r="F1372" s="6">
        <f t="shared" si="52"/>
        <v>30</v>
      </c>
      <c r="G1372" s="462" t="s">
        <v>33</v>
      </c>
      <c r="H1372" s="464"/>
      <c r="I1372" s="20"/>
      <c r="J1372" s="462"/>
      <c r="K1372" s="464"/>
      <c r="L1372" s="76"/>
      <c r="M1372" s="25"/>
      <c r="N1372" s="293"/>
      <c r="O1372" s="141" t="s">
        <v>322</v>
      </c>
      <c r="P1372" s="133">
        <f>P1371/29</f>
        <v>5.1724137931034484</v>
      </c>
      <c r="Q1372" s="10">
        <f>Q1371/29</f>
        <v>0</v>
      </c>
      <c r="R1372" s="144" t="s">
        <v>438</v>
      </c>
      <c r="S1372" s="465"/>
      <c r="T1372" s="466"/>
      <c r="U1372" s="472"/>
      <c r="V1372" s="473"/>
      <c r="W1372" s="289" t="s">
        <v>379</v>
      </c>
      <c r="X1372" s="281"/>
      <c r="Y1372" s="143" t="s">
        <v>12</v>
      </c>
      <c r="Z1372" s="12"/>
    </row>
    <row r="1373" spans="3:26" ht="15.75" thickBot="1">
      <c r="C1373" s="15">
        <f>C1356</f>
        <v>4775.66</v>
      </c>
      <c r="D1373" s="455" t="s">
        <v>11</v>
      </c>
      <c r="E1373" s="456"/>
      <c r="F1373" s="15"/>
      <c r="G1373" s="462"/>
      <c r="H1373" s="464"/>
      <c r="I1373" s="20"/>
      <c r="J1373" s="462"/>
      <c r="K1373" s="464"/>
      <c r="L1373" s="76"/>
      <c r="M1373" s="25"/>
      <c r="N1373" s="295"/>
      <c r="O1373" s="136" t="s">
        <v>323</v>
      </c>
      <c r="P1373" s="319">
        <f>P1356+P1374</f>
        <v>16112.45730445853</v>
      </c>
      <c r="Q1373" s="320">
        <f>S1362+U1362</f>
        <v>0</v>
      </c>
      <c r="R1373" s="144" t="s">
        <v>380</v>
      </c>
      <c r="S1373" s="291">
        <f>S1364-S1365</f>
        <v>0</v>
      </c>
      <c r="T1373" s="327" t="e">
        <f>S1373/S1365</f>
        <v>#DIV/0!</v>
      </c>
      <c r="U1373" s="291">
        <f>U1364-U1365</f>
        <v>0</v>
      </c>
      <c r="V1373" s="329" t="e">
        <f>U1373/U1365</f>
        <v>#DIV/0!</v>
      </c>
      <c r="W1373" s="146" t="s">
        <v>375</v>
      </c>
      <c r="X1373" s="326"/>
      <c r="Y1373" s="144" t="s">
        <v>373</v>
      </c>
      <c r="Z1373" s="72"/>
    </row>
    <row r="1374" spans="3:26">
      <c r="C1374" s="15"/>
      <c r="D1374" s="455" t="s">
        <v>390</v>
      </c>
      <c r="E1374" s="456"/>
      <c r="F1374" s="15"/>
      <c r="G1374" s="457" t="s">
        <v>38</v>
      </c>
      <c r="H1374" s="458"/>
      <c r="I1374" s="20"/>
      <c r="J1374" s="457" t="s">
        <v>38</v>
      </c>
      <c r="K1374" s="458"/>
      <c r="L1374" s="76"/>
      <c r="M1374" s="25"/>
      <c r="N1374" s="293"/>
      <c r="O1374" s="140" t="s">
        <v>321</v>
      </c>
      <c r="P1374" s="132">
        <f>SUM(N1362:N1375)</f>
        <v>200</v>
      </c>
      <c r="Q1374" s="72">
        <f>Q1373-Q1356</f>
        <v>0</v>
      </c>
      <c r="R1374" s="144" t="s">
        <v>381</v>
      </c>
      <c r="S1374" s="291">
        <f>S1362-S1367</f>
        <v>0</v>
      </c>
      <c r="T1374" s="327" t="e">
        <f>S1374/S1367</f>
        <v>#DIV/0!</v>
      </c>
      <c r="U1374" s="291">
        <f>U1362-U1367</f>
        <v>0</v>
      </c>
      <c r="V1374" s="366" t="e">
        <f>U1374/ABS(U1367)</f>
        <v>#DIV/0!</v>
      </c>
      <c r="W1374" s="337" t="s">
        <v>410</v>
      </c>
      <c r="X1374" s="1" t="s">
        <v>558</v>
      </c>
      <c r="Y1374" s="144" t="s">
        <v>379</v>
      </c>
      <c r="Z1374" s="72"/>
    </row>
    <row r="1375" spans="3:26" ht="15.75" thickBot="1">
      <c r="C1375" s="17"/>
      <c r="D1375" s="459"/>
      <c r="E1375" s="460"/>
      <c r="F1375" s="17"/>
      <c r="G1375" s="459"/>
      <c r="H1375" s="461"/>
      <c r="I1375" s="21"/>
      <c r="J1375" s="459"/>
      <c r="K1375" s="461"/>
      <c r="L1375" s="42"/>
      <c r="M1375" s="5"/>
      <c r="N1375" s="21"/>
      <c r="O1375" s="137" t="s">
        <v>322</v>
      </c>
      <c r="P1375" s="138">
        <f>P1374/29</f>
        <v>6.8965517241379306</v>
      </c>
      <c r="Q1375" s="24">
        <f>Q1374/29</f>
        <v>0</v>
      </c>
      <c r="R1375" s="153" t="s">
        <v>410</v>
      </c>
      <c r="S1375" s="296">
        <f>S1373+S1374</f>
        <v>0</v>
      </c>
      <c r="T1375" s="328" t="e">
        <f>S1375/S1363</f>
        <v>#DIV/0!</v>
      </c>
      <c r="U1375" s="296">
        <f>U1374+U1373</f>
        <v>0</v>
      </c>
      <c r="V1375" s="330" t="e">
        <f>U1375/U1363</f>
        <v>#DIV/0!</v>
      </c>
      <c r="W1375" s="296">
        <f>S1375+U1375</f>
        <v>0</v>
      </c>
      <c r="X1375" s="330" t="e">
        <f>(W1375+S1363+U1363)/(S1363+U1363)-1</f>
        <v>#DIV/0!</v>
      </c>
      <c r="Y1375" s="153" t="s">
        <v>375</v>
      </c>
      <c r="Z1375" s="389"/>
    </row>
    <row r="1376" spans="3:26" ht="17.25" thickTop="1" thickBot="1">
      <c r="C1376" s="264">
        <v>47027</v>
      </c>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spans="3:26" ht="17.25" thickTop="1" thickBot="1">
      <c r="C1377" s="480" t="s">
        <v>386</v>
      </c>
      <c r="D1377" s="481"/>
      <c r="E1377" s="482"/>
      <c r="F1377" s="483" t="s">
        <v>387</v>
      </c>
      <c r="G1377" s="484"/>
      <c r="H1377" s="484"/>
      <c r="I1377" s="484"/>
      <c r="J1377" s="484"/>
      <c r="K1377" s="484"/>
      <c r="L1377" s="484"/>
      <c r="M1377" s="484"/>
      <c r="N1377" s="485"/>
      <c r="O1377" s="261" t="s">
        <v>320</v>
      </c>
      <c r="P1377" s="262" t="s">
        <v>257</v>
      </c>
      <c r="Q1377" s="263" t="s">
        <v>319</v>
      </c>
      <c r="R1377" s="486" t="s">
        <v>144</v>
      </c>
      <c r="S1377" s="487"/>
      <c r="T1377" s="487"/>
      <c r="U1377" s="487"/>
      <c r="V1377" s="487"/>
      <c r="W1377" s="487"/>
      <c r="X1377" s="487"/>
      <c r="Y1377" s="487"/>
      <c r="Z1377" s="488"/>
    </row>
    <row r="1378" spans="3:26" ht="15.75" thickBot="1">
      <c r="C1378" s="265"/>
      <c r="D1378" s="489"/>
      <c r="E1378" s="490"/>
      <c r="F1378" s="470" t="s">
        <v>3</v>
      </c>
      <c r="G1378" s="491"/>
      <c r="H1378" s="492"/>
      <c r="I1378" s="493" t="s">
        <v>4</v>
      </c>
      <c r="J1378" s="491"/>
      <c r="K1378" s="492"/>
      <c r="L1378" s="267" t="s">
        <v>324</v>
      </c>
      <c r="M1378" s="267" t="s">
        <v>325</v>
      </c>
      <c r="N1378" s="267" t="s">
        <v>323</v>
      </c>
      <c r="O1378" s="316" t="s">
        <v>5</v>
      </c>
      <c r="P1378" s="317">
        <f>P1381+P1384+P1387+P1390</f>
        <v>32496.607304458521</v>
      </c>
      <c r="Q1378" s="318">
        <f>Q1387+Q1384+Q1381+Q1390</f>
        <v>0</v>
      </c>
      <c r="R1378" s="268" t="s">
        <v>323</v>
      </c>
      <c r="S1378" s="493" t="s">
        <v>317</v>
      </c>
      <c r="T1378" s="492"/>
      <c r="U1378" s="493" t="s">
        <v>369</v>
      </c>
      <c r="V1378" s="471"/>
      <c r="W1378" s="470" t="s">
        <v>310</v>
      </c>
      <c r="X1378" s="471"/>
      <c r="Y1378" s="470" t="s">
        <v>13</v>
      </c>
      <c r="Z1378" s="471"/>
    </row>
    <row r="1379" spans="3:26" ht="16.5" thickTop="1" thickBot="1">
      <c r="C1379" s="15"/>
      <c r="D1379" s="494"/>
      <c r="E1379" s="495"/>
      <c r="G1379" s="496"/>
      <c r="H1379" s="497"/>
      <c r="J1379" s="496"/>
      <c r="K1379" s="497"/>
      <c r="L1379" s="76"/>
      <c r="M1379" s="25"/>
      <c r="N1379" s="292"/>
      <c r="O1379" s="258" t="s">
        <v>321</v>
      </c>
      <c r="P1379" s="315">
        <f>SUM(C1379:C1392)-SUM(F1379:F1392)-SUM(I1379:I1392)</f>
        <v>689.02999999999986</v>
      </c>
      <c r="Q1379" s="12">
        <f>Q1378-Q1361</f>
        <v>0</v>
      </c>
      <c r="R1379" s="307" t="s">
        <v>343</v>
      </c>
      <c r="S1379" s="498"/>
      <c r="T1379" s="499"/>
      <c r="U1379" s="498"/>
      <c r="V1379" s="500"/>
      <c r="W1379" s="501" t="s">
        <v>326</v>
      </c>
      <c r="X1379" s="502"/>
      <c r="Y1379" s="143" t="s">
        <v>17</v>
      </c>
      <c r="Z1379" s="12"/>
    </row>
    <row r="1380" spans="3:26" ht="16.5" thickTop="1" thickBot="1">
      <c r="C1380" s="15"/>
      <c r="D1380" s="455" t="s">
        <v>11</v>
      </c>
      <c r="E1380" s="456"/>
      <c r="F1380" s="6">
        <f>F1363</f>
        <v>400</v>
      </c>
      <c r="G1380" s="462" t="s">
        <v>223</v>
      </c>
      <c r="H1380" s="464"/>
      <c r="I1380" s="20">
        <f>I1363</f>
        <v>11.99</v>
      </c>
      <c r="J1380" s="462" t="s">
        <v>385</v>
      </c>
      <c r="K1380" s="464"/>
      <c r="L1380" s="76">
        <f>L1363</f>
        <v>200</v>
      </c>
      <c r="M1380" s="76">
        <f>M1363</f>
        <v>150</v>
      </c>
      <c r="N1380" s="76">
        <f>N1363</f>
        <v>200</v>
      </c>
      <c r="O1380" s="141" t="s">
        <v>322</v>
      </c>
      <c r="P1380" s="133">
        <f>P1379/29</f>
        <v>23.759655172413787</v>
      </c>
      <c r="Q1380" s="10">
        <f>Q1379/29</f>
        <v>0</v>
      </c>
      <c r="R1380" s="308" t="s">
        <v>382</v>
      </c>
      <c r="S1380" s="474"/>
      <c r="T1380" s="475"/>
      <c r="U1380" s="467"/>
      <c r="V1380" s="468"/>
      <c r="W1380" s="289" t="s">
        <v>12</v>
      </c>
      <c r="X1380" s="315"/>
      <c r="Y1380" s="144" t="s">
        <v>18</v>
      </c>
      <c r="Z1380" s="72"/>
    </row>
    <row r="1381" spans="3:26">
      <c r="C1381" s="15"/>
      <c r="D1381" s="455" t="s">
        <v>390</v>
      </c>
      <c r="E1381" s="456"/>
      <c r="F1381" s="6">
        <f t="shared" ref="F1381:F1389" si="54">F1364</f>
        <v>100</v>
      </c>
      <c r="G1381" s="462" t="s">
        <v>9</v>
      </c>
      <c r="H1381" s="464"/>
      <c r="I1381" s="20">
        <f t="shared" ref="I1381:I1386" si="55">I1364</f>
        <v>11.99</v>
      </c>
      <c r="J1381" s="462" t="s">
        <v>22</v>
      </c>
      <c r="K1381" s="464"/>
      <c r="L1381" s="76"/>
      <c r="M1381" s="25"/>
      <c r="N1381" s="294"/>
      <c r="O1381" s="136" t="s">
        <v>12</v>
      </c>
      <c r="P1381" s="319">
        <f>P1364+P1379-SUM(L1379:L1392)-SUM(M1379:M1392)-SUM(N1379:N1392)</f>
        <v>4740.2699999999895</v>
      </c>
      <c r="Q1381" s="320">
        <f>Z1379+Z1384+Z1387</f>
        <v>0</v>
      </c>
      <c r="R1381" s="308" t="s">
        <v>383</v>
      </c>
      <c r="S1381" s="474"/>
      <c r="T1381" s="475"/>
      <c r="U1381" s="467"/>
      <c r="V1381" s="468"/>
      <c r="W1381" s="282" t="s">
        <v>373</v>
      </c>
      <c r="X1381" s="132"/>
      <c r="Y1381" s="144" t="s">
        <v>19</v>
      </c>
      <c r="Z1381" s="72"/>
    </row>
    <row r="1382" spans="3:26" ht="15.75" thickBot="1">
      <c r="C1382" s="15"/>
      <c r="D1382" s="462"/>
      <c r="E1382" s="463"/>
      <c r="F1382" s="6">
        <f t="shared" si="54"/>
        <v>150</v>
      </c>
      <c r="G1382" s="462" t="s">
        <v>6</v>
      </c>
      <c r="H1382" s="464"/>
      <c r="I1382" s="20">
        <f t="shared" si="55"/>
        <v>20</v>
      </c>
      <c r="J1382" s="462" t="s">
        <v>920</v>
      </c>
      <c r="K1382" s="464"/>
      <c r="L1382" s="76"/>
      <c r="M1382" s="25"/>
      <c r="N1382" s="20"/>
      <c r="O1382" s="140" t="s">
        <v>321</v>
      </c>
      <c r="P1382" s="132">
        <f>SUM(C1379:C1392)-SUM(F1379:F1392)-SUM(I1379:I1392)-P1385-P1388-P1391</f>
        <v>139.02999999999986</v>
      </c>
      <c r="Q1382" s="72">
        <f>Q1381-Q1364</f>
        <v>0</v>
      </c>
      <c r="R1382" s="308" t="s">
        <v>424</v>
      </c>
      <c r="S1382" s="474"/>
      <c r="T1382" s="475"/>
      <c r="U1382" s="467"/>
      <c r="V1382" s="468"/>
      <c r="W1382" s="282" t="s">
        <v>378</v>
      </c>
      <c r="X1382" s="132"/>
      <c r="Y1382" s="145" t="s">
        <v>324</v>
      </c>
      <c r="Z1382" s="135"/>
    </row>
    <row r="1383" spans="3:26" ht="15.75" thickBot="1">
      <c r="C1383" s="15"/>
      <c r="D1383" s="455"/>
      <c r="E1383" s="456"/>
      <c r="F1383" s="6">
        <f t="shared" si="54"/>
        <v>370</v>
      </c>
      <c r="G1383" s="462" t="s">
        <v>97</v>
      </c>
      <c r="H1383" s="464"/>
      <c r="I1383" s="20">
        <f t="shared" si="55"/>
        <v>11.9</v>
      </c>
      <c r="J1383" s="462" t="s">
        <v>249</v>
      </c>
      <c r="K1383" s="464"/>
      <c r="L1383" s="76"/>
      <c r="M1383" s="25"/>
      <c r="N1383" s="294"/>
      <c r="O1383" s="141" t="s">
        <v>322</v>
      </c>
      <c r="P1383" s="133">
        <f>P1382/29</f>
        <v>4.7941379310344781</v>
      </c>
      <c r="Q1383" s="10">
        <f>Q1382/29</f>
        <v>0</v>
      </c>
      <c r="R1383" s="143" t="s">
        <v>12</v>
      </c>
      <c r="S1383" s="476"/>
      <c r="T1383" s="477"/>
      <c r="U1383" s="478"/>
      <c r="V1383" s="479"/>
      <c r="W1383" s="289" t="s">
        <v>379</v>
      </c>
      <c r="X1383" s="132"/>
      <c r="Y1383" s="470" t="s">
        <v>14</v>
      </c>
      <c r="Z1383" s="471"/>
    </row>
    <row r="1384" spans="3:26" ht="15.75" thickBot="1">
      <c r="C1384" s="15"/>
      <c r="D1384" s="455"/>
      <c r="E1384" s="456"/>
      <c r="F1384" s="6">
        <f t="shared" si="54"/>
        <v>1860.75</v>
      </c>
      <c r="G1384" s="462" t="s">
        <v>304</v>
      </c>
      <c r="H1384" s="464"/>
      <c r="I1384" s="20">
        <f t="shared" si="55"/>
        <v>150</v>
      </c>
      <c r="J1384" s="462" t="s">
        <v>974</v>
      </c>
      <c r="K1384" s="464"/>
      <c r="L1384" s="76"/>
      <c r="M1384" s="25"/>
      <c r="N1384" s="294"/>
      <c r="O1384" s="136" t="s">
        <v>324</v>
      </c>
      <c r="P1384" s="319">
        <f>P1367+P1385</f>
        <v>6535</v>
      </c>
      <c r="Q1384" s="320">
        <f>Z1380+Z1381+Z1382</f>
        <v>0</v>
      </c>
      <c r="R1384" s="144" t="s">
        <v>425</v>
      </c>
      <c r="S1384" s="465"/>
      <c r="T1384" s="466"/>
      <c r="U1384" s="467"/>
      <c r="V1384" s="468"/>
      <c r="W1384" s="146" t="s">
        <v>375</v>
      </c>
      <c r="X1384" s="325"/>
      <c r="Y1384" s="143" t="s">
        <v>15</v>
      </c>
      <c r="Z1384" s="12"/>
    </row>
    <row r="1385" spans="3:26" ht="15.75" thickBot="1">
      <c r="C1385" s="15"/>
      <c r="D1385" s="462"/>
      <c r="E1385" s="463"/>
      <c r="F1385" s="6">
        <f t="shared" si="54"/>
        <v>70</v>
      </c>
      <c r="G1385" s="462" t="s">
        <v>982</v>
      </c>
      <c r="H1385" s="464"/>
      <c r="I1385" s="20">
        <f t="shared" si="55"/>
        <v>150</v>
      </c>
      <c r="J1385" s="462" t="s">
        <v>105</v>
      </c>
      <c r="K1385" s="464"/>
      <c r="L1385" s="76"/>
      <c r="M1385" s="25"/>
      <c r="N1385" s="294"/>
      <c r="O1385" s="140" t="s">
        <v>321</v>
      </c>
      <c r="P1385" s="132">
        <f>SUM(L1379:L1392)</f>
        <v>200</v>
      </c>
      <c r="Q1385" s="72">
        <f>Q1384-Q1367</f>
        <v>0</v>
      </c>
      <c r="R1385" s="144" t="s">
        <v>426</v>
      </c>
      <c r="S1385" s="465"/>
      <c r="T1385" s="466"/>
      <c r="U1385" s="467"/>
      <c r="V1385" s="468"/>
      <c r="W1385" s="470" t="s">
        <v>376</v>
      </c>
      <c r="X1385" s="471"/>
      <c r="Y1385" s="146" t="s">
        <v>325</v>
      </c>
      <c r="Z1385" s="10"/>
    </row>
    <row r="1386" spans="3:26" ht="16.5" thickTop="1" thickBot="1">
      <c r="C1386" s="15"/>
      <c r="D1386" s="462"/>
      <c r="E1386" s="463"/>
      <c r="F1386" s="6">
        <f t="shared" si="54"/>
        <v>50</v>
      </c>
      <c r="G1386" s="462" t="s">
        <v>926</v>
      </c>
      <c r="H1386" s="464"/>
      <c r="I1386" s="20">
        <f t="shared" si="55"/>
        <v>400</v>
      </c>
      <c r="J1386" s="462" t="s">
        <v>206</v>
      </c>
      <c r="K1386" s="464"/>
      <c r="L1386" s="76"/>
      <c r="M1386" s="25"/>
      <c r="N1386" s="292"/>
      <c r="O1386" s="141" t="s">
        <v>322</v>
      </c>
      <c r="P1386" s="133">
        <f>P1385/29</f>
        <v>6.8965517241379306</v>
      </c>
      <c r="Q1386" s="10">
        <f>Q1385/29</f>
        <v>0</v>
      </c>
      <c r="R1386" s="144" t="s">
        <v>422</v>
      </c>
      <c r="S1386" s="465"/>
      <c r="T1386" s="466"/>
      <c r="U1386" s="467"/>
      <c r="V1386" s="468"/>
      <c r="W1386" s="289" t="s">
        <v>12</v>
      </c>
      <c r="X1386" s="38"/>
      <c r="Y1386" s="470" t="s">
        <v>374</v>
      </c>
      <c r="Z1386" s="471"/>
    </row>
    <row r="1387" spans="3:26" ht="16.5" thickTop="1" thickBot="1">
      <c r="C1387" s="15"/>
      <c r="D1387" s="462"/>
      <c r="E1387" s="463"/>
      <c r="F1387" s="6">
        <f t="shared" si="54"/>
        <v>150</v>
      </c>
      <c r="G1387" s="462" t="s">
        <v>927</v>
      </c>
      <c r="H1387" s="464"/>
      <c r="I1387" s="20"/>
      <c r="J1387" s="462"/>
      <c r="K1387" s="464"/>
      <c r="L1387" s="76"/>
      <c r="M1387" s="25"/>
      <c r="N1387" s="293"/>
      <c r="O1387" s="136" t="s">
        <v>325</v>
      </c>
      <c r="P1387" s="319">
        <f>P1370+P1388</f>
        <v>4908.88</v>
      </c>
      <c r="Q1387" s="320">
        <f>Z1385</f>
        <v>0</v>
      </c>
      <c r="R1387" s="143" t="s">
        <v>421</v>
      </c>
      <c r="S1387" s="465"/>
      <c r="T1387" s="466"/>
      <c r="U1387" s="467"/>
      <c r="V1387" s="468"/>
      <c r="W1387" s="282" t="s">
        <v>373</v>
      </c>
      <c r="X1387" s="281"/>
      <c r="Y1387" s="321" t="s">
        <v>181</v>
      </c>
      <c r="Z1387" s="322">
        <v>0</v>
      </c>
    </row>
    <row r="1388" spans="3:26" ht="15.75" thickBot="1">
      <c r="C1388" s="266"/>
      <c r="D1388" s="448"/>
      <c r="E1388" s="469"/>
      <c r="F1388" s="6">
        <f t="shared" si="54"/>
        <v>150</v>
      </c>
      <c r="G1388" s="462" t="s">
        <v>925</v>
      </c>
      <c r="H1388" s="464"/>
      <c r="I1388" s="20"/>
      <c r="J1388" s="462"/>
      <c r="K1388" s="464"/>
      <c r="L1388" s="76"/>
      <c r="M1388" s="25"/>
      <c r="N1388" s="295"/>
      <c r="O1388" s="140" t="s">
        <v>321</v>
      </c>
      <c r="P1388" s="132">
        <f>SUM(M1379:M1392)</f>
        <v>150</v>
      </c>
      <c r="Q1388" s="72">
        <f>Q1387-Q1370</f>
        <v>0</v>
      </c>
      <c r="R1388" s="144" t="s">
        <v>418</v>
      </c>
      <c r="S1388" s="465"/>
      <c r="T1388" s="466"/>
      <c r="U1388" s="467"/>
      <c r="V1388" s="468"/>
      <c r="W1388" s="282" t="s">
        <v>378</v>
      </c>
      <c r="X1388" s="281"/>
      <c r="Y1388" s="470" t="s">
        <v>1000</v>
      </c>
      <c r="Z1388" s="471"/>
    </row>
    <row r="1389" spans="3:26" ht="16.5" thickTop="1" thickBot="1">
      <c r="C1389" s="266"/>
      <c r="D1389" s="448" t="s">
        <v>1001</v>
      </c>
      <c r="E1389" s="469"/>
      <c r="F1389" s="6">
        <f t="shared" si="54"/>
        <v>30</v>
      </c>
      <c r="G1389" s="462" t="s">
        <v>33</v>
      </c>
      <c r="H1389" s="464"/>
      <c r="I1389" s="20"/>
      <c r="J1389" s="462"/>
      <c r="K1389" s="464"/>
      <c r="L1389" s="76"/>
      <c r="M1389" s="25"/>
      <c r="N1389" s="293"/>
      <c r="O1389" s="141" t="s">
        <v>322</v>
      </c>
      <c r="P1389" s="133">
        <f>P1388/29</f>
        <v>5.1724137931034484</v>
      </c>
      <c r="Q1389" s="10">
        <f>Q1388/29</f>
        <v>0</v>
      </c>
      <c r="R1389" s="144" t="s">
        <v>438</v>
      </c>
      <c r="S1389" s="465"/>
      <c r="T1389" s="466"/>
      <c r="U1389" s="472"/>
      <c r="V1389" s="473"/>
      <c r="W1389" s="289" t="s">
        <v>379</v>
      </c>
      <c r="X1389" s="281"/>
      <c r="Y1389" s="143" t="s">
        <v>12</v>
      </c>
      <c r="Z1389" s="12"/>
    </row>
    <row r="1390" spans="3:26" ht="15.75" thickBot="1">
      <c r="C1390" s="15">
        <f>C1373</f>
        <v>4775.66</v>
      </c>
      <c r="D1390" s="455" t="s">
        <v>11</v>
      </c>
      <c r="E1390" s="456"/>
      <c r="F1390" s="15"/>
      <c r="G1390" s="462"/>
      <c r="H1390" s="464"/>
      <c r="I1390" s="20"/>
      <c r="J1390" s="462"/>
      <c r="K1390" s="464"/>
      <c r="L1390" s="76"/>
      <c r="M1390" s="25"/>
      <c r="N1390" s="295"/>
      <c r="O1390" s="136" t="s">
        <v>323</v>
      </c>
      <c r="P1390" s="319">
        <f>P1373+P1391</f>
        <v>16312.45730445853</v>
      </c>
      <c r="Q1390" s="320">
        <f>S1379+U1379</f>
        <v>0</v>
      </c>
      <c r="R1390" s="144" t="s">
        <v>380</v>
      </c>
      <c r="S1390" s="291">
        <f>S1381-S1382</f>
        <v>0</v>
      </c>
      <c r="T1390" s="327" t="e">
        <f>S1390/S1382</f>
        <v>#DIV/0!</v>
      </c>
      <c r="U1390" s="291">
        <f>U1381-U1382</f>
        <v>0</v>
      </c>
      <c r="V1390" s="329" t="e">
        <f>U1390/U1382</f>
        <v>#DIV/0!</v>
      </c>
      <c r="W1390" s="146" t="s">
        <v>375</v>
      </c>
      <c r="X1390" s="326"/>
      <c r="Y1390" s="144" t="s">
        <v>373</v>
      </c>
      <c r="Z1390" s="72"/>
    </row>
    <row r="1391" spans="3:26">
      <c r="C1391" s="15"/>
      <c r="D1391" s="455" t="s">
        <v>390</v>
      </c>
      <c r="E1391" s="456"/>
      <c r="F1391" s="15"/>
      <c r="G1391" s="457" t="s">
        <v>38</v>
      </c>
      <c r="H1391" s="458"/>
      <c r="I1391" s="20"/>
      <c r="J1391" s="457" t="s">
        <v>38</v>
      </c>
      <c r="K1391" s="458"/>
      <c r="L1391" s="76"/>
      <c r="M1391" s="25"/>
      <c r="N1391" s="293"/>
      <c r="O1391" s="140" t="s">
        <v>321</v>
      </c>
      <c r="P1391" s="132">
        <f>SUM(N1379:N1392)</f>
        <v>200</v>
      </c>
      <c r="Q1391" s="72">
        <f>Q1390-Q1373</f>
        <v>0</v>
      </c>
      <c r="R1391" s="144" t="s">
        <v>381</v>
      </c>
      <c r="S1391" s="291">
        <f>S1379-S1384</f>
        <v>0</v>
      </c>
      <c r="T1391" s="327" t="e">
        <f>S1391/S1384</f>
        <v>#DIV/0!</v>
      </c>
      <c r="U1391" s="291">
        <f>U1379-U1384</f>
        <v>0</v>
      </c>
      <c r="V1391" s="366" t="e">
        <f>U1391/ABS(U1384)</f>
        <v>#DIV/0!</v>
      </c>
      <c r="W1391" s="337" t="s">
        <v>410</v>
      </c>
      <c r="X1391" s="1" t="s">
        <v>558</v>
      </c>
      <c r="Y1391" s="144" t="s">
        <v>379</v>
      </c>
      <c r="Z1391" s="72"/>
    </row>
    <row r="1392" spans="3:26" ht="15.75" thickBot="1">
      <c r="C1392" s="17"/>
      <c r="D1392" s="459"/>
      <c r="E1392" s="460"/>
      <c r="F1392" s="17"/>
      <c r="G1392" s="459"/>
      <c r="H1392" s="461"/>
      <c r="I1392" s="21"/>
      <c r="J1392" s="459"/>
      <c r="K1392" s="461"/>
      <c r="L1392" s="42"/>
      <c r="M1392" s="5"/>
      <c r="N1392" s="21"/>
      <c r="O1392" s="137" t="s">
        <v>322</v>
      </c>
      <c r="P1392" s="138">
        <f>P1391/29</f>
        <v>6.8965517241379306</v>
      </c>
      <c r="Q1392" s="24">
        <f>Q1391/29</f>
        <v>0</v>
      </c>
      <c r="R1392" s="153" t="s">
        <v>410</v>
      </c>
      <c r="S1392" s="296">
        <f>S1390+S1391</f>
        <v>0</v>
      </c>
      <c r="T1392" s="328" t="e">
        <f>S1392/S1380</f>
        <v>#DIV/0!</v>
      </c>
      <c r="U1392" s="296">
        <f>U1391+U1390</f>
        <v>0</v>
      </c>
      <c r="V1392" s="330" t="e">
        <f>U1392/U1380</f>
        <v>#DIV/0!</v>
      </c>
      <c r="W1392" s="296">
        <f>S1392+U1392</f>
        <v>0</v>
      </c>
      <c r="X1392" s="330" t="e">
        <f>(W1392+S1380+U1380)/(S1380+U1380)-1</f>
        <v>#DIV/0!</v>
      </c>
      <c r="Y1392" s="153" t="s">
        <v>375</v>
      </c>
      <c r="Z1392" s="389"/>
    </row>
    <row r="1393" spans="3:26" ht="17.25" thickTop="1" thickBot="1">
      <c r="C1393" s="264">
        <v>47058</v>
      </c>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spans="3:26" ht="17.25" thickTop="1" thickBot="1">
      <c r="C1394" s="480" t="s">
        <v>386</v>
      </c>
      <c r="D1394" s="481"/>
      <c r="E1394" s="482"/>
      <c r="F1394" s="483" t="s">
        <v>387</v>
      </c>
      <c r="G1394" s="484"/>
      <c r="H1394" s="484"/>
      <c r="I1394" s="484"/>
      <c r="J1394" s="484"/>
      <c r="K1394" s="484"/>
      <c r="L1394" s="484"/>
      <c r="M1394" s="484"/>
      <c r="N1394" s="485"/>
      <c r="O1394" s="261" t="s">
        <v>320</v>
      </c>
      <c r="P1394" s="262" t="s">
        <v>257</v>
      </c>
      <c r="Q1394" s="263" t="s">
        <v>319</v>
      </c>
      <c r="R1394" s="486" t="s">
        <v>144</v>
      </c>
      <c r="S1394" s="487"/>
      <c r="T1394" s="487"/>
      <c r="U1394" s="487"/>
      <c r="V1394" s="487"/>
      <c r="W1394" s="487"/>
      <c r="X1394" s="487"/>
      <c r="Y1394" s="487"/>
      <c r="Z1394" s="488"/>
    </row>
    <row r="1395" spans="3:26" ht="15.75" thickBot="1">
      <c r="C1395" s="265"/>
      <c r="D1395" s="489"/>
      <c r="E1395" s="490"/>
      <c r="F1395" s="470" t="s">
        <v>3</v>
      </c>
      <c r="G1395" s="491"/>
      <c r="H1395" s="492"/>
      <c r="I1395" s="493" t="s">
        <v>4</v>
      </c>
      <c r="J1395" s="491"/>
      <c r="K1395" s="492"/>
      <c r="L1395" s="267" t="s">
        <v>324</v>
      </c>
      <c r="M1395" s="267" t="s">
        <v>325</v>
      </c>
      <c r="N1395" s="267" t="s">
        <v>323</v>
      </c>
      <c r="O1395" s="316" t="s">
        <v>5</v>
      </c>
      <c r="P1395" s="317">
        <f>P1398+P1401+P1404+P1407</f>
        <v>33185.63730445852</v>
      </c>
      <c r="Q1395" s="318">
        <f>Q1404+Q1401+Q1398+Q1407</f>
        <v>0</v>
      </c>
      <c r="R1395" s="268" t="s">
        <v>323</v>
      </c>
      <c r="S1395" s="493" t="s">
        <v>317</v>
      </c>
      <c r="T1395" s="492"/>
      <c r="U1395" s="493" t="s">
        <v>369</v>
      </c>
      <c r="V1395" s="471"/>
      <c r="W1395" s="470" t="s">
        <v>310</v>
      </c>
      <c r="X1395" s="471"/>
      <c r="Y1395" s="470" t="s">
        <v>13</v>
      </c>
      <c r="Z1395" s="471"/>
    </row>
    <row r="1396" spans="3:26" ht="16.5" thickTop="1" thickBot="1">
      <c r="C1396" s="15"/>
      <c r="D1396" s="494"/>
      <c r="E1396" s="495"/>
      <c r="G1396" s="496"/>
      <c r="H1396" s="497"/>
      <c r="J1396" s="496"/>
      <c r="K1396" s="497"/>
      <c r="L1396" s="76"/>
      <c r="M1396" s="25"/>
      <c r="N1396" s="292"/>
      <c r="O1396" s="258" t="s">
        <v>321</v>
      </c>
      <c r="P1396" s="315">
        <f>SUM(C1396:C1409)-SUM(F1396:F1409)-SUM(I1396:I1409)</f>
        <v>689.02999999999986</v>
      </c>
      <c r="Q1396" s="12">
        <f>Q1395-Q1378</f>
        <v>0</v>
      </c>
      <c r="R1396" s="307" t="s">
        <v>343</v>
      </c>
      <c r="S1396" s="498"/>
      <c r="T1396" s="499"/>
      <c r="U1396" s="498"/>
      <c r="V1396" s="500"/>
      <c r="W1396" s="501" t="s">
        <v>326</v>
      </c>
      <c r="X1396" s="502"/>
      <c r="Y1396" s="143" t="s">
        <v>17</v>
      </c>
      <c r="Z1396" s="12"/>
    </row>
    <row r="1397" spans="3:26" ht="16.5" thickTop="1" thickBot="1">
      <c r="C1397" s="15"/>
      <c r="D1397" s="455" t="s">
        <v>11</v>
      </c>
      <c r="E1397" s="456"/>
      <c r="F1397" s="6">
        <f>F1380</f>
        <v>400</v>
      </c>
      <c r="G1397" s="462" t="s">
        <v>223</v>
      </c>
      <c r="H1397" s="464"/>
      <c r="I1397" s="20">
        <f>I1380</f>
        <v>11.99</v>
      </c>
      <c r="J1397" s="462" t="s">
        <v>385</v>
      </c>
      <c r="K1397" s="464"/>
      <c r="L1397" s="76">
        <f>L1380</f>
        <v>200</v>
      </c>
      <c r="M1397" s="76">
        <f>M1380</f>
        <v>150</v>
      </c>
      <c r="N1397" s="76">
        <f>N1380</f>
        <v>200</v>
      </c>
      <c r="O1397" s="141" t="s">
        <v>322</v>
      </c>
      <c r="P1397" s="133">
        <f>P1396/29</f>
        <v>23.759655172413787</v>
      </c>
      <c r="Q1397" s="10">
        <f>Q1396/29</f>
        <v>0</v>
      </c>
      <c r="R1397" s="308" t="s">
        <v>382</v>
      </c>
      <c r="S1397" s="474"/>
      <c r="T1397" s="475"/>
      <c r="U1397" s="467"/>
      <c r="V1397" s="468"/>
      <c r="W1397" s="289" t="s">
        <v>12</v>
      </c>
      <c r="X1397" s="315"/>
      <c r="Y1397" s="144" t="s">
        <v>18</v>
      </c>
      <c r="Z1397" s="72"/>
    </row>
    <row r="1398" spans="3:26">
      <c r="C1398" s="15"/>
      <c r="D1398" s="455" t="s">
        <v>390</v>
      </c>
      <c r="E1398" s="456"/>
      <c r="F1398" s="6">
        <f t="shared" ref="F1398:F1406" si="56">F1381</f>
        <v>100</v>
      </c>
      <c r="G1398" s="462" t="s">
        <v>9</v>
      </c>
      <c r="H1398" s="464"/>
      <c r="I1398" s="20">
        <f t="shared" ref="I1398:I1403" si="57">I1381</f>
        <v>11.99</v>
      </c>
      <c r="J1398" s="462" t="s">
        <v>22</v>
      </c>
      <c r="K1398" s="464"/>
      <c r="L1398" s="76"/>
      <c r="M1398" s="25"/>
      <c r="N1398" s="294"/>
      <c r="O1398" s="136" t="s">
        <v>12</v>
      </c>
      <c r="P1398" s="319">
        <f>P1381+P1396-SUM(L1396:L1409)-SUM(M1396:M1409)-SUM(N1396:N1409)</f>
        <v>4879.2999999999893</v>
      </c>
      <c r="Q1398" s="320">
        <f>Z1396+Z1401+Z1404</f>
        <v>0</v>
      </c>
      <c r="R1398" s="308" t="s">
        <v>383</v>
      </c>
      <c r="S1398" s="474"/>
      <c r="T1398" s="475"/>
      <c r="U1398" s="467"/>
      <c r="V1398" s="468"/>
      <c r="W1398" s="282" t="s">
        <v>373</v>
      </c>
      <c r="X1398" s="132"/>
      <c r="Y1398" s="144" t="s">
        <v>19</v>
      </c>
      <c r="Z1398" s="72"/>
    </row>
    <row r="1399" spans="3:26" ht="15.75" thickBot="1">
      <c r="C1399" s="15"/>
      <c r="D1399" s="462"/>
      <c r="E1399" s="463"/>
      <c r="F1399" s="6">
        <f t="shared" si="56"/>
        <v>150</v>
      </c>
      <c r="G1399" s="462" t="s">
        <v>6</v>
      </c>
      <c r="H1399" s="464"/>
      <c r="I1399" s="20">
        <f t="shared" si="57"/>
        <v>20</v>
      </c>
      <c r="J1399" s="462" t="s">
        <v>920</v>
      </c>
      <c r="K1399" s="464"/>
      <c r="L1399" s="76"/>
      <c r="M1399" s="25"/>
      <c r="N1399" s="20"/>
      <c r="O1399" s="140" t="s">
        <v>321</v>
      </c>
      <c r="P1399" s="132">
        <f>SUM(C1396:C1409)-SUM(F1396:F1409)-SUM(I1396:I1409)-P1402-P1405-P1408</f>
        <v>139.02999999999986</v>
      </c>
      <c r="Q1399" s="72">
        <f>Q1398-Q1381</f>
        <v>0</v>
      </c>
      <c r="R1399" s="308" t="s">
        <v>424</v>
      </c>
      <c r="S1399" s="474"/>
      <c r="T1399" s="475"/>
      <c r="U1399" s="467"/>
      <c r="V1399" s="468"/>
      <c r="W1399" s="282" t="s">
        <v>378</v>
      </c>
      <c r="X1399" s="132"/>
      <c r="Y1399" s="145" t="s">
        <v>324</v>
      </c>
      <c r="Z1399" s="135"/>
    </row>
    <row r="1400" spans="3:26" ht="15.75" thickBot="1">
      <c r="C1400" s="15"/>
      <c r="D1400" s="455"/>
      <c r="E1400" s="456"/>
      <c r="F1400" s="6">
        <f t="shared" si="56"/>
        <v>370</v>
      </c>
      <c r="G1400" s="462" t="s">
        <v>97</v>
      </c>
      <c r="H1400" s="464"/>
      <c r="I1400" s="20">
        <f t="shared" si="57"/>
        <v>11.9</v>
      </c>
      <c r="J1400" s="462" t="s">
        <v>249</v>
      </c>
      <c r="K1400" s="464"/>
      <c r="L1400" s="76"/>
      <c r="M1400" s="25"/>
      <c r="N1400" s="294"/>
      <c r="O1400" s="141" t="s">
        <v>322</v>
      </c>
      <c r="P1400" s="133">
        <f>P1399/29</f>
        <v>4.7941379310344781</v>
      </c>
      <c r="Q1400" s="10">
        <f>Q1399/29</f>
        <v>0</v>
      </c>
      <c r="R1400" s="143" t="s">
        <v>12</v>
      </c>
      <c r="S1400" s="476"/>
      <c r="T1400" s="477"/>
      <c r="U1400" s="478"/>
      <c r="V1400" s="479"/>
      <c r="W1400" s="289" t="s">
        <v>379</v>
      </c>
      <c r="X1400" s="132"/>
      <c r="Y1400" s="470" t="s">
        <v>14</v>
      </c>
      <c r="Z1400" s="471"/>
    </row>
    <row r="1401" spans="3:26" ht="15.75" thickBot="1">
      <c r="C1401" s="15"/>
      <c r="D1401" s="455"/>
      <c r="E1401" s="456"/>
      <c r="F1401" s="6">
        <f t="shared" si="56"/>
        <v>1860.75</v>
      </c>
      <c r="G1401" s="462" t="s">
        <v>304</v>
      </c>
      <c r="H1401" s="464"/>
      <c r="I1401" s="20">
        <f t="shared" si="57"/>
        <v>150</v>
      </c>
      <c r="J1401" s="462" t="s">
        <v>974</v>
      </c>
      <c r="K1401" s="464"/>
      <c r="L1401" s="76"/>
      <c r="M1401" s="25"/>
      <c r="N1401" s="294"/>
      <c r="O1401" s="136" t="s">
        <v>324</v>
      </c>
      <c r="P1401" s="319">
        <f>P1384+P1402</f>
        <v>6735</v>
      </c>
      <c r="Q1401" s="320">
        <f>Z1397+Z1398+Z1399</f>
        <v>0</v>
      </c>
      <c r="R1401" s="144" t="s">
        <v>425</v>
      </c>
      <c r="S1401" s="465"/>
      <c r="T1401" s="466"/>
      <c r="U1401" s="467"/>
      <c r="V1401" s="468"/>
      <c r="W1401" s="146" t="s">
        <v>375</v>
      </c>
      <c r="X1401" s="325"/>
      <c r="Y1401" s="143" t="s">
        <v>15</v>
      </c>
      <c r="Z1401" s="12"/>
    </row>
    <row r="1402" spans="3:26" ht="15.75" thickBot="1">
      <c r="C1402" s="15"/>
      <c r="D1402" s="462"/>
      <c r="E1402" s="463"/>
      <c r="F1402" s="6">
        <f t="shared" si="56"/>
        <v>70</v>
      </c>
      <c r="G1402" s="462" t="s">
        <v>982</v>
      </c>
      <c r="H1402" s="464"/>
      <c r="I1402" s="20">
        <f t="shared" si="57"/>
        <v>150</v>
      </c>
      <c r="J1402" s="462" t="s">
        <v>105</v>
      </c>
      <c r="K1402" s="464"/>
      <c r="L1402" s="76"/>
      <c r="M1402" s="25"/>
      <c r="N1402" s="294"/>
      <c r="O1402" s="140" t="s">
        <v>321</v>
      </c>
      <c r="P1402" s="132">
        <f>SUM(L1396:L1409)</f>
        <v>200</v>
      </c>
      <c r="Q1402" s="72">
        <f>Q1401-Q1384</f>
        <v>0</v>
      </c>
      <c r="R1402" s="144" t="s">
        <v>426</v>
      </c>
      <c r="S1402" s="465"/>
      <c r="T1402" s="466"/>
      <c r="U1402" s="467"/>
      <c r="V1402" s="468"/>
      <c r="W1402" s="470" t="s">
        <v>376</v>
      </c>
      <c r="X1402" s="471"/>
      <c r="Y1402" s="146" t="s">
        <v>325</v>
      </c>
      <c r="Z1402" s="10"/>
    </row>
    <row r="1403" spans="3:26" ht="16.5" thickTop="1" thickBot="1">
      <c r="C1403" s="15"/>
      <c r="D1403" s="462"/>
      <c r="E1403" s="463"/>
      <c r="F1403" s="6">
        <f t="shared" si="56"/>
        <v>50</v>
      </c>
      <c r="G1403" s="462" t="s">
        <v>926</v>
      </c>
      <c r="H1403" s="464"/>
      <c r="I1403" s="20">
        <f t="shared" si="57"/>
        <v>400</v>
      </c>
      <c r="J1403" s="462" t="s">
        <v>206</v>
      </c>
      <c r="K1403" s="464"/>
      <c r="L1403" s="76"/>
      <c r="M1403" s="25"/>
      <c r="N1403" s="292"/>
      <c r="O1403" s="141" t="s">
        <v>322</v>
      </c>
      <c r="P1403" s="133">
        <f>P1402/29</f>
        <v>6.8965517241379306</v>
      </c>
      <c r="Q1403" s="10">
        <f>Q1402/29</f>
        <v>0</v>
      </c>
      <c r="R1403" s="144" t="s">
        <v>422</v>
      </c>
      <c r="S1403" s="465"/>
      <c r="T1403" s="466"/>
      <c r="U1403" s="467"/>
      <c r="V1403" s="468"/>
      <c r="W1403" s="289" t="s">
        <v>12</v>
      </c>
      <c r="X1403" s="38"/>
      <c r="Y1403" s="470" t="s">
        <v>374</v>
      </c>
      <c r="Z1403" s="471"/>
    </row>
    <row r="1404" spans="3:26" ht="16.5" thickTop="1" thickBot="1">
      <c r="C1404" s="15"/>
      <c r="D1404" s="462"/>
      <c r="E1404" s="463"/>
      <c r="F1404" s="6">
        <f t="shared" si="56"/>
        <v>150</v>
      </c>
      <c r="G1404" s="462" t="s">
        <v>927</v>
      </c>
      <c r="H1404" s="464"/>
      <c r="I1404" s="20"/>
      <c r="J1404" s="462"/>
      <c r="K1404" s="464"/>
      <c r="L1404" s="76"/>
      <c r="M1404" s="25"/>
      <c r="N1404" s="293"/>
      <c r="O1404" s="136" t="s">
        <v>325</v>
      </c>
      <c r="P1404" s="319">
        <f>P1387+P1405</f>
        <v>5058.88</v>
      </c>
      <c r="Q1404" s="320">
        <f>Z1402</f>
        <v>0</v>
      </c>
      <c r="R1404" s="143" t="s">
        <v>421</v>
      </c>
      <c r="S1404" s="465"/>
      <c r="T1404" s="466"/>
      <c r="U1404" s="467"/>
      <c r="V1404" s="468"/>
      <c r="W1404" s="282" t="s">
        <v>373</v>
      </c>
      <c r="X1404" s="281"/>
      <c r="Y1404" s="321" t="s">
        <v>181</v>
      </c>
      <c r="Z1404" s="322">
        <v>0</v>
      </c>
    </row>
    <row r="1405" spans="3:26" ht="15.75" thickBot="1">
      <c r="C1405" s="266"/>
      <c r="D1405" s="448"/>
      <c r="E1405" s="469"/>
      <c r="F1405" s="6">
        <f t="shared" si="56"/>
        <v>150</v>
      </c>
      <c r="G1405" s="462" t="s">
        <v>925</v>
      </c>
      <c r="H1405" s="464"/>
      <c r="I1405" s="20"/>
      <c r="J1405" s="462"/>
      <c r="K1405" s="464"/>
      <c r="L1405" s="76"/>
      <c r="M1405" s="25"/>
      <c r="N1405" s="295"/>
      <c r="O1405" s="140" t="s">
        <v>321</v>
      </c>
      <c r="P1405" s="132">
        <f>SUM(M1396:M1409)</f>
        <v>150</v>
      </c>
      <c r="Q1405" s="72">
        <f>Q1404-Q1387</f>
        <v>0</v>
      </c>
      <c r="R1405" s="144" t="s">
        <v>418</v>
      </c>
      <c r="S1405" s="465"/>
      <c r="T1405" s="466"/>
      <c r="U1405" s="467"/>
      <c r="V1405" s="468"/>
      <c r="W1405" s="282" t="s">
        <v>378</v>
      </c>
      <c r="X1405" s="281"/>
      <c r="Y1405" s="470" t="s">
        <v>1000</v>
      </c>
      <c r="Z1405" s="471"/>
    </row>
    <row r="1406" spans="3:26" ht="16.5" thickTop="1" thickBot="1">
      <c r="C1406" s="266"/>
      <c r="D1406" s="448" t="s">
        <v>1001</v>
      </c>
      <c r="E1406" s="469"/>
      <c r="F1406" s="6">
        <f t="shared" si="56"/>
        <v>30</v>
      </c>
      <c r="G1406" s="462" t="s">
        <v>33</v>
      </c>
      <c r="H1406" s="464"/>
      <c r="I1406" s="20"/>
      <c r="J1406" s="462"/>
      <c r="K1406" s="464"/>
      <c r="L1406" s="76"/>
      <c r="M1406" s="25"/>
      <c r="N1406" s="293"/>
      <c r="O1406" s="141" t="s">
        <v>322</v>
      </c>
      <c r="P1406" s="133">
        <f>P1405/29</f>
        <v>5.1724137931034484</v>
      </c>
      <c r="Q1406" s="10">
        <f>Q1405/29</f>
        <v>0</v>
      </c>
      <c r="R1406" s="144" t="s">
        <v>438</v>
      </c>
      <c r="S1406" s="465"/>
      <c r="T1406" s="466"/>
      <c r="U1406" s="472"/>
      <c r="V1406" s="473"/>
      <c r="W1406" s="289" t="s">
        <v>379</v>
      </c>
      <c r="X1406" s="281"/>
      <c r="Y1406" s="143" t="s">
        <v>12</v>
      </c>
      <c r="Z1406" s="12"/>
    </row>
    <row r="1407" spans="3:26" ht="15.75" thickBot="1">
      <c r="C1407" s="15">
        <f>C1390</f>
        <v>4775.66</v>
      </c>
      <c r="D1407" s="455" t="s">
        <v>11</v>
      </c>
      <c r="E1407" s="456"/>
      <c r="F1407" s="15"/>
      <c r="G1407" s="462"/>
      <c r="H1407" s="464"/>
      <c r="I1407" s="20"/>
      <c r="J1407" s="462"/>
      <c r="K1407" s="464"/>
      <c r="L1407" s="76"/>
      <c r="M1407" s="25"/>
      <c r="N1407" s="295"/>
      <c r="O1407" s="136" t="s">
        <v>323</v>
      </c>
      <c r="P1407" s="319">
        <f>P1390+P1408</f>
        <v>16512.45730445853</v>
      </c>
      <c r="Q1407" s="320">
        <f>S1396+U1396</f>
        <v>0</v>
      </c>
      <c r="R1407" s="144" t="s">
        <v>380</v>
      </c>
      <c r="S1407" s="291">
        <f>S1398-S1399</f>
        <v>0</v>
      </c>
      <c r="T1407" s="327" t="e">
        <f>S1407/S1399</f>
        <v>#DIV/0!</v>
      </c>
      <c r="U1407" s="291">
        <f>U1398-U1399</f>
        <v>0</v>
      </c>
      <c r="V1407" s="329" t="e">
        <f>U1407/U1399</f>
        <v>#DIV/0!</v>
      </c>
      <c r="W1407" s="146" t="s">
        <v>375</v>
      </c>
      <c r="X1407" s="326"/>
      <c r="Y1407" s="144" t="s">
        <v>373</v>
      </c>
      <c r="Z1407" s="72"/>
    </row>
    <row r="1408" spans="3:26">
      <c r="C1408" s="15"/>
      <c r="D1408" s="455" t="s">
        <v>390</v>
      </c>
      <c r="E1408" s="456"/>
      <c r="F1408" s="15"/>
      <c r="G1408" s="457" t="s">
        <v>38</v>
      </c>
      <c r="H1408" s="458"/>
      <c r="I1408" s="20"/>
      <c r="J1408" s="457" t="s">
        <v>38</v>
      </c>
      <c r="K1408" s="458"/>
      <c r="L1408" s="76"/>
      <c r="M1408" s="25"/>
      <c r="N1408" s="293"/>
      <c r="O1408" s="140" t="s">
        <v>321</v>
      </c>
      <c r="P1408" s="132">
        <f>SUM(N1396:N1409)</f>
        <v>200</v>
      </c>
      <c r="Q1408" s="72">
        <f>Q1407-Q1390</f>
        <v>0</v>
      </c>
      <c r="R1408" s="144" t="s">
        <v>381</v>
      </c>
      <c r="S1408" s="291">
        <f>S1396-S1401</f>
        <v>0</v>
      </c>
      <c r="T1408" s="327" t="e">
        <f>S1408/S1401</f>
        <v>#DIV/0!</v>
      </c>
      <c r="U1408" s="291">
        <f>U1396-U1401</f>
        <v>0</v>
      </c>
      <c r="V1408" s="366" t="e">
        <f>U1408/ABS(U1401)</f>
        <v>#DIV/0!</v>
      </c>
      <c r="W1408" s="337" t="s">
        <v>410</v>
      </c>
      <c r="X1408" s="1" t="s">
        <v>558</v>
      </c>
      <c r="Y1408" s="144" t="s">
        <v>379</v>
      </c>
      <c r="Z1408" s="72"/>
    </row>
    <row r="1409" spans="3:26" ht="15.75" thickBot="1">
      <c r="C1409" s="17"/>
      <c r="D1409" s="459"/>
      <c r="E1409" s="460"/>
      <c r="F1409" s="17"/>
      <c r="G1409" s="459"/>
      <c r="H1409" s="461"/>
      <c r="I1409" s="21"/>
      <c r="J1409" s="459"/>
      <c r="K1409" s="461"/>
      <c r="L1409" s="42"/>
      <c r="M1409" s="5"/>
      <c r="N1409" s="21"/>
      <c r="O1409" s="137" t="s">
        <v>322</v>
      </c>
      <c r="P1409" s="138">
        <f>P1408/29</f>
        <v>6.8965517241379306</v>
      </c>
      <c r="Q1409" s="24">
        <f>Q1408/29</f>
        <v>0</v>
      </c>
      <c r="R1409" s="153" t="s">
        <v>410</v>
      </c>
      <c r="S1409" s="296">
        <f>S1407+S1408</f>
        <v>0</v>
      </c>
      <c r="T1409" s="328" t="e">
        <f>S1409/S1397</f>
        <v>#DIV/0!</v>
      </c>
      <c r="U1409" s="296">
        <f>U1408+U1407</f>
        <v>0</v>
      </c>
      <c r="V1409" s="330" t="e">
        <f>U1409/U1397</f>
        <v>#DIV/0!</v>
      </c>
      <c r="W1409" s="296">
        <f>S1409+U1409</f>
        <v>0</v>
      </c>
      <c r="X1409" s="330" t="e">
        <f>(W1409+S1397+U1397)/(S1397+U1397)-1</f>
        <v>#DIV/0!</v>
      </c>
      <c r="Y1409" s="153" t="s">
        <v>375</v>
      </c>
      <c r="Z1409" s="389"/>
    </row>
    <row r="1410" spans="3:26" ht="17.25" thickTop="1" thickBot="1">
      <c r="C1410" s="264">
        <v>47088</v>
      </c>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spans="3:26" ht="17.25" thickTop="1" thickBot="1">
      <c r="C1411" s="480" t="s">
        <v>386</v>
      </c>
      <c r="D1411" s="481"/>
      <c r="E1411" s="482"/>
      <c r="F1411" s="483" t="s">
        <v>387</v>
      </c>
      <c r="G1411" s="484"/>
      <c r="H1411" s="484"/>
      <c r="I1411" s="484"/>
      <c r="J1411" s="484"/>
      <c r="K1411" s="484"/>
      <c r="L1411" s="484"/>
      <c r="M1411" s="484"/>
      <c r="N1411" s="485"/>
      <c r="O1411" s="261" t="s">
        <v>320</v>
      </c>
      <c r="P1411" s="262" t="s">
        <v>257</v>
      </c>
      <c r="Q1411" s="263" t="s">
        <v>319</v>
      </c>
      <c r="R1411" s="486" t="s">
        <v>144</v>
      </c>
      <c r="S1411" s="487"/>
      <c r="T1411" s="487"/>
      <c r="U1411" s="487"/>
      <c r="V1411" s="487"/>
      <c r="W1411" s="487"/>
      <c r="X1411" s="487"/>
      <c r="Y1411" s="487"/>
      <c r="Z1411" s="488"/>
    </row>
    <row r="1412" spans="3:26" ht="15.75" thickBot="1">
      <c r="C1412" s="265"/>
      <c r="D1412" s="489"/>
      <c r="E1412" s="490"/>
      <c r="F1412" s="470" t="s">
        <v>3</v>
      </c>
      <c r="G1412" s="491"/>
      <c r="H1412" s="492"/>
      <c r="I1412" s="493" t="s">
        <v>4</v>
      </c>
      <c r="J1412" s="491"/>
      <c r="K1412" s="492"/>
      <c r="L1412" s="267" t="s">
        <v>324</v>
      </c>
      <c r="M1412" s="267" t="s">
        <v>325</v>
      </c>
      <c r="N1412" s="267" t="s">
        <v>323</v>
      </c>
      <c r="O1412" s="316" t="s">
        <v>5</v>
      </c>
      <c r="P1412" s="317">
        <f>P1415+P1418+P1421+P1424</f>
        <v>33874.667304458519</v>
      </c>
      <c r="Q1412" s="318">
        <f>Q1421+Q1418+Q1415+Q1424</f>
        <v>0</v>
      </c>
      <c r="R1412" s="268" t="s">
        <v>323</v>
      </c>
      <c r="S1412" s="493" t="s">
        <v>317</v>
      </c>
      <c r="T1412" s="492"/>
      <c r="U1412" s="493" t="s">
        <v>369</v>
      </c>
      <c r="V1412" s="471"/>
      <c r="W1412" s="470" t="s">
        <v>310</v>
      </c>
      <c r="X1412" s="471"/>
      <c r="Y1412" s="470" t="s">
        <v>13</v>
      </c>
      <c r="Z1412" s="471"/>
    </row>
    <row r="1413" spans="3:26" ht="16.5" thickTop="1" thickBot="1">
      <c r="C1413" s="15"/>
      <c r="D1413" s="494"/>
      <c r="E1413" s="495"/>
      <c r="G1413" s="496"/>
      <c r="H1413" s="497"/>
      <c r="J1413" s="496"/>
      <c r="K1413" s="497"/>
      <c r="L1413" s="76"/>
      <c r="M1413" s="25"/>
      <c r="N1413" s="292"/>
      <c r="O1413" s="258" t="s">
        <v>321</v>
      </c>
      <c r="P1413" s="315">
        <f>SUM(C1413:C1426)-SUM(F1413:F1426)-SUM(I1413:I1426)</f>
        <v>689.02999999999986</v>
      </c>
      <c r="Q1413" s="12">
        <f>Q1412-Q1395</f>
        <v>0</v>
      </c>
      <c r="R1413" s="307" t="s">
        <v>343</v>
      </c>
      <c r="S1413" s="498"/>
      <c r="T1413" s="499"/>
      <c r="U1413" s="498"/>
      <c r="V1413" s="500"/>
      <c r="W1413" s="501" t="s">
        <v>326</v>
      </c>
      <c r="X1413" s="502"/>
      <c r="Y1413" s="143" t="s">
        <v>17</v>
      </c>
      <c r="Z1413" s="12"/>
    </row>
    <row r="1414" spans="3:26" ht="16.5" thickTop="1" thickBot="1">
      <c r="C1414" s="15"/>
      <c r="D1414" s="455" t="s">
        <v>11</v>
      </c>
      <c r="E1414" s="456"/>
      <c r="F1414" s="6">
        <f>F1397</f>
        <v>400</v>
      </c>
      <c r="G1414" s="462" t="s">
        <v>223</v>
      </c>
      <c r="H1414" s="464"/>
      <c r="I1414" s="20">
        <f>I1397</f>
        <v>11.99</v>
      </c>
      <c r="J1414" s="462" t="s">
        <v>385</v>
      </c>
      <c r="K1414" s="464"/>
      <c r="L1414" s="76">
        <f>L1397</f>
        <v>200</v>
      </c>
      <c r="M1414" s="76">
        <f>M1397</f>
        <v>150</v>
      </c>
      <c r="N1414" s="76">
        <f>N1397</f>
        <v>200</v>
      </c>
      <c r="O1414" s="141" t="s">
        <v>322</v>
      </c>
      <c r="P1414" s="133">
        <f>P1413/29</f>
        <v>23.759655172413787</v>
      </c>
      <c r="Q1414" s="10">
        <f>Q1413/29</f>
        <v>0</v>
      </c>
      <c r="R1414" s="308" t="s">
        <v>382</v>
      </c>
      <c r="S1414" s="474"/>
      <c r="T1414" s="475"/>
      <c r="U1414" s="467"/>
      <c r="V1414" s="468"/>
      <c r="W1414" s="289" t="s">
        <v>12</v>
      </c>
      <c r="X1414" s="315"/>
      <c r="Y1414" s="144" t="s">
        <v>18</v>
      </c>
      <c r="Z1414" s="72"/>
    </row>
    <row r="1415" spans="3:26">
      <c r="C1415" s="15"/>
      <c r="D1415" s="455" t="s">
        <v>390</v>
      </c>
      <c r="E1415" s="456"/>
      <c r="F1415" s="6">
        <f t="shared" ref="F1415:F1423" si="58">F1398</f>
        <v>100</v>
      </c>
      <c r="G1415" s="462" t="s">
        <v>9</v>
      </c>
      <c r="H1415" s="464"/>
      <c r="I1415" s="20">
        <f t="shared" ref="I1415:I1420" si="59">I1398</f>
        <v>11.99</v>
      </c>
      <c r="J1415" s="462" t="s">
        <v>22</v>
      </c>
      <c r="K1415" s="464"/>
      <c r="L1415" s="76"/>
      <c r="M1415" s="25"/>
      <c r="N1415" s="294"/>
      <c r="O1415" s="136" t="s">
        <v>12</v>
      </c>
      <c r="P1415" s="319">
        <f>P1398+P1413-SUM(L1413:L1426)-SUM(M1413:M1426)-SUM(N1413:N1426)</f>
        <v>5018.329999999989</v>
      </c>
      <c r="Q1415" s="320">
        <f>Z1413+Z1418+Z1421</f>
        <v>0</v>
      </c>
      <c r="R1415" s="308" t="s">
        <v>383</v>
      </c>
      <c r="S1415" s="474"/>
      <c r="T1415" s="475"/>
      <c r="U1415" s="467"/>
      <c r="V1415" s="468"/>
      <c r="W1415" s="282" t="s">
        <v>373</v>
      </c>
      <c r="X1415" s="132"/>
      <c r="Y1415" s="144" t="s">
        <v>19</v>
      </c>
      <c r="Z1415" s="72"/>
    </row>
    <row r="1416" spans="3:26" ht="15.75" thickBot="1">
      <c r="C1416" s="15"/>
      <c r="D1416" s="462"/>
      <c r="E1416" s="463"/>
      <c r="F1416" s="6">
        <f t="shared" si="58"/>
        <v>150</v>
      </c>
      <c r="G1416" s="462" t="s">
        <v>6</v>
      </c>
      <c r="H1416" s="464"/>
      <c r="I1416" s="20">
        <f t="shared" si="59"/>
        <v>20</v>
      </c>
      <c r="J1416" s="462" t="s">
        <v>920</v>
      </c>
      <c r="K1416" s="464"/>
      <c r="L1416" s="76"/>
      <c r="M1416" s="25"/>
      <c r="N1416" s="20"/>
      <c r="O1416" s="140" t="s">
        <v>321</v>
      </c>
      <c r="P1416" s="132">
        <f>SUM(C1413:C1426)-SUM(F1413:F1426)-SUM(I1413:I1426)-P1419-P1422-P1425</f>
        <v>139.02999999999986</v>
      </c>
      <c r="Q1416" s="72">
        <f>Q1415-Q1398</f>
        <v>0</v>
      </c>
      <c r="R1416" s="308" t="s">
        <v>424</v>
      </c>
      <c r="S1416" s="474"/>
      <c r="T1416" s="475"/>
      <c r="U1416" s="467"/>
      <c r="V1416" s="468"/>
      <c r="W1416" s="282" t="s">
        <v>378</v>
      </c>
      <c r="X1416" s="132"/>
      <c r="Y1416" s="145" t="s">
        <v>324</v>
      </c>
      <c r="Z1416" s="135"/>
    </row>
    <row r="1417" spans="3:26" ht="15.75" thickBot="1">
      <c r="C1417" s="15"/>
      <c r="D1417" s="455"/>
      <c r="E1417" s="456"/>
      <c r="F1417" s="6">
        <f t="shared" si="58"/>
        <v>370</v>
      </c>
      <c r="G1417" s="462" t="s">
        <v>97</v>
      </c>
      <c r="H1417" s="464"/>
      <c r="I1417" s="20">
        <f t="shared" si="59"/>
        <v>11.9</v>
      </c>
      <c r="J1417" s="462" t="s">
        <v>249</v>
      </c>
      <c r="K1417" s="464"/>
      <c r="L1417" s="76"/>
      <c r="M1417" s="25"/>
      <c r="N1417" s="294"/>
      <c r="O1417" s="141" t="s">
        <v>322</v>
      </c>
      <c r="P1417" s="133">
        <f>P1416/29</f>
        <v>4.7941379310344781</v>
      </c>
      <c r="Q1417" s="10">
        <f>Q1416/29</f>
        <v>0</v>
      </c>
      <c r="R1417" s="143" t="s">
        <v>12</v>
      </c>
      <c r="S1417" s="476"/>
      <c r="T1417" s="477"/>
      <c r="U1417" s="478"/>
      <c r="V1417" s="479"/>
      <c r="W1417" s="289" t="s">
        <v>379</v>
      </c>
      <c r="X1417" s="132"/>
      <c r="Y1417" s="470" t="s">
        <v>14</v>
      </c>
      <c r="Z1417" s="471"/>
    </row>
    <row r="1418" spans="3:26" ht="15.75" thickBot="1">
      <c r="C1418" s="15"/>
      <c r="D1418" s="455"/>
      <c r="E1418" s="456"/>
      <c r="F1418" s="6">
        <f t="shared" si="58"/>
        <v>1860.75</v>
      </c>
      <c r="G1418" s="462" t="s">
        <v>304</v>
      </c>
      <c r="H1418" s="464"/>
      <c r="I1418" s="20">
        <f t="shared" si="59"/>
        <v>150</v>
      </c>
      <c r="J1418" s="462" t="s">
        <v>974</v>
      </c>
      <c r="K1418" s="464"/>
      <c r="L1418" s="76"/>
      <c r="M1418" s="25"/>
      <c r="N1418" s="294"/>
      <c r="O1418" s="136" t="s">
        <v>324</v>
      </c>
      <c r="P1418" s="319">
        <f>P1401+P1419</f>
        <v>6935</v>
      </c>
      <c r="Q1418" s="320">
        <f>Z1414+Z1415+Z1416</f>
        <v>0</v>
      </c>
      <c r="R1418" s="144" t="s">
        <v>425</v>
      </c>
      <c r="S1418" s="465"/>
      <c r="T1418" s="466"/>
      <c r="U1418" s="467"/>
      <c r="V1418" s="468"/>
      <c r="W1418" s="146" t="s">
        <v>375</v>
      </c>
      <c r="X1418" s="325"/>
      <c r="Y1418" s="143" t="s">
        <v>15</v>
      </c>
      <c r="Z1418" s="12"/>
    </row>
    <row r="1419" spans="3:26" ht="15.75" thickBot="1">
      <c r="C1419" s="15"/>
      <c r="D1419" s="462"/>
      <c r="E1419" s="463"/>
      <c r="F1419" s="6">
        <f t="shared" si="58"/>
        <v>70</v>
      </c>
      <c r="G1419" s="462" t="s">
        <v>982</v>
      </c>
      <c r="H1419" s="464"/>
      <c r="I1419" s="20">
        <f t="shared" si="59"/>
        <v>150</v>
      </c>
      <c r="J1419" s="462" t="s">
        <v>105</v>
      </c>
      <c r="K1419" s="464"/>
      <c r="L1419" s="76"/>
      <c r="M1419" s="25"/>
      <c r="N1419" s="294"/>
      <c r="O1419" s="140" t="s">
        <v>321</v>
      </c>
      <c r="P1419" s="132">
        <f>SUM(L1413:L1426)</f>
        <v>200</v>
      </c>
      <c r="Q1419" s="72">
        <f>Q1418-Q1401</f>
        <v>0</v>
      </c>
      <c r="R1419" s="144" t="s">
        <v>426</v>
      </c>
      <c r="S1419" s="465"/>
      <c r="T1419" s="466"/>
      <c r="U1419" s="467"/>
      <c r="V1419" s="468"/>
      <c r="W1419" s="470" t="s">
        <v>376</v>
      </c>
      <c r="X1419" s="471"/>
      <c r="Y1419" s="146" t="s">
        <v>325</v>
      </c>
      <c r="Z1419" s="10"/>
    </row>
    <row r="1420" spans="3:26" ht="16.5" thickTop="1" thickBot="1">
      <c r="C1420" s="15"/>
      <c r="D1420" s="462"/>
      <c r="E1420" s="463"/>
      <c r="F1420" s="6">
        <f t="shared" si="58"/>
        <v>50</v>
      </c>
      <c r="G1420" s="462" t="s">
        <v>926</v>
      </c>
      <c r="H1420" s="464"/>
      <c r="I1420" s="20">
        <f t="shared" si="59"/>
        <v>400</v>
      </c>
      <c r="J1420" s="462" t="s">
        <v>206</v>
      </c>
      <c r="K1420" s="464"/>
      <c r="L1420" s="76"/>
      <c r="M1420" s="25"/>
      <c r="N1420" s="292"/>
      <c r="O1420" s="141" t="s">
        <v>322</v>
      </c>
      <c r="P1420" s="133">
        <f>P1419/29</f>
        <v>6.8965517241379306</v>
      </c>
      <c r="Q1420" s="10">
        <f>Q1419/29</f>
        <v>0</v>
      </c>
      <c r="R1420" s="144" t="s">
        <v>422</v>
      </c>
      <c r="S1420" s="465"/>
      <c r="T1420" s="466"/>
      <c r="U1420" s="467"/>
      <c r="V1420" s="468"/>
      <c r="W1420" s="289" t="s">
        <v>12</v>
      </c>
      <c r="X1420" s="38"/>
      <c r="Y1420" s="470" t="s">
        <v>374</v>
      </c>
      <c r="Z1420" s="471"/>
    </row>
    <row r="1421" spans="3:26" ht="16.5" thickTop="1" thickBot="1">
      <c r="C1421" s="15"/>
      <c r="D1421" s="462"/>
      <c r="E1421" s="463"/>
      <c r="F1421" s="6">
        <f t="shared" si="58"/>
        <v>150</v>
      </c>
      <c r="G1421" s="462" t="s">
        <v>927</v>
      </c>
      <c r="H1421" s="464"/>
      <c r="I1421" s="20"/>
      <c r="J1421" s="462"/>
      <c r="K1421" s="464"/>
      <c r="L1421" s="76"/>
      <c r="M1421" s="25"/>
      <c r="N1421" s="293"/>
      <c r="O1421" s="136" t="s">
        <v>325</v>
      </c>
      <c r="P1421" s="319">
        <f>P1404+P1422</f>
        <v>5208.88</v>
      </c>
      <c r="Q1421" s="320">
        <f>Z1419</f>
        <v>0</v>
      </c>
      <c r="R1421" s="143" t="s">
        <v>421</v>
      </c>
      <c r="S1421" s="465"/>
      <c r="T1421" s="466"/>
      <c r="U1421" s="467"/>
      <c r="V1421" s="468"/>
      <c r="W1421" s="282" t="s">
        <v>373</v>
      </c>
      <c r="X1421" s="281"/>
      <c r="Y1421" s="321" t="s">
        <v>181</v>
      </c>
      <c r="Z1421" s="322">
        <v>0</v>
      </c>
    </row>
    <row r="1422" spans="3:26" ht="15.75" thickBot="1">
      <c r="C1422" s="266"/>
      <c r="D1422" s="448"/>
      <c r="E1422" s="469"/>
      <c r="F1422" s="6">
        <f t="shared" si="58"/>
        <v>150</v>
      </c>
      <c r="G1422" s="462" t="s">
        <v>925</v>
      </c>
      <c r="H1422" s="464"/>
      <c r="I1422" s="20"/>
      <c r="J1422" s="462"/>
      <c r="K1422" s="464"/>
      <c r="L1422" s="76"/>
      <c r="M1422" s="25"/>
      <c r="N1422" s="295"/>
      <c r="O1422" s="140" t="s">
        <v>321</v>
      </c>
      <c r="P1422" s="132">
        <f>SUM(M1413:M1426)</f>
        <v>150</v>
      </c>
      <c r="Q1422" s="72">
        <f>Q1421-Q1404</f>
        <v>0</v>
      </c>
      <c r="R1422" s="144" t="s">
        <v>418</v>
      </c>
      <c r="S1422" s="465"/>
      <c r="T1422" s="466"/>
      <c r="U1422" s="467"/>
      <c r="V1422" s="468"/>
      <c r="W1422" s="282" t="s">
        <v>378</v>
      </c>
      <c r="X1422" s="281"/>
      <c r="Y1422" s="470" t="s">
        <v>1000</v>
      </c>
      <c r="Z1422" s="471"/>
    </row>
    <row r="1423" spans="3:26" ht="16.5" thickTop="1" thickBot="1">
      <c r="C1423" s="266"/>
      <c r="D1423" s="448" t="s">
        <v>1001</v>
      </c>
      <c r="E1423" s="469"/>
      <c r="F1423" s="6">
        <f t="shared" si="58"/>
        <v>30</v>
      </c>
      <c r="G1423" s="462" t="s">
        <v>33</v>
      </c>
      <c r="H1423" s="464"/>
      <c r="I1423" s="20"/>
      <c r="J1423" s="462"/>
      <c r="K1423" s="464"/>
      <c r="L1423" s="76"/>
      <c r="M1423" s="25"/>
      <c r="N1423" s="293"/>
      <c r="O1423" s="141" t="s">
        <v>322</v>
      </c>
      <c r="P1423" s="133">
        <f>P1422/29</f>
        <v>5.1724137931034484</v>
      </c>
      <c r="Q1423" s="10">
        <f>Q1422/29</f>
        <v>0</v>
      </c>
      <c r="R1423" s="144" t="s">
        <v>438</v>
      </c>
      <c r="S1423" s="465"/>
      <c r="T1423" s="466"/>
      <c r="U1423" s="472"/>
      <c r="V1423" s="473"/>
      <c r="W1423" s="289" t="s">
        <v>379</v>
      </c>
      <c r="X1423" s="281"/>
      <c r="Y1423" s="143" t="s">
        <v>12</v>
      </c>
      <c r="Z1423" s="12"/>
    </row>
    <row r="1424" spans="3:26" ht="15.75" thickBot="1">
      <c r="C1424" s="15">
        <f>C1407</f>
        <v>4775.66</v>
      </c>
      <c r="D1424" s="455" t="s">
        <v>11</v>
      </c>
      <c r="E1424" s="456"/>
      <c r="F1424" s="15"/>
      <c r="G1424" s="462"/>
      <c r="H1424" s="464"/>
      <c r="I1424" s="20"/>
      <c r="J1424" s="462"/>
      <c r="K1424" s="464"/>
      <c r="L1424" s="76"/>
      <c r="M1424" s="25"/>
      <c r="N1424" s="295"/>
      <c r="O1424" s="136" t="s">
        <v>323</v>
      </c>
      <c r="P1424" s="319">
        <f>P1407+P1425</f>
        <v>16712.45730445853</v>
      </c>
      <c r="Q1424" s="320">
        <f>S1413+U1413</f>
        <v>0</v>
      </c>
      <c r="R1424" s="144" t="s">
        <v>380</v>
      </c>
      <c r="S1424" s="291">
        <f>S1415-S1416</f>
        <v>0</v>
      </c>
      <c r="T1424" s="327" t="e">
        <f>S1424/S1416</f>
        <v>#DIV/0!</v>
      </c>
      <c r="U1424" s="291">
        <f>U1415-U1416</f>
        <v>0</v>
      </c>
      <c r="V1424" s="329" t="e">
        <f>U1424/U1416</f>
        <v>#DIV/0!</v>
      </c>
      <c r="W1424" s="146" t="s">
        <v>375</v>
      </c>
      <c r="X1424" s="326"/>
      <c r="Y1424" s="144" t="s">
        <v>373</v>
      </c>
      <c r="Z1424" s="72"/>
    </row>
    <row r="1425" spans="3:26">
      <c r="C1425" s="15"/>
      <c r="D1425" s="455" t="s">
        <v>390</v>
      </c>
      <c r="E1425" s="456"/>
      <c r="F1425" s="15"/>
      <c r="G1425" s="457" t="s">
        <v>38</v>
      </c>
      <c r="H1425" s="458"/>
      <c r="I1425" s="20"/>
      <c r="J1425" s="457" t="s">
        <v>38</v>
      </c>
      <c r="K1425" s="458"/>
      <c r="L1425" s="76"/>
      <c r="M1425" s="25"/>
      <c r="N1425" s="293"/>
      <c r="O1425" s="140" t="s">
        <v>321</v>
      </c>
      <c r="P1425" s="132">
        <f>SUM(N1413:N1426)</f>
        <v>200</v>
      </c>
      <c r="Q1425" s="72">
        <f>Q1424-Q1407</f>
        <v>0</v>
      </c>
      <c r="R1425" s="144" t="s">
        <v>381</v>
      </c>
      <c r="S1425" s="291">
        <f>S1413-S1418</f>
        <v>0</v>
      </c>
      <c r="T1425" s="327" t="e">
        <f>S1425/S1418</f>
        <v>#DIV/0!</v>
      </c>
      <c r="U1425" s="291">
        <f>U1413-U1418</f>
        <v>0</v>
      </c>
      <c r="V1425" s="366" t="e">
        <f>U1425/ABS(U1418)</f>
        <v>#DIV/0!</v>
      </c>
      <c r="W1425" s="337" t="s">
        <v>410</v>
      </c>
      <c r="X1425" s="1" t="s">
        <v>558</v>
      </c>
      <c r="Y1425" s="144" t="s">
        <v>379</v>
      </c>
      <c r="Z1425" s="72"/>
    </row>
    <row r="1426" spans="3:26" ht="15.75" thickBot="1">
      <c r="C1426" s="17"/>
      <c r="D1426" s="459"/>
      <c r="E1426" s="460"/>
      <c r="F1426" s="17"/>
      <c r="G1426" s="459"/>
      <c r="H1426" s="461"/>
      <c r="I1426" s="21"/>
      <c r="J1426" s="459"/>
      <c r="K1426" s="461"/>
      <c r="L1426" s="42"/>
      <c r="M1426" s="5"/>
      <c r="N1426" s="21"/>
      <c r="O1426" s="137" t="s">
        <v>322</v>
      </c>
      <c r="P1426" s="138">
        <f>P1425/29</f>
        <v>6.8965517241379306</v>
      </c>
      <c r="Q1426" s="24">
        <f>Q1425/29</f>
        <v>0</v>
      </c>
      <c r="R1426" s="153" t="s">
        <v>410</v>
      </c>
      <c r="S1426" s="296">
        <f>S1424+S1425</f>
        <v>0</v>
      </c>
      <c r="T1426" s="328" t="e">
        <f>S1426/S1414</f>
        <v>#DIV/0!</v>
      </c>
      <c r="U1426" s="296">
        <f>U1425+U1424</f>
        <v>0</v>
      </c>
      <c r="V1426" s="330" t="e">
        <f>U1426/U1414</f>
        <v>#DIV/0!</v>
      </c>
      <c r="W1426" s="296">
        <f>S1426+U1426</f>
        <v>0</v>
      </c>
      <c r="X1426" s="330" t="e">
        <f>(W1426+S1414+U1414)/(S1414+U1414)-1</f>
        <v>#DIV/0!</v>
      </c>
      <c r="Y1426" s="153" t="s">
        <v>375</v>
      </c>
      <c r="Z1426" s="389"/>
    </row>
    <row r="1427" spans="3:26" ht="17.25" thickTop="1" thickBot="1">
      <c r="C1427" s="264">
        <v>47119</v>
      </c>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spans="3:26" ht="17.25" thickTop="1" thickBot="1">
      <c r="C1428" s="480" t="s">
        <v>386</v>
      </c>
      <c r="D1428" s="481"/>
      <c r="E1428" s="482"/>
      <c r="F1428" s="483" t="s">
        <v>387</v>
      </c>
      <c r="G1428" s="484"/>
      <c r="H1428" s="484"/>
      <c r="I1428" s="484"/>
      <c r="J1428" s="484"/>
      <c r="K1428" s="484"/>
      <c r="L1428" s="484"/>
      <c r="M1428" s="484"/>
      <c r="N1428" s="485"/>
      <c r="O1428" s="261" t="s">
        <v>320</v>
      </c>
      <c r="P1428" s="262" t="s">
        <v>257</v>
      </c>
      <c r="Q1428" s="263" t="s">
        <v>319</v>
      </c>
      <c r="R1428" s="486" t="s">
        <v>144</v>
      </c>
      <c r="S1428" s="487"/>
      <c r="T1428" s="487"/>
      <c r="U1428" s="487"/>
      <c r="V1428" s="487"/>
      <c r="W1428" s="487"/>
      <c r="X1428" s="487"/>
      <c r="Y1428" s="487"/>
      <c r="Z1428" s="488"/>
    </row>
    <row r="1429" spans="3:26" ht="15.75" thickBot="1">
      <c r="C1429" s="265"/>
      <c r="D1429" s="489"/>
      <c r="E1429" s="490"/>
      <c r="F1429" s="470" t="s">
        <v>3</v>
      </c>
      <c r="G1429" s="491"/>
      <c r="H1429" s="492"/>
      <c r="I1429" s="493" t="s">
        <v>4</v>
      </c>
      <c r="J1429" s="491"/>
      <c r="K1429" s="492"/>
      <c r="L1429" s="267" t="s">
        <v>324</v>
      </c>
      <c r="M1429" s="267" t="s">
        <v>325</v>
      </c>
      <c r="N1429" s="267" t="s">
        <v>323</v>
      </c>
      <c r="O1429" s="316" t="s">
        <v>5</v>
      </c>
      <c r="P1429" s="317">
        <f>P1432+P1435+P1438+P1441</f>
        <v>34563.697304458517</v>
      </c>
      <c r="Q1429" s="318">
        <f>Q1438+Q1435+Q1432+Q1441</f>
        <v>0</v>
      </c>
      <c r="R1429" s="268" t="s">
        <v>323</v>
      </c>
      <c r="S1429" s="493" t="s">
        <v>317</v>
      </c>
      <c r="T1429" s="492"/>
      <c r="U1429" s="493" t="s">
        <v>369</v>
      </c>
      <c r="V1429" s="471"/>
      <c r="W1429" s="470" t="s">
        <v>310</v>
      </c>
      <c r="X1429" s="471"/>
      <c r="Y1429" s="470" t="s">
        <v>13</v>
      </c>
      <c r="Z1429" s="471"/>
    </row>
    <row r="1430" spans="3:26" ht="16.5" thickTop="1" thickBot="1">
      <c r="C1430" s="15"/>
      <c r="D1430" s="494"/>
      <c r="E1430" s="495"/>
      <c r="G1430" s="496"/>
      <c r="H1430" s="497"/>
      <c r="J1430" s="496"/>
      <c r="K1430" s="497"/>
      <c r="L1430" s="76"/>
      <c r="M1430" s="25"/>
      <c r="N1430" s="292"/>
      <c r="O1430" s="258" t="s">
        <v>321</v>
      </c>
      <c r="P1430" s="315">
        <f>SUM(C1430:C1443)-SUM(F1430:F1443)-SUM(I1430:I1443)</f>
        <v>689.02999999999986</v>
      </c>
      <c r="Q1430" s="12">
        <f>Q1429-Q1412</f>
        <v>0</v>
      </c>
      <c r="R1430" s="307" t="s">
        <v>343</v>
      </c>
      <c r="S1430" s="498"/>
      <c r="T1430" s="499"/>
      <c r="U1430" s="498"/>
      <c r="V1430" s="500"/>
      <c r="W1430" s="501" t="s">
        <v>326</v>
      </c>
      <c r="X1430" s="502"/>
      <c r="Y1430" s="143" t="s">
        <v>17</v>
      </c>
      <c r="Z1430" s="12"/>
    </row>
    <row r="1431" spans="3:26" ht="16.5" thickTop="1" thickBot="1">
      <c r="C1431" s="15"/>
      <c r="D1431" s="455" t="s">
        <v>11</v>
      </c>
      <c r="E1431" s="456"/>
      <c r="F1431" s="6">
        <f>F1414</f>
        <v>400</v>
      </c>
      <c r="G1431" s="462" t="s">
        <v>223</v>
      </c>
      <c r="H1431" s="464"/>
      <c r="I1431" s="20">
        <f>I1414</f>
        <v>11.99</v>
      </c>
      <c r="J1431" s="462" t="s">
        <v>385</v>
      </c>
      <c r="K1431" s="464"/>
      <c r="L1431" s="76">
        <f>L1414</f>
        <v>200</v>
      </c>
      <c r="M1431" s="76">
        <f>M1414</f>
        <v>150</v>
      </c>
      <c r="N1431" s="76">
        <f>N1414</f>
        <v>200</v>
      </c>
      <c r="O1431" s="141" t="s">
        <v>322</v>
      </c>
      <c r="P1431" s="133">
        <f>P1430/29</f>
        <v>23.759655172413787</v>
      </c>
      <c r="Q1431" s="10">
        <f>Q1430/29</f>
        <v>0</v>
      </c>
      <c r="R1431" s="308" t="s">
        <v>382</v>
      </c>
      <c r="S1431" s="474"/>
      <c r="T1431" s="475"/>
      <c r="U1431" s="467"/>
      <c r="V1431" s="468"/>
      <c r="W1431" s="289" t="s">
        <v>12</v>
      </c>
      <c r="X1431" s="315"/>
      <c r="Y1431" s="144" t="s">
        <v>18</v>
      </c>
      <c r="Z1431" s="72"/>
    </row>
    <row r="1432" spans="3:26">
      <c r="C1432" s="15"/>
      <c r="D1432" s="455" t="s">
        <v>390</v>
      </c>
      <c r="E1432" s="456"/>
      <c r="F1432" s="6">
        <f t="shared" ref="F1432:F1440" si="60">F1415</f>
        <v>100</v>
      </c>
      <c r="G1432" s="462" t="s">
        <v>9</v>
      </c>
      <c r="H1432" s="464"/>
      <c r="I1432" s="20">
        <f>I1415</f>
        <v>11.99</v>
      </c>
      <c r="J1432" s="462" t="s">
        <v>22</v>
      </c>
      <c r="K1432" s="464"/>
      <c r="L1432" s="76"/>
      <c r="M1432" s="25"/>
      <c r="N1432" s="294"/>
      <c r="O1432" s="136" t="s">
        <v>12</v>
      </c>
      <c r="P1432" s="319">
        <f>P1415+P1430-SUM(L1430:L1443)-SUM(M1430:M1443)-SUM(N1430:N1443)</f>
        <v>5157.3599999999888</v>
      </c>
      <c r="Q1432" s="320">
        <f>Z1430+Z1435+Z1438</f>
        <v>0</v>
      </c>
      <c r="R1432" s="308" t="s">
        <v>383</v>
      </c>
      <c r="S1432" s="474"/>
      <c r="T1432" s="475"/>
      <c r="U1432" s="467"/>
      <c r="V1432" s="468"/>
      <c r="W1432" s="282" t="s">
        <v>373</v>
      </c>
      <c r="X1432" s="132"/>
      <c r="Y1432" s="144" t="s">
        <v>19</v>
      </c>
      <c r="Z1432" s="72"/>
    </row>
    <row r="1433" spans="3:26" ht="15.75" thickBot="1">
      <c r="C1433" s="15"/>
      <c r="D1433" s="462"/>
      <c r="E1433" s="463"/>
      <c r="F1433" s="6">
        <f t="shared" si="60"/>
        <v>150</v>
      </c>
      <c r="G1433" s="462" t="s">
        <v>6</v>
      </c>
      <c r="H1433" s="464"/>
      <c r="I1433" s="20">
        <f>I1416</f>
        <v>20</v>
      </c>
      <c r="J1433" s="462" t="s">
        <v>920</v>
      </c>
      <c r="K1433" s="464"/>
      <c r="L1433" s="76"/>
      <c r="M1433" s="25"/>
      <c r="N1433" s="20"/>
      <c r="O1433" s="140" t="s">
        <v>321</v>
      </c>
      <c r="P1433" s="132">
        <f>SUM(C1430:C1443)-SUM(F1430:F1443)-SUM(I1430:I1443)-P1436-P1439-P1442</f>
        <v>139.02999999999986</v>
      </c>
      <c r="Q1433" s="72">
        <f>Q1432-Q1415</f>
        <v>0</v>
      </c>
      <c r="R1433" s="308" t="s">
        <v>424</v>
      </c>
      <c r="S1433" s="474"/>
      <c r="T1433" s="475"/>
      <c r="U1433" s="467"/>
      <c r="V1433" s="468"/>
      <c r="W1433" s="282" t="s">
        <v>378</v>
      </c>
      <c r="X1433" s="132"/>
      <c r="Y1433" s="145" t="s">
        <v>324</v>
      </c>
      <c r="Z1433" s="135"/>
    </row>
    <row r="1434" spans="3:26" ht="15.75" thickBot="1">
      <c r="C1434" s="15"/>
      <c r="D1434" s="455"/>
      <c r="E1434" s="456"/>
      <c r="F1434" s="6">
        <f t="shared" si="60"/>
        <v>370</v>
      </c>
      <c r="G1434" s="462" t="s">
        <v>97</v>
      </c>
      <c r="H1434" s="464"/>
      <c r="I1434" s="20">
        <f>I1417</f>
        <v>11.9</v>
      </c>
      <c r="J1434" s="462" t="s">
        <v>249</v>
      </c>
      <c r="K1434" s="464"/>
      <c r="L1434" s="76"/>
      <c r="M1434" s="25"/>
      <c r="N1434" s="294"/>
      <c r="O1434" s="141" t="s">
        <v>322</v>
      </c>
      <c r="P1434" s="133">
        <f>P1433/29</f>
        <v>4.7941379310344781</v>
      </c>
      <c r="Q1434" s="10">
        <f>Q1433/29</f>
        <v>0</v>
      </c>
      <c r="R1434" s="143" t="s">
        <v>12</v>
      </c>
      <c r="S1434" s="476"/>
      <c r="T1434" s="477"/>
      <c r="U1434" s="478"/>
      <c r="V1434" s="479"/>
      <c r="W1434" s="289" t="s">
        <v>379</v>
      </c>
      <c r="X1434" s="132"/>
      <c r="Y1434" s="470" t="s">
        <v>14</v>
      </c>
      <c r="Z1434" s="471"/>
    </row>
    <row r="1435" spans="3:26" ht="15.75" thickBot="1">
      <c r="C1435" s="15"/>
      <c r="D1435" s="455"/>
      <c r="E1435" s="456"/>
      <c r="F1435" s="6">
        <f t="shared" si="60"/>
        <v>1860.75</v>
      </c>
      <c r="G1435" s="462" t="s">
        <v>304</v>
      </c>
      <c r="H1435" s="464"/>
      <c r="I1435" s="63">
        <v>150</v>
      </c>
      <c r="J1435" s="462" t="s">
        <v>974</v>
      </c>
      <c r="K1435" s="464"/>
      <c r="L1435" s="76"/>
      <c r="M1435" s="25"/>
      <c r="N1435" s="294"/>
      <c r="O1435" s="136" t="s">
        <v>324</v>
      </c>
      <c r="P1435" s="319">
        <f>P1418+P1436</f>
        <v>7135</v>
      </c>
      <c r="Q1435" s="320">
        <f>Z1431+Z1432+Z1433</f>
        <v>0</v>
      </c>
      <c r="R1435" s="144" t="s">
        <v>425</v>
      </c>
      <c r="S1435" s="465"/>
      <c r="T1435" s="466"/>
      <c r="U1435" s="467"/>
      <c r="V1435" s="468"/>
      <c r="W1435" s="146" t="s">
        <v>375</v>
      </c>
      <c r="X1435" s="325"/>
      <c r="Y1435" s="143" t="s">
        <v>15</v>
      </c>
      <c r="Z1435" s="12"/>
    </row>
    <row r="1436" spans="3:26" ht="15.75" thickBot="1">
      <c r="C1436" s="15"/>
      <c r="D1436" s="462"/>
      <c r="E1436" s="463"/>
      <c r="F1436" s="6">
        <f t="shared" si="60"/>
        <v>70</v>
      </c>
      <c r="G1436" s="462" t="s">
        <v>982</v>
      </c>
      <c r="H1436" s="464"/>
      <c r="I1436" s="20">
        <v>150</v>
      </c>
      <c r="J1436" s="462" t="s">
        <v>105</v>
      </c>
      <c r="K1436" s="464"/>
      <c r="L1436" s="76"/>
      <c r="M1436" s="25"/>
      <c r="N1436" s="294"/>
      <c r="O1436" s="140" t="s">
        <v>321</v>
      </c>
      <c r="P1436" s="132">
        <f>SUM(L1430:L1443)</f>
        <v>200</v>
      </c>
      <c r="Q1436" s="72">
        <f>Q1435-Q1418</f>
        <v>0</v>
      </c>
      <c r="R1436" s="144" t="s">
        <v>426</v>
      </c>
      <c r="S1436" s="465"/>
      <c r="T1436" s="466"/>
      <c r="U1436" s="467"/>
      <c r="V1436" s="468"/>
      <c r="W1436" s="470" t="s">
        <v>376</v>
      </c>
      <c r="X1436" s="471"/>
      <c r="Y1436" s="146" t="s">
        <v>325</v>
      </c>
      <c r="Z1436" s="10"/>
    </row>
    <row r="1437" spans="3:26" ht="16.5" thickTop="1" thickBot="1">
      <c r="C1437" s="15"/>
      <c r="D1437" s="462"/>
      <c r="E1437" s="463"/>
      <c r="F1437" s="6">
        <f t="shared" si="60"/>
        <v>50</v>
      </c>
      <c r="G1437" s="462" t="s">
        <v>926</v>
      </c>
      <c r="H1437" s="464"/>
      <c r="I1437" s="20">
        <v>400</v>
      </c>
      <c r="J1437" s="462" t="s">
        <v>206</v>
      </c>
      <c r="K1437" s="464"/>
      <c r="L1437" s="76"/>
      <c r="M1437" s="25"/>
      <c r="N1437" s="292"/>
      <c r="O1437" s="141" t="s">
        <v>322</v>
      </c>
      <c r="P1437" s="133">
        <f>P1436/29</f>
        <v>6.8965517241379306</v>
      </c>
      <c r="Q1437" s="10">
        <f>Q1436/29</f>
        <v>0</v>
      </c>
      <c r="R1437" s="144" t="s">
        <v>422</v>
      </c>
      <c r="S1437" s="465"/>
      <c r="T1437" s="466"/>
      <c r="U1437" s="467"/>
      <c r="V1437" s="468"/>
      <c r="W1437" s="289" t="s">
        <v>12</v>
      </c>
      <c r="X1437" s="38"/>
      <c r="Y1437" s="470" t="s">
        <v>374</v>
      </c>
      <c r="Z1437" s="471"/>
    </row>
    <row r="1438" spans="3:26" ht="16.5" thickTop="1" thickBot="1">
      <c r="C1438" s="15"/>
      <c r="D1438" s="462"/>
      <c r="E1438" s="463"/>
      <c r="F1438" s="6">
        <f t="shared" si="60"/>
        <v>150</v>
      </c>
      <c r="G1438" s="462" t="s">
        <v>927</v>
      </c>
      <c r="H1438" s="464"/>
      <c r="I1438" s="20"/>
      <c r="J1438" s="462"/>
      <c r="K1438" s="464"/>
      <c r="L1438" s="76"/>
      <c r="M1438" s="25"/>
      <c r="N1438" s="293"/>
      <c r="O1438" s="136" t="s">
        <v>325</v>
      </c>
      <c r="P1438" s="319">
        <f>P1421+P1439</f>
        <v>5358.88</v>
      </c>
      <c r="Q1438" s="320">
        <f>Z1436</f>
        <v>0</v>
      </c>
      <c r="R1438" s="143" t="s">
        <v>421</v>
      </c>
      <c r="S1438" s="465"/>
      <c r="T1438" s="466"/>
      <c r="U1438" s="467"/>
      <c r="V1438" s="468"/>
      <c r="W1438" s="282" t="s">
        <v>373</v>
      </c>
      <c r="X1438" s="281"/>
      <c r="Y1438" s="321" t="s">
        <v>181</v>
      </c>
      <c r="Z1438" s="322">
        <v>0</v>
      </c>
    </row>
    <row r="1439" spans="3:26" ht="15.75" thickBot="1">
      <c r="C1439" s="266"/>
      <c r="D1439" s="448"/>
      <c r="E1439" s="469"/>
      <c r="F1439" s="6">
        <f t="shared" si="60"/>
        <v>150</v>
      </c>
      <c r="G1439" s="462" t="s">
        <v>925</v>
      </c>
      <c r="H1439" s="464"/>
      <c r="I1439" s="20"/>
      <c r="J1439" s="462"/>
      <c r="K1439" s="464"/>
      <c r="L1439" s="76"/>
      <c r="M1439" s="25"/>
      <c r="N1439" s="295"/>
      <c r="O1439" s="140" t="s">
        <v>321</v>
      </c>
      <c r="P1439" s="132">
        <f>SUM(M1430:M1443)</f>
        <v>150</v>
      </c>
      <c r="Q1439" s="72">
        <f>Q1438-Q1421</f>
        <v>0</v>
      </c>
      <c r="R1439" s="144" t="s">
        <v>418</v>
      </c>
      <c r="S1439" s="465"/>
      <c r="T1439" s="466"/>
      <c r="U1439" s="467"/>
      <c r="V1439" s="468"/>
      <c r="W1439" s="282" t="s">
        <v>378</v>
      </c>
      <c r="X1439" s="281"/>
      <c r="Y1439" s="470" t="s">
        <v>1000</v>
      </c>
      <c r="Z1439" s="471"/>
    </row>
    <row r="1440" spans="3:26" ht="16.5" thickTop="1" thickBot="1">
      <c r="C1440" s="266"/>
      <c r="D1440" s="448" t="s">
        <v>1001</v>
      </c>
      <c r="E1440" s="469"/>
      <c r="F1440" s="6">
        <f t="shared" si="60"/>
        <v>30</v>
      </c>
      <c r="G1440" s="462" t="s">
        <v>33</v>
      </c>
      <c r="H1440" s="464"/>
      <c r="I1440" s="20"/>
      <c r="J1440" s="462"/>
      <c r="K1440" s="464"/>
      <c r="L1440" s="76"/>
      <c r="M1440" s="25"/>
      <c r="N1440" s="293"/>
      <c r="O1440" s="141" t="s">
        <v>322</v>
      </c>
      <c r="P1440" s="133">
        <f>P1439/29</f>
        <v>5.1724137931034484</v>
      </c>
      <c r="Q1440" s="10">
        <f>Q1439/29</f>
        <v>0</v>
      </c>
      <c r="R1440" s="144" t="s">
        <v>438</v>
      </c>
      <c r="S1440" s="465"/>
      <c r="T1440" s="466"/>
      <c r="U1440" s="472"/>
      <c r="V1440" s="473"/>
      <c r="W1440" s="289" t="s">
        <v>379</v>
      </c>
      <c r="X1440" s="281"/>
      <c r="Y1440" s="143" t="s">
        <v>12</v>
      </c>
      <c r="Z1440" s="12"/>
    </row>
    <row r="1441" spans="3:26" ht="15.75" thickBot="1">
      <c r="C1441" s="15">
        <f>C1424</f>
        <v>4775.66</v>
      </c>
      <c r="D1441" s="455" t="s">
        <v>11</v>
      </c>
      <c r="E1441" s="456"/>
      <c r="F1441" s="15"/>
      <c r="G1441" s="462"/>
      <c r="H1441" s="464"/>
      <c r="I1441" s="20"/>
      <c r="J1441" s="462"/>
      <c r="K1441" s="464"/>
      <c r="L1441" s="76"/>
      <c r="M1441" s="25"/>
      <c r="N1441" s="295"/>
      <c r="O1441" s="136" t="s">
        <v>323</v>
      </c>
      <c r="P1441" s="319">
        <f>P1424+P1442</f>
        <v>16912.45730445853</v>
      </c>
      <c r="Q1441" s="320">
        <f>S1430+U1430</f>
        <v>0</v>
      </c>
      <c r="R1441" s="144" t="s">
        <v>380</v>
      </c>
      <c r="S1441" s="291">
        <f>S1432-S1433</f>
        <v>0</v>
      </c>
      <c r="T1441" s="327" t="e">
        <f>S1441/S1433</f>
        <v>#DIV/0!</v>
      </c>
      <c r="U1441" s="291">
        <f>U1432-U1433</f>
        <v>0</v>
      </c>
      <c r="V1441" s="329" t="e">
        <f>U1441/U1433</f>
        <v>#DIV/0!</v>
      </c>
      <c r="W1441" s="146" t="s">
        <v>375</v>
      </c>
      <c r="X1441" s="326"/>
      <c r="Y1441" s="144" t="s">
        <v>373</v>
      </c>
      <c r="Z1441" s="72"/>
    </row>
    <row r="1442" spans="3:26">
      <c r="C1442" s="15"/>
      <c r="D1442" s="455" t="s">
        <v>390</v>
      </c>
      <c r="E1442" s="456"/>
      <c r="F1442" s="15"/>
      <c r="G1442" s="457" t="s">
        <v>38</v>
      </c>
      <c r="H1442" s="458"/>
      <c r="I1442" s="20"/>
      <c r="J1442" s="457" t="s">
        <v>38</v>
      </c>
      <c r="K1442" s="458"/>
      <c r="L1442" s="76"/>
      <c r="M1442" s="25"/>
      <c r="N1442" s="293"/>
      <c r="O1442" s="140" t="s">
        <v>321</v>
      </c>
      <c r="P1442" s="132">
        <f>SUM(N1430:N1443)</f>
        <v>200</v>
      </c>
      <c r="Q1442" s="72">
        <f>Q1441-Q1424</f>
        <v>0</v>
      </c>
      <c r="R1442" s="144" t="s">
        <v>381</v>
      </c>
      <c r="S1442" s="291">
        <f>S1430-S1435</f>
        <v>0</v>
      </c>
      <c r="T1442" s="327" t="e">
        <f>S1442/S1435</f>
        <v>#DIV/0!</v>
      </c>
      <c r="U1442" s="291">
        <f>U1430-U1435</f>
        <v>0</v>
      </c>
      <c r="V1442" s="366" t="e">
        <f>U1442/ABS(U1435)</f>
        <v>#DIV/0!</v>
      </c>
      <c r="W1442" s="337" t="s">
        <v>410</v>
      </c>
      <c r="X1442" s="1" t="s">
        <v>558</v>
      </c>
      <c r="Y1442" s="144" t="s">
        <v>379</v>
      </c>
      <c r="Z1442" s="72"/>
    </row>
    <row r="1443" spans="3:26" ht="15.75" thickBot="1">
      <c r="C1443" s="17"/>
      <c r="D1443" s="459"/>
      <c r="E1443" s="460"/>
      <c r="F1443" s="17"/>
      <c r="G1443" s="459"/>
      <c r="H1443" s="461"/>
      <c r="I1443" s="21"/>
      <c r="J1443" s="459"/>
      <c r="K1443" s="461"/>
      <c r="L1443" s="42"/>
      <c r="M1443" s="5"/>
      <c r="N1443" s="21"/>
      <c r="O1443" s="137" t="s">
        <v>322</v>
      </c>
      <c r="P1443" s="138">
        <f>P1442/29</f>
        <v>6.8965517241379306</v>
      </c>
      <c r="Q1443" s="24">
        <f>Q1442/29</f>
        <v>0</v>
      </c>
      <c r="R1443" s="153" t="s">
        <v>410</v>
      </c>
      <c r="S1443" s="296">
        <f>S1441+S1442</f>
        <v>0</v>
      </c>
      <c r="T1443" s="328" t="e">
        <f>S1443/S1431</f>
        <v>#DIV/0!</v>
      </c>
      <c r="U1443" s="296">
        <f>U1442+U1441</f>
        <v>0</v>
      </c>
      <c r="V1443" s="330" t="e">
        <f>U1443/U1431</f>
        <v>#DIV/0!</v>
      </c>
      <c r="W1443" s="296">
        <f>S1443+U1443</f>
        <v>0</v>
      </c>
      <c r="X1443" s="330" t="e">
        <f>(W1443+S1431+U1431)/(S1431+U1431)-1</f>
        <v>#DIV/0!</v>
      </c>
      <c r="Y1443" s="153" t="s">
        <v>375</v>
      </c>
      <c r="Z1443" s="389"/>
    </row>
    <row r="1444" spans="3:26" ht="17.25" thickTop="1" thickBot="1">
      <c r="C1444" s="264">
        <v>47150</v>
      </c>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spans="3:26" ht="17.25" thickTop="1" thickBot="1">
      <c r="C1445" s="480" t="s">
        <v>386</v>
      </c>
      <c r="D1445" s="481"/>
      <c r="E1445" s="482"/>
      <c r="F1445" s="483" t="s">
        <v>387</v>
      </c>
      <c r="G1445" s="484"/>
      <c r="H1445" s="484"/>
      <c r="I1445" s="484"/>
      <c r="J1445" s="484"/>
      <c r="K1445" s="484"/>
      <c r="L1445" s="484"/>
      <c r="M1445" s="484"/>
      <c r="N1445" s="485"/>
      <c r="O1445" s="261" t="s">
        <v>320</v>
      </c>
      <c r="P1445" s="262" t="s">
        <v>257</v>
      </c>
      <c r="Q1445" s="263" t="s">
        <v>319</v>
      </c>
      <c r="R1445" s="486" t="s">
        <v>144</v>
      </c>
      <c r="S1445" s="487"/>
      <c r="T1445" s="487"/>
      <c r="U1445" s="487"/>
      <c r="V1445" s="487"/>
      <c r="W1445" s="487"/>
      <c r="X1445" s="487"/>
      <c r="Y1445" s="487"/>
      <c r="Z1445" s="488"/>
    </row>
    <row r="1446" spans="3:26" ht="15.75" thickBot="1">
      <c r="C1446" s="265"/>
      <c r="D1446" s="489"/>
      <c r="E1446" s="490"/>
      <c r="F1446" s="470" t="s">
        <v>3</v>
      </c>
      <c r="G1446" s="491"/>
      <c r="H1446" s="492"/>
      <c r="I1446" s="493" t="s">
        <v>4</v>
      </c>
      <c r="J1446" s="491"/>
      <c r="K1446" s="492"/>
      <c r="L1446" s="267" t="s">
        <v>324</v>
      </c>
      <c r="M1446" s="267" t="s">
        <v>325</v>
      </c>
      <c r="N1446" s="267" t="s">
        <v>323</v>
      </c>
      <c r="O1446" s="316" t="s">
        <v>5</v>
      </c>
      <c r="P1446" s="317">
        <f>P1449+P1452+P1455+P1458</f>
        <v>35252.727304458516</v>
      </c>
      <c r="Q1446" s="318">
        <f>Q1455+Q1452+Q1449+Q1458</f>
        <v>0</v>
      </c>
      <c r="R1446" s="268" t="s">
        <v>323</v>
      </c>
      <c r="S1446" s="493" t="s">
        <v>317</v>
      </c>
      <c r="T1446" s="492"/>
      <c r="U1446" s="493" t="s">
        <v>369</v>
      </c>
      <c r="V1446" s="471"/>
      <c r="W1446" s="470" t="s">
        <v>310</v>
      </c>
      <c r="X1446" s="471"/>
      <c r="Y1446" s="470" t="s">
        <v>13</v>
      </c>
      <c r="Z1446" s="471"/>
    </row>
    <row r="1447" spans="3:26" ht="16.5" thickTop="1" thickBot="1">
      <c r="C1447" s="15"/>
      <c r="D1447" s="494"/>
      <c r="E1447" s="495"/>
      <c r="G1447" s="496"/>
      <c r="H1447" s="497"/>
      <c r="J1447" s="496"/>
      <c r="K1447" s="497"/>
      <c r="L1447" s="76"/>
      <c r="M1447" s="25"/>
      <c r="N1447" s="292"/>
      <c r="O1447" s="258" t="s">
        <v>321</v>
      </c>
      <c r="P1447" s="315">
        <f>SUM(C1447:C1460)-SUM(F1447:F1460)-SUM(I1447:I1460)</f>
        <v>689.02999999999986</v>
      </c>
      <c r="Q1447" s="12">
        <f>Q1446-Q1429</f>
        <v>0</v>
      </c>
      <c r="R1447" s="307" t="s">
        <v>343</v>
      </c>
      <c r="S1447" s="498"/>
      <c r="T1447" s="499"/>
      <c r="U1447" s="498"/>
      <c r="V1447" s="500"/>
      <c r="W1447" s="501" t="s">
        <v>326</v>
      </c>
      <c r="X1447" s="502"/>
      <c r="Y1447" s="143" t="s">
        <v>17</v>
      </c>
      <c r="Z1447" s="12"/>
    </row>
    <row r="1448" spans="3:26" ht="16.5" thickTop="1" thickBot="1">
      <c r="C1448" s="15"/>
      <c r="D1448" s="455" t="s">
        <v>11</v>
      </c>
      <c r="E1448" s="456"/>
      <c r="F1448" s="6">
        <f>F1431</f>
        <v>400</v>
      </c>
      <c r="G1448" s="462" t="s">
        <v>223</v>
      </c>
      <c r="H1448" s="464"/>
      <c r="I1448" s="20">
        <f>I1431</f>
        <v>11.99</v>
      </c>
      <c r="J1448" s="462" t="s">
        <v>385</v>
      </c>
      <c r="K1448" s="464"/>
      <c r="L1448" s="76">
        <f>L1431</f>
        <v>200</v>
      </c>
      <c r="M1448" s="76">
        <f>M1431</f>
        <v>150</v>
      </c>
      <c r="N1448" s="76">
        <f>N1431</f>
        <v>200</v>
      </c>
      <c r="O1448" s="141" t="s">
        <v>322</v>
      </c>
      <c r="P1448" s="133">
        <f>P1447/29</f>
        <v>23.759655172413787</v>
      </c>
      <c r="Q1448" s="10">
        <f>Q1447/29</f>
        <v>0</v>
      </c>
      <c r="R1448" s="308" t="s">
        <v>382</v>
      </c>
      <c r="S1448" s="474"/>
      <c r="T1448" s="475"/>
      <c r="U1448" s="467"/>
      <c r="V1448" s="468"/>
      <c r="W1448" s="289" t="s">
        <v>12</v>
      </c>
      <c r="X1448" s="315"/>
      <c r="Y1448" s="144" t="s">
        <v>18</v>
      </c>
      <c r="Z1448" s="72"/>
    </row>
    <row r="1449" spans="3:26">
      <c r="C1449" s="15"/>
      <c r="D1449" s="455" t="s">
        <v>390</v>
      </c>
      <c r="E1449" s="456"/>
      <c r="F1449" s="6">
        <f t="shared" ref="F1449:F1457" si="61">F1432</f>
        <v>100</v>
      </c>
      <c r="G1449" s="462" t="s">
        <v>9</v>
      </c>
      <c r="H1449" s="464"/>
      <c r="I1449" s="20">
        <f>I1432</f>
        <v>11.99</v>
      </c>
      <c r="J1449" s="462" t="s">
        <v>22</v>
      </c>
      <c r="K1449" s="464"/>
      <c r="L1449" s="76"/>
      <c r="M1449" s="25"/>
      <c r="N1449" s="294"/>
      <c r="O1449" s="136" t="s">
        <v>12</v>
      </c>
      <c r="P1449" s="319">
        <f>P1432+P1447-SUM(L1447:L1460)-SUM(M1447:M1460)-SUM(N1447:N1460)</f>
        <v>5296.3899999999885</v>
      </c>
      <c r="Q1449" s="320">
        <f>Z1447+Z1452+Z1455</f>
        <v>0</v>
      </c>
      <c r="R1449" s="308" t="s">
        <v>383</v>
      </c>
      <c r="S1449" s="474"/>
      <c r="T1449" s="475"/>
      <c r="U1449" s="467"/>
      <c r="V1449" s="468"/>
      <c r="W1449" s="282" t="s">
        <v>373</v>
      </c>
      <c r="X1449" s="132"/>
      <c r="Y1449" s="144" t="s">
        <v>19</v>
      </c>
      <c r="Z1449" s="72"/>
    </row>
    <row r="1450" spans="3:26" ht="15.75" thickBot="1">
      <c r="C1450" s="15"/>
      <c r="D1450" s="462"/>
      <c r="E1450" s="463"/>
      <c r="F1450" s="6">
        <f t="shared" si="61"/>
        <v>150</v>
      </c>
      <c r="G1450" s="462" t="s">
        <v>6</v>
      </c>
      <c r="H1450" s="464"/>
      <c r="I1450" s="20">
        <f>I1433</f>
        <v>20</v>
      </c>
      <c r="J1450" s="462" t="s">
        <v>920</v>
      </c>
      <c r="K1450" s="464"/>
      <c r="L1450" s="76"/>
      <c r="M1450" s="25"/>
      <c r="N1450" s="20"/>
      <c r="O1450" s="140" t="s">
        <v>321</v>
      </c>
      <c r="P1450" s="132">
        <f>SUM(C1447:C1460)-SUM(F1447:F1460)-SUM(I1447:I1460)-P1453-P1456-P1459</f>
        <v>139.02999999999986</v>
      </c>
      <c r="Q1450" s="72">
        <f>Q1449-Q1432</f>
        <v>0</v>
      </c>
      <c r="R1450" s="308" t="s">
        <v>424</v>
      </c>
      <c r="S1450" s="474"/>
      <c r="T1450" s="475"/>
      <c r="U1450" s="467"/>
      <c r="V1450" s="468"/>
      <c r="W1450" s="282" t="s">
        <v>378</v>
      </c>
      <c r="X1450" s="132"/>
      <c r="Y1450" s="145" t="s">
        <v>324</v>
      </c>
      <c r="Z1450" s="135"/>
    </row>
    <row r="1451" spans="3:26" ht="15.75" thickBot="1">
      <c r="C1451" s="15"/>
      <c r="D1451" s="455"/>
      <c r="E1451" s="456"/>
      <c r="F1451" s="6">
        <f t="shared" si="61"/>
        <v>370</v>
      </c>
      <c r="G1451" s="462" t="s">
        <v>97</v>
      </c>
      <c r="H1451" s="464"/>
      <c r="I1451" s="20">
        <f>I1434</f>
        <v>11.9</v>
      </c>
      <c r="J1451" s="462" t="s">
        <v>249</v>
      </c>
      <c r="K1451" s="464"/>
      <c r="L1451" s="76"/>
      <c r="M1451" s="25"/>
      <c r="N1451" s="294"/>
      <c r="O1451" s="141" t="s">
        <v>322</v>
      </c>
      <c r="P1451" s="133">
        <f>P1450/29</f>
        <v>4.7941379310344781</v>
      </c>
      <c r="Q1451" s="10">
        <f>Q1450/29</f>
        <v>0</v>
      </c>
      <c r="R1451" s="143" t="s">
        <v>12</v>
      </c>
      <c r="S1451" s="476"/>
      <c r="T1451" s="477"/>
      <c r="U1451" s="478"/>
      <c r="V1451" s="479"/>
      <c r="W1451" s="289" t="s">
        <v>379</v>
      </c>
      <c r="X1451" s="132"/>
      <c r="Y1451" s="470" t="s">
        <v>14</v>
      </c>
      <c r="Z1451" s="471"/>
    </row>
    <row r="1452" spans="3:26" ht="15.75" thickBot="1">
      <c r="C1452" s="15"/>
      <c r="D1452" s="455"/>
      <c r="E1452" s="456"/>
      <c r="F1452" s="6">
        <f t="shared" si="61"/>
        <v>1860.75</v>
      </c>
      <c r="G1452" s="462" t="s">
        <v>304</v>
      </c>
      <c r="H1452" s="464"/>
      <c r="I1452" s="63">
        <v>150</v>
      </c>
      <c r="J1452" s="462" t="s">
        <v>974</v>
      </c>
      <c r="K1452" s="464"/>
      <c r="L1452" s="76"/>
      <c r="M1452" s="25"/>
      <c r="N1452" s="294"/>
      <c r="O1452" s="136" t="s">
        <v>324</v>
      </c>
      <c r="P1452" s="319">
        <f>P1435+P1453</f>
        <v>7335</v>
      </c>
      <c r="Q1452" s="320">
        <f>Z1448+Z1449+Z1450</f>
        <v>0</v>
      </c>
      <c r="R1452" s="144" t="s">
        <v>425</v>
      </c>
      <c r="S1452" s="465"/>
      <c r="T1452" s="466"/>
      <c r="U1452" s="467"/>
      <c r="V1452" s="468"/>
      <c r="W1452" s="146" t="s">
        <v>375</v>
      </c>
      <c r="X1452" s="325"/>
      <c r="Y1452" s="143" t="s">
        <v>15</v>
      </c>
      <c r="Z1452" s="12"/>
    </row>
    <row r="1453" spans="3:26" ht="15.75" thickBot="1">
      <c r="C1453" s="15"/>
      <c r="D1453" s="462"/>
      <c r="E1453" s="463"/>
      <c r="F1453" s="6">
        <f t="shared" si="61"/>
        <v>70</v>
      </c>
      <c r="G1453" s="462" t="s">
        <v>982</v>
      </c>
      <c r="H1453" s="464"/>
      <c r="I1453" s="20">
        <v>150</v>
      </c>
      <c r="J1453" s="462" t="s">
        <v>105</v>
      </c>
      <c r="K1453" s="464"/>
      <c r="L1453" s="76"/>
      <c r="M1453" s="25"/>
      <c r="N1453" s="294"/>
      <c r="O1453" s="140" t="s">
        <v>321</v>
      </c>
      <c r="P1453" s="132">
        <f>SUM(L1447:L1460)</f>
        <v>200</v>
      </c>
      <c r="Q1453" s="72">
        <f>Q1452-Q1435</f>
        <v>0</v>
      </c>
      <c r="R1453" s="144" t="s">
        <v>426</v>
      </c>
      <c r="S1453" s="465"/>
      <c r="T1453" s="466"/>
      <c r="U1453" s="467"/>
      <c r="V1453" s="468"/>
      <c r="W1453" s="470" t="s">
        <v>376</v>
      </c>
      <c r="X1453" s="471"/>
      <c r="Y1453" s="146" t="s">
        <v>325</v>
      </c>
      <c r="Z1453" s="10"/>
    </row>
    <row r="1454" spans="3:26" ht="16.5" thickTop="1" thickBot="1">
      <c r="C1454" s="15"/>
      <c r="D1454" s="462"/>
      <c r="E1454" s="463"/>
      <c r="F1454" s="6">
        <f t="shared" si="61"/>
        <v>50</v>
      </c>
      <c r="G1454" s="462" t="s">
        <v>926</v>
      </c>
      <c r="H1454" s="464"/>
      <c r="I1454" s="20">
        <v>400</v>
      </c>
      <c r="J1454" s="462" t="s">
        <v>206</v>
      </c>
      <c r="K1454" s="464"/>
      <c r="L1454" s="76"/>
      <c r="M1454" s="25"/>
      <c r="N1454" s="292"/>
      <c r="O1454" s="141" t="s">
        <v>322</v>
      </c>
      <c r="P1454" s="133">
        <f>P1453/29</f>
        <v>6.8965517241379306</v>
      </c>
      <c r="Q1454" s="10">
        <f>Q1453/29</f>
        <v>0</v>
      </c>
      <c r="R1454" s="144" t="s">
        <v>422</v>
      </c>
      <c r="S1454" s="465"/>
      <c r="T1454" s="466"/>
      <c r="U1454" s="467"/>
      <c r="V1454" s="468"/>
      <c r="W1454" s="289" t="s">
        <v>12</v>
      </c>
      <c r="X1454" s="38"/>
      <c r="Y1454" s="470" t="s">
        <v>374</v>
      </c>
      <c r="Z1454" s="471"/>
    </row>
    <row r="1455" spans="3:26" ht="16.5" thickTop="1" thickBot="1">
      <c r="C1455" s="15"/>
      <c r="D1455" s="462"/>
      <c r="E1455" s="463"/>
      <c r="F1455" s="6">
        <f t="shared" si="61"/>
        <v>150</v>
      </c>
      <c r="G1455" s="462" t="s">
        <v>927</v>
      </c>
      <c r="H1455" s="464"/>
      <c r="I1455" s="20"/>
      <c r="J1455" s="462"/>
      <c r="K1455" s="464"/>
      <c r="L1455" s="76"/>
      <c r="M1455" s="25"/>
      <c r="N1455" s="293"/>
      <c r="O1455" s="136" t="s">
        <v>325</v>
      </c>
      <c r="P1455" s="319">
        <f>P1438+P1456</f>
        <v>5508.88</v>
      </c>
      <c r="Q1455" s="320">
        <f>Z1453</f>
        <v>0</v>
      </c>
      <c r="R1455" s="143" t="s">
        <v>421</v>
      </c>
      <c r="S1455" s="465"/>
      <c r="T1455" s="466"/>
      <c r="U1455" s="467"/>
      <c r="V1455" s="468"/>
      <c r="W1455" s="282" t="s">
        <v>373</v>
      </c>
      <c r="X1455" s="281"/>
      <c r="Y1455" s="321" t="s">
        <v>181</v>
      </c>
      <c r="Z1455" s="322">
        <v>0</v>
      </c>
    </row>
    <row r="1456" spans="3:26" ht="15.75" thickBot="1">
      <c r="C1456" s="266"/>
      <c r="D1456" s="448"/>
      <c r="E1456" s="469"/>
      <c r="F1456" s="6">
        <f t="shared" si="61"/>
        <v>150</v>
      </c>
      <c r="G1456" s="462" t="s">
        <v>925</v>
      </c>
      <c r="H1456" s="464"/>
      <c r="I1456" s="20"/>
      <c r="J1456" s="462"/>
      <c r="K1456" s="464"/>
      <c r="L1456" s="76"/>
      <c r="M1456" s="25"/>
      <c r="N1456" s="295"/>
      <c r="O1456" s="140" t="s">
        <v>321</v>
      </c>
      <c r="P1456" s="132">
        <f>SUM(M1447:M1460)</f>
        <v>150</v>
      </c>
      <c r="Q1456" s="72">
        <f>Q1455-Q1438</f>
        <v>0</v>
      </c>
      <c r="R1456" s="144" t="s">
        <v>418</v>
      </c>
      <c r="S1456" s="465"/>
      <c r="T1456" s="466"/>
      <c r="U1456" s="467"/>
      <c r="V1456" s="468"/>
      <c r="W1456" s="282" t="s">
        <v>378</v>
      </c>
      <c r="X1456" s="281"/>
      <c r="Y1456" s="470" t="s">
        <v>1000</v>
      </c>
      <c r="Z1456" s="471"/>
    </row>
    <row r="1457" spans="3:26" ht="16.5" thickTop="1" thickBot="1">
      <c r="C1457" s="266"/>
      <c r="D1457" s="448" t="s">
        <v>1001</v>
      </c>
      <c r="E1457" s="469"/>
      <c r="F1457" s="6">
        <f t="shared" si="61"/>
        <v>30</v>
      </c>
      <c r="G1457" s="462" t="s">
        <v>33</v>
      </c>
      <c r="H1457" s="464"/>
      <c r="I1457" s="20"/>
      <c r="J1457" s="462"/>
      <c r="K1457" s="464"/>
      <c r="L1457" s="76"/>
      <c r="M1457" s="25"/>
      <c r="N1457" s="293"/>
      <c r="O1457" s="141" t="s">
        <v>322</v>
      </c>
      <c r="P1457" s="133">
        <f>P1456/29</f>
        <v>5.1724137931034484</v>
      </c>
      <c r="Q1457" s="10">
        <f>Q1456/29</f>
        <v>0</v>
      </c>
      <c r="R1457" s="144" t="s">
        <v>438</v>
      </c>
      <c r="S1457" s="465"/>
      <c r="T1457" s="466"/>
      <c r="U1457" s="472"/>
      <c r="V1457" s="473"/>
      <c r="W1457" s="289" t="s">
        <v>379</v>
      </c>
      <c r="X1457" s="281"/>
      <c r="Y1457" s="143" t="s">
        <v>12</v>
      </c>
      <c r="Z1457" s="12"/>
    </row>
    <row r="1458" spans="3:26" ht="15.75" thickBot="1">
      <c r="C1458" s="15">
        <f>C1441</f>
        <v>4775.66</v>
      </c>
      <c r="D1458" s="455" t="s">
        <v>11</v>
      </c>
      <c r="E1458" s="456"/>
      <c r="F1458" s="15"/>
      <c r="G1458" s="462"/>
      <c r="H1458" s="464"/>
      <c r="I1458" s="20"/>
      <c r="J1458" s="462"/>
      <c r="K1458" s="464"/>
      <c r="L1458" s="76"/>
      <c r="M1458" s="25"/>
      <c r="N1458" s="295"/>
      <c r="O1458" s="136" t="s">
        <v>323</v>
      </c>
      <c r="P1458" s="319">
        <f>P1441+P1459</f>
        <v>17112.45730445853</v>
      </c>
      <c r="Q1458" s="320">
        <f>S1447+U1447</f>
        <v>0</v>
      </c>
      <c r="R1458" s="144" t="s">
        <v>380</v>
      </c>
      <c r="S1458" s="291">
        <f>S1449-S1450</f>
        <v>0</v>
      </c>
      <c r="T1458" s="327" t="e">
        <f>S1458/S1450</f>
        <v>#DIV/0!</v>
      </c>
      <c r="U1458" s="291">
        <f>U1449-U1450</f>
        <v>0</v>
      </c>
      <c r="V1458" s="329" t="e">
        <f>U1458/U1450</f>
        <v>#DIV/0!</v>
      </c>
      <c r="W1458" s="146" t="s">
        <v>375</v>
      </c>
      <c r="X1458" s="326"/>
      <c r="Y1458" s="144" t="s">
        <v>373</v>
      </c>
      <c r="Z1458" s="72"/>
    </row>
    <row r="1459" spans="3:26">
      <c r="C1459" s="15"/>
      <c r="D1459" s="455" t="s">
        <v>390</v>
      </c>
      <c r="E1459" s="456"/>
      <c r="F1459" s="15"/>
      <c r="G1459" s="457" t="s">
        <v>38</v>
      </c>
      <c r="H1459" s="458"/>
      <c r="I1459" s="20"/>
      <c r="J1459" s="457" t="s">
        <v>38</v>
      </c>
      <c r="K1459" s="458"/>
      <c r="L1459" s="76"/>
      <c r="M1459" s="25"/>
      <c r="N1459" s="293"/>
      <c r="O1459" s="140" t="s">
        <v>321</v>
      </c>
      <c r="P1459" s="132">
        <f>SUM(N1447:N1460)</f>
        <v>200</v>
      </c>
      <c r="Q1459" s="72">
        <f>Q1458-Q1441</f>
        <v>0</v>
      </c>
      <c r="R1459" s="144" t="s">
        <v>381</v>
      </c>
      <c r="S1459" s="291">
        <f>S1447-S1452</f>
        <v>0</v>
      </c>
      <c r="T1459" s="327" t="e">
        <f>S1459/S1452</f>
        <v>#DIV/0!</v>
      </c>
      <c r="U1459" s="291">
        <f>U1447-U1452</f>
        <v>0</v>
      </c>
      <c r="V1459" s="366" t="e">
        <f>U1459/ABS(U1452)</f>
        <v>#DIV/0!</v>
      </c>
      <c r="W1459" s="337" t="s">
        <v>410</v>
      </c>
      <c r="X1459" s="1" t="s">
        <v>558</v>
      </c>
      <c r="Y1459" s="144" t="s">
        <v>379</v>
      </c>
      <c r="Z1459" s="72"/>
    </row>
    <row r="1460" spans="3:26" ht="15.75" thickBot="1">
      <c r="C1460" s="17"/>
      <c r="D1460" s="459"/>
      <c r="E1460" s="460"/>
      <c r="F1460" s="17"/>
      <c r="G1460" s="459"/>
      <c r="H1460" s="461"/>
      <c r="I1460" s="21"/>
      <c r="J1460" s="459"/>
      <c r="K1460" s="461"/>
      <c r="L1460" s="42"/>
      <c r="M1460" s="5"/>
      <c r="N1460" s="21"/>
      <c r="O1460" s="137" t="s">
        <v>322</v>
      </c>
      <c r="P1460" s="138">
        <f>P1459/29</f>
        <v>6.8965517241379306</v>
      </c>
      <c r="Q1460" s="24">
        <f>Q1459/29</f>
        <v>0</v>
      </c>
      <c r="R1460" s="153" t="s">
        <v>410</v>
      </c>
      <c r="S1460" s="296">
        <f>S1458+S1459</f>
        <v>0</v>
      </c>
      <c r="T1460" s="328" t="e">
        <f>S1460/S1448</f>
        <v>#DIV/0!</v>
      </c>
      <c r="U1460" s="296">
        <f>U1459+U1458</f>
        <v>0</v>
      </c>
      <c r="V1460" s="330" t="e">
        <f>U1460/U1448</f>
        <v>#DIV/0!</v>
      </c>
      <c r="W1460" s="296">
        <f>S1460+U1460</f>
        <v>0</v>
      </c>
      <c r="X1460" s="330" t="e">
        <f>(W1460+S1448+U1448)/(S1448+U1448)-1</f>
        <v>#DIV/0!</v>
      </c>
      <c r="Y1460" s="153" t="s">
        <v>375</v>
      </c>
      <c r="Z1460" s="389"/>
    </row>
    <row r="1461" spans="3:26" ht="17.25" thickTop="1" thickBot="1">
      <c r="C1461" s="264">
        <v>47178</v>
      </c>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spans="3:26" ht="17.25" thickTop="1" thickBot="1">
      <c r="C1462" s="480" t="s">
        <v>386</v>
      </c>
      <c r="D1462" s="481"/>
      <c r="E1462" s="482"/>
      <c r="F1462" s="483" t="s">
        <v>387</v>
      </c>
      <c r="G1462" s="484"/>
      <c r="H1462" s="484"/>
      <c r="I1462" s="484"/>
      <c r="J1462" s="484"/>
      <c r="K1462" s="484"/>
      <c r="L1462" s="484"/>
      <c r="M1462" s="484"/>
      <c r="N1462" s="485"/>
      <c r="O1462" s="261" t="s">
        <v>320</v>
      </c>
      <c r="P1462" s="262" t="s">
        <v>257</v>
      </c>
      <c r="Q1462" s="263" t="s">
        <v>319</v>
      </c>
      <c r="R1462" s="486" t="s">
        <v>144</v>
      </c>
      <c r="S1462" s="487"/>
      <c r="T1462" s="487"/>
      <c r="U1462" s="487"/>
      <c r="V1462" s="487"/>
      <c r="W1462" s="487"/>
      <c r="X1462" s="487"/>
      <c r="Y1462" s="487"/>
      <c r="Z1462" s="488"/>
    </row>
    <row r="1463" spans="3:26" ht="15.75" thickBot="1">
      <c r="C1463" s="265"/>
      <c r="D1463" s="489"/>
      <c r="E1463" s="490"/>
      <c r="F1463" s="470" t="s">
        <v>3</v>
      </c>
      <c r="G1463" s="491"/>
      <c r="H1463" s="492"/>
      <c r="I1463" s="493" t="s">
        <v>4</v>
      </c>
      <c r="J1463" s="491"/>
      <c r="K1463" s="492"/>
      <c r="L1463" s="267" t="s">
        <v>324</v>
      </c>
      <c r="M1463" s="267" t="s">
        <v>325</v>
      </c>
      <c r="N1463" s="267" t="s">
        <v>323</v>
      </c>
      <c r="O1463" s="316" t="s">
        <v>5</v>
      </c>
      <c r="P1463" s="317">
        <f>P1466+P1469+P1472+P1475</f>
        <v>35941.757304458515</v>
      </c>
      <c r="Q1463" s="318">
        <f>Q1472+Q1469+Q1466+Q1475</f>
        <v>0</v>
      </c>
      <c r="R1463" s="268" t="s">
        <v>323</v>
      </c>
      <c r="S1463" s="493" t="s">
        <v>317</v>
      </c>
      <c r="T1463" s="492"/>
      <c r="U1463" s="493" t="s">
        <v>369</v>
      </c>
      <c r="V1463" s="471"/>
      <c r="W1463" s="470" t="s">
        <v>310</v>
      </c>
      <c r="X1463" s="471"/>
      <c r="Y1463" s="470" t="s">
        <v>13</v>
      </c>
      <c r="Z1463" s="471"/>
    </row>
    <row r="1464" spans="3:26" ht="16.5" thickTop="1" thickBot="1">
      <c r="C1464" s="15"/>
      <c r="D1464" s="494"/>
      <c r="E1464" s="495"/>
      <c r="G1464" s="496"/>
      <c r="H1464" s="497"/>
      <c r="J1464" s="496"/>
      <c r="K1464" s="497"/>
      <c r="L1464" s="76"/>
      <c r="M1464" s="25"/>
      <c r="N1464" s="292"/>
      <c r="O1464" s="258" t="s">
        <v>321</v>
      </c>
      <c r="P1464" s="315">
        <f>SUM(C1464:C1477)-SUM(F1464:F1477)-SUM(I1464:I1477)</f>
        <v>689.02999999999986</v>
      </c>
      <c r="Q1464" s="12">
        <f>Q1463-Q1446</f>
        <v>0</v>
      </c>
      <c r="R1464" s="307" t="s">
        <v>343</v>
      </c>
      <c r="S1464" s="498"/>
      <c r="T1464" s="499"/>
      <c r="U1464" s="498"/>
      <c r="V1464" s="500"/>
      <c r="W1464" s="501" t="s">
        <v>326</v>
      </c>
      <c r="X1464" s="502"/>
      <c r="Y1464" s="143" t="s">
        <v>17</v>
      </c>
      <c r="Z1464" s="12"/>
    </row>
    <row r="1465" spans="3:26" ht="16.5" thickTop="1" thickBot="1">
      <c r="C1465" s="15"/>
      <c r="D1465" s="455" t="s">
        <v>11</v>
      </c>
      <c r="E1465" s="456"/>
      <c r="F1465" s="6">
        <f>F1448</f>
        <v>400</v>
      </c>
      <c r="G1465" s="462" t="s">
        <v>223</v>
      </c>
      <c r="H1465" s="464"/>
      <c r="I1465" s="20">
        <f>I1448</f>
        <v>11.99</v>
      </c>
      <c r="J1465" s="462" t="s">
        <v>385</v>
      </c>
      <c r="K1465" s="464"/>
      <c r="L1465" s="76">
        <f>L1448</f>
        <v>200</v>
      </c>
      <c r="M1465" s="76">
        <f>M1448</f>
        <v>150</v>
      </c>
      <c r="N1465" s="76">
        <f>N1448</f>
        <v>200</v>
      </c>
      <c r="O1465" s="141" t="s">
        <v>322</v>
      </c>
      <c r="P1465" s="133">
        <f>P1464/29</f>
        <v>23.759655172413787</v>
      </c>
      <c r="Q1465" s="10">
        <f>Q1464/29</f>
        <v>0</v>
      </c>
      <c r="R1465" s="308" t="s">
        <v>382</v>
      </c>
      <c r="S1465" s="474"/>
      <c r="T1465" s="475"/>
      <c r="U1465" s="467"/>
      <c r="V1465" s="468"/>
      <c r="W1465" s="289" t="s">
        <v>12</v>
      </c>
      <c r="X1465" s="315"/>
      <c r="Y1465" s="144" t="s">
        <v>18</v>
      </c>
      <c r="Z1465" s="72"/>
    </row>
    <row r="1466" spans="3:26">
      <c r="C1466" s="15"/>
      <c r="D1466" s="455" t="s">
        <v>390</v>
      </c>
      <c r="E1466" s="456"/>
      <c r="F1466" s="6">
        <f t="shared" ref="F1466:F1474" si="62">F1449</f>
        <v>100</v>
      </c>
      <c r="G1466" s="462" t="s">
        <v>9</v>
      </c>
      <c r="H1466" s="464"/>
      <c r="I1466" s="20">
        <f>I1449</f>
        <v>11.99</v>
      </c>
      <c r="J1466" s="462" t="s">
        <v>22</v>
      </c>
      <c r="K1466" s="464"/>
      <c r="L1466" s="76"/>
      <c r="M1466" s="25"/>
      <c r="N1466" s="294"/>
      <c r="O1466" s="136" t="s">
        <v>12</v>
      </c>
      <c r="P1466" s="319">
        <f>P1449+P1464-SUM(L1464:L1477)-SUM(M1464:M1477)-SUM(N1464:N1477)</f>
        <v>5435.4199999999882</v>
      </c>
      <c r="Q1466" s="320">
        <f>Z1464+Z1469+Z1472</f>
        <v>0</v>
      </c>
      <c r="R1466" s="308" t="s">
        <v>383</v>
      </c>
      <c r="S1466" s="474"/>
      <c r="T1466" s="475"/>
      <c r="U1466" s="467"/>
      <c r="V1466" s="468"/>
      <c r="W1466" s="282" t="s">
        <v>373</v>
      </c>
      <c r="X1466" s="132"/>
      <c r="Y1466" s="144" t="s">
        <v>19</v>
      </c>
      <c r="Z1466" s="72"/>
    </row>
    <row r="1467" spans="3:26" ht="15.75" thickBot="1">
      <c r="C1467" s="15"/>
      <c r="D1467" s="462"/>
      <c r="E1467" s="463"/>
      <c r="F1467" s="6">
        <f t="shared" si="62"/>
        <v>150</v>
      </c>
      <c r="G1467" s="462" t="s">
        <v>6</v>
      </c>
      <c r="H1467" s="464"/>
      <c r="I1467" s="20">
        <f>I1450</f>
        <v>20</v>
      </c>
      <c r="J1467" s="462" t="s">
        <v>920</v>
      </c>
      <c r="K1467" s="464"/>
      <c r="L1467" s="76"/>
      <c r="M1467" s="25"/>
      <c r="N1467" s="20"/>
      <c r="O1467" s="140" t="s">
        <v>321</v>
      </c>
      <c r="P1467" s="132">
        <f>SUM(C1464:C1477)-SUM(F1464:F1477)-SUM(I1464:I1477)-P1470-P1473-P1476</f>
        <v>139.02999999999986</v>
      </c>
      <c r="Q1467" s="72">
        <f>Q1466-Q1449</f>
        <v>0</v>
      </c>
      <c r="R1467" s="308" t="s">
        <v>424</v>
      </c>
      <c r="S1467" s="474"/>
      <c r="T1467" s="475"/>
      <c r="U1467" s="467"/>
      <c r="V1467" s="468"/>
      <c r="W1467" s="282" t="s">
        <v>378</v>
      </c>
      <c r="X1467" s="132"/>
      <c r="Y1467" s="145" t="s">
        <v>324</v>
      </c>
      <c r="Z1467" s="135"/>
    </row>
    <row r="1468" spans="3:26" ht="15.75" thickBot="1">
      <c r="C1468" s="15"/>
      <c r="D1468" s="455"/>
      <c r="E1468" s="456"/>
      <c r="F1468" s="6">
        <f t="shared" si="62"/>
        <v>370</v>
      </c>
      <c r="G1468" s="462" t="s">
        <v>97</v>
      </c>
      <c r="H1468" s="464"/>
      <c r="I1468" s="20">
        <f>I1451</f>
        <v>11.9</v>
      </c>
      <c r="J1468" s="462" t="s">
        <v>249</v>
      </c>
      <c r="K1468" s="464"/>
      <c r="L1468" s="76"/>
      <c r="M1468" s="25"/>
      <c r="N1468" s="294"/>
      <c r="O1468" s="141" t="s">
        <v>322</v>
      </c>
      <c r="P1468" s="133">
        <f>P1467/29</f>
        <v>4.7941379310344781</v>
      </c>
      <c r="Q1468" s="10">
        <f>Q1467/29</f>
        <v>0</v>
      </c>
      <c r="R1468" s="143" t="s">
        <v>12</v>
      </c>
      <c r="S1468" s="476"/>
      <c r="T1468" s="477"/>
      <c r="U1468" s="478"/>
      <c r="V1468" s="479"/>
      <c r="W1468" s="289" t="s">
        <v>379</v>
      </c>
      <c r="X1468" s="132"/>
      <c r="Y1468" s="470" t="s">
        <v>14</v>
      </c>
      <c r="Z1468" s="471"/>
    </row>
    <row r="1469" spans="3:26" ht="15.75" thickBot="1">
      <c r="C1469" s="15"/>
      <c r="D1469" s="455"/>
      <c r="E1469" s="456"/>
      <c r="F1469" s="6">
        <f t="shared" si="62"/>
        <v>1860.75</v>
      </c>
      <c r="G1469" s="462" t="s">
        <v>304</v>
      </c>
      <c r="H1469" s="464"/>
      <c r="I1469" s="63">
        <v>150</v>
      </c>
      <c r="J1469" s="462" t="s">
        <v>974</v>
      </c>
      <c r="K1469" s="464"/>
      <c r="L1469" s="76"/>
      <c r="M1469" s="25"/>
      <c r="N1469" s="294"/>
      <c r="O1469" s="136" t="s">
        <v>324</v>
      </c>
      <c r="P1469" s="319">
        <f>P1452+P1470</f>
        <v>7535</v>
      </c>
      <c r="Q1469" s="320">
        <f>Z1465+Z1466+Z1467</f>
        <v>0</v>
      </c>
      <c r="R1469" s="144" t="s">
        <v>425</v>
      </c>
      <c r="S1469" s="465"/>
      <c r="T1469" s="466"/>
      <c r="U1469" s="467"/>
      <c r="V1469" s="468"/>
      <c r="W1469" s="146" t="s">
        <v>375</v>
      </c>
      <c r="X1469" s="325"/>
      <c r="Y1469" s="143" t="s">
        <v>15</v>
      </c>
      <c r="Z1469" s="12"/>
    </row>
    <row r="1470" spans="3:26" ht="15.75" thickBot="1">
      <c r="C1470" s="15"/>
      <c r="D1470" s="462"/>
      <c r="E1470" s="463"/>
      <c r="F1470" s="6">
        <f t="shared" si="62"/>
        <v>70</v>
      </c>
      <c r="G1470" s="462" t="s">
        <v>982</v>
      </c>
      <c r="H1470" s="464"/>
      <c r="I1470" s="20">
        <v>150</v>
      </c>
      <c r="J1470" s="462" t="s">
        <v>105</v>
      </c>
      <c r="K1470" s="464"/>
      <c r="L1470" s="76"/>
      <c r="M1470" s="25"/>
      <c r="N1470" s="294"/>
      <c r="O1470" s="140" t="s">
        <v>321</v>
      </c>
      <c r="P1470" s="132">
        <f>SUM(L1464:L1477)</f>
        <v>200</v>
      </c>
      <c r="Q1470" s="72">
        <f>Q1469-Q1452</f>
        <v>0</v>
      </c>
      <c r="R1470" s="144" t="s">
        <v>426</v>
      </c>
      <c r="S1470" s="465"/>
      <c r="T1470" s="466"/>
      <c r="U1470" s="467"/>
      <c r="V1470" s="468"/>
      <c r="W1470" s="470" t="s">
        <v>376</v>
      </c>
      <c r="X1470" s="471"/>
      <c r="Y1470" s="146" t="s">
        <v>325</v>
      </c>
      <c r="Z1470" s="10"/>
    </row>
    <row r="1471" spans="3:26" ht="16.5" thickTop="1" thickBot="1">
      <c r="C1471" s="15"/>
      <c r="D1471" s="462"/>
      <c r="E1471" s="463"/>
      <c r="F1471" s="6">
        <f t="shared" si="62"/>
        <v>50</v>
      </c>
      <c r="G1471" s="462" t="s">
        <v>926</v>
      </c>
      <c r="H1471" s="464"/>
      <c r="I1471" s="20">
        <v>400</v>
      </c>
      <c r="J1471" s="462" t="s">
        <v>206</v>
      </c>
      <c r="K1471" s="464"/>
      <c r="L1471" s="76"/>
      <c r="M1471" s="25"/>
      <c r="N1471" s="292"/>
      <c r="O1471" s="141" t="s">
        <v>322</v>
      </c>
      <c r="P1471" s="133">
        <f>P1470/29</f>
        <v>6.8965517241379306</v>
      </c>
      <c r="Q1471" s="10">
        <f>Q1470/29</f>
        <v>0</v>
      </c>
      <c r="R1471" s="144" t="s">
        <v>422</v>
      </c>
      <c r="S1471" s="465"/>
      <c r="T1471" s="466"/>
      <c r="U1471" s="467"/>
      <c r="V1471" s="468"/>
      <c r="W1471" s="289" t="s">
        <v>12</v>
      </c>
      <c r="X1471" s="38"/>
      <c r="Y1471" s="470" t="s">
        <v>374</v>
      </c>
      <c r="Z1471" s="471"/>
    </row>
    <row r="1472" spans="3:26" ht="16.5" thickTop="1" thickBot="1">
      <c r="C1472" s="15"/>
      <c r="D1472" s="462"/>
      <c r="E1472" s="463"/>
      <c r="F1472" s="6">
        <f t="shared" si="62"/>
        <v>150</v>
      </c>
      <c r="G1472" s="462" t="s">
        <v>927</v>
      </c>
      <c r="H1472" s="464"/>
      <c r="I1472" s="20"/>
      <c r="J1472" s="462"/>
      <c r="K1472" s="464"/>
      <c r="L1472" s="76"/>
      <c r="M1472" s="25"/>
      <c r="N1472" s="293"/>
      <c r="O1472" s="136" t="s">
        <v>325</v>
      </c>
      <c r="P1472" s="319">
        <f>P1455+P1473</f>
        <v>5658.88</v>
      </c>
      <c r="Q1472" s="320">
        <f>Z1470</f>
        <v>0</v>
      </c>
      <c r="R1472" s="143" t="s">
        <v>421</v>
      </c>
      <c r="S1472" s="465"/>
      <c r="T1472" s="466"/>
      <c r="U1472" s="467"/>
      <c r="V1472" s="468"/>
      <c r="W1472" s="282" t="s">
        <v>373</v>
      </c>
      <c r="X1472" s="281"/>
      <c r="Y1472" s="321" t="s">
        <v>181</v>
      </c>
      <c r="Z1472" s="322">
        <v>0</v>
      </c>
    </row>
    <row r="1473" spans="3:26" ht="15.75" thickBot="1">
      <c r="C1473" s="266"/>
      <c r="D1473" s="448"/>
      <c r="E1473" s="469"/>
      <c r="F1473" s="6">
        <f t="shared" si="62"/>
        <v>150</v>
      </c>
      <c r="G1473" s="462" t="s">
        <v>925</v>
      </c>
      <c r="H1473" s="464"/>
      <c r="I1473" s="20"/>
      <c r="J1473" s="462"/>
      <c r="K1473" s="464"/>
      <c r="L1473" s="76"/>
      <c r="M1473" s="25"/>
      <c r="N1473" s="295"/>
      <c r="O1473" s="140" t="s">
        <v>321</v>
      </c>
      <c r="P1473" s="132">
        <f>SUM(M1464:M1477)</f>
        <v>150</v>
      </c>
      <c r="Q1473" s="72">
        <f>Q1472-Q1455</f>
        <v>0</v>
      </c>
      <c r="R1473" s="144" t="s">
        <v>418</v>
      </c>
      <c r="S1473" s="465"/>
      <c r="T1473" s="466"/>
      <c r="U1473" s="467"/>
      <c r="V1473" s="468"/>
      <c r="W1473" s="282" t="s">
        <v>378</v>
      </c>
      <c r="X1473" s="281"/>
      <c r="Y1473" s="470" t="s">
        <v>1000</v>
      </c>
      <c r="Z1473" s="471"/>
    </row>
    <row r="1474" spans="3:26" ht="16.5" thickTop="1" thickBot="1">
      <c r="C1474" s="266"/>
      <c r="D1474" s="448" t="s">
        <v>1001</v>
      </c>
      <c r="E1474" s="469"/>
      <c r="F1474" s="6">
        <f t="shared" si="62"/>
        <v>30</v>
      </c>
      <c r="G1474" s="462" t="s">
        <v>33</v>
      </c>
      <c r="H1474" s="464"/>
      <c r="I1474" s="20"/>
      <c r="J1474" s="462"/>
      <c r="K1474" s="464"/>
      <c r="L1474" s="76"/>
      <c r="M1474" s="25"/>
      <c r="N1474" s="293"/>
      <c r="O1474" s="141" t="s">
        <v>322</v>
      </c>
      <c r="P1474" s="133">
        <f>P1473/29</f>
        <v>5.1724137931034484</v>
      </c>
      <c r="Q1474" s="10">
        <f>Q1473/29</f>
        <v>0</v>
      </c>
      <c r="R1474" s="144" t="s">
        <v>438</v>
      </c>
      <c r="S1474" s="465"/>
      <c r="T1474" s="466"/>
      <c r="U1474" s="472"/>
      <c r="V1474" s="473"/>
      <c r="W1474" s="289" t="s">
        <v>379</v>
      </c>
      <c r="X1474" s="281"/>
      <c r="Y1474" s="143" t="s">
        <v>12</v>
      </c>
      <c r="Z1474" s="12"/>
    </row>
    <row r="1475" spans="3:26" ht="15.75" thickBot="1">
      <c r="C1475" s="15">
        <f>C1458</f>
        <v>4775.66</v>
      </c>
      <c r="D1475" s="455" t="s">
        <v>11</v>
      </c>
      <c r="E1475" s="456"/>
      <c r="F1475" s="15"/>
      <c r="G1475" s="462"/>
      <c r="H1475" s="464"/>
      <c r="I1475" s="20"/>
      <c r="J1475" s="462"/>
      <c r="K1475" s="464"/>
      <c r="L1475" s="76"/>
      <c r="M1475" s="25"/>
      <c r="N1475" s="295"/>
      <c r="O1475" s="136" t="s">
        <v>323</v>
      </c>
      <c r="P1475" s="319">
        <f>P1458+P1476</f>
        <v>17312.45730445853</v>
      </c>
      <c r="Q1475" s="320">
        <f>S1464+U1464</f>
        <v>0</v>
      </c>
      <c r="R1475" s="144" t="s">
        <v>380</v>
      </c>
      <c r="S1475" s="291">
        <f>S1466-S1467</f>
        <v>0</v>
      </c>
      <c r="T1475" s="327" t="e">
        <f>S1475/S1467</f>
        <v>#DIV/0!</v>
      </c>
      <c r="U1475" s="291">
        <f>U1466-U1467</f>
        <v>0</v>
      </c>
      <c r="V1475" s="329" t="e">
        <f>U1475/U1467</f>
        <v>#DIV/0!</v>
      </c>
      <c r="W1475" s="146" t="s">
        <v>375</v>
      </c>
      <c r="X1475" s="326"/>
      <c r="Y1475" s="144" t="s">
        <v>373</v>
      </c>
      <c r="Z1475" s="72"/>
    </row>
    <row r="1476" spans="3:26">
      <c r="C1476" s="15"/>
      <c r="D1476" s="455" t="s">
        <v>390</v>
      </c>
      <c r="E1476" s="456"/>
      <c r="F1476" s="15"/>
      <c r="G1476" s="457" t="s">
        <v>38</v>
      </c>
      <c r="H1476" s="458"/>
      <c r="I1476" s="20"/>
      <c r="J1476" s="457" t="s">
        <v>38</v>
      </c>
      <c r="K1476" s="458"/>
      <c r="L1476" s="76"/>
      <c r="M1476" s="25"/>
      <c r="N1476" s="293"/>
      <c r="O1476" s="140" t="s">
        <v>321</v>
      </c>
      <c r="P1476" s="132">
        <f>SUM(N1464:N1477)</f>
        <v>200</v>
      </c>
      <c r="Q1476" s="72">
        <f>Q1475-Q1458</f>
        <v>0</v>
      </c>
      <c r="R1476" s="144" t="s">
        <v>381</v>
      </c>
      <c r="S1476" s="291">
        <f>S1464-S1469</f>
        <v>0</v>
      </c>
      <c r="T1476" s="327" t="e">
        <f>S1476/S1469</f>
        <v>#DIV/0!</v>
      </c>
      <c r="U1476" s="291">
        <f>U1464-U1469</f>
        <v>0</v>
      </c>
      <c r="V1476" s="366" t="e">
        <f>U1476/ABS(U1469)</f>
        <v>#DIV/0!</v>
      </c>
      <c r="W1476" s="337" t="s">
        <v>410</v>
      </c>
      <c r="X1476" s="1" t="s">
        <v>558</v>
      </c>
      <c r="Y1476" s="144" t="s">
        <v>379</v>
      </c>
      <c r="Z1476" s="72"/>
    </row>
    <row r="1477" spans="3:26" ht="15.75" thickBot="1">
      <c r="C1477" s="17"/>
      <c r="D1477" s="459"/>
      <c r="E1477" s="460"/>
      <c r="F1477" s="17"/>
      <c r="G1477" s="459"/>
      <c r="H1477" s="461"/>
      <c r="I1477" s="21"/>
      <c r="J1477" s="459"/>
      <c r="K1477" s="461"/>
      <c r="L1477" s="42"/>
      <c r="M1477" s="5"/>
      <c r="N1477" s="21"/>
      <c r="O1477" s="137" t="s">
        <v>322</v>
      </c>
      <c r="P1477" s="138">
        <f>P1476/29</f>
        <v>6.8965517241379306</v>
      </c>
      <c r="Q1477" s="24">
        <f>Q1476/29</f>
        <v>0</v>
      </c>
      <c r="R1477" s="153" t="s">
        <v>410</v>
      </c>
      <c r="S1477" s="296">
        <f>S1475+S1476</f>
        <v>0</v>
      </c>
      <c r="T1477" s="328" t="e">
        <f>S1477/S1465</f>
        <v>#DIV/0!</v>
      </c>
      <c r="U1477" s="296">
        <f>U1476+U1475</f>
        <v>0</v>
      </c>
      <c r="V1477" s="330" t="e">
        <f>U1477/U1465</f>
        <v>#DIV/0!</v>
      </c>
      <c r="W1477" s="296">
        <f>S1477+U1477</f>
        <v>0</v>
      </c>
      <c r="X1477" s="330" t="e">
        <f>(W1477+S1465+U1465)/(S1465+U1465)-1</f>
        <v>#DIV/0!</v>
      </c>
      <c r="Y1477" s="153" t="s">
        <v>375</v>
      </c>
      <c r="Z1477" s="389"/>
    </row>
    <row r="1478" spans="3:26" ht="17.25" thickTop="1" thickBot="1">
      <c r="C1478" s="264">
        <v>47209</v>
      </c>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spans="3:26" ht="17.25" thickTop="1" thickBot="1">
      <c r="C1479" s="480" t="s">
        <v>386</v>
      </c>
      <c r="D1479" s="481"/>
      <c r="E1479" s="482"/>
      <c r="F1479" s="483" t="s">
        <v>387</v>
      </c>
      <c r="G1479" s="484"/>
      <c r="H1479" s="484"/>
      <c r="I1479" s="484"/>
      <c r="J1479" s="484"/>
      <c r="K1479" s="484"/>
      <c r="L1479" s="484"/>
      <c r="M1479" s="484"/>
      <c r="N1479" s="485"/>
      <c r="O1479" s="261" t="s">
        <v>320</v>
      </c>
      <c r="P1479" s="262" t="s">
        <v>257</v>
      </c>
      <c r="Q1479" s="263" t="s">
        <v>319</v>
      </c>
      <c r="R1479" s="486" t="s">
        <v>144</v>
      </c>
      <c r="S1479" s="487"/>
      <c r="T1479" s="487"/>
      <c r="U1479" s="487"/>
      <c r="V1479" s="487"/>
      <c r="W1479" s="487"/>
      <c r="X1479" s="487"/>
      <c r="Y1479" s="487"/>
      <c r="Z1479" s="488"/>
    </row>
    <row r="1480" spans="3:26" ht="15.75" thickBot="1">
      <c r="C1480" s="265"/>
      <c r="D1480" s="489"/>
      <c r="E1480" s="490"/>
      <c r="F1480" s="470" t="s">
        <v>3</v>
      </c>
      <c r="G1480" s="491"/>
      <c r="H1480" s="492"/>
      <c r="I1480" s="493" t="s">
        <v>4</v>
      </c>
      <c r="J1480" s="491"/>
      <c r="K1480" s="492"/>
      <c r="L1480" s="267" t="s">
        <v>324</v>
      </c>
      <c r="M1480" s="267" t="s">
        <v>325</v>
      </c>
      <c r="N1480" s="267" t="s">
        <v>323</v>
      </c>
      <c r="O1480" s="316" t="s">
        <v>5</v>
      </c>
      <c r="P1480" s="317">
        <f>P1483+P1486+P1489+P1492</f>
        <v>36630.787304458514</v>
      </c>
      <c r="Q1480" s="318">
        <f>Q1489+Q1486+Q1483+Q1492</f>
        <v>0</v>
      </c>
      <c r="R1480" s="268" t="s">
        <v>323</v>
      </c>
      <c r="S1480" s="493" t="s">
        <v>317</v>
      </c>
      <c r="T1480" s="492"/>
      <c r="U1480" s="493" t="s">
        <v>369</v>
      </c>
      <c r="V1480" s="471"/>
      <c r="W1480" s="470" t="s">
        <v>310</v>
      </c>
      <c r="X1480" s="471"/>
      <c r="Y1480" s="470" t="s">
        <v>13</v>
      </c>
      <c r="Z1480" s="471"/>
    </row>
    <row r="1481" spans="3:26" ht="16.5" thickTop="1" thickBot="1">
      <c r="C1481" s="15"/>
      <c r="D1481" s="494"/>
      <c r="E1481" s="495"/>
      <c r="G1481" s="496"/>
      <c r="H1481" s="497"/>
      <c r="J1481" s="496"/>
      <c r="K1481" s="497"/>
      <c r="L1481" s="76"/>
      <c r="M1481" s="25"/>
      <c r="N1481" s="292"/>
      <c r="O1481" s="258" t="s">
        <v>321</v>
      </c>
      <c r="P1481" s="315">
        <f>SUM(C1481:C1494)-SUM(F1481:F1494)-SUM(I1481:I1494)</f>
        <v>689.02999999999986</v>
      </c>
      <c r="Q1481" s="12">
        <f>Q1480-Q1463</f>
        <v>0</v>
      </c>
      <c r="R1481" s="307" t="s">
        <v>343</v>
      </c>
      <c r="S1481" s="498"/>
      <c r="T1481" s="499"/>
      <c r="U1481" s="498"/>
      <c r="V1481" s="500"/>
      <c r="W1481" s="501" t="s">
        <v>326</v>
      </c>
      <c r="X1481" s="502"/>
      <c r="Y1481" s="143" t="s">
        <v>17</v>
      </c>
      <c r="Z1481" s="12"/>
    </row>
    <row r="1482" spans="3:26" ht="16.5" thickTop="1" thickBot="1">
      <c r="C1482" s="15"/>
      <c r="D1482" s="455" t="s">
        <v>11</v>
      </c>
      <c r="E1482" s="456"/>
      <c r="F1482" s="6">
        <f>F1465</f>
        <v>400</v>
      </c>
      <c r="G1482" s="462" t="s">
        <v>223</v>
      </c>
      <c r="H1482" s="464"/>
      <c r="I1482" s="20">
        <f>I1465</f>
        <v>11.99</v>
      </c>
      <c r="J1482" s="462" t="s">
        <v>385</v>
      </c>
      <c r="K1482" s="464"/>
      <c r="L1482" s="76">
        <f>L1465</f>
        <v>200</v>
      </c>
      <c r="M1482" s="76">
        <f>M1465</f>
        <v>150</v>
      </c>
      <c r="N1482" s="76">
        <f>N1465</f>
        <v>200</v>
      </c>
      <c r="O1482" s="141" t="s">
        <v>322</v>
      </c>
      <c r="P1482" s="133">
        <f>P1481/29</f>
        <v>23.759655172413787</v>
      </c>
      <c r="Q1482" s="10">
        <f>Q1481/29</f>
        <v>0</v>
      </c>
      <c r="R1482" s="308" t="s">
        <v>382</v>
      </c>
      <c r="S1482" s="474"/>
      <c r="T1482" s="475"/>
      <c r="U1482" s="467"/>
      <c r="V1482" s="468"/>
      <c r="W1482" s="289" t="s">
        <v>12</v>
      </c>
      <c r="X1482" s="315"/>
      <c r="Y1482" s="144" t="s">
        <v>18</v>
      </c>
      <c r="Z1482" s="72"/>
    </row>
    <row r="1483" spans="3:26">
      <c r="C1483" s="15"/>
      <c r="D1483" s="455" t="s">
        <v>390</v>
      </c>
      <c r="E1483" s="456"/>
      <c r="F1483" s="6">
        <f t="shared" ref="F1483:F1491" si="63">F1466</f>
        <v>100</v>
      </c>
      <c r="G1483" s="462" t="s">
        <v>9</v>
      </c>
      <c r="H1483" s="464"/>
      <c r="I1483" s="20">
        <f t="shared" ref="I1483:I1488" si="64">I1466</f>
        <v>11.99</v>
      </c>
      <c r="J1483" s="462" t="s">
        <v>22</v>
      </c>
      <c r="K1483" s="464"/>
      <c r="L1483" s="76"/>
      <c r="M1483" s="25"/>
      <c r="N1483" s="294"/>
      <c r="O1483" s="136" t="s">
        <v>12</v>
      </c>
      <c r="P1483" s="319">
        <f>P1466+P1481-SUM(L1481:L1494)-SUM(M1481:M1494)-SUM(N1481:N1494)</f>
        <v>5574.449999999988</v>
      </c>
      <c r="Q1483" s="320">
        <f>Z1481+Z1486+Z1489</f>
        <v>0</v>
      </c>
      <c r="R1483" s="308" t="s">
        <v>383</v>
      </c>
      <c r="S1483" s="474"/>
      <c r="T1483" s="475"/>
      <c r="U1483" s="467"/>
      <c r="V1483" s="468"/>
      <c r="W1483" s="282" t="s">
        <v>373</v>
      </c>
      <c r="X1483" s="132"/>
      <c r="Y1483" s="144" t="s">
        <v>19</v>
      </c>
      <c r="Z1483" s="72"/>
    </row>
    <row r="1484" spans="3:26" ht="15.75" thickBot="1">
      <c r="C1484" s="15"/>
      <c r="D1484" s="462"/>
      <c r="E1484" s="463"/>
      <c r="F1484" s="6">
        <f t="shared" si="63"/>
        <v>150</v>
      </c>
      <c r="G1484" s="462" t="s">
        <v>6</v>
      </c>
      <c r="H1484" s="464"/>
      <c r="I1484" s="20">
        <f t="shared" si="64"/>
        <v>20</v>
      </c>
      <c r="J1484" s="462" t="s">
        <v>920</v>
      </c>
      <c r="K1484" s="464"/>
      <c r="L1484" s="76"/>
      <c r="M1484" s="25"/>
      <c r="N1484" s="20"/>
      <c r="O1484" s="140" t="s">
        <v>321</v>
      </c>
      <c r="P1484" s="132">
        <f>SUM(C1481:C1494)-SUM(F1481:F1494)-SUM(I1481:I1494)-P1487-P1490-P1493</f>
        <v>139.02999999999986</v>
      </c>
      <c r="Q1484" s="72">
        <f>Q1483-Q1466</f>
        <v>0</v>
      </c>
      <c r="R1484" s="308" t="s">
        <v>424</v>
      </c>
      <c r="S1484" s="474"/>
      <c r="T1484" s="475"/>
      <c r="U1484" s="467"/>
      <c r="V1484" s="468"/>
      <c r="W1484" s="282" t="s">
        <v>378</v>
      </c>
      <c r="X1484" s="132"/>
      <c r="Y1484" s="145" t="s">
        <v>324</v>
      </c>
      <c r="Z1484" s="135"/>
    </row>
    <row r="1485" spans="3:26" ht="15.75" thickBot="1">
      <c r="C1485" s="15"/>
      <c r="D1485" s="455"/>
      <c r="E1485" s="456"/>
      <c r="F1485" s="6">
        <f t="shared" si="63"/>
        <v>370</v>
      </c>
      <c r="G1485" s="462" t="s">
        <v>97</v>
      </c>
      <c r="H1485" s="464"/>
      <c r="I1485" s="20">
        <f t="shared" si="64"/>
        <v>11.9</v>
      </c>
      <c r="J1485" s="462" t="s">
        <v>249</v>
      </c>
      <c r="K1485" s="464"/>
      <c r="L1485" s="76"/>
      <c r="M1485" s="25"/>
      <c r="N1485" s="294"/>
      <c r="O1485" s="141" t="s">
        <v>322</v>
      </c>
      <c r="P1485" s="133">
        <f>P1484/29</f>
        <v>4.7941379310344781</v>
      </c>
      <c r="Q1485" s="10">
        <f>Q1484/29</f>
        <v>0</v>
      </c>
      <c r="R1485" s="143" t="s">
        <v>12</v>
      </c>
      <c r="S1485" s="476"/>
      <c r="T1485" s="477"/>
      <c r="U1485" s="478"/>
      <c r="V1485" s="479"/>
      <c r="W1485" s="289" t="s">
        <v>379</v>
      </c>
      <c r="X1485" s="132"/>
      <c r="Y1485" s="470" t="s">
        <v>14</v>
      </c>
      <c r="Z1485" s="471"/>
    </row>
    <row r="1486" spans="3:26" ht="15.75" thickBot="1">
      <c r="C1486" s="15"/>
      <c r="D1486" s="455"/>
      <c r="E1486" s="456"/>
      <c r="F1486" s="6">
        <f t="shared" si="63"/>
        <v>1860.75</v>
      </c>
      <c r="G1486" s="462" t="s">
        <v>304</v>
      </c>
      <c r="H1486" s="464"/>
      <c r="I1486" s="20">
        <f t="shared" si="64"/>
        <v>150</v>
      </c>
      <c r="J1486" s="462" t="s">
        <v>974</v>
      </c>
      <c r="K1486" s="464"/>
      <c r="L1486" s="76"/>
      <c r="M1486" s="25"/>
      <c r="N1486" s="294"/>
      <c r="O1486" s="136" t="s">
        <v>324</v>
      </c>
      <c r="P1486" s="319">
        <f>P1469+P1487</f>
        <v>7735</v>
      </c>
      <c r="Q1486" s="320">
        <f>Z1482+Z1483+Z1484</f>
        <v>0</v>
      </c>
      <c r="R1486" s="144" t="s">
        <v>425</v>
      </c>
      <c r="S1486" s="465"/>
      <c r="T1486" s="466"/>
      <c r="U1486" s="467"/>
      <c r="V1486" s="468"/>
      <c r="W1486" s="146" t="s">
        <v>375</v>
      </c>
      <c r="X1486" s="325"/>
      <c r="Y1486" s="143" t="s">
        <v>15</v>
      </c>
      <c r="Z1486" s="12"/>
    </row>
    <row r="1487" spans="3:26" ht="15.75" thickBot="1">
      <c r="C1487" s="15"/>
      <c r="D1487" s="462"/>
      <c r="E1487" s="463"/>
      <c r="F1487" s="6">
        <f t="shared" si="63"/>
        <v>70</v>
      </c>
      <c r="G1487" s="462" t="s">
        <v>982</v>
      </c>
      <c r="H1487" s="464"/>
      <c r="I1487" s="20">
        <f t="shared" si="64"/>
        <v>150</v>
      </c>
      <c r="J1487" s="462" t="s">
        <v>105</v>
      </c>
      <c r="K1487" s="464"/>
      <c r="L1487" s="76"/>
      <c r="M1487" s="25"/>
      <c r="N1487" s="294"/>
      <c r="O1487" s="140" t="s">
        <v>321</v>
      </c>
      <c r="P1487" s="132">
        <f>SUM(L1481:L1494)</f>
        <v>200</v>
      </c>
      <c r="Q1487" s="72">
        <f>Q1486-Q1469</f>
        <v>0</v>
      </c>
      <c r="R1487" s="144" t="s">
        <v>426</v>
      </c>
      <c r="S1487" s="465"/>
      <c r="T1487" s="466"/>
      <c r="U1487" s="467"/>
      <c r="V1487" s="468"/>
      <c r="W1487" s="470" t="s">
        <v>376</v>
      </c>
      <c r="X1487" s="471"/>
      <c r="Y1487" s="146" t="s">
        <v>325</v>
      </c>
      <c r="Z1487" s="10"/>
    </row>
    <row r="1488" spans="3:26" ht="16.5" thickTop="1" thickBot="1">
      <c r="C1488" s="15"/>
      <c r="D1488" s="462"/>
      <c r="E1488" s="463"/>
      <c r="F1488" s="6">
        <f t="shared" si="63"/>
        <v>50</v>
      </c>
      <c r="G1488" s="462" t="s">
        <v>926</v>
      </c>
      <c r="H1488" s="464"/>
      <c r="I1488" s="20">
        <f t="shared" si="64"/>
        <v>400</v>
      </c>
      <c r="J1488" s="462" t="s">
        <v>206</v>
      </c>
      <c r="K1488" s="464"/>
      <c r="L1488" s="76"/>
      <c r="M1488" s="25"/>
      <c r="N1488" s="292"/>
      <c r="O1488" s="141" t="s">
        <v>322</v>
      </c>
      <c r="P1488" s="133">
        <f>P1487/29</f>
        <v>6.8965517241379306</v>
      </c>
      <c r="Q1488" s="10">
        <f>Q1487/29</f>
        <v>0</v>
      </c>
      <c r="R1488" s="144" t="s">
        <v>422</v>
      </c>
      <c r="S1488" s="465"/>
      <c r="T1488" s="466"/>
      <c r="U1488" s="467"/>
      <c r="V1488" s="468"/>
      <c r="W1488" s="289" t="s">
        <v>12</v>
      </c>
      <c r="X1488" s="38"/>
      <c r="Y1488" s="470" t="s">
        <v>374</v>
      </c>
      <c r="Z1488" s="471"/>
    </row>
    <row r="1489" spans="3:26" ht="16.5" thickTop="1" thickBot="1">
      <c r="C1489" s="15"/>
      <c r="D1489" s="462"/>
      <c r="E1489" s="463"/>
      <c r="F1489" s="6">
        <f t="shared" si="63"/>
        <v>150</v>
      </c>
      <c r="G1489" s="462" t="s">
        <v>927</v>
      </c>
      <c r="H1489" s="464"/>
      <c r="I1489" s="20"/>
      <c r="J1489" s="462"/>
      <c r="K1489" s="464"/>
      <c r="L1489" s="76"/>
      <c r="M1489" s="25"/>
      <c r="N1489" s="293"/>
      <c r="O1489" s="136" t="s">
        <v>325</v>
      </c>
      <c r="P1489" s="319">
        <f>P1472+P1490</f>
        <v>5808.88</v>
      </c>
      <c r="Q1489" s="320">
        <f>Z1487</f>
        <v>0</v>
      </c>
      <c r="R1489" s="143" t="s">
        <v>421</v>
      </c>
      <c r="S1489" s="465"/>
      <c r="T1489" s="466"/>
      <c r="U1489" s="467"/>
      <c r="V1489" s="468"/>
      <c r="W1489" s="282" t="s">
        <v>373</v>
      </c>
      <c r="X1489" s="281"/>
      <c r="Y1489" s="321" t="s">
        <v>181</v>
      </c>
      <c r="Z1489" s="322">
        <v>0</v>
      </c>
    </row>
    <row r="1490" spans="3:26" ht="15.75" thickBot="1">
      <c r="C1490" s="266"/>
      <c r="D1490" s="448"/>
      <c r="E1490" s="469"/>
      <c r="F1490" s="6">
        <f t="shared" si="63"/>
        <v>150</v>
      </c>
      <c r="G1490" s="462" t="s">
        <v>925</v>
      </c>
      <c r="H1490" s="464"/>
      <c r="I1490" s="20"/>
      <c r="J1490" s="462"/>
      <c r="K1490" s="464"/>
      <c r="L1490" s="76"/>
      <c r="M1490" s="25"/>
      <c r="N1490" s="295"/>
      <c r="O1490" s="140" t="s">
        <v>321</v>
      </c>
      <c r="P1490" s="132">
        <f>SUM(M1481:M1494)</f>
        <v>150</v>
      </c>
      <c r="Q1490" s="72">
        <f>Q1489-Q1472</f>
        <v>0</v>
      </c>
      <c r="R1490" s="144" t="s">
        <v>418</v>
      </c>
      <c r="S1490" s="465"/>
      <c r="T1490" s="466"/>
      <c r="U1490" s="467"/>
      <c r="V1490" s="468"/>
      <c r="W1490" s="282" t="s">
        <v>378</v>
      </c>
      <c r="X1490" s="281"/>
      <c r="Y1490" s="470" t="s">
        <v>1000</v>
      </c>
      <c r="Z1490" s="471"/>
    </row>
    <row r="1491" spans="3:26" ht="16.5" thickTop="1" thickBot="1">
      <c r="C1491" s="266"/>
      <c r="D1491" s="448" t="s">
        <v>1001</v>
      </c>
      <c r="E1491" s="469"/>
      <c r="F1491" s="6">
        <f t="shared" si="63"/>
        <v>30</v>
      </c>
      <c r="G1491" s="462" t="s">
        <v>33</v>
      </c>
      <c r="H1491" s="464"/>
      <c r="I1491" s="20"/>
      <c r="J1491" s="462"/>
      <c r="K1491" s="464"/>
      <c r="L1491" s="76"/>
      <c r="M1491" s="25"/>
      <c r="N1491" s="293"/>
      <c r="O1491" s="141" t="s">
        <v>322</v>
      </c>
      <c r="P1491" s="133">
        <f>P1490/29</f>
        <v>5.1724137931034484</v>
      </c>
      <c r="Q1491" s="10">
        <f>Q1490/29</f>
        <v>0</v>
      </c>
      <c r="R1491" s="144" t="s">
        <v>438</v>
      </c>
      <c r="S1491" s="465"/>
      <c r="T1491" s="466"/>
      <c r="U1491" s="472"/>
      <c r="V1491" s="473"/>
      <c r="W1491" s="289" t="s">
        <v>379</v>
      </c>
      <c r="X1491" s="281"/>
      <c r="Y1491" s="143" t="s">
        <v>12</v>
      </c>
      <c r="Z1491" s="12"/>
    </row>
    <row r="1492" spans="3:26" ht="15.75" thickBot="1">
      <c r="C1492" s="15">
        <f>C1475</f>
        <v>4775.66</v>
      </c>
      <c r="D1492" s="455" t="s">
        <v>11</v>
      </c>
      <c r="E1492" s="456"/>
      <c r="F1492" s="15"/>
      <c r="G1492" s="462"/>
      <c r="H1492" s="464"/>
      <c r="I1492" s="20"/>
      <c r="J1492" s="462"/>
      <c r="K1492" s="464"/>
      <c r="L1492" s="76"/>
      <c r="M1492" s="25"/>
      <c r="N1492" s="295"/>
      <c r="O1492" s="136" t="s">
        <v>323</v>
      </c>
      <c r="P1492" s="319">
        <f>P1475+P1493</f>
        <v>17512.45730445853</v>
      </c>
      <c r="Q1492" s="320">
        <f>S1481+U1481</f>
        <v>0</v>
      </c>
      <c r="R1492" s="144" t="s">
        <v>380</v>
      </c>
      <c r="S1492" s="291">
        <f>S1483-S1484</f>
        <v>0</v>
      </c>
      <c r="T1492" s="327" t="e">
        <f>S1492/S1484</f>
        <v>#DIV/0!</v>
      </c>
      <c r="U1492" s="291">
        <f>U1483-U1484</f>
        <v>0</v>
      </c>
      <c r="V1492" s="329" t="e">
        <f>U1492/U1484</f>
        <v>#DIV/0!</v>
      </c>
      <c r="W1492" s="146" t="s">
        <v>375</v>
      </c>
      <c r="X1492" s="326"/>
      <c r="Y1492" s="144" t="s">
        <v>373</v>
      </c>
      <c r="Z1492" s="72"/>
    </row>
    <row r="1493" spans="3:26">
      <c r="C1493" s="15"/>
      <c r="D1493" s="455" t="s">
        <v>390</v>
      </c>
      <c r="E1493" s="456"/>
      <c r="F1493" s="15"/>
      <c r="G1493" s="457" t="s">
        <v>38</v>
      </c>
      <c r="H1493" s="458"/>
      <c r="I1493" s="20"/>
      <c r="J1493" s="457" t="s">
        <v>38</v>
      </c>
      <c r="K1493" s="458"/>
      <c r="L1493" s="76"/>
      <c r="M1493" s="25"/>
      <c r="N1493" s="293"/>
      <c r="O1493" s="140" t="s">
        <v>321</v>
      </c>
      <c r="P1493" s="132">
        <f>SUM(N1481:N1494)</f>
        <v>200</v>
      </c>
      <c r="Q1493" s="72">
        <f>Q1492-Q1475</f>
        <v>0</v>
      </c>
      <c r="R1493" s="144" t="s">
        <v>381</v>
      </c>
      <c r="S1493" s="291">
        <f>S1481-S1486</f>
        <v>0</v>
      </c>
      <c r="T1493" s="327" t="e">
        <f>S1493/S1486</f>
        <v>#DIV/0!</v>
      </c>
      <c r="U1493" s="291">
        <f>U1481-U1486</f>
        <v>0</v>
      </c>
      <c r="V1493" s="366" t="e">
        <f>U1493/ABS(U1486)</f>
        <v>#DIV/0!</v>
      </c>
      <c r="W1493" s="337" t="s">
        <v>410</v>
      </c>
      <c r="X1493" s="1" t="s">
        <v>558</v>
      </c>
      <c r="Y1493" s="144" t="s">
        <v>379</v>
      </c>
      <c r="Z1493" s="72"/>
    </row>
    <row r="1494" spans="3:26" ht="15.75" thickBot="1">
      <c r="C1494" s="17"/>
      <c r="D1494" s="459"/>
      <c r="E1494" s="460"/>
      <c r="F1494" s="17"/>
      <c r="G1494" s="459"/>
      <c r="H1494" s="461"/>
      <c r="I1494" s="21"/>
      <c r="J1494" s="459"/>
      <c r="K1494" s="461"/>
      <c r="L1494" s="42"/>
      <c r="M1494" s="5"/>
      <c r="N1494" s="21"/>
      <c r="O1494" s="137" t="s">
        <v>322</v>
      </c>
      <c r="P1494" s="138">
        <f>P1493/29</f>
        <v>6.8965517241379306</v>
      </c>
      <c r="Q1494" s="24">
        <f>Q1493/29</f>
        <v>0</v>
      </c>
      <c r="R1494" s="153" t="s">
        <v>410</v>
      </c>
      <c r="S1494" s="296">
        <f>S1492+S1493</f>
        <v>0</v>
      </c>
      <c r="T1494" s="328" t="e">
        <f>S1494/S1482</f>
        <v>#DIV/0!</v>
      </c>
      <c r="U1494" s="296">
        <f>U1493+U1492</f>
        <v>0</v>
      </c>
      <c r="V1494" s="330" t="e">
        <f>U1494/U1482</f>
        <v>#DIV/0!</v>
      </c>
      <c r="W1494" s="296">
        <f>S1494+U1494</f>
        <v>0</v>
      </c>
      <c r="X1494" s="330" t="e">
        <f>(W1494+S1482+U1482)/(S1482+U1482)-1</f>
        <v>#DIV/0!</v>
      </c>
      <c r="Y1494" s="153" t="s">
        <v>375</v>
      </c>
      <c r="Z1494" s="389"/>
    </row>
    <row r="1495" spans="3:26" ht="17.25" thickTop="1" thickBot="1">
      <c r="C1495" s="264">
        <v>47239</v>
      </c>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spans="3:26" ht="17.25" thickTop="1" thickBot="1">
      <c r="C1496" s="480" t="s">
        <v>386</v>
      </c>
      <c r="D1496" s="481"/>
      <c r="E1496" s="482"/>
      <c r="F1496" s="483" t="s">
        <v>387</v>
      </c>
      <c r="G1496" s="484"/>
      <c r="H1496" s="484"/>
      <c r="I1496" s="484"/>
      <c r="J1496" s="484"/>
      <c r="K1496" s="484"/>
      <c r="L1496" s="484"/>
      <c r="M1496" s="484"/>
      <c r="N1496" s="485"/>
      <c r="O1496" s="261" t="s">
        <v>320</v>
      </c>
      <c r="P1496" s="262" t="s">
        <v>257</v>
      </c>
      <c r="Q1496" s="263" t="s">
        <v>319</v>
      </c>
      <c r="R1496" s="486" t="s">
        <v>144</v>
      </c>
      <c r="S1496" s="487"/>
      <c r="T1496" s="487"/>
      <c r="U1496" s="487"/>
      <c r="V1496" s="487"/>
      <c r="W1496" s="487"/>
      <c r="X1496" s="487"/>
      <c r="Y1496" s="487"/>
      <c r="Z1496" s="488"/>
    </row>
    <row r="1497" spans="3:26" ht="15.75" thickBot="1">
      <c r="C1497" s="265"/>
      <c r="D1497" s="489"/>
      <c r="E1497" s="490"/>
      <c r="F1497" s="470" t="s">
        <v>3</v>
      </c>
      <c r="G1497" s="491"/>
      <c r="H1497" s="492"/>
      <c r="I1497" s="493" t="s">
        <v>4</v>
      </c>
      <c r="J1497" s="491"/>
      <c r="K1497" s="492"/>
      <c r="L1497" s="267" t="s">
        <v>324</v>
      </c>
      <c r="M1497" s="267" t="s">
        <v>325</v>
      </c>
      <c r="N1497" s="267" t="s">
        <v>323</v>
      </c>
      <c r="O1497" s="316" t="s">
        <v>5</v>
      </c>
      <c r="P1497" s="317">
        <f>P1500+P1503+P1506+P1509</f>
        <v>37319.81730445852</v>
      </c>
      <c r="Q1497" s="318">
        <f>Q1506+Q1503+Q1500+Q1509</f>
        <v>0</v>
      </c>
      <c r="R1497" s="268" t="s">
        <v>323</v>
      </c>
      <c r="S1497" s="493" t="s">
        <v>317</v>
      </c>
      <c r="T1497" s="492"/>
      <c r="U1497" s="493" t="s">
        <v>369</v>
      </c>
      <c r="V1497" s="471"/>
      <c r="W1497" s="470" t="s">
        <v>310</v>
      </c>
      <c r="X1497" s="471"/>
      <c r="Y1497" s="470" t="s">
        <v>13</v>
      </c>
      <c r="Z1497" s="471"/>
    </row>
    <row r="1498" spans="3:26" ht="16.5" thickTop="1" thickBot="1">
      <c r="C1498" s="15"/>
      <c r="D1498" s="494"/>
      <c r="E1498" s="495"/>
      <c r="G1498" s="496"/>
      <c r="H1498" s="497"/>
      <c r="J1498" s="496"/>
      <c r="K1498" s="497"/>
      <c r="L1498" s="76"/>
      <c r="M1498" s="25"/>
      <c r="N1498" s="292"/>
      <c r="O1498" s="258" t="s">
        <v>321</v>
      </c>
      <c r="P1498" s="315">
        <f>SUM(C1498:C1511)-SUM(F1498:F1511)-SUM(I1498:I1511)</f>
        <v>689.02999999999986</v>
      </c>
      <c r="Q1498" s="12">
        <f>Q1497-Q1480</f>
        <v>0</v>
      </c>
      <c r="R1498" s="307" t="s">
        <v>343</v>
      </c>
      <c r="S1498" s="498"/>
      <c r="T1498" s="499"/>
      <c r="U1498" s="498"/>
      <c r="V1498" s="500"/>
      <c r="W1498" s="501" t="s">
        <v>326</v>
      </c>
      <c r="X1498" s="502"/>
      <c r="Y1498" s="143" t="s">
        <v>17</v>
      </c>
      <c r="Z1498" s="12"/>
    </row>
    <row r="1499" spans="3:26" ht="16.5" thickTop="1" thickBot="1">
      <c r="C1499" s="15"/>
      <c r="D1499" s="455" t="s">
        <v>11</v>
      </c>
      <c r="E1499" s="456"/>
      <c r="F1499" s="6">
        <f>F1482</f>
        <v>400</v>
      </c>
      <c r="G1499" s="462" t="s">
        <v>223</v>
      </c>
      <c r="H1499" s="464"/>
      <c r="I1499" s="20">
        <f>I1482</f>
        <v>11.99</v>
      </c>
      <c r="J1499" s="462" t="s">
        <v>385</v>
      </c>
      <c r="K1499" s="464"/>
      <c r="L1499" s="76">
        <f>L1482</f>
        <v>200</v>
      </c>
      <c r="M1499" s="76">
        <f>M1482</f>
        <v>150</v>
      </c>
      <c r="N1499" s="76">
        <f>N1482</f>
        <v>200</v>
      </c>
      <c r="O1499" s="141" t="s">
        <v>322</v>
      </c>
      <c r="P1499" s="133">
        <f>P1498/29</f>
        <v>23.759655172413787</v>
      </c>
      <c r="Q1499" s="10">
        <f>Q1498/29</f>
        <v>0</v>
      </c>
      <c r="R1499" s="308" t="s">
        <v>382</v>
      </c>
      <c r="S1499" s="474"/>
      <c r="T1499" s="475"/>
      <c r="U1499" s="467"/>
      <c r="V1499" s="468"/>
      <c r="W1499" s="289" t="s">
        <v>12</v>
      </c>
      <c r="X1499" s="315"/>
      <c r="Y1499" s="144" t="s">
        <v>18</v>
      </c>
      <c r="Z1499" s="72"/>
    </row>
    <row r="1500" spans="3:26">
      <c r="C1500" s="15"/>
      <c r="D1500" s="455" t="s">
        <v>390</v>
      </c>
      <c r="E1500" s="456"/>
      <c r="F1500" s="6">
        <f t="shared" ref="F1500:F1508" si="65">F1483</f>
        <v>100</v>
      </c>
      <c r="G1500" s="462" t="s">
        <v>9</v>
      </c>
      <c r="H1500" s="464"/>
      <c r="I1500" s="20">
        <f t="shared" ref="I1500:I1505" si="66">I1483</f>
        <v>11.99</v>
      </c>
      <c r="J1500" s="462" t="s">
        <v>22</v>
      </c>
      <c r="K1500" s="464"/>
      <c r="L1500" s="76"/>
      <c r="M1500" s="25"/>
      <c r="N1500" s="294"/>
      <c r="O1500" s="136" t="s">
        <v>12</v>
      </c>
      <c r="P1500" s="319">
        <f>P1483+P1498-SUM(L1498:L1511)-SUM(M1498:M1511)-SUM(N1498:N1511)</f>
        <v>5713.4799999999877</v>
      </c>
      <c r="Q1500" s="320">
        <f>Z1498+Z1503+Z1506</f>
        <v>0</v>
      </c>
      <c r="R1500" s="308" t="s">
        <v>383</v>
      </c>
      <c r="S1500" s="474"/>
      <c r="T1500" s="475"/>
      <c r="U1500" s="467"/>
      <c r="V1500" s="468"/>
      <c r="W1500" s="282" t="s">
        <v>373</v>
      </c>
      <c r="X1500" s="132"/>
      <c r="Y1500" s="144" t="s">
        <v>19</v>
      </c>
      <c r="Z1500" s="72"/>
    </row>
    <row r="1501" spans="3:26" ht="15.75" thickBot="1">
      <c r="C1501" s="15"/>
      <c r="D1501" s="462"/>
      <c r="E1501" s="463"/>
      <c r="F1501" s="6">
        <f t="shared" si="65"/>
        <v>150</v>
      </c>
      <c r="G1501" s="462" t="s">
        <v>6</v>
      </c>
      <c r="H1501" s="464"/>
      <c r="I1501" s="20">
        <f t="shared" si="66"/>
        <v>20</v>
      </c>
      <c r="J1501" s="462" t="s">
        <v>920</v>
      </c>
      <c r="K1501" s="464"/>
      <c r="L1501" s="76"/>
      <c r="M1501" s="25"/>
      <c r="N1501" s="20"/>
      <c r="O1501" s="140" t="s">
        <v>321</v>
      </c>
      <c r="P1501" s="132">
        <f>SUM(C1498:C1511)-SUM(F1498:F1511)-SUM(I1498:I1511)-P1504-P1507-P1510</f>
        <v>139.02999999999986</v>
      </c>
      <c r="Q1501" s="72">
        <f>Q1500-Q1483</f>
        <v>0</v>
      </c>
      <c r="R1501" s="308" t="s">
        <v>424</v>
      </c>
      <c r="S1501" s="474"/>
      <c r="T1501" s="475"/>
      <c r="U1501" s="467"/>
      <c r="V1501" s="468"/>
      <c r="W1501" s="282" t="s">
        <v>378</v>
      </c>
      <c r="X1501" s="132"/>
      <c r="Y1501" s="145" t="s">
        <v>324</v>
      </c>
      <c r="Z1501" s="135"/>
    </row>
    <row r="1502" spans="3:26" ht="15.75" thickBot="1">
      <c r="C1502" s="15"/>
      <c r="D1502" s="455"/>
      <c r="E1502" s="456"/>
      <c r="F1502" s="6">
        <f t="shared" si="65"/>
        <v>370</v>
      </c>
      <c r="G1502" s="462" t="s">
        <v>97</v>
      </c>
      <c r="H1502" s="464"/>
      <c r="I1502" s="20">
        <f t="shared" si="66"/>
        <v>11.9</v>
      </c>
      <c r="J1502" s="462" t="s">
        <v>249</v>
      </c>
      <c r="K1502" s="464"/>
      <c r="L1502" s="76"/>
      <c r="M1502" s="25"/>
      <c r="N1502" s="294"/>
      <c r="O1502" s="141" t="s">
        <v>322</v>
      </c>
      <c r="P1502" s="133">
        <f>P1501/29</f>
        <v>4.7941379310344781</v>
      </c>
      <c r="Q1502" s="10">
        <f>Q1501/29</f>
        <v>0</v>
      </c>
      <c r="R1502" s="143" t="s">
        <v>12</v>
      </c>
      <c r="S1502" s="476"/>
      <c r="T1502" s="477"/>
      <c r="U1502" s="478"/>
      <c r="V1502" s="479"/>
      <c r="W1502" s="289" t="s">
        <v>379</v>
      </c>
      <c r="X1502" s="132"/>
      <c r="Y1502" s="470" t="s">
        <v>14</v>
      </c>
      <c r="Z1502" s="471"/>
    </row>
    <row r="1503" spans="3:26" ht="15.75" thickBot="1">
      <c r="C1503" s="15"/>
      <c r="D1503" s="455"/>
      <c r="E1503" s="456"/>
      <c r="F1503" s="6">
        <f t="shared" si="65"/>
        <v>1860.75</v>
      </c>
      <c r="G1503" s="462" t="s">
        <v>304</v>
      </c>
      <c r="H1503" s="464"/>
      <c r="I1503" s="20">
        <f t="shared" si="66"/>
        <v>150</v>
      </c>
      <c r="J1503" s="462" t="s">
        <v>974</v>
      </c>
      <c r="K1503" s="464"/>
      <c r="L1503" s="76"/>
      <c r="M1503" s="25"/>
      <c r="N1503" s="294"/>
      <c r="O1503" s="136" t="s">
        <v>324</v>
      </c>
      <c r="P1503" s="319">
        <f>P1486+P1504</f>
        <v>7935</v>
      </c>
      <c r="Q1503" s="320">
        <f>Z1499+Z1500+Z1501</f>
        <v>0</v>
      </c>
      <c r="R1503" s="144" t="s">
        <v>425</v>
      </c>
      <c r="S1503" s="465"/>
      <c r="T1503" s="466"/>
      <c r="U1503" s="467"/>
      <c r="V1503" s="468"/>
      <c r="W1503" s="146" t="s">
        <v>375</v>
      </c>
      <c r="X1503" s="325"/>
      <c r="Y1503" s="143" t="s">
        <v>15</v>
      </c>
      <c r="Z1503" s="12"/>
    </row>
    <row r="1504" spans="3:26" ht="15.75" thickBot="1">
      <c r="C1504" s="15"/>
      <c r="D1504" s="462"/>
      <c r="E1504" s="463"/>
      <c r="F1504" s="6">
        <f t="shared" si="65"/>
        <v>70</v>
      </c>
      <c r="G1504" s="462" t="s">
        <v>982</v>
      </c>
      <c r="H1504" s="464"/>
      <c r="I1504" s="20">
        <f t="shared" si="66"/>
        <v>150</v>
      </c>
      <c r="J1504" s="462" t="s">
        <v>105</v>
      </c>
      <c r="K1504" s="464"/>
      <c r="L1504" s="76"/>
      <c r="M1504" s="25"/>
      <c r="N1504" s="294"/>
      <c r="O1504" s="140" t="s">
        <v>321</v>
      </c>
      <c r="P1504" s="132">
        <f>SUM(L1498:L1511)</f>
        <v>200</v>
      </c>
      <c r="Q1504" s="72">
        <f>Q1503-Q1486</f>
        <v>0</v>
      </c>
      <c r="R1504" s="144" t="s">
        <v>426</v>
      </c>
      <c r="S1504" s="465"/>
      <c r="T1504" s="466"/>
      <c r="U1504" s="467"/>
      <c r="V1504" s="468"/>
      <c r="W1504" s="470" t="s">
        <v>376</v>
      </c>
      <c r="X1504" s="471"/>
      <c r="Y1504" s="146" t="s">
        <v>325</v>
      </c>
      <c r="Z1504" s="10"/>
    </row>
    <row r="1505" spans="3:26" ht="16.5" thickTop="1" thickBot="1">
      <c r="C1505" s="15"/>
      <c r="D1505" s="462"/>
      <c r="E1505" s="463"/>
      <c r="F1505" s="6">
        <f t="shared" si="65"/>
        <v>50</v>
      </c>
      <c r="G1505" s="462" t="s">
        <v>926</v>
      </c>
      <c r="H1505" s="464"/>
      <c r="I1505" s="20">
        <f t="shared" si="66"/>
        <v>400</v>
      </c>
      <c r="J1505" s="462" t="s">
        <v>206</v>
      </c>
      <c r="K1505" s="464"/>
      <c r="L1505" s="76"/>
      <c r="M1505" s="25"/>
      <c r="N1505" s="292"/>
      <c r="O1505" s="141" t="s">
        <v>322</v>
      </c>
      <c r="P1505" s="133">
        <f>P1504/29</f>
        <v>6.8965517241379306</v>
      </c>
      <c r="Q1505" s="10">
        <f>Q1504/29</f>
        <v>0</v>
      </c>
      <c r="R1505" s="144" t="s">
        <v>422</v>
      </c>
      <c r="S1505" s="465"/>
      <c r="T1505" s="466"/>
      <c r="U1505" s="467"/>
      <c r="V1505" s="468"/>
      <c r="W1505" s="289" t="s">
        <v>12</v>
      </c>
      <c r="X1505" s="38"/>
      <c r="Y1505" s="470" t="s">
        <v>374</v>
      </c>
      <c r="Z1505" s="471"/>
    </row>
    <row r="1506" spans="3:26" ht="16.5" thickTop="1" thickBot="1">
      <c r="C1506" s="15"/>
      <c r="D1506" s="462"/>
      <c r="E1506" s="463"/>
      <c r="F1506" s="6">
        <f t="shared" si="65"/>
        <v>150</v>
      </c>
      <c r="G1506" s="462" t="s">
        <v>927</v>
      </c>
      <c r="H1506" s="464"/>
      <c r="I1506" s="20"/>
      <c r="J1506" s="462"/>
      <c r="K1506" s="464"/>
      <c r="L1506" s="76"/>
      <c r="M1506" s="25"/>
      <c r="N1506" s="293"/>
      <c r="O1506" s="136" t="s">
        <v>325</v>
      </c>
      <c r="P1506" s="319">
        <f>P1489+P1507</f>
        <v>5958.88</v>
      </c>
      <c r="Q1506" s="320">
        <f>Z1504</f>
        <v>0</v>
      </c>
      <c r="R1506" s="143" t="s">
        <v>421</v>
      </c>
      <c r="S1506" s="465"/>
      <c r="T1506" s="466"/>
      <c r="U1506" s="467"/>
      <c r="V1506" s="468"/>
      <c r="W1506" s="282" t="s">
        <v>373</v>
      </c>
      <c r="X1506" s="281"/>
      <c r="Y1506" s="321" t="s">
        <v>181</v>
      </c>
      <c r="Z1506" s="322">
        <v>0</v>
      </c>
    </row>
    <row r="1507" spans="3:26" ht="15.75" thickBot="1">
      <c r="C1507" s="266"/>
      <c r="D1507" s="448"/>
      <c r="E1507" s="469"/>
      <c r="F1507" s="6">
        <f t="shared" si="65"/>
        <v>150</v>
      </c>
      <c r="G1507" s="462" t="s">
        <v>925</v>
      </c>
      <c r="H1507" s="464"/>
      <c r="I1507" s="20"/>
      <c r="J1507" s="462"/>
      <c r="K1507" s="464"/>
      <c r="L1507" s="76"/>
      <c r="M1507" s="25"/>
      <c r="N1507" s="295"/>
      <c r="O1507" s="140" t="s">
        <v>321</v>
      </c>
      <c r="P1507" s="132">
        <f>SUM(M1498:M1511)</f>
        <v>150</v>
      </c>
      <c r="Q1507" s="72">
        <f>Q1506-Q1489</f>
        <v>0</v>
      </c>
      <c r="R1507" s="144" t="s">
        <v>418</v>
      </c>
      <c r="S1507" s="465"/>
      <c r="T1507" s="466"/>
      <c r="U1507" s="467"/>
      <c r="V1507" s="468"/>
      <c r="W1507" s="282" t="s">
        <v>378</v>
      </c>
      <c r="X1507" s="281"/>
      <c r="Y1507" s="470" t="s">
        <v>1000</v>
      </c>
      <c r="Z1507" s="471"/>
    </row>
    <row r="1508" spans="3:26" ht="16.5" thickTop="1" thickBot="1">
      <c r="C1508" s="266"/>
      <c r="D1508" s="448" t="s">
        <v>1001</v>
      </c>
      <c r="E1508" s="469"/>
      <c r="F1508" s="6">
        <f t="shared" si="65"/>
        <v>30</v>
      </c>
      <c r="G1508" s="462" t="s">
        <v>33</v>
      </c>
      <c r="H1508" s="464"/>
      <c r="I1508" s="20"/>
      <c r="J1508" s="462"/>
      <c r="K1508" s="464"/>
      <c r="L1508" s="76"/>
      <c r="M1508" s="25"/>
      <c r="N1508" s="293"/>
      <c r="O1508" s="141" t="s">
        <v>322</v>
      </c>
      <c r="P1508" s="133">
        <f>P1507/29</f>
        <v>5.1724137931034484</v>
      </c>
      <c r="Q1508" s="10">
        <f>Q1507/29</f>
        <v>0</v>
      </c>
      <c r="R1508" s="144" t="s">
        <v>438</v>
      </c>
      <c r="S1508" s="465"/>
      <c r="T1508" s="466"/>
      <c r="U1508" s="472"/>
      <c r="V1508" s="473"/>
      <c r="W1508" s="289" t="s">
        <v>379</v>
      </c>
      <c r="X1508" s="281"/>
      <c r="Y1508" s="143" t="s">
        <v>12</v>
      </c>
      <c r="Z1508" s="12"/>
    </row>
    <row r="1509" spans="3:26" ht="15.75" thickBot="1">
      <c r="C1509" s="15">
        <f>C1492</f>
        <v>4775.66</v>
      </c>
      <c r="D1509" s="455" t="s">
        <v>11</v>
      </c>
      <c r="E1509" s="456"/>
      <c r="F1509" s="15"/>
      <c r="G1509" s="462"/>
      <c r="H1509" s="464"/>
      <c r="I1509" s="20"/>
      <c r="J1509" s="462"/>
      <c r="K1509" s="464"/>
      <c r="L1509" s="76"/>
      <c r="M1509" s="25"/>
      <c r="N1509" s="295"/>
      <c r="O1509" s="136" t="s">
        <v>323</v>
      </c>
      <c r="P1509" s="319">
        <f>P1492+P1510</f>
        <v>17712.45730445853</v>
      </c>
      <c r="Q1509" s="320">
        <f>S1498+U1498</f>
        <v>0</v>
      </c>
      <c r="R1509" s="144" t="s">
        <v>380</v>
      </c>
      <c r="S1509" s="291">
        <f>S1500-S1501</f>
        <v>0</v>
      </c>
      <c r="T1509" s="327" t="e">
        <f>S1509/S1501</f>
        <v>#DIV/0!</v>
      </c>
      <c r="U1509" s="291">
        <f>U1500-U1501</f>
        <v>0</v>
      </c>
      <c r="V1509" s="329" t="e">
        <f>U1509/U1501</f>
        <v>#DIV/0!</v>
      </c>
      <c r="W1509" s="146" t="s">
        <v>375</v>
      </c>
      <c r="X1509" s="326"/>
      <c r="Y1509" s="144" t="s">
        <v>373</v>
      </c>
      <c r="Z1509" s="72"/>
    </row>
    <row r="1510" spans="3:26">
      <c r="C1510" s="15"/>
      <c r="D1510" s="455" t="s">
        <v>390</v>
      </c>
      <c r="E1510" s="456"/>
      <c r="F1510" s="15"/>
      <c r="G1510" s="457" t="s">
        <v>38</v>
      </c>
      <c r="H1510" s="458"/>
      <c r="I1510" s="20"/>
      <c r="J1510" s="457" t="s">
        <v>38</v>
      </c>
      <c r="K1510" s="458"/>
      <c r="L1510" s="76"/>
      <c r="M1510" s="25"/>
      <c r="N1510" s="293"/>
      <c r="O1510" s="140" t="s">
        <v>321</v>
      </c>
      <c r="P1510" s="132">
        <f>SUM(N1498:N1511)</f>
        <v>200</v>
      </c>
      <c r="Q1510" s="72">
        <f>Q1509-Q1492</f>
        <v>0</v>
      </c>
      <c r="R1510" s="144" t="s">
        <v>381</v>
      </c>
      <c r="S1510" s="291">
        <f>S1498-S1503</f>
        <v>0</v>
      </c>
      <c r="T1510" s="327" t="e">
        <f>S1510/S1503</f>
        <v>#DIV/0!</v>
      </c>
      <c r="U1510" s="291">
        <f>U1498-U1503</f>
        <v>0</v>
      </c>
      <c r="V1510" s="366" t="e">
        <f>U1510/ABS(U1503)</f>
        <v>#DIV/0!</v>
      </c>
      <c r="W1510" s="337" t="s">
        <v>410</v>
      </c>
      <c r="X1510" s="1" t="s">
        <v>558</v>
      </c>
      <c r="Y1510" s="144" t="s">
        <v>379</v>
      </c>
      <c r="Z1510" s="72"/>
    </row>
    <row r="1511" spans="3:26" ht="15.75" thickBot="1">
      <c r="C1511" s="17"/>
      <c r="D1511" s="459"/>
      <c r="E1511" s="460"/>
      <c r="F1511" s="17"/>
      <c r="G1511" s="459"/>
      <c r="H1511" s="461"/>
      <c r="I1511" s="21"/>
      <c r="J1511" s="459"/>
      <c r="K1511" s="461"/>
      <c r="L1511" s="42"/>
      <c r="M1511" s="5"/>
      <c r="N1511" s="21"/>
      <c r="O1511" s="137" t="s">
        <v>322</v>
      </c>
      <c r="P1511" s="138">
        <f>P1510/29</f>
        <v>6.8965517241379306</v>
      </c>
      <c r="Q1511" s="24">
        <f>Q1510/29</f>
        <v>0</v>
      </c>
      <c r="R1511" s="153" t="s">
        <v>410</v>
      </c>
      <c r="S1511" s="296">
        <f>S1509+S1510</f>
        <v>0</v>
      </c>
      <c r="T1511" s="328" t="e">
        <f>S1511/S1499</f>
        <v>#DIV/0!</v>
      </c>
      <c r="U1511" s="296">
        <f>U1510+U1509</f>
        <v>0</v>
      </c>
      <c r="V1511" s="330" t="e">
        <f>U1511/U1499</f>
        <v>#DIV/0!</v>
      </c>
      <c r="W1511" s="296">
        <f>S1511+U1511</f>
        <v>0</v>
      </c>
      <c r="X1511" s="330" t="e">
        <f>(W1511+S1499+U1499)/(S1499+U1499)-1</f>
        <v>#DIV/0!</v>
      </c>
      <c r="Y1511" s="153" t="s">
        <v>375</v>
      </c>
      <c r="Z1511" s="389"/>
    </row>
    <row r="1512" spans="3:26" ht="17.25" thickTop="1" thickBot="1">
      <c r="C1512" s="264">
        <v>47270</v>
      </c>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spans="3:26" ht="17.25" thickTop="1" thickBot="1">
      <c r="C1513" s="480" t="s">
        <v>386</v>
      </c>
      <c r="D1513" s="481"/>
      <c r="E1513" s="482"/>
      <c r="F1513" s="483" t="s">
        <v>387</v>
      </c>
      <c r="G1513" s="484"/>
      <c r="H1513" s="484"/>
      <c r="I1513" s="484"/>
      <c r="J1513" s="484"/>
      <c r="K1513" s="484"/>
      <c r="L1513" s="484"/>
      <c r="M1513" s="484"/>
      <c r="N1513" s="485"/>
      <c r="O1513" s="261" t="s">
        <v>320</v>
      </c>
      <c r="P1513" s="262" t="s">
        <v>257</v>
      </c>
      <c r="Q1513" s="263" t="s">
        <v>319</v>
      </c>
      <c r="R1513" s="486" t="s">
        <v>144</v>
      </c>
      <c r="S1513" s="487"/>
      <c r="T1513" s="487"/>
      <c r="U1513" s="487"/>
      <c r="V1513" s="487"/>
      <c r="W1513" s="487"/>
      <c r="X1513" s="487"/>
      <c r="Y1513" s="487"/>
      <c r="Z1513" s="488"/>
    </row>
    <row r="1514" spans="3:26" ht="15.75" thickBot="1">
      <c r="C1514" s="265"/>
      <c r="D1514" s="489"/>
      <c r="E1514" s="490"/>
      <c r="F1514" s="470" t="s">
        <v>3</v>
      </c>
      <c r="G1514" s="491"/>
      <c r="H1514" s="492"/>
      <c r="I1514" s="493" t="s">
        <v>4</v>
      </c>
      <c r="J1514" s="491"/>
      <c r="K1514" s="492"/>
      <c r="L1514" s="267" t="s">
        <v>324</v>
      </c>
      <c r="M1514" s="267" t="s">
        <v>325</v>
      </c>
      <c r="N1514" s="267" t="s">
        <v>323</v>
      </c>
      <c r="O1514" s="316" t="s">
        <v>5</v>
      </c>
      <c r="P1514" s="317">
        <f>P1517+P1520+P1523+P1526</f>
        <v>38008.847304458519</v>
      </c>
      <c r="Q1514" s="318">
        <f>Q1523+Q1520+Q1517+Q1526</f>
        <v>0</v>
      </c>
      <c r="R1514" s="268" t="s">
        <v>323</v>
      </c>
      <c r="S1514" s="493" t="s">
        <v>317</v>
      </c>
      <c r="T1514" s="492"/>
      <c r="U1514" s="493" t="s">
        <v>369</v>
      </c>
      <c r="V1514" s="471"/>
      <c r="W1514" s="470" t="s">
        <v>310</v>
      </c>
      <c r="X1514" s="471"/>
      <c r="Y1514" s="470" t="s">
        <v>13</v>
      </c>
      <c r="Z1514" s="471"/>
    </row>
    <row r="1515" spans="3:26" ht="16.5" thickTop="1" thickBot="1">
      <c r="C1515" s="15"/>
      <c r="D1515" s="494"/>
      <c r="E1515" s="495"/>
      <c r="G1515" s="496"/>
      <c r="H1515" s="497"/>
      <c r="J1515" s="496"/>
      <c r="K1515" s="497"/>
      <c r="L1515" s="76"/>
      <c r="M1515" s="25"/>
      <c r="N1515" s="292"/>
      <c r="O1515" s="258" t="s">
        <v>321</v>
      </c>
      <c r="P1515" s="315">
        <f>SUM(C1515:C1528)-SUM(F1515:F1528)-SUM(I1515:I1528)</f>
        <v>689.02999999999986</v>
      </c>
      <c r="Q1515" s="12">
        <f>Q1514-Q1497</f>
        <v>0</v>
      </c>
      <c r="R1515" s="307" t="s">
        <v>343</v>
      </c>
      <c r="S1515" s="498"/>
      <c r="T1515" s="499"/>
      <c r="U1515" s="498"/>
      <c r="V1515" s="500"/>
      <c r="W1515" s="501" t="s">
        <v>326</v>
      </c>
      <c r="X1515" s="502"/>
      <c r="Y1515" s="143" t="s">
        <v>17</v>
      </c>
      <c r="Z1515" s="12"/>
    </row>
    <row r="1516" spans="3:26" ht="16.5" thickTop="1" thickBot="1">
      <c r="C1516" s="15"/>
      <c r="D1516" s="455" t="s">
        <v>11</v>
      </c>
      <c r="E1516" s="456"/>
      <c r="F1516" s="6">
        <f>F1499</f>
        <v>400</v>
      </c>
      <c r="G1516" s="462" t="s">
        <v>223</v>
      </c>
      <c r="H1516" s="464"/>
      <c r="I1516" s="20">
        <f>I1499</f>
        <v>11.99</v>
      </c>
      <c r="J1516" s="462" t="s">
        <v>385</v>
      </c>
      <c r="K1516" s="464"/>
      <c r="L1516" s="76">
        <f>L1499</f>
        <v>200</v>
      </c>
      <c r="M1516" s="76">
        <f>M1499</f>
        <v>150</v>
      </c>
      <c r="N1516" s="76">
        <f>N1499</f>
        <v>200</v>
      </c>
      <c r="O1516" s="141" t="s">
        <v>322</v>
      </c>
      <c r="P1516" s="133">
        <f>P1515/29</f>
        <v>23.759655172413787</v>
      </c>
      <c r="Q1516" s="10">
        <f>Q1515/29</f>
        <v>0</v>
      </c>
      <c r="R1516" s="308" t="s">
        <v>382</v>
      </c>
      <c r="S1516" s="474"/>
      <c r="T1516" s="475"/>
      <c r="U1516" s="467"/>
      <c r="V1516" s="468"/>
      <c r="W1516" s="289" t="s">
        <v>12</v>
      </c>
      <c r="X1516" s="315"/>
      <c r="Y1516" s="144" t="s">
        <v>18</v>
      </c>
      <c r="Z1516" s="72"/>
    </row>
    <row r="1517" spans="3:26">
      <c r="C1517" s="15"/>
      <c r="D1517" s="455" t="s">
        <v>390</v>
      </c>
      <c r="E1517" s="456"/>
      <c r="F1517" s="6">
        <f t="shared" ref="F1517:F1525" si="67">F1500</f>
        <v>100</v>
      </c>
      <c r="G1517" s="462" t="s">
        <v>9</v>
      </c>
      <c r="H1517" s="464"/>
      <c r="I1517" s="20">
        <f t="shared" ref="I1517:I1522" si="68">I1500</f>
        <v>11.99</v>
      </c>
      <c r="J1517" s="462" t="s">
        <v>22</v>
      </c>
      <c r="K1517" s="464"/>
      <c r="L1517" s="76"/>
      <c r="M1517" s="25"/>
      <c r="N1517" s="294"/>
      <c r="O1517" s="136" t="s">
        <v>12</v>
      </c>
      <c r="P1517" s="319">
        <f>P1500+P1515-SUM(L1515:L1528)-SUM(M1515:M1528)-SUM(N1515:N1528)</f>
        <v>5852.5099999999875</v>
      </c>
      <c r="Q1517" s="320">
        <f>Z1515+Z1520+Z1523</f>
        <v>0</v>
      </c>
      <c r="R1517" s="308" t="s">
        <v>383</v>
      </c>
      <c r="S1517" s="474"/>
      <c r="T1517" s="475"/>
      <c r="U1517" s="467"/>
      <c r="V1517" s="468"/>
      <c r="W1517" s="282" t="s">
        <v>373</v>
      </c>
      <c r="X1517" s="132"/>
      <c r="Y1517" s="144" t="s">
        <v>19</v>
      </c>
      <c r="Z1517" s="72"/>
    </row>
    <row r="1518" spans="3:26" ht="15.75" thickBot="1">
      <c r="C1518" s="15"/>
      <c r="D1518" s="462"/>
      <c r="E1518" s="463"/>
      <c r="F1518" s="6">
        <f t="shared" si="67"/>
        <v>150</v>
      </c>
      <c r="G1518" s="462" t="s">
        <v>6</v>
      </c>
      <c r="H1518" s="464"/>
      <c r="I1518" s="20">
        <f t="shared" si="68"/>
        <v>20</v>
      </c>
      <c r="J1518" s="462" t="s">
        <v>920</v>
      </c>
      <c r="K1518" s="464"/>
      <c r="L1518" s="76"/>
      <c r="M1518" s="25"/>
      <c r="N1518" s="20"/>
      <c r="O1518" s="140" t="s">
        <v>321</v>
      </c>
      <c r="P1518" s="132">
        <f>SUM(C1515:C1528)-SUM(F1515:F1528)-SUM(I1515:I1528)-P1521-P1524-P1527</f>
        <v>139.02999999999986</v>
      </c>
      <c r="Q1518" s="72">
        <f>Q1517-Q1500</f>
        <v>0</v>
      </c>
      <c r="R1518" s="308" t="s">
        <v>424</v>
      </c>
      <c r="S1518" s="474"/>
      <c r="T1518" s="475"/>
      <c r="U1518" s="467"/>
      <c r="V1518" s="468"/>
      <c r="W1518" s="282" t="s">
        <v>378</v>
      </c>
      <c r="X1518" s="132"/>
      <c r="Y1518" s="145" t="s">
        <v>324</v>
      </c>
      <c r="Z1518" s="135"/>
    </row>
    <row r="1519" spans="3:26" ht="15.75" thickBot="1">
      <c r="C1519" s="15"/>
      <c r="D1519" s="455"/>
      <c r="E1519" s="456"/>
      <c r="F1519" s="6">
        <f t="shared" si="67"/>
        <v>370</v>
      </c>
      <c r="G1519" s="462" t="s">
        <v>97</v>
      </c>
      <c r="H1519" s="464"/>
      <c r="I1519" s="20">
        <f t="shared" si="68"/>
        <v>11.9</v>
      </c>
      <c r="J1519" s="462" t="s">
        <v>249</v>
      </c>
      <c r="K1519" s="464"/>
      <c r="L1519" s="76"/>
      <c r="M1519" s="25"/>
      <c r="N1519" s="294"/>
      <c r="O1519" s="141" t="s">
        <v>322</v>
      </c>
      <c r="P1519" s="133">
        <f>P1518/29</f>
        <v>4.7941379310344781</v>
      </c>
      <c r="Q1519" s="10">
        <f>Q1518/29</f>
        <v>0</v>
      </c>
      <c r="R1519" s="143" t="s">
        <v>12</v>
      </c>
      <c r="S1519" s="476"/>
      <c r="T1519" s="477"/>
      <c r="U1519" s="478"/>
      <c r="V1519" s="479"/>
      <c r="W1519" s="289" t="s">
        <v>379</v>
      </c>
      <c r="X1519" s="132"/>
      <c r="Y1519" s="470" t="s">
        <v>14</v>
      </c>
      <c r="Z1519" s="471"/>
    </row>
    <row r="1520" spans="3:26" ht="15.75" thickBot="1">
      <c r="C1520" s="15"/>
      <c r="D1520" s="455"/>
      <c r="E1520" s="456"/>
      <c r="F1520" s="6">
        <f t="shared" si="67"/>
        <v>1860.75</v>
      </c>
      <c r="G1520" s="462" t="s">
        <v>304</v>
      </c>
      <c r="H1520" s="464"/>
      <c r="I1520" s="20">
        <f t="shared" si="68"/>
        <v>150</v>
      </c>
      <c r="J1520" s="462" t="s">
        <v>974</v>
      </c>
      <c r="K1520" s="464"/>
      <c r="L1520" s="76"/>
      <c r="M1520" s="25"/>
      <c r="N1520" s="294"/>
      <c r="O1520" s="136" t="s">
        <v>324</v>
      </c>
      <c r="P1520" s="319">
        <f>P1503+P1521</f>
        <v>8135</v>
      </c>
      <c r="Q1520" s="320">
        <f>Z1516+Z1517+Z1518</f>
        <v>0</v>
      </c>
      <c r="R1520" s="144" t="s">
        <v>425</v>
      </c>
      <c r="S1520" s="465"/>
      <c r="T1520" s="466"/>
      <c r="U1520" s="467"/>
      <c r="V1520" s="468"/>
      <c r="W1520" s="146" t="s">
        <v>375</v>
      </c>
      <c r="X1520" s="325"/>
      <c r="Y1520" s="143" t="s">
        <v>15</v>
      </c>
      <c r="Z1520" s="12"/>
    </row>
    <row r="1521" spans="3:26" ht="15.75" thickBot="1">
      <c r="C1521" s="15"/>
      <c r="D1521" s="462"/>
      <c r="E1521" s="463"/>
      <c r="F1521" s="6">
        <f t="shared" si="67"/>
        <v>70</v>
      </c>
      <c r="G1521" s="462" t="s">
        <v>982</v>
      </c>
      <c r="H1521" s="464"/>
      <c r="I1521" s="20">
        <f t="shared" si="68"/>
        <v>150</v>
      </c>
      <c r="J1521" s="462" t="s">
        <v>105</v>
      </c>
      <c r="K1521" s="464"/>
      <c r="L1521" s="76"/>
      <c r="M1521" s="25"/>
      <c r="N1521" s="294"/>
      <c r="O1521" s="140" t="s">
        <v>321</v>
      </c>
      <c r="P1521" s="132">
        <f>SUM(L1515:L1528)</f>
        <v>200</v>
      </c>
      <c r="Q1521" s="72">
        <f>Q1520-Q1503</f>
        <v>0</v>
      </c>
      <c r="R1521" s="144" t="s">
        <v>426</v>
      </c>
      <c r="S1521" s="465"/>
      <c r="T1521" s="466"/>
      <c r="U1521" s="467"/>
      <c r="V1521" s="468"/>
      <c r="W1521" s="470" t="s">
        <v>376</v>
      </c>
      <c r="X1521" s="471"/>
      <c r="Y1521" s="146" t="s">
        <v>325</v>
      </c>
      <c r="Z1521" s="10"/>
    </row>
    <row r="1522" spans="3:26" ht="16.5" thickTop="1" thickBot="1">
      <c r="C1522" s="15"/>
      <c r="D1522" s="462"/>
      <c r="E1522" s="463"/>
      <c r="F1522" s="6">
        <f t="shared" si="67"/>
        <v>50</v>
      </c>
      <c r="G1522" s="462" t="s">
        <v>926</v>
      </c>
      <c r="H1522" s="464"/>
      <c r="I1522" s="20">
        <f t="shared" si="68"/>
        <v>400</v>
      </c>
      <c r="J1522" s="462" t="s">
        <v>206</v>
      </c>
      <c r="K1522" s="464"/>
      <c r="L1522" s="76"/>
      <c r="M1522" s="25"/>
      <c r="N1522" s="292"/>
      <c r="O1522" s="141" t="s">
        <v>322</v>
      </c>
      <c r="P1522" s="133">
        <f>P1521/29</f>
        <v>6.8965517241379306</v>
      </c>
      <c r="Q1522" s="10">
        <f>Q1521/29</f>
        <v>0</v>
      </c>
      <c r="R1522" s="144" t="s">
        <v>422</v>
      </c>
      <c r="S1522" s="465"/>
      <c r="T1522" s="466"/>
      <c r="U1522" s="467"/>
      <c r="V1522" s="468"/>
      <c r="W1522" s="289" t="s">
        <v>12</v>
      </c>
      <c r="X1522" s="38"/>
      <c r="Y1522" s="470" t="s">
        <v>374</v>
      </c>
      <c r="Z1522" s="471"/>
    </row>
    <row r="1523" spans="3:26" ht="16.5" thickTop="1" thickBot="1">
      <c r="C1523" s="15"/>
      <c r="D1523" s="462"/>
      <c r="E1523" s="463"/>
      <c r="F1523" s="6">
        <f t="shared" si="67"/>
        <v>150</v>
      </c>
      <c r="G1523" s="462" t="s">
        <v>927</v>
      </c>
      <c r="H1523" s="464"/>
      <c r="I1523" s="20"/>
      <c r="J1523" s="462"/>
      <c r="K1523" s="464"/>
      <c r="L1523" s="76"/>
      <c r="M1523" s="25"/>
      <c r="N1523" s="293"/>
      <c r="O1523" s="136" t="s">
        <v>325</v>
      </c>
      <c r="P1523" s="319">
        <f>P1506+P1524</f>
        <v>6108.88</v>
      </c>
      <c r="Q1523" s="320">
        <f>Z1521</f>
        <v>0</v>
      </c>
      <c r="R1523" s="143" t="s">
        <v>421</v>
      </c>
      <c r="S1523" s="465"/>
      <c r="T1523" s="466"/>
      <c r="U1523" s="467"/>
      <c r="V1523" s="468"/>
      <c r="W1523" s="282" t="s">
        <v>373</v>
      </c>
      <c r="X1523" s="281"/>
      <c r="Y1523" s="321" t="s">
        <v>181</v>
      </c>
      <c r="Z1523" s="322">
        <v>0</v>
      </c>
    </row>
    <row r="1524" spans="3:26" ht="15.75" thickBot="1">
      <c r="C1524" s="266"/>
      <c r="D1524" s="448"/>
      <c r="E1524" s="469"/>
      <c r="F1524" s="6">
        <f t="shared" si="67"/>
        <v>150</v>
      </c>
      <c r="G1524" s="462" t="s">
        <v>925</v>
      </c>
      <c r="H1524" s="464"/>
      <c r="I1524" s="20"/>
      <c r="J1524" s="462"/>
      <c r="K1524" s="464"/>
      <c r="L1524" s="76"/>
      <c r="M1524" s="25"/>
      <c r="N1524" s="295"/>
      <c r="O1524" s="140" t="s">
        <v>321</v>
      </c>
      <c r="P1524" s="132">
        <f>SUM(M1515:M1528)</f>
        <v>150</v>
      </c>
      <c r="Q1524" s="72">
        <f>Q1523-Q1506</f>
        <v>0</v>
      </c>
      <c r="R1524" s="144" t="s">
        <v>418</v>
      </c>
      <c r="S1524" s="465"/>
      <c r="T1524" s="466"/>
      <c r="U1524" s="467"/>
      <c r="V1524" s="468"/>
      <c r="W1524" s="282" t="s">
        <v>378</v>
      </c>
      <c r="X1524" s="281"/>
      <c r="Y1524" s="470" t="s">
        <v>1000</v>
      </c>
      <c r="Z1524" s="471"/>
    </row>
    <row r="1525" spans="3:26" ht="16.5" thickTop="1" thickBot="1">
      <c r="C1525" s="266"/>
      <c r="D1525" s="448" t="s">
        <v>1001</v>
      </c>
      <c r="E1525" s="469"/>
      <c r="F1525" s="6">
        <f t="shared" si="67"/>
        <v>30</v>
      </c>
      <c r="G1525" s="462" t="s">
        <v>33</v>
      </c>
      <c r="H1525" s="464"/>
      <c r="I1525" s="20"/>
      <c r="J1525" s="462"/>
      <c r="K1525" s="464"/>
      <c r="L1525" s="76"/>
      <c r="M1525" s="25"/>
      <c r="N1525" s="293"/>
      <c r="O1525" s="141" t="s">
        <v>322</v>
      </c>
      <c r="P1525" s="133">
        <f>P1524/29</f>
        <v>5.1724137931034484</v>
      </c>
      <c r="Q1525" s="10">
        <f>Q1524/29</f>
        <v>0</v>
      </c>
      <c r="R1525" s="144" t="s">
        <v>438</v>
      </c>
      <c r="S1525" s="465"/>
      <c r="T1525" s="466"/>
      <c r="U1525" s="472"/>
      <c r="V1525" s="473"/>
      <c r="W1525" s="289" t="s">
        <v>379</v>
      </c>
      <c r="X1525" s="281"/>
      <c r="Y1525" s="143" t="s">
        <v>12</v>
      </c>
      <c r="Z1525" s="12"/>
    </row>
    <row r="1526" spans="3:26" ht="15.75" thickBot="1">
      <c r="C1526" s="15">
        <f>C1509</f>
        <v>4775.66</v>
      </c>
      <c r="D1526" s="455" t="s">
        <v>11</v>
      </c>
      <c r="E1526" s="456"/>
      <c r="F1526" s="15"/>
      <c r="G1526" s="462"/>
      <c r="H1526" s="464"/>
      <c r="I1526" s="20"/>
      <c r="J1526" s="462"/>
      <c r="K1526" s="464"/>
      <c r="L1526" s="76"/>
      <c r="M1526" s="25"/>
      <c r="N1526" s="295"/>
      <c r="O1526" s="136" t="s">
        <v>323</v>
      </c>
      <c r="P1526" s="319">
        <f>P1509+P1527</f>
        <v>17912.45730445853</v>
      </c>
      <c r="Q1526" s="320">
        <f>S1515+U1515</f>
        <v>0</v>
      </c>
      <c r="R1526" s="144" t="s">
        <v>380</v>
      </c>
      <c r="S1526" s="291">
        <f>S1517-S1518</f>
        <v>0</v>
      </c>
      <c r="T1526" s="327" t="e">
        <f>S1526/S1518</f>
        <v>#DIV/0!</v>
      </c>
      <c r="U1526" s="291">
        <f>U1517-U1518</f>
        <v>0</v>
      </c>
      <c r="V1526" s="329" t="e">
        <f>U1526/U1518</f>
        <v>#DIV/0!</v>
      </c>
      <c r="W1526" s="146" t="s">
        <v>375</v>
      </c>
      <c r="X1526" s="326"/>
      <c r="Y1526" s="144" t="s">
        <v>373</v>
      </c>
      <c r="Z1526" s="72"/>
    </row>
    <row r="1527" spans="3:26">
      <c r="C1527" s="15"/>
      <c r="D1527" s="455" t="s">
        <v>390</v>
      </c>
      <c r="E1527" s="456"/>
      <c r="F1527" s="15"/>
      <c r="G1527" s="457" t="s">
        <v>38</v>
      </c>
      <c r="H1527" s="458"/>
      <c r="I1527" s="20"/>
      <c r="J1527" s="457" t="s">
        <v>38</v>
      </c>
      <c r="K1527" s="458"/>
      <c r="L1527" s="76"/>
      <c r="M1527" s="25"/>
      <c r="N1527" s="293"/>
      <c r="O1527" s="140" t="s">
        <v>321</v>
      </c>
      <c r="P1527" s="132">
        <f>SUM(N1515:N1528)</f>
        <v>200</v>
      </c>
      <c r="Q1527" s="72">
        <f>Q1526-Q1509</f>
        <v>0</v>
      </c>
      <c r="R1527" s="144" t="s">
        <v>381</v>
      </c>
      <c r="S1527" s="291">
        <f>S1515-S1520</f>
        <v>0</v>
      </c>
      <c r="T1527" s="327" t="e">
        <f>S1527/S1520</f>
        <v>#DIV/0!</v>
      </c>
      <c r="U1527" s="291">
        <f>U1515-U1520</f>
        <v>0</v>
      </c>
      <c r="V1527" s="366" t="e">
        <f>U1527/ABS(U1520)</f>
        <v>#DIV/0!</v>
      </c>
      <c r="W1527" s="337" t="s">
        <v>410</v>
      </c>
      <c r="X1527" s="1" t="s">
        <v>558</v>
      </c>
      <c r="Y1527" s="144" t="s">
        <v>379</v>
      </c>
      <c r="Z1527" s="72"/>
    </row>
    <row r="1528" spans="3:26" ht="15.75" thickBot="1">
      <c r="C1528" s="17"/>
      <c r="D1528" s="459"/>
      <c r="E1528" s="460"/>
      <c r="F1528" s="17"/>
      <c r="G1528" s="459"/>
      <c r="H1528" s="461"/>
      <c r="I1528" s="21"/>
      <c r="J1528" s="459"/>
      <c r="K1528" s="461"/>
      <c r="L1528" s="42"/>
      <c r="M1528" s="5"/>
      <c r="N1528" s="21"/>
      <c r="O1528" s="137" t="s">
        <v>322</v>
      </c>
      <c r="P1528" s="138">
        <f>P1527/29</f>
        <v>6.8965517241379306</v>
      </c>
      <c r="Q1528" s="24">
        <f>Q1527/29</f>
        <v>0</v>
      </c>
      <c r="R1528" s="153" t="s">
        <v>410</v>
      </c>
      <c r="S1528" s="296">
        <f>S1526+S1527</f>
        <v>0</v>
      </c>
      <c r="T1528" s="328" t="e">
        <f>S1528/S1516</f>
        <v>#DIV/0!</v>
      </c>
      <c r="U1528" s="296">
        <f>U1527+U1526</f>
        <v>0</v>
      </c>
      <c r="V1528" s="330" t="e">
        <f>U1528/U1516</f>
        <v>#DIV/0!</v>
      </c>
      <c r="W1528" s="296">
        <f>S1528+U1528</f>
        <v>0</v>
      </c>
      <c r="X1528" s="330" t="e">
        <f>(W1528+S1516+U1516)/(S1516+U1516)-1</f>
        <v>#DIV/0!</v>
      </c>
      <c r="Y1528" s="153" t="s">
        <v>375</v>
      </c>
      <c r="Z1528" s="389"/>
    </row>
    <row r="1529" spans="3:26" ht="17.25" thickTop="1" thickBot="1">
      <c r="C1529" s="264">
        <v>47300</v>
      </c>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spans="3:26" ht="17.25" thickTop="1" thickBot="1">
      <c r="C1530" s="480" t="s">
        <v>386</v>
      </c>
      <c r="D1530" s="481"/>
      <c r="E1530" s="482"/>
      <c r="F1530" s="483" t="s">
        <v>387</v>
      </c>
      <c r="G1530" s="484"/>
      <c r="H1530" s="484"/>
      <c r="I1530" s="484"/>
      <c r="J1530" s="484"/>
      <c r="K1530" s="484"/>
      <c r="L1530" s="484"/>
      <c r="M1530" s="484"/>
      <c r="N1530" s="485"/>
      <c r="O1530" s="261" t="s">
        <v>320</v>
      </c>
      <c r="P1530" s="262" t="s">
        <v>257</v>
      </c>
      <c r="Q1530" s="263" t="s">
        <v>319</v>
      </c>
      <c r="R1530" s="486" t="s">
        <v>144</v>
      </c>
      <c r="S1530" s="487"/>
      <c r="T1530" s="487"/>
      <c r="U1530" s="487"/>
      <c r="V1530" s="487"/>
      <c r="W1530" s="487"/>
      <c r="X1530" s="487"/>
      <c r="Y1530" s="487"/>
      <c r="Z1530" s="488"/>
    </row>
    <row r="1531" spans="3:26" ht="15.75" thickBot="1">
      <c r="C1531" s="265"/>
      <c r="D1531" s="489"/>
      <c r="E1531" s="490"/>
      <c r="F1531" s="470" t="s">
        <v>3</v>
      </c>
      <c r="G1531" s="491"/>
      <c r="H1531" s="492"/>
      <c r="I1531" s="493" t="s">
        <v>4</v>
      </c>
      <c r="J1531" s="491"/>
      <c r="K1531" s="492"/>
      <c r="L1531" s="267" t="s">
        <v>324</v>
      </c>
      <c r="M1531" s="267" t="s">
        <v>325</v>
      </c>
      <c r="N1531" s="267" t="s">
        <v>323</v>
      </c>
      <c r="O1531" s="316" t="s">
        <v>5</v>
      </c>
      <c r="P1531" s="317">
        <f>P1534+P1537+P1540+P1543</f>
        <v>38697.877304458518</v>
      </c>
      <c r="Q1531" s="318">
        <f>Q1540+Q1537+Q1534+Q1543</f>
        <v>0</v>
      </c>
      <c r="R1531" s="268" t="s">
        <v>323</v>
      </c>
      <c r="S1531" s="493" t="s">
        <v>317</v>
      </c>
      <c r="T1531" s="492"/>
      <c r="U1531" s="493" t="s">
        <v>369</v>
      </c>
      <c r="V1531" s="471"/>
      <c r="W1531" s="470" t="s">
        <v>310</v>
      </c>
      <c r="X1531" s="471"/>
      <c r="Y1531" s="470" t="s">
        <v>13</v>
      </c>
      <c r="Z1531" s="471"/>
    </row>
    <row r="1532" spans="3:26" ht="16.5" thickTop="1" thickBot="1">
      <c r="C1532" s="15"/>
      <c r="D1532" s="494"/>
      <c r="E1532" s="495"/>
      <c r="G1532" s="496"/>
      <c r="H1532" s="497"/>
      <c r="J1532" s="496"/>
      <c r="K1532" s="497"/>
      <c r="L1532" s="76"/>
      <c r="M1532" s="25"/>
      <c r="N1532" s="292"/>
      <c r="O1532" s="258" t="s">
        <v>321</v>
      </c>
      <c r="P1532" s="315">
        <f>SUM(C1532:C1545)-SUM(F1532:F1545)-SUM(I1532:I1545)</f>
        <v>689.02999999999986</v>
      </c>
      <c r="Q1532" s="12">
        <f>Q1531-Q1514</f>
        <v>0</v>
      </c>
      <c r="R1532" s="307" t="s">
        <v>343</v>
      </c>
      <c r="S1532" s="498"/>
      <c r="T1532" s="499"/>
      <c r="U1532" s="498"/>
      <c r="V1532" s="500"/>
      <c r="W1532" s="501" t="s">
        <v>326</v>
      </c>
      <c r="X1532" s="502"/>
      <c r="Y1532" s="143" t="s">
        <v>17</v>
      </c>
      <c r="Z1532" s="12"/>
    </row>
    <row r="1533" spans="3:26" ht="16.5" thickTop="1" thickBot="1">
      <c r="C1533" s="15"/>
      <c r="D1533" s="455" t="s">
        <v>11</v>
      </c>
      <c r="E1533" s="456"/>
      <c r="F1533" s="6">
        <f>F1516</f>
        <v>400</v>
      </c>
      <c r="G1533" s="462" t="s">
        <v>223</v>
      </c>
      <c r="H1533" s="464"/>
      <c r="I1533" s="20">
        <f>I1516</f>
        <v>11.99</v>
      </c>
      <c r="J1533" s="462" t="s">
        <v>385</v>
      </c>
      <c r="K1533" s="464"/>
      <c r="L1533" s="76">
        <f>L1516</f>
        <v>200</v>
      </c>
      <c r="M1533" s="76">
        <f>M1516</f>
        <v>150</v>
      </c>
      <c r="N1533" s="76">
        <f>N1516</f>
        <v>200</v>
      </c>
      <c r="O1533" s="141" t="s">
        <v>322</v>
      </c>
      <c r="P1533" s="133">
        <f>P1532/29</f>
        <v>23.759655172413787</v>
      </c>
      <c r="Q1533" s="10">
        <f>Q1532/29</f>
        <v>0</v>
      </c>
      <c r="R1533" s="308" t="s">
        <v>382</v>
      </c>
      <c r="S1533" s="474"/>
      <c r="T1533" s="475"/>
      <c r="U1533" s="467"/>
      <c r="V1533" s="468"/>
      <c r="W1533" s="289" t="s">
        <v>12</v>
      </c>
      <c r="X1533" s="315"/>
      <c r="Y1533" s="144" t="s">
        <v>18</v>
      </c>
      <c r="Z1533" s="72"/>
    </row>
    <row r="1534" spans="3:26">
      <c r="C1534" s="15"/>
      <c r="D1534" s="455" t="s">
        <v>390</v>
      </c>
      <c r="E1534" s="456"/>
      <c r="F1534" s="6">
        <f t="shared" ref="F1534:F1542" si="69">F1517</f>
        <v>100</v>
      </c>
      <c r="G1534" s="462" t="s">
        <v>9</v>
      </c>
      <c r="H1534" s="464"/>
      <c r="I1534" s="20">
        <f t="shared" ref="I1534:I1539" si="70">I1517</f>
        <v>11.99</v>
      </c>
      <c r="J1534" s="462" t="s">
        <v>22</v>
      </c>
      <c r="K1534" s="464"/>
      <c r="L1534" s="76"/>
      <c r="M1534" s="25"/>
      <c r="N1534" s="294"/>
      <c r="O1534" s="136" t="s">
        <v>12</v>
      </c>
      <c r="P1534" s="319">
        <f>P1517+P1532-SUM(L1532:L1545)-SUM(M1532:M1545)-SUM(N1532:N1545)</f>
        <v>5991.5399999999872</v>
      </c>
      <c r="Q1534" s="320">
        <f>Z1532+Z1537+Z1540</f>
        <v>0</v>
      </c>
      <c r="R1534" s="308" t="s">
        <v>383</v>
      </c>
      <c r="S1534" s="474"/>
      <c r="T1534" s="475"/>
      <c r="U1534" s="467"/>
      <c r="V1534" s="468"/>
      <c r="W1534" s="282" t="s">
        <v>373</v>
      </c>
      <c r="X1534" s="132"/>
      <c r="Y1534" s="144" t="s">
        <v>19</v>
      </c>
      <c r="Z1534" s="72"/>
    </row>
    <row r="1535" spans="3:26" ht="15.75" thickBot="1">
      <c r="C1535" s="15"/>
      <c r="D1535" s="462"/>
      <c r="E1535" s="463"/>
      <c r="F1535" s="6">
        <f t="shared" si="69"/>
        <v>150</v>
      </c>
      <c r="G1535" s="462" t="s">
        <v>6</v>
      </c>
      <c r="H1535" s="464"/>
      <c r="I1535" s="20">
        <f t="shared" si="70"/>
        <v>20</v>
      </c>
      <c r="J1535" s="462" t="s">
        <v>920</v>
      </c>
      <c r="K1535" s="464"/>
      <c r="L1535" s="76"/>
      <c r="M1535" s="25"/>
      <c r="N1535" s="20"/>
      <c r="O1535" s="140" t="s">
        <v>321</v>
      </c>
      <c r="P1535" s="132">
        <f>SUM(C1532:C1545)-SUM(F1532:F1545)-SUM(I1532:I1545)-P1538-P1541-P1544</f>
        <v>139.02999999999986</v>
      </c>
      <c r="Q1535" s="72">
        <f>Q1534-Q1517</f>
        <v>0</v>
      </c>
      <c r="R1535" s="308" t="s">
        <v>424</v>
      </c>
      <c r="S1535" s="474"/>
      <c r="T1535" s="475"/>
      <c r="U1535" s="467"/>
      <c r="V1535" s="468"/>
      <c r="W1535" s="282" t="s">
        <v>378</v>
      </c>
      <c r="X1535" s="132"/>
      <c r="Y1535" s="145" t="s">
        <v>324</v>
      </c>
      <c r="Z1535" s="135"/>
    </row>
    <row r="1536" spans="3:26" ht="15.75" thickBot="1">
      <c r="C1536" s="15"/>
      <c r="D1536" s="455"/>
      <c r="E1536" s="456"/>
      <c r="F1536" s="6">
        <f t="shared" si="69"/>
        <v>370</v>
      </c>
      <c r="G1536" s="462" t="s">
        <v>97</v>
      </c>
      <c r="H1536" s="464"/>
      <c r="I1536" s="20">
        <f t="shared" si="70"/>
        <v>11.9</v>
      </c>
      <c r="J1536" s="462" t="s">
        <v>249</v>
      </c>
      <c r="K1536" s="464"/>
      <c r="L1536" s="76"/>
      <c r="M1536" s="25"/>
      <c r="N1536" s="294"/>
      <c r="O1536" s="141" t="s">
        <v>322</v>
      </c>
      <c r="P1536" s="133">
        <f>P1535/29</f>
        <v>4.7941379310344781</v>
      </c>
      <c r="Q1536" s="10">
        <f>Q1535/29</f>
        <v>0</v>
      </c>
      <c r="R1536" s="143" t="s">
        <v>12</v>
      </c>
      <c r="S1536" s="476"/>
      <c r="T1536" s="477"/>
      <c r="U1536" s="478"/>
      <c r="V1536" s="479"/>
      <c r="W1536" s="289" t="s">
        <v>379</v>
      </c>
      <c r="X1536" s="132"/>
      <c r="Y1536" s="470" t="s">
        <v>14</v>
      </c>
      <c r="Z1536" s="471"/>
    </row>
    <row r="1537" spans="3:26" ht="15.75" thickBot="1">
      <c r="C1537" s="15"/>
      <c r="D1537" s="455"/>
      <c r="E1537" s="456"/>
      <c r="F1537" s="6">
        <f t="shared" si="69"/>
        <v>1860.75</v>
      </c>
      <c r="G1537" s="462" t="s">
        <v>304</v>
      </c>
      <c r="H1537" s="464"/>
      <c r="I1537" s="20">
        <f t="shared" si="70"/>
        <v>150</v>
      </c>
      <c r="J1537" s="462" t="s">
        <v>974</v>
      </c>
      <c r="K1537" s="464"/>
      <c r="L1537" s="76"/>
      <c r="M1537" s="25"/>
      <c r="N1537" s="294"/>
      <c r="O1537" s="136" t="s">
        <v>324</v>
      </c>
      <c r="P1537" s="319">
        <f>P1520+P1538</f>
        <v>8335</v>
      </c>
      <c r="Q1537" s="320">
        <f>Z1533+Z1534+Z1535</f>
        <v>0</v>
      </c>
      <c r="R1537" s="144" t="s">
        <v>425</v>
      </c>
      <c r="S1537" s="465"/>
      <c r="T1537" s="466"/>
      <c r="U1537" s="467"/>
      <c r="V1537" s="468"/>
      <c r="W1537" s="146" t="s">
        <v>375</v>
      </c>
      <c r="X1537" s="325"/>
      <c r="Y1537" s="143" t="s">
        <v>15</v>
      </c>
      <c r="Z1537" s="12"/>
    </row>
    <row r="1538" spans="3:26" ht="15.75" thickBot="1">
      <c r="C1538" s="15"/>
      <c r="D1538" s="462"/>
      <c r="E1538" s="463"/>
      <c r="F1538" s="6">
        <f t="shared" si="69"/>
        <v>70</v>
      </c>
      <c r="G1538" s="462" t="s">
        <v>982</v>
      </c>
      <c r="H1538" s="464"/>
      <c r="I1538" s="20">
        <f t="shared" si="70"/>
        <v>150</v>
      </c>
      <c r="J1538" s="462" t="s">
        <v>105</v>
      </c>
      <c r="K1538" s="464"/>
      <c r="L1538" s="76"/>
      <c r="M1538" s="25"/>
      <c r="N1538" s="294"/>
      <c r="O1538" s="140" t="s">
        <v>321</v>
      </c>
      <c r="P1538" s="132">
        <f>SUM(L1532:L1545)</f>
        <v>200</v>
      </c>
      <c r="Q1538" s="72">
        <f>Q1537-Q1520</f>
        <v>0</v>
      </c>
      <c r="R1538" s="144" t="s">
        <v>426</v>
      </c>
      <c r="S1538" s="465"/>
      <c r="T1538" s="466"/>
      <c r="U1538" s="467"/>
      <c r="V1538" s="468"/>
      <c r="W1538" s="470" t="s">
        <v>376</v>
      </c>
      <c r="X1538" s="471"/>
      <c r="Y1538" s="146" t="s">
        <v>325</v>
      </c>
      <c r="Z1538" s="10"/>
    </row>
    <row r="1539" spans="3:26" ht="16.5" thickTop="1" thickBot="1">
      <c r="C1539" s="15"/>
      <c r="D1539" s="462"/>
      <c r="E1539" s="463"/>
      <c r="F1539" s="6">
        <f t="shared" si="69"/>
        <v>50</v>
      </c>
      <c r="G1539" s="462" t="s">
        <v>926</v>
      </c>
      <c r="H1539" s="464"/>
      <c r="I1539" s="20">
        <f t="shared" si="70"/>
        <v>400</v>
      </c>
      <c r="J1539" s="462" t="s">
        <v>206</v>
      </c>
      <c r="K1539" s="464"/>
      <c r="L1539" s="76"/>
      <c r="M1539" s="25"/>
      <c r="N1539" s="292"/>
      <c r="O1539" s="141" t="s">
        <v>322</v>
      </c>
      <c r="P1539" s="133">
        <f>P1538/29</f>
        <v>6.8965517241379306</v>
      </c>
      <c r="Q1539" s="10">
        <f>Q1538/29</f>
        <v>0</v>
      </c>
      <c r="R1539" s="144" t="s">
        <v>422</v>
      </c>
      <c r="S1539" s="465"/>
      <c r="T1539" s="466"/>
      <c r="U1539" s="467"/>
      <c r="V1539" s="468"/>
      <c r="W1539" s="289" t="s">
        <v>12</v>
      </c>
      <c r="X1539" s="38"/>
      <c r="Y1539" s="470" t="s">
        <v>374</v>
      </c>
      <c r="Z1539" s="471"/>
    </row>
    <row r="1540" spans="3:26" ht="16.5" thickTop="1" thickBot="1">
      <c r="C1540" s="15"/>
      <c r="D1540" s="462"/>
      <c r="E1540" s="463"/>
      <c r="F1540" s="6">
        <f t="shared" si="69"/>
        <v>150</v>
      </c>
      <c r="G1540" s="462" t="s">
        <v>927</v>
      </c>
      <c r="H1540" s="464"/>
      <c r="I1540" s="20"/>
      <c r="J1540" s="462"/>
      <c r="K1540" s="464"/>
      <c r="L1540" s="76"/>
      <c r="M1540" s="25"/>
      <c r="N1540" s="293"/>
      <c r="O1540" s="136" t="s">
        <v>325</v>
      </c>
      <c r="P1540" s="319">
        <f>P1523+P1541</f>
        <v>6258.88</v>
      </c>
      <c r="Q1540" s="320">
        <f>Z1538</f>
        <v>0</v>
      </c>
      <c r="R1540" s="143" t="s">
        <v>421</v>
      </c>
      <c r="S1540" s="465"/>
      <c r="T1540" s="466"/>
      <c r="U1540" s="467"/>
      <c r="V1540" s="468"/>
      <c r="W1540" s="282" t="s">
        <v>373</v>
      </c>
      <c r="X1540" s="281"/>
      <c r="Y1540" s="321" t="s">
        <v>181</v>
      </c>
      <c r="Z1540" s="322">
        <v>0</v>
      </c>
    </row>
    <row r="1541" spans="3:26" ht="15.75" thickBot="1">
      <c r="C1541" s="266"/>
      <c r="D1541" s="448"/>
      <c r="E1541" s="469"/>
      <c r="F1541" s="6">
        <f t="shared" si="69"/>
        <v>150</v>
      </c>
      <c r="G1541" s="462" t="s">
        <v>925</v>
      </c>
      <c r="H1541" s="464"/>
      <c r="I1541" s="20"/>
      <c r="J1541" s="462"/>
      <c r="K1541" s="464"/>
      <c r="L1541" s="76"/>
      <c r="M1541" s="25"/>
      <c r="N1541" s="295"/>
      <c r="O1541" s="140" t="s">
        <v>321</v>
      </c>
      <c r="P1541" s="132">
        <f>SUM(M1532:M1545)</f>
        <v>150</v>
      </c>
      <c r="Q1541" s="72">
        <f>Q1540-Q1523</f>
        <v>0</v>
      </c>
      <c r="R1541" s="144" t="s">
        <v>418</v>
      </c>
      <c r="S1541" s="465"/>
      <c r="T1541" s="466"/>
      <c r="U1541" s="467"/>
      <c r="V1541" s="468"/>
      <c r="W1541" s="282" t="s">
        <v>378</v>
      </c>
      <c r="X1541" s="281"/>
      <c r="Y1541" s="470" t="s">
        <v>1000</v>
      </c>
      <c r="Z1541" s="471"/>
    </row>
    <row r="1542" spans="3:26" ht="16.5" thickTop="1" thickBot="1">
      <c r="C1542" s="266"/>
      <c r="D1542" s="448" t="s">
        <v>1001</v>
      </c>
      <c r="E1542" s="469"/>
      <c r="F1542" s="6">
        <f t="shared" si="69"/>
        <v>30</v>
      </c>
      <c r="G1542" s="462" t="s">
        <v>33</v>
      </c>
      <c r="H1542" s="464"/>
      <c r="I1542" s="20"/>
      <c r="J1542" s="462"/>
      <c r="K1542" s="464"/>
      <c r="L1542" s="76"/>
      <c r="M1542" s="25"/>
      <c r="N1542" s="293"/>
      <c r="O1542" s="141" t="s">
        <v>322</v>
      </c>
      <c r="P1542" s="133">
        <f>P1541/29</f>
        <v>5.1724137931034484</v>
      </c>
      <c r="Q1542" s="10">
        <f>Q1541/29</f>
        <v>0</v>
      </c>
      <c r="R1542" s="144" t="s">
        <v>438</v>
      </c>
      <c r="S1542" s="465"/>
      <c r="T1542" s="466"/>
      <c r="U1542" s="472"/>
      <c r="V1542" s="473"/>
      <c r="W1542" s="289" t="s">
        <v>379</v>
      </c>
      <c r="X1542" s="281"/>
      <c r="Y1542" s="143" t="s">
        <v>12</v>
      </c>
      <c r="Z1542" s="12"/>
    </row>
    <row r="1543" spans="3:26" ht="15.75" thickBot="1">
      <c r="C1543" s="15">
        <f>C1526</f>
        <v>4775.66</v>
      </c>
      <c r="D1543" s="455" t="s">
        <v>11</v>
      </c>
      <c r="E1543" s="456"/>
      <c r="F1543" s="15"/>
      <c r="G1543" s="462"/>
      <c r="H1543" s="464"/>
      <c r="I1543" s="20"/>
      <c r="J1543" s="462"/>
      <c r="K1543" s="464"/>
      <c r="L1543" s="76"/>
      <c r="M1543" s="25"/>
      <c r="N1543" s="295"/>
      <c r="O1543" s="136" t="s">
        <v>323</v>
      </c>
      <c r="P1543" s="319">
        <f>P1526+P1544</f>
        <v>18112.45730445853</v>
      </c>
      <c r="Q1543" s="320">
        <f>S1532+U1532</f>
        <v>0</v>
      </c>
      <c r="R1543" s="144" t="s">
        <v>380</v>
      </c>
      <c r="S1543" s="291">
        <f>S1534-S1535</f>
        <v>0</v>
      </c>
      <c r="T1543" s="327" t="e">
        <f>S1543/S1535</f>
        <v>#DIV/0!</v>
      </c>
      <c r="U1543" s="291">
        <f>U1534-U1535</f>
        <v>0</v>
      </c>
      <c r="V1543" s="329" t="e">
        <f>U1543/U1535</f>
        <v>#DIV/0!</v>
      </c>
      <c r="W1543" s="146" t="s">
        <v>375</v>
      </c>
      <c r="X1543" s="326"/>
      <c r="Y1543" s="144" t="s">
        <v>373</v>
      </c>
      <c r="Z1543" s="72"/>
    </row>
    <row r="1544" spans="3:26">
      <c r="C1544" s="15"/>
      <c r="D1544" s="455" t="s">
        <v>390</v>
      </c>
      <c r="E1544" s="456"/>
      <c r="F1544" s="15"/>
      <c r="G1544" s="457" t="s">
        <v>38</v>
      </c>
      <c r="H1544" s="458"/>
      <c r="I1544" s="20"/>
      <c r="J1544" s="457" t="s">
        <v>38</v>
      </c>
      <c r="K1544" s="458"/>
      <c r="L1544" s="76"/>
      <c r="M1544" s="25"/>
      <c r="N1544" s="293"/>
      <c r="O1544" s="140" t="s">
        <v>321</v>
      </c>
      <c r="P1544" s="132">
        <f>SUM(N1532:N1545)</f>
        <v>200</v>
      </c>
      <c r="Q1544" s="72">
        <f>Q1543-Q1526</f>
        <v>0</v>
      </c>
      <c r="R1544" s="144" t="s">
        <v>381</v>
      </c>
      <c r="S1544" s="291">
        <f>S1532-S1537</f>
        <v>0</v>
      </c>
      <c r="T1544" s="327" t="e">
        <f>S1544/S1537</f>
        <v>#DIV/0!</v>
      </c>
      <c r="U1544" s="291">
        <f>U1532-U1537</f>
        <v>0</v>
      </c>
      <c r="V1544" s="366" t="e">
        <f>U1544/ABS(U1537)</f>
        <v>#DIV/0!</v>
      </c>
      <c r="W1544" s="337" t="s">
        <v>410</v>
      </c>
      <c r="X1544" s="1" t="s">
        <v>558</v>
      </c>
      <c r="Y1544" s="144" t="s">
        <v>379</v>
      </c>
      <c r="Z1544" s="72"/>
    </row>
    <row r="1545" spans="3:26" ht="15.75" thickBot="1">
      <c r="C1545" s="17"/>
      <c r="D1545" s="459"/>
      <c r="E1545" s="460"/>
      <c r="F1545" s="17"/>
      <c r="G1545" s="459"/>
      <c r="H1545" s="461"/>
      <c r="I1545" s="21"/>
      <c r="J1545" s="459"/>
      <c r="K1545" s="461"/>
      <c r="L1545" s="42"/>
      <c r="M1545" s="5"/>
      <c r="N1545" s="21"/>
      <c r="O1545" s="137" t="s">
        <v>322</v>
      </c>
      <c r="P1545" s="138">
        <f>P1544/29</f>
        <v>6.8965517241379306</v>
      </c>
      <c r="Q1545" s="24">
        <f>Q1544/29</f>
        <v>0</v>
      </c>
      <c r="R1545" s="153" t="s">
        <v>410</v>
      </c>
      <c r="S1545" s="296">
        <f>S1543+S1544</f>
        <v>0</v>
      </c>
      <c r="T1545" s="328" t="e">
        <f>S1545/S1533</f>
        <v>#DIV/0!</v>
      </c>
      <c r="U1545" s="296">
        <f>U1544+U1543</f>
        <v>0</v>
      </c>
      <c r="V1545" s="330" t="e">
        <f>U1545/U1533</f>
        <v>#DIV/0!</v>
      </c>
      <c r="W1545" s="296">
        <f>S1545+U1545</f>
        <v>0</v>
      </c>
      <c r="X1545" s="330" t="e">
        <f>(W1545+S1533+U1533)/(S1533+U1533)-1</f>
        <v>#DIV/0!</v>
      </c>
      <c r="Y1545" s="153" t="s">
        <v>375</v>
      </c>
      <c r="Z1545" s="389"/>
    </row>
    <row r="1546" spans="3:26" ht="17.25" thickTop="1" thickBot="1">
      <c r="C1546" s="264">
        <v>47331</v>
      </c>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spans="3:26" ht="17.25" thickTop="1" thickBot="1">
      <c r="C1547" s="480" t="s">
        <v>386</v>
      </c>
      <c r="D1547" s="481"/>
      <c r="E1547" s="482"/>
      <c r="F1547" s="483" t="s">
        <v>387</v>
      </c>
      <c r="G1547" s="484"/>
      <c r="H1547" s="484"/>
      <c r="I1547" s="484"/>
      <c r="J1547" s="484"/>
      <c r="K1547" s="484"/>
      <c r="L1547" s="484"/>
      <c r="M1547" s="484"/>
      <c r="N1547" s="485"/>
      <c r="O1547" s="261" t="s">
        <v>320</v>
      </c>
      <c r="P1547" s="262" t="s">
        <v>257</v>
      </c>
      <c r="Q1547" s="263" t="s">
        <v>319</v>
      </c>
      <c r="R1547" s="486" t="s">
        <v>144</v>
      </c>
      <c r="S1547" s="487"/>
      <c r="T1547" s="487"/>
      <c r="U1547" s="487"/>
      <c r="V1547" s="487"/>
      <c r="W1547" s="487"/>
      <c r="X1547" s="487"/>
      <c r="Y1547" s="487"/>
      <c r="Z1547" s="488"/>
    </row>
    <row r="1548" spans="3:26" ht="15.75" thickBot="1">
      <c r="C1548" s="265"/>
      <c r="D1548" s="489"/>
      <c r="E1548" s="490"/>
      <c r="F1548" s="470" t="s">
        <v>3</v>
      </c>
      <c r="G1548" s="491"/>
      <c r="H1548" s="492"/>
      <c r="I1548" s="493" t="s">
        <v>4</v>
      </c>
      <c r="J1548" s="491"/>
      <c r="K1548" s="492"/>
      <c r="L1548" s="267" t="s">
        <v>324</v>
      </c>
      <c r="M1548" s="267" t="s">
        <v>325</v>
      </c>
      <c r="N1548" s="267" t="s">
        <v>323</v>
      </c>
      <c r="O1548" s="316" t="s">
        <v>5</v>
      </c>
      <c r="P1548" s="317">
        <f>P1551+P1554+P1557+P1560</f>
        <v>39386.907304458517</v>
      </c>
      <c r="Q1548" s="318">
        <f>Q1557+Q1554+Q1551+Q1560</f>
        <v>0</v>
      </c>
      <c r="R1548" s="268" t="s">
        <v>323</v>
      </c>
      <c r="S1548" s="493" t="s">
        <v>317</v>
      </c>
      <c r="T1548" s="492"/>
      <c r="U1548" s="493" t="s">
        <v>369</v>
      </c>
      <c r="V1548" s="471"/>
      <c r="W1548" s="470" t="s">
        <v>310</v>
      </c>
      <c r="X1548" s="471"/>
      <c r="Y1548" s="470" t="s">
        <v>13</v>
      </c>
      <c r="Z1548" s="471"/>
    </row>
    <row r="1549" spans="3:26" ht="16.5" thickTop="1" thickBot="1">
      <c r="C1549" s="15"/>
      <c r="D1549" s="494"/>
      <c r="E1549" s="495"/>
      <c r="G1549" s="496"/>
      <c r="H1549" s="497"/>
      <c r="J1549" s="496"/>
      <c r="K1549" s="497"/>
      <c r="L1549" s="76"/>
      <c r="M1549" s="25"/>
      <c r="N1549" s="292"/>
      <c r="O1549" s="258" t="s">
        <v>321</v>
      </c>
      <c r="P1549" s="315">
        <f>SUM(C1549:C1562)-SUM(F1549:F1562)-SUM(I1549:I1562)</f>
        <v>689.02999999999986</v>
      </c>
      <c r="Q1549" s="12">
        <f>Q1548-Q1531</f>
        <v>0</v>
      </c>
      <c r="R1549" s="307" t="s">
        <v>343</v>
      </c>
      <c r="S1549" s="498"/>
      <c r="T1549" s="499"/>
      <c r="U1549" s="498"/>
      <c r="V1549" s="500"/>
      <c r="W1549" s="501" t="s">
        <v>326</v>
      </c>
      <c r="X1549" s="502"/>
      <c r="Y1549" s="143" t="s">
        <v>17</v>
      </c>
      <c r="Z1549" s="12"/>
    </row>
    <row r="1550" spans="3:26" ht="16.5" thickTop="1" thickBot="1">
      <c r="C1550" s="15"/>
      <c r="D1550" s="455" t="s">
        <v>11</v>
      </c>
      <c r="E1550" s="456"/>
      <c r="F1550" s="6">
        <f>F1533</f>
        <v>400</v>
      </c>
      <c r="G1550" s="462" t="s">
        <v>223</v>
      </c>
      <c r="H1550" s="464"/>
      <c r="I1550" s="20">
        <f>I1533</f>
        <v>11.99</v>
      </c>
      <c r="J1550" s="462" t="s">
        <v>385</v>
      </c>
      <c r="K1550" s="464"/>
      <c r="L1550" s="76">
        <f>L1533</f>
        <v>200</v>
      </c>
      <c r="M1550" s="76">
        <f>M1533</f>
        <v>150</v>
      </c>
      <c r="N1550" s="76">
        <f>N1533</f>
        <v>200</v>
      </c>
      <c r="O1550" s="141" t="s">
        <v>322</v>
      </c>
      <c r="P1550" s="133">
        <f>P1549/29</f>
        <v>23.759655172413787</v>
      </c>
      <c r="Q1550" s="10">
        <f>Q1549/29</f>
        <v>0</v>
      </c>
      <c r="R1550" s="308" t="s">
        <v>382</v>
      </c>
      <c r="S1550" s="474"/>
      <c r="T1550" s="475"/>
      <c r="U1550" s="467"/>
      <c r="V1550" s="468"/>
      <c r="W1550" s="289" t="s">
        <v>12</v>
      </c>
      <c r="X1550" s="315"/>
      <c r="Y1550" s="144" t="s">
        <v>18</v>
      </c>
      <c r="Z1550" s="72"/>
    </row>
    <row r="1551" spans="3:26">
      <c r="C1551" s="15"/>
      <c r="D1551" s="455" t="s">
        <v>390</v>
      </c>
      <c r="E1551" s="456"/>
      <c r="F1551" s="6">
        <f t="shared" ref="F1551:F1559" si="71">F1534</f>
        <v>100</v>
      </c>
      <c r="G1551" s="462" t="s">
        <v>9</v>
      </c>
      <c r="H1551" s="464"/>
      <c r="I1551" s="20">
        <f t="shared" ref="I1551:I1556" si="72">I1534</f>
        <v>11.99</v>
      </c>
      <c r="J1551" s="462" t="s">
        <v>22</v>
      </c>
      <c r="K1551" s="464"/>
      <c r="L1551" s="76"/>
      <c r="M1551" s="25"/>
      <c r="N1551" s="294"/>
      <c r="O1551" s="136" t="s">
        <v>12</v>
      </c>
      <c r="P1551" s="319">
        <f>P1534+P1549-SUM(L1549:L1562)-SUM(M1549:M1562)-SUM(N1549:N1562)</f>
        <v>6130.569999999987</v>
      </c>
      <c r="Q1551" s="320">
        <f>Z1549+Z1554+Z1557</f>
        <v>0</v>
      </c>
      <c r="R1551" s="308" t="s">
        <v>383</v>
      </c>
      <c r="S1551" s="474"/>
      <c r="T1551" s="475"/>
      <c r="U1551" s="467"/>
      <c r="V1551" s="468"/>
      <c r="W1551" s="282" t="s">
        <v>373</v>
      </c>
      <c r="X1551" s="132"/>
      <c r="Y1551" s="144" t="s">
        <v>19</v>
      </c>
      <c r="Z1551" s="72"/>
    </row>
    <row r="1552" spans="3:26" ht="15.75" thickBot="1">
      <c r="C1552" s="15"/>
      <c r="D1552" s="462"/>
      <c r="E1552" s="463"/>
      <c r="F1552" s="6">
        <f t="shared" si="71"/>
        <v>150</v>
      </c>
      <c r="G1552" s="462" t="s">
        <v>6</v>
      </c>
      <c r="H1552" s="464"/>
      <c r="I1552" s="20">
        <f t="shared" si="72"/>
        <v>20</v>
      </c>
      <c r="J1552" s="462" t="s">
        <v>920</v>
      </c>
      <c r="K1552" s="464"/>
      <c r="L1552" s="76"/>
      <c r="M1552" s="25"/>
      <c r="N1552" s="20"/>
      <c r="O1552" s="140" t="s">
        <v>321</v>
      </c>
      <c r="P1552" s="132">
        <f>SUM(C1549:C1562)-SUM(F1549:F1562)-SUM(I1549:I1562)-P1555-P1558-P1561</f>
        <v>139.02999999999986</v>
      </c>
      <c r="Q1552" s="72">
        <f>Q1551-Q1534</f>
        <v>0</v>
      </c>
      <c r="R1552" s="308" t="s">
        <v>424</v>
      </c>
      <c r="S1552" s="474"/>
      <c r="T1552" s="475"/>
      <c r="U1552" s="467"/>
      <c r="V1552" s="468"/>
      <c r="W1552" s="282" t="s">
        <v>378</v>
      </c>
      <c r="X1552" s="132"/>
      <c r="Y1552" s="145" t="s">
        <v>324</v>
      </c>
      <c r="Z1552" s="135"/>
    </row>
    <row r="1553" spans="3:26" ht="15.75" thickBot="1">
      <c r="C1553" s="15"/>
      <c r="D1553" s="455"/>
      <c r="E1553" s="456"/>
      <c r="F1553" s="6">
        <f t="shared" si="71"/>
        <v>370</v>
      </c>
      <c r="G1553" s="462" t="s">
        <v>97</v>
      </c>
      <c r="H1553" s="464"/>
      <c r="I1553" s="20">
        <f t="shared" si="72"/>
        <v>11.9</v>
      </c>
      <c r="J1553" s="462" t="s">
        <v>249</v>
      </c>
      <c r="K1553" s="464"/>
      <c r="L1553" s="76"/>
      <c r="M1553" s="25"/>
      <c r="N1553" s="294"/>
      <c r="O1553" s="141" t="s">
        <v>322</v>
      </c>
      <c r="P1553" s="133">
        <f>P1552/29</f>
        <v>4.7941379310344781</v>
      </c>
      <c r="Q1553" s="10">
        <f>Q1552/29</f>
        <v>0</v>
      </c>
      <c r="R1553" s="143" t="s">
        <v>12</v>
      </c>
      <c r="S1553" s="476"/>
      <c r="T1553" s="477"/>
      <c r="U1553" s="478"/>
      <c r="V1553" s="479"/>
      <c r="W1553" s="289" t="s">
        <v>379</v>
      </c>
      <c r="X1553" s="132"/>
      <c r="Y1553" s="470" t="s">
        <v>14</v>
      </c>
      <c r="Z1553" s="471"/>
    </row>
    <row r="1554" spans="3:26" ht="15.75" thickBot="1">
      <c r="C1554" s="15"/>
      <c r="D1554" s="455"/>
      <c r="E1554" s="456"/>
      <c r="F1554" s="6">
        <f t="shared" si="71"/>
        <v>1860.75</v>
      </c>
      <c r="G1554" s="462" t="s">
        <v>304</v>
      </c>
      <c r="H1554" s="464"/>
      <c r="I1554" s="20">
        <f t="shared" si="72"/>
        <v>150</v>
      </c>
      <c r="J1554" s="462" t="s">
        <v>974</v>
      </c>
      <c r="K1554" s="464"/>
      <c r="L1554" s="76"/>
      <c r="M1554" s="25"/>
      <c r="N1554" s="294"/>
      <c r="O1554" s="136" t="s">
        <v>324</v>
      </c>
      <c r="P1554" s="319">
        <f>P1537+P1555</f>
        <v>8535</v>
      </c>
      <c r="Q1554" s="320">
        <f>Z1550+Z1551+Z1552</f>
        <v>0</v>
      </c>
      <c r="R1554" s="144" t="s">
        <v>425</v>
      </c>
      <c r="S1554" s="465"/>
      <c r="T1554" s="466"/>
      <c r="U1554" s="467"/>
      <c r="V1554" s="468"/>
      <c r="W1554" s="146" t="s">
        <v>375</v>
      </c>
      <c r="X1554" s="325"/>
      <c r="Y1554" s="143" t="s">
        <v>15</v>
      </c>
      <c r="Z1554" s="12"/>
    </row>
    <row r="1555" spans="3:26" ht="15.75" thickBot="1">
      <c r="C1555" s="15"/>
      <c r="D1555" s="462"/>
      <c r="E1555" s="463"/>
      <c r="F1555" s="6">
        <f t="shared" si="71"/>
        <v>70</v>
      </c>
      <c r="G1555" s="462" t="s">
        <v>982</v>
      </c>
      <c r="H1555" s="464"/>
      <c r="I1555" s="20">
        <f t="shared" si="72"/>
        <v>150</v>
      </c>
      <c r="J1555" s="462" t="s">
        <v>105</v>
      </c>
      <c r="K1555" s="464"/>
      <c r="L1555" s="76"/>
      <c r="M1555" s="25"/>
      <c r="N1555" s="294"/>
      <c r="O1555" s="140" t="s">
        <v>321</v>
      </c>
      <c r="P1555" s="132">
        <f>SUM(L1549:L1562)</f>
        <v>200</v>
      </c>
      <c r="Q1555" s="72">
        <f>Q1554-Q1537</f>
        <v>0</v>
      </c>
      <c r="R1555" s="144" t="s">
        <v>426</v>
      </c>
      <c r="S1555" s="465"/>
      <c r="T1555" s="466"/>
      <c r="U1555" s="467"/>
      <c r="V1555" s="468"/>
      <c r="W1555" s="470" t="s">
        <v>376</v>
      </c>
      <c r="X1555" s="471"/>
      <c r="Y1555" s="146" t="s">
        <v>325</v>
      </c>
      <c r="Z1555" s="10"/>
    </row>
    <row r="1556" spans="3:26" ht="16.5" thickTop="1" thickBot="1">
      <c r="C1556" s="15"/>
      <c r="D1556" s="462"/>
      <c r="E1556" s="463"/>
      <c r="F1556" s="6">
        <f t="shared" si="71"/>
        <v>50</v>
      </c>
      <c r="G1556" s="462" t="s">
        <v>926</v>
      </c>
      <c r="H1556" s="464"/>
      <c r="I1556" s="20">
        <f t="shared" si="72"/>
        <v>400</v>
      </c>
      <c r="J1556" s="462" t="s">
        <v>206</v>
      </c>
      <c r="K1556" s="464"/>
      <c r="L1556" s="76"/>
      <c r="M1556" s="25"/>
      <c r="N1556" s="292"/>
      <c r="O1556" s="141" t="s">
        <v>322</v>
      </c>
      <c r="P1556" s="133">
        <f>P1555/29</f>
        <v>6.8965517241379306</v>
      </c>
      <c r="Q1556" s="10">
        <f>Q1555/29</f>
        <v>0</v>
      </c>
      <c r="R1556" s="144" t="s">
        <v>422</v>
      </c>
      <c r="S1556" s="465"/>
      <c r="T1556" s="466"/>
      <c r="U1556" s="467"/>
      <c r="V1556" s="468"/>
      <c r="W1556" s="289" t="s">
        <v>12</v>
      </c>
      <c r="X1556" s="38"/>
      <c r="Y1556" s="470" t="s">
        <v>374</v>
      </c>
      <c r="Z1556" s="471"/>
    </row>
    <row r="1557" spans="3:26" ht="16.5" thickTop="1" thickBot="1">
      <c r="C1557" s="15"/>
      <c r="D1557" s="462"/>
      <c r="E1557" s="463"/>
      <c r="F1557" s="6">
        <f t="shared" si="71"/>
        <v>150</v>
      </c>
      <c r="G1557" s="462" t="s">
        <v>927</v>
      </c>
      <c r="H1557" s="464"/>
      <c r="I1557" s="20"/>
      <c r="J1557" s="462"/>
      <c r="K1557" s="464"/>
      <c r="L1557" s="76"/>
      <c r="M1557" s="25"/>
      <c r="N1557" s="293"/>
      <c r="O1557" s="136" t="s">
        <v>325</v>
      </c>
      <c r="P1557" s="319">
        <f>P1540+P1558</f>
        <v>6408.88</v>
      </c>
      <c r="Q1557" s="320">
        <f>Z1555</f>
        <v>0</v>
      </c>
      <c r="R1557" s="143" t="s">
        <v>421</v>
      </c>
      <c r="S1557" s="465"/>
      <c r="T1557" s="466"/>
      <c r="U1557" s="467"/>
      <c r="V1557" s="468"/>
      <c r="W1557" s="282" t="s">
        <v>373</v>
      </c>
      <c r="X1557" s="281"/>
      <c r="Y1557" s="321" t="s">
        <v>181</v>
      </c>
      <c r="Z1557" s="322">
        <v>0</v>
      </c>
    </row>
    <row r="1558" spans="3:26" ht="15.75" thickBot="1">
      <c r="C1558" s="266"/>
      <c r="D1558" s="448"/>
      <c r="E1558" s="469"/>
      <c r="F1558" s="6">
        <f t="shared" si="71"/>
        <v>150</v>
      </c>
      <c r="G1558" s="462" t="s">
        <v>925</v>
      </c>
      <c r="H1558" s="464"/>
      <c r="I1558" s="20"/>
      <c r="J1558" s="462"/>
      <c r="K1558" s="464"/>
      <c r="L1558" s="76"/>
      <c r="M1558" s="25"/>
      <c r="N1558" s="295"/>
      <c r="O1558" s="140" t="s">
        <v>321</v>
      </c>
      <c r="P1558" s="132">
        <f>SUM(M1549:M1562)</f>
        <v>150</v>
      </c>
      <c r="Q1558" s="72">
        <f>Q1557-Q1540</f>
        <v>0</v>
      </c>
      <c r="R1558" s="144" t="s">
        <v>418</v>
      </c>
      <c r="S1558" s="465"/>
      <c r="T1558" s="466"/>
      <c r="U1558" s="467"/>
      <c r="V1558" s="468"/>
      <c r="W1558" s="282" t="s">
        <v>378</v>
      </c>
      <c r="X1558" s="281"/>
      <c r="Y1558" s="470" t="s">
        <v>1000</v>
      </c>
      <c r="Z1558" s="471"/>
    </row>
    <row r="1559" spans="3:26" ht="16.5" thickTop="1" thickBot="1">
      <c r="C1559" s="266"/>
      <c r="D1559" s="448" t="s">
        <v>1001</v>
      </c>
      <c r="E1559" s="469"/>
      <c r="F1559" s="6">
        <f t="shared" si="71"/>
        <v>30</v>
      </c>
      <c r="G1559" s="462" t="s">
        <v>33</v>
      </c>
      <c r="H1559" s="464"/>
      <c r="I1559" s="20"/>
      <c r="J1559" s="462"/>
      <c r="K1559" s="464"/>
      <c r="L1559" s="76"/>
      <c r="M1559" s="25"/>
      <c r="N1559" s="293"/>
      <c r="O1559" s="141" t="s">
        <v>322</v>
      </c>
      <c r="P1559" s="133">
        <f>P1558/29</f>
        <v>5.1724137931034484</v>
      </c>
      <c r="Q1559" s="10">
        <f>Q1558/29</f>
        <v>0</v>
      </c>
      <c r="R1559" s="144" t="s">
        <v>438</v>
      </c>
      <c r="S1559" s="465"/>
      <c r="T1559" s="466"/>
      <c r="U1559" s="472"/>
      <c r="V1559" s="473"/>
      <c r="W1559" s="289" t="s">
        <v>379</v>
      </c>
      <c r="X1559" s="281"/>
      <c r="Y1559" s="143" t="s">
        <v>12</v>
      </c>
      <c r="Z1559" s="12"/>
    </row>
    <row r="1560" spans="3:26" ht="15.75" thickBot="1">
      <c r="C1560" s="15">
        <f>C1543</f>
        <v>4775.66</v>
      </c>
      <c r="D1560" s="455" t="s">
        <v>11</v>
      </c>
      <c r="E1560" s="456"/>
      <c r="F1560" s="15"/>
      <c r="G1560" s="462"/>
      <c r="H1560" s="464"/>
      <c r="I1560" s="20"/>
      <c r="J1560" s="462"/>
      <c r="K1560" s="464"/>
      <c r="L1560" s="76"/>
      <c r="M1560" s="25"/>
      <c r="N1560" s="295"/>
      <c r="O1560" s="136" t="s">
        <v>323</v>
      </c>
      <c r="P1560" s="319">
        <f>P1543+P1561</f>
        <v>18312.45730445853</v>
      </c>
      <c r="Q1560" s="320">
        <f>S1549+U1549</f>
        <v>0</v>
      </c>
      <c r="R1560" s="144" t="s">
        <v>380</v>
      </c>
      <c r="S1560" s="291">
        <f>S1551-S1552</f>
        <v>0</v>
      </c>
      <c r="T1560" s="327" t="e">
        <f>S1560/S1552</f>
        <v>#DIV/0!</v>
      </c>
      <c r="U1560" s="291">
        <f>U1551-U1552</f>
        <v>0</v>
      </c>
      <c r="V1560" s="329" t="e">
        <f>U1560/U1552</f>
        <v>#DIV/0!</v>
      </c>
      <c r="W1560" s="146" t="s">
        <v>375</v>
      </c>
      <c r="X1560" s="326"/>
      <c r="Y1560" s="144" t="s">
        <v>373</v>
      </c>
      <c r="Z1560" s="72"/>
    </row>
    <row r="1561" spans="3:26">
      <c r="C1561" s="15"/>
      <c r="D1561" s="455" t="s">
        <v>390</v>
      </c>
      <c r="E1561" s="456"/>
      <c r="F1561" s="15"/>
      <c r="G1561" s="457" t="s">
        <v>38</v>
      </c>
      <c r="H1561" s="458"/>
      <c r="I1561" s="20"/>
      <c r="J1561" s="457" t="s">
        <v>38</v>
      </c>
      <c r="K1561" s="458"/>
      <c r="L1561" s="76"/>
      <c r="M1561" s="25"/>
      <c r="N1561" s="293"/>
      <c r="O1561" s="140" t="s">
        <v>321</v>
      </c>
      <c r="P1561" s="132">
        <f>SUM(N1549:N1562)</f>
        <v>200</v>
      </c>
      <c r="Q1561" s="72">
        <f>Q1560-Q1543</f>
        <v>0</v>
      </c>
      <c r="R1561" s="144" t="s">
        <v>381</v>
      </c>
      <c r="S1561" s="291">
        <f>S1549-S1554</f>
        <v>0</v>
      </c>
      <c r="T1561" s="327" t="e">
        <f>S1561/S1554</f>
        <v>#DIV/0!</v>
      </c>
      <c r="U1561" s="291">
        <f>U1549-U1554</f>
        <v>0</v>
      </c>
      <c r="V1561" s="366" t="e">
        <f>U1561/ABS(U1554)</f>
        <v>#DIV/0!</v>
      </c>
      <c r="W1561" s="337" t="s">
        <v>410</v>
      </c>
      <c r="X1561" s="1" t="s">
        <v>558</v>
      </c>
      <c r="Y1561" s="144" t="s">
        <v>379</v>
      </c>
      <c r="Z1561" s="72"/>
    </row>
    <row r="1562" spans="3:26" ht="15.75" thickBot="1">
      <c r="C1562" s="17"/>
      <c r="D1562" s="459"/>
      <c r="E1562" s="460"/>
      <c r="F1562" s="17"/>
      <c r="G1562" s="459"/>
      <c r="H1562" s="461"/>
      <c r="I1562" s="21"/>
      <c r="J1562" s="459"/>
      <c r="K1562" s="461"/>
      <c r="L1562" s="42"/>
      <c r="M1562" s="5"/>
      <c r="N1562" s="21"/>
      <c r="O1562" s="137" t="s">
        <v>322</v>
      </c>
      <c r="P1562" s="138">
        <f>P1561/29</f>
        <v>6.8965517241379306</v>
      </c>
      <c r="Q1562" s="24">
        <f>Q1561/29</f>
        <v>0</v>
      </c>
      <c r="R1562" s="153" t="s">
        <v>410</v>
      </c>
      <c r="S1562" s="296">
        <f>S1560+S1561</f>
        <v>0</v>
      </c>
      <c r="T1562" s="328" t="e">
        <f>S1562/S1550</f>
        <v>#DIV/0!</v>
      </c>
      <c r="U1562" s="296">
        <f>U1561+U1560</f>
        <v>0</v>
      </c>
      <c r="V1562" s="330" t="e">
        <f>U1562/U1550</f>
        <v>#DIV/0!</v>
      </c>
      <c r="W1562" s="296">
        <f>S1562+U1562</f>
        <v>0</v>
      </c>
      <c r="X1562" s="330" t="e">
        <f>(W1562+S1550+U1550)/(S1550+U1550)-1</f>
        <v>#DIV/0!</v>
      </c>
      <c r="Y1562" s="153" t="s">
        <v>375</v>
      </c>
      <c r="Z1562" s="389"/>
    </row>
    <row r="1563" spans="3:26" ht="17.25" thickTop="1" thickBot="1">
      <c r="C1563" s="264">
        <v>47362</v>
      </c>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spans="3:26" ht="17.25" thickTop="1" thickBot="1">
      <c r="C1564" s="480" t="s">
        <v>386</v>
      </c>
      <c r="D1564" s="481"/>
      <c r="E1564" s="482"/>
      <c r="F1564" s="483" t="s">
        <v>387</v>
      </c>
      <c r="G1564" s="484"/>
      <c r="H1564" s="484"/>
      <c r="I1564" s="484"/>
      <c r="J1564" s="484"/>
      <c r="K1564" s="484"/>
      <c r="L1564" s="484"/>
      <c r="M1564" s="484"/>
      <c r="N1564" s="485"/>
      <c r="O1564" s="261" t="s">
        <v>320</v>
      </c>
      <c r="P1564" s="262" t="s">
        <v>257</v>
      </c>
      <c r="Q1564" s="263" t="s">
        <v>319</v>
      </c>
      <c r="R1564" s="486" t="s">
        <v>144</v>
      </c>
      <c r="S1564" s="487"/>
      <c r="T1564" s="487"/>
      <c r="U1564" s="487"/>
      <c r="V1564" s="487"/>
      <c r="W1564" s="487"/>
      <c r="X1564" s="487"/>
      <c r="Y1564" s="487"/>
      <c r="Z1564" s="488"/>
    </row>
    <row r="1565" spans="3:26" ht="15.75" thickBot="1">
      <c r="C1565" s="265"/>
      <c r="D1565" s="489"/>
      <c r="E1565" s="490"/>
      <c r="F1565" s="470" t="s">
        <v>3</v>
      </c>
      <c r="G1565" s="491"/>
      <c r="H1565" s="492"/>
      <c r="I1565" s="493" t="s">
        <v>4</v>
      </c>
      <c r="J1565" s="491"/>
      <c r="K1565" s="492"/>
      <c r="L1565" s="267" t="s">
        <v>324</v>
      </c>
      <c r="M1565" s="267" t="s">
        <v>325</v>
      </c>
      <c r="N1565" s="267" t="s">
        <v>323</v>
      </c>
      <c r="O1565" s="316" t="s">
        <v>5</v>
      </c>
      <c r="P1565" s="317">
        <f>P1568+P1571+P1574+P1577</f>
        <v>40075.937304458523</v>
      </c>
      <c r="Q1565" s="318">
        <f>Q1574+Q1571+Q1568+Q1577</f>
        <v>0</v>
      </c>
      <c r="R1565" s="268" t="s">
        <v>323</v>
      </c>
      <c r="S1565" s="493" t="s">
        <v>317</v>
      </c>
      <c r="T1565" s="492"/>
      <c r="U1565" s="493" t="s">
        <v>369</v>
      </c>
      <c r="V1565" s="471"/>
      <c r="W1565" s="470" t="s">
        <v>310</v>
      </c>
      <c r="X1565" s="471"/>
      <c r="Y1565" s="470" t="s">
        <v>13</v>
      </c>
      <c r="Z1565" s="471"/>
    </row>
    <row r="1566" spans="3:26" ht="16.5" thickTop="1" thickBot="1">
      <c r="C1566" s="15"/>
      <c r="D1566" s="494"/>
      <c r="E1566" s="495"/>
      <c r="G1566" s="496"/>
      <c r="H1566" s="497"/>
      <c r="J1566" s="496"/>
      <c r="K1566" s="497"/>
      <c r="L1566" s="76"/>
      <c r="M1566" s="25"/>
      <c r="N1566" s="292"/>
      <c r="O1566" s="258" t="s">
        <v>321</v>
      </c>
      <c r="P1566" s="315">
        <f>SUM(C1566:C1579)-SUM(F1566:F1579)-SUM(I1566:I1579)</f>
        <v>689.02999999999986</v>
      </c>
      <c r="Q1566" s="12">
        <f>Q1565-Q1548</f>
        <v>0</v>
      </c>
      <c r="R1566" s="307" t="s">
        <v>343</v>
      </c>
      <c r="S1566" s="498"/>
      <c r="T1566" s="499"/>
      <c r="U1566" s="498"/>
      <c r="V1566" s="500"/>
      <c r="W1566" s="501" t="s">
        <v>326</v>
      </c>
      <c r="X1566" s="502"/>
      <c r="Y1566" s="143" t="s">
        <v>17</v>
      </c>
      <c r="Z1566" s="12"/>
    </row>
    <row r="1567" spans="3:26" ht="16.5" thickTop="1" thickBot="1">
      <c r="C1567" s="15"/>
      <c r="D1567" s="455" t="s">
        <v>11</v>
      </c>
      <c r="E1567" s="456"/>
      <c r="F1567" s="6">
        <f>F1550</f>
        <v>400</v>
      </c>
      <c r="G1567" s="462" t="s">
        <v>223</v>
      </c>
      <c r="H1567" s="464"/>
      <c r="I1567" s="20">
        <f>I1550</f>
        <v>11.99</v>
      </c>
      <c r="J1567" s="462" t="s">
        <v>385</v>
      </c>
      <c r="K1567" s="464"/>
      <c r="L1567" s="76">
        <f>L1550</f>
        <v>200</v>
      </c>
      <c r="M1567" s="76">
        <f>M1550</f>
        <v>150</v>
      </c>
      <c r="N1567" s="76">
        <f>N1550</f>
        <v>200</v>
      </c>
      <c r="O1567" s="141" t="s">
        <v>322</v>
      </c>
      <c r="P1567" s="133">
        <f>P1566/29</f>
        <v>23.759655172413787</v>
      </c>
      <c r="Q1567" s="10">
        <f>Q1566/29</f>
        <v>0</v>
      </c>
      <c r="R1567" s="308" t="s">
        <v>382</v>
      </c>
      <c r="S1567" s="474"/>
      <c r="T1567" s="475"/>
      <c r="U1567" s="467"/>
      <c r="V1567" s="468"/>
      <c r="W1567" s="289" t="s">
        <v>12</v>
      </c>
      <c r="X1567" s="315"/>
      <c r="Y1567" s="144" t="s">
        <v>18</v>
      </c>
      <c r="Z1567" s="72"/>
    </row>
    <row r="1568" spans="3:26">
      <c r="C1568" s="15"/>
      <c r="D1568" s="455" t="s">
        <v>390</v>
      </c>
      <c r="E1568" s="456"/>
      <c r="F1568" s="6">
        <f t="shared" ref="F1568:F1576" si="73">F1551</f>
        <v>100</v>
      </c>
      <c r="G1568" s="462" t="s">
        <v>9</v>
      </c>
      <c r="H1568" s="464"/>
      <c r="I1568" s="20">
        <f t="shared" ref="I1568:I1573" si="74">I1551</f>
        <v>11.99</v>
      </c>
      <c r="J1568" s="462" t="s">
        <v>22</v>
      </c>
      <c r="K1568" s="464"/>
      <c r="L1568" s="76"/>
      <c r="M1568" s="25"/>
      <c r="N1568" s="294"/>
      <c r="O1568" s="136" t="s">
        <v>12</v>
      </c>
      <c r="P1568" s="319">
        <f>P1551+P1566-SUM(L1566:L1579)-SUM(M1566:M1579)-SUM(N1566:N1579)</f>
        <v>6269.5999999999867</v>
      </c>
      <c r="Q1568" s="320">
        <f>Z1566+Z1571+Z1574</f>
        <v>0</v>
      </c>
      <c r="R1568" s="308" t="s">
        <v>383</v>
      </c>
      <c r="S1568" s="474"/>
      <c r="T1568" s="475"/>
      <c r="U1568" s="467"/>
      <c r="V1568" s="468"/>
      <c r="W1568" s="282" t="s">
        <v>373</v>
      </c>
      <c r="X1568" s="132"/>
      <c r="Y1568" s="144" t="s">
        <v>19</v>
      </c>
      <c r="Z1568" s="72"/>
    </row>
    <row r="1569" spans="3:26" ht="15.75" thickBot="1">
      <c r="C1569" s="15"/>
      <c r="D1569" s="462"/>
      <c r="E1569" s="463"/>
      <c r="F1569" s="6">
        <f t="shared" si="73"/>
        <v>150</v>
      </c>
      <c r="G1569" s="462" t="s">
        <v>6</v>
      </c>
      <c r="H1569" s="464"/>
      <c r="I1569" s="20">
        <f t="shared" si="74"/>
        <v>20</v>
      </c>
      <c r="J1569" s="462" t="s">
        <v>920</v>
      </c>
      <c r="K1569" s="464"/>
      <c r="L1569" s="76"/>
      <c r="M1569" s="25"/>
      <c r="N1569" s="20"/>
      <c r="O1569" s="140" t="s">
        <v>321</v>
      </c>
      <c r="P1569" s="132">
        <f>SUM(C1566:C1579)-SUM(F1566:F1579)-SUM(I1566:I1579)-P1572-P1575-P1578</f>
        <v>139.02999999999986</v>
      </c>
      <c r="Q1569" s="72">
        <f>Q1568-Q1551</f>
        <v>0</v>
      </c>
      <c r="R1569" s="308" t="s">
        <v>424</v>
      </c>
      <c r="S1569" s="474"/>
      <c r="T1569" s="475"/>
      <c r="U1569" s="467"/>
      <c r="V1569" s="468"/>
      <c r="W1569" s="282" t="s">
        <v>378</v>
      </c>
      <c r="X1569" s="132"/>
      <c r="Y1569" s="145" t="s">
        <v>324</v>
      </c>
      <c r="Z1569" s="135"/>
    </row>
    <row r="1570" spans="3:26" ht="15.75" thickBot="1">
      <c r="C1570" s="15"/>
      <c r="D1570" s="455"/>
      <c r="E1570" s="456"/>
      <c r="F1570" s="6">
        <f t="shared" si="73"/>
        <v>370</v>
      </c>
      <c r="G1570" s="462" t="s">
        <v>97</v>
      </c>
      <c r="H1570" s="464"/>
      <c r="I1570" s="20">
        <f t="shared" si="74"/>
        <v>11.9</v>
      </c>
      <c r="J1570" s="462" t="s">
        <v>249</v>
      </c>
      <c r="K1570" s="464"/>
      <c r="L1570" s="76"/>
      <c r="M1570" s="25"/>
      <c r="N1570" s="294"/>
      <c r="O1570" s="141" t="s">
        <v>322</v>
      </c>
      <c r="P1570" s="133">
        <f>P1569/29</f>
        <v>4.7941379310344781</v>
      </c>
      <c r="Q1570" s="10">
        <f>Q1569/29</f>
        <v>0</v>
      </c>
      <c r="R1570" s="143" t="s">
        <v>12</v>
      </c>
      <c r="S1570" s="476"/>
      <c r="T1570" s="477"/>
      <c r="U1570" s="478"/>
      <c r="V1570" s="479"/>
      <c r="W1570" s="289" t="s">
        <v>379</v>
      </c>
      <c r="X1570" s="132"/>
      <c r="Y1570" s="470" t="s">
        <v>14</v>
      </c>
      <c r="Z1570" s="471"/>
    </row>
    <row r="1571" spans="3:26" ht="15.75" thickBot="1">
      <c r="C1571" s="15"/>
      <c r="D1571" s="455"/>
      <c r="E1571" s="456"/>
      <c r="F1571" s="6">
        <f t="shared" si="73"/>
        <v>1860.75</v>
      </c>
      <c r="G1571" s="462" t="s">
        <v>304</v>
      </c>
      <c r="H1571" s="464"/>
      <c r="I1571" s="20">
        <f t="shared" si="74"/>
        <v>150</v>
      </c>
      <c r="J1571" s="462" t="s">
        <v>974</v>
      </c>
      <c r="K1571" s="464"/>
      <c r="L1571" s="76"/>
      <c r="M1571" s="25"/>
      <c r="N1571" s="294"/>
      <c r="O1571" s="136" t="s">
        <v>324</v>
      </c>
      <c r="P1571" s="319">
        <f>P1554+P1572</f>
        <v>8735</v>
      </c>
      <c r="Q1571" s="320">
        <f>Z1567+Z1568+Z1569</f>
        <v>0</v>
      </c>
      <c r="R1571" s="144" t="s">
        <v>425</v>
      </c>
      <c r="S1571" s="465"/>
      <c r="T1571" s="466"/>
      <c r="U1571" s="467"/>
      <c r="V1571" s="468"/>
      <c r="W1571" s="146" t="s">
        <v>375</v>
      </c>
      <c r="X1571" s="325"/>
      <c r="Y1571" s="143" t="s">
        <v>15</v>
      </c>
      <c r="Z1571" s="12"/>
    </row>
    <row r="1572" spans="3:26" ht="15.75" thickBot="1">
      <c r="C1572" s="15"/>
      <c r="D1572" s="462"/>
      <c r="E1572" s="463"/>
      <c r="F1572" s="6">
        <f t="shared" si="73"/>
        <v>70</v>
      </c>
      <c r="G1572" s="462" t="s">
        <v>982</v>
      </c>
      <c r="H1572" s="464"/>
      <c r="I1572" s="20">
        <f t="shared" si="74"/>
        <v>150</v>
      </c>
      <c r="J1572" s="462" t="s">
        <v>105</v>
      </c>
      <c r="K1572" s="464"/>
      <c r="L1572" s="76"/>
      <c r="M1572" s="25"/>
      <c r="N1572" s="294"/>
      <c r="O1572" s="140" t="s">
        <v>321</v>
      </c>
      <c r="P1572" s="132">
        <f>SUM(L1566:L1579)</f>
        <v>200</v>
      </c>
      <c r="Q1572" s="72">
        <f>Q1571-Q1554</f>
        <v>0</v>
      </c>
      <c r="R1572" s="144" t="s">
        <v>426</v>
      </c>
      <c r="S1572" s="465"/>
      <c r="T1572" s="466"/>
      <c r="U1572" s="467"/>
      <c r="V1572" s="468"/>
      <c r="W1572" s="470" t="s">
        <v>376</v>
      </c>
      <c r="X1572" s="471"/>
      <c r="Y1572" s="146" t="s">
        <v>325</v>
      </c>
      <c r="Z1572" s="10"/>
    </row>
    <row r="1573" spans="3:26" ht="16.5" thickTop="1" thickBot="1">
      <c r="C1573" s="15"/>
      <c r="D1573" s="462"/>
      <c r="E1573" s="463"/>
      <c r="F1573" s="6">
        <f t="shared" si="73"/>
        <v>50</v>
      </c>
      <c r="G1573" s="462" t="s">
        <v>926</v>
      </c>
      <c r="H1573" s="464"/>
      <c r="I1573" s="20">
        <f t="shared" si="74"/>
        <v>400</v>
      </c>
      <c r="J1573" s="462" t="s">
        <v>206</v>
      </c>
      <c r="K1573" s="464"/>
      <c r="L1573" s="76"/>
      <c r="M1573" s="25"/>
      <c r="N1573" s="292"/>
      <c r="O1573" s="141" t="s">
        <v>322</v>
      </c>
      <c r="P1573" s="133">
        <f>P1572/29</f>
        <v>6.8965517241379306</v>
      </c>
      <c r="Q1573" s="10">
        <f>Q1572/29</f>
        <v>0</v>
      </c>
      <c r="R1573" s="144" t="s">
        <v>422</v>
      </c>
      <c r="S1573" s="465"/>
      <c r="T1573" s="466"/>
      <c r="U1573" s="467"/>
      <c r="V1573" s="468"/>
      <c r="W1573" s="289" t="s">
        <v>12</v>
      </c>
      <c r="X1573" s="38"/>
      <c r="Y1573" s="470" t="s">
        <v>374</v>
      </c>
      <c r="Z1573" s="471"/>
    </row>
    <row r="1574" spans="3:26" ht="16.5" thickTop="1" thickBot="1">
      <c r="C1574" s="15"/>
      <c r="D1574" s="462"/>
      <c r="E1574" s="463"/>
      <c r="F1574" s="6">
        <f t="shared" si="73"/>
        <v>150</v>
      </c>
      <c r="G1574" s="462" t="s">
        <v>927</v>
      </c>
      <c r="H1574" s="464"/>
      <c r="I1574" s="20"/>
      <c r="J1574" s="462"/>
      <c r="K1574" s="464"/>
      <c r="L1574" s="76"/>
      <c r="M1574" s="25"/>
      <c r="N1574" s="293"/>
      <c r="O1574" s="136" t="s">
        <v>325</v>
      </c>
      <c r="P1574" s="319">
        <f>P1557+P1575</f>
        <v>6558.88</v>
      </c>
      <c r="Q1574" s="320">
        <f>Z1572</f>
        <v>0</v>
      </c>
      <c r="R1574" s="143" t="s">
        <v>421</v>
      </c>
      <c r="S1574" s="465"/>
      <c r="T1574" s="466"/>
      <c r="U1574" s="467"/>
      <c r="V1574" s="468"/>
      <c r="W1574" s="282" t="s">
        <v>373</v>
      </c>
      <c r="X1574" s="281"/>
      <c r="Y1574" s="321" t="s">
        <v>181</v>
      </c>
      <c r="Z1574" s="322">
        <v>0</v>
      </c>
    </row>
    <row r="1575" spans="3:26" ht="15.75" thickBot="1">
      <c r="C1575" s="266"/>
      <c r="D1575" s="448"/>
      <c r="E1575" s="469"/>
      <c r="F1575" s="6">
        <f t="shared" si="73"/>
        <v>150</v>
      </c>
      <c r="G1575" s="462" t="s">
        <v>925</v>
      </c>
      <c r="H1575" s="464"/>
      <c r="I1575" s="20"/>
      <c r="J1575" s="462"/>
      <c r="K1575" s="464"/>
      <c r="L1575" s="76"/>
      <c r="M1575" s="25"/>
      <c r="N1575" s="295"/>
      <c r="O1575" s="140" t="s">
        <v>321</v>
      </c>
      <c r="P1575" s="132">
        <f>SUM(M1566:M1579)</f>
        <v>150</v>
      </c>
      <c r="Q1575" s="72">
        <f>Q1574-Q1557</f>
        <v>0</v>
      </c>
      <c r="R1575" s="144" t="s">
        <v>418</v>
      </c>
      <c r="S1575" s="465"/>
      <c r="T1575" s="466"/>
      <c r="U1575" s="467"/>
      <c r="V1575" s="468"/>
      <c r="W1575" s="282" t="s">
        <v>378</v>
      </c>
      <c r="X1575" s="281"/>
      <c r="Y1575" s="470" t="s">
        <v>1000</v>
      </c>
      <c r="Z1575" s="471"/>
    </row>
    <row r="1576" spans="3:26" ht="16.5" thickTop="1" thickBot="1">
      <c r="C1576" s="266"/>
      <c r="D1576" s="448" t="s">
        <v>1001</v>
      </c>
      <c r="E1576" s="469"/>
      <c r="F1576" s="6">
        <f t="shared" si="73"/>
        <v>30</v>
      </c>
      <c r="G1576" s="462" t="s">
        <v>33</v>
      </c>
      <c r="H1576" s="464"/>
      <c r="I1576" s="20"/>
      <c r="J1576" s="462"/>
      <c r="K1576" s="464"/>
      <c r="L1576" s="76"/>
      <c r="M1576" s="25"/>
      <c r="N1576" s="293"/>
      <c r="O1576" s="141" t="s">
        <v>322</v>
      </c>
      <c r="P1576" s="133">
        <f>P1575/29</f>
        <v>5.1724137931034484</v>
      </c>
      <c r="Q1576" s="10">
        <f>Q1575/29</f>
        <v>0</v>
      </c>
      <c r="R1576" s="144" t="s">
        <v>438</v>
      </c>
      <c r="S1576" s="465"/>
      <c r="T1576" s="466"/>
      <c r="U1576" s="472"/>
      <c r="V1576" s="473"/>
      <c r="W1576" s="289" t="s">
        <v>379</v>
      </c>
      <c r="X1576" s="281"/>
      <c r="Y1576" s="143" t="s">
        <v>12</v>
      </c>
      <c r="Z1576" s="12"/>
    </row>
    <row r="1577" spans="3:26" ht="15.75" thickBot="1">
      <c r="C1577" s="15">
        <f>C1560</f>
        <v>4775.66</v>
      </c>
      <c r="D1577" s="455" t="s">
        <v>11</v>
      </c>
      <c r="E1577" s="456"/>
      <c r="F1577" s="15"/>
      <c r="G1577" s="462"/>
      <c r="H1577" s="464"/>
      <c r="I1577" s="20"/>
      <c r="J1577" s="462"/>
      <c r="K1577" s="464"/>
      <c r="L1577" s="76"/>
      <c r="M1577" s="25"/>
      <c r="N1577" s="295"/>
      <c r="O1577" s="136" t="s">
        <v>323</v>
      </c>
      <c r="P1577" s="319">
        <f>P1560+P1578</f>
        <v>18512.45730445853</v>
      </c>
      <c r="Q1577" s="320">
        <f>S1566+U1566</f>
        <v>0</v>
      </c>
      <c r="R1577" s="144" t="s">
        <v>380</v>
      </c>
      <c r="S1577" s="291">
        <f>S1568-S1569</f>
        <v>0</v>
      </c>
      <c r="T1577" s="327" t="e">
        <f>S1577/S1569</f>
        <v>#DIV/0!</v>
      </c>
      <c r="U1577" s="291">
        <f>U1568-U1569</f>
        <v>0</v>
      </c>
      <c r="V1577" s="329" t="e">
        <f>U1577/U1569</f>
        <v>#DIV/0!</v>
      </c>
      <c r="W1577" s="146" t="s">
        <v>375</v>
      </c>
      <c r="X1577" s="326"/>
      <c r="Y1577" s="144" t="s">
        <v>373</v>
      </c>
      <c r="Z1577" s="72"/>
    </row>
    <row r="1578" spans="3:26">
      <c r="C1578" s="15"/>
      <c r="D1578" s="455" t="s">
        <v>390</v>
      </c>
      <c r="E1578" s="456"/>
      <c r="F1578" s="15"/>
      <c r="G1578" s="457" t="s">
        <v>38</v>
      </c>
      <c r="H1578" s="458"/>
      <c r="I1578" s="20"/>
      <c r="J1578" s="457" t="s">
        <v>38</v>
      </c>
      <c r="K1578" s="458"/>
      <c r="L1578" s="76"/>
      <c r="M1578" s="25"/>
      <c r="N1578" s="293"/>
      <c r="O1578" s="140" t="s">
        <v>321</v>
      </c>
      <c r="P1578" s="132">
        <f>SUM(N1566:N1579)</f>
        <v>200</v>
      </c>
      <c r="Q1578" s="72">
        <f>Q1577-Q1560</f>
        <v>0</v>
      </c>
      <c r="R1578" s="144" t="s">
        <v>381</v>
      </c>
      <c r="S1578" s="291">
        <f>S1566-S1571</f>
        <v>0</v>
      </c>
      <c r="T1578" s="327" t="e">
        <f>S1578/S1571</f>
        <v>#DIV/0!</v>
      </c>
      <c r="U1578" s="291">
        <f>U1566-U1571</f>
        <v>0</v>
      </c>
      <c r="V1578" s="366" t="e">
        <f>U1578/ABS(U1571)</f>
        <v>#DIV/0!</v>
      </c>
      <c r="W1578" s="337" t="s">
        <v>410</v>
      </c>
      <c r="X1578" s="1" t="s">
        <v>558</v>
      </c>
      <c r="Y1578" s="144" t="s">
        <v>379</v>
      </c>
      <c r="Z1578" s="72"/>
    </row>
    <row r="1579" spans="3:26" ht="15.75" thickBot="1">
      <c r="C1579" s="17"/>
      <c r="D1579" s="459"/>
      <c r="E1579" s="460"/>
      <c r="F1579" s="17"/>
      <c r="G1579" s="459"/>
      <c r="H1579" s="461"/>
      <c r="I1579" s="21"/>
      <c r="J1579" s="459"/>
      <c r="K1579" s="461"/>
      <c r="L1579" s="42"/>
      <c r="M1579" s="5"/>
      <c r="N1579" s="21"/>
      <c r="O1579" s="137" t="s">
        <v>322</v>
      </c>
      <c r="P1579" s="138">
        <f>P1578/29</f>
        <v>6.8965517241379306</v>
      </c>
      <c r="Q1579" s="24">
        <f>Q1578/29</f>
        <v>0</v>
      </c>
      <c r="R1579" s="153" t="s">
        <v>410</v>
      </c>
      <c r="S1579" s="296">
        <f>S1577+S1578</f>
        <v>0</v>
      </c>
      <c r="T1579" s="328" t="e">
        <f>S1579/S1567</f>
        <v>#DIV/0!</v>
      </c>
      <c r="U1579" s="296">
        <f>U1578+U1577</f>
        <v>0</v>
      </c>
      <c r="V1579" s="330" t="e">
        <f>U1579/U1567</f>
        <v>#DIV/0!</v>
      </c>
      <c r="W1579" s="296">
        <f>S1579+U1579</f>
        <v>0</v>
      </c>
      <c r="X1579" s="330" t="e">
        <f>(W1579+S1567+U1567)/(S1567+U1567)-1</f>
        <v>#DIV/0!</v>
      </c>
      <c r="Y1579" s="153" t="s">
        <v>375</v>
      </c>
      <c r="Z1579" s="389"/>
    </row>
    <row r="1580" spans="3:26" ht="17.25" thickTop="1" thickBot="1">
      <c r="C1580" s="264">
        <v>47392</v>
      </c>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spans="3:26" ht="17.25" thickTop="1" thickBot="1">
      <c r="C1581" s="480" t="s">
        <v>386</v>
      </c>
      <c r="D1581" s="481"/>
      <c r="E1581" s="482"/>
      <c r="F1581" s="483" t="s">
        <v>387</v>
      </c>
      <c r="G1581" s="484"/>
      <c r="H1581" s="484"/>
      <c r="I1581" s="484"/>
      <c r="J1581" s="484"/>
      <c r="K1581" s="484"/>
      <c r="L1581" s="484"/>
      <c r="M1581" s="484"/>
      <c r="N1581" s="485"/>
      <c r="O1581" s="261" t="s">
        <v>320</v>
      </c>
      <c r="P1581" s="262" t="s">
        <v>257</v>
      </c>
      <c r="Q1581" s="263" t="s">
        <v>319</v>
      </c>
      <c r="R1581" s="486" t="s">
        <v>144</v>
      </c>
      <c r="S1581" s="487"/>
      <c r="T1581" s="487"/>
      <c r="U1581" s="487"/>
      <c r="V1581" s="487"/>
      <c r="W1581" s="487"/>
      <c r="X1581" s="487"/>
      <c r="Y1581" s="487"/>
      <c r="Z1581" s="488"/>
    </row>
    <row r="1582" spans="3:26" ht="15.75" thickBot="1">
      <c r="C1582" s="265"/>
      <c r="D1582" s="489"/>
      <c r="E1582" s="490"/>
      <c r="F1582" s="470" t="s">
        <v>3</v>
      </c>
      <c r="G1582" s="491"/>
      <c r="H1582" s="492"/>
      <c r="I1582" s="493" t="s">
        <v>4</v>
      </c>
      <c r="J1582" s="491"/>
      <c r="K1582" s="492"/>
      <c r="L1582" s="267" t="s">
        <v>324</v>
      </c>
      <c r="M1582" s="267" t="s">
        <v>325</v>
      </c>
      <c r="N1582" s="267" t="s">
        <v>323</v>
      </c>
      <c r="O1582" s="316" t="s">
        <v>5</v>
      </c>
      <c r="P1582" s="317">
        <f>P1585+P1588+P1591+P1594</f>
        <v>40764.967304458522</v>
      </c>
      <c r="Q1582" s="318">
        <f>Q1591+Q1588+Q1585+Q1594</f>
        <v>0</v>
      </c>
      <c r="R1582" s="268" t="s">
        <v>323</v>
      </c>
      <c r="S1582" s="493" t="s">
        <v>317</v>
      </c>
      <c r="T1582" s="492"/>
      <c r="U1582" s="493" t="s">
        <v>369</v>
      </c>
      <c r="V1582" s="471"/>
      <c r="W1582" s="470" t="s">
        <v>310</v>
      </c>
      <c r="X1582" s="471"/>
      <c r="Y1582" s="470" t="s">
        <v>13</v>
      </c>
      <c r="Z1582" s="471"/>
    </row>
    <row r="1583" spans="3:26" ht="16.5" thickTop="1" thickBot="1">
      <c r="C1583" s="15"/>
      <c r="D1583" s="494"/>
      <c r="E1583" s="495"/>
      <c r="G1583" s="496"/>
      <c r="H1583" s="497"/>
      <c r="J1583" s="496"/>
      <c r="K1583" s="497"/>
      <c r="L1583" s="76"/>
      <c r="M1583" s="25"/>
      <c r="N1583" s="292"/>
      <c r="O1583" s="258" t="s">
        <v>321</v>
      </c>
      <c r="P1583" s="315">
        <f>SUM(C1583:C1596)-SUM(F1583:F1596)-SUM(I1583:I1596)</f>
        <v>689.02999999999986</v>
      </c>
      <c r="Q1583" s="12">
        <f>Q1582-Q1565</f>
        <v>0</v>
      </c>
      <c r="R1583" s="307" t="s">
        <v>343</v>
      </c>
      <c r="S1583" s="498"/>
      <c r="T1583" s="499"/>
      <c r="U1583" s="498"/>
      <c r="V1583" s="500"/>
      <c r="W1583" s="501" t="s">
        <v>326</v>
      </c>
      <c r="X1583" s="502"/>
      <c r="Y1583" s="143" t="s">
        <v>17</v>
      </c>
      <c r="Z1583" s="12"/>
    </row>
    <row r="1584" spans="3:26" ht="16.5" thickTop="1" thickBot="1">
      <c r="C1584" s="15"/>
      <c r="D1584" s="455" t="s">
        <v>11</v>
      </c>
      <c r="E1584" s="456"/>
      <c r="F1584" s="6">
        <f>F1567</f>
        <v>400</v>
      </c>
      <c r="G1584" s="462" t="s">
        <v>223</v>
      </c>
      <c r="H1584" s="464"/>
      <c r="I1584" s="20">
        <f>I1567</f>
        <v>11.99</v>
      </c>
      <c r="J1584" s="462" t="s">
        <v>385</v>
      </c>
      <c r="K1584" s="464"/>
      <c r="L1584" s="76">
        <f>L1567</f>
        <v>200</v>
      </c>
      <c r="M1584" s="76">
        <f>M1567</f>
        <v>150</v>
      </c>
      <c r="N1584" s="76">
        <f>N1567</f>
        <v>200</v>
      </c>
      <c r="O1584" s="141" t="s">
        <v>322</v>
      </c>
      <c r="P1584" s="133">
        <f>P1583/29</f>
        <v>23.759655172413787</v>
      </c>
      <c r="Q1584" s="10">
        <f>Q1583/29</f>
        <v>0</v>
      </c>
      <c r="R1584" s="308" t="s">
        <v>382</v>
      </c>
      <c r="S1584" s="474"/>
      <c r="T1584" s="475"/>
      <c r="U1584" s="467"/>
      <c r="V1584" s="468"/>
      <c r="W1584" s="289" t="s">
        <v>12</v>
      </c>
      <c r="X1584" s="315"/>
      <c r="Y1584" s="144" t="s">
        <v>18</v>
      </c>
      <c r="Z1584" s="72"/>
    </row>
    <row r="1585" spans="3:26">
      <c r="C1585" s="15"/>
      <c r="D1585" s="455" t="s">
        <v>390</v>
      </c>
      <c r="E1585" s="456"/>
      <c r="F1585" s="6">
        <f t="shared" ref="F1585:F1593" si="75">F1568</f>
        <v>100</v>
      </c>
      <c r="G1585" s="462" t="s">
        <v>9</v>
      </c>
      <c r="H1585" s="464"/>
      <c r="I1585" s="20">
        <f t="shared" ref="I1585:I1590" si="76">I1568</f>
        <v>11.99</v>
      </c>
      <c r="J1585" s="462" t="s">
        <v>22</v>
      </c>
      <c r="K1585" s="464"/>
      <c r="L1585" s="76"/>
      <c r="M1585" s="25"/>
      <c r="N1585" s="294"/>
      <c r="O1585" s="136" t="s">
        <v>12</v>
      </c>
      <c r="P1585" s="319">
        <f>P1568+P1583-SUM(L1583:L1596)-SUM(M1583:M1596)-SUM(N1583:N1596)</f>
        <v>6408.6299999999865</v>
      </c>
      <c r="Q1585" s="320">
        <f>Z1583+Z1588+Z1591</f>
        <v>0</v>
      </c>
      <c r="R1585" s="308" t="s">
        <v>383</v>
      </c>
      <c r="S1585" s="474"/>
      <c r="T1585" s="475"/>
      <c r="U1585" s="467"/>
      <c r="V1585" s="468"/>
      <c r="W1585" s="282" t="s">
        <v>373</v>
      </c>
      <c r="X1585" s="132"/>
      <c r="Y1585" s="144" t="s">
        <v>19</v>
      </c>
      <c r="Z1585" s="72"/>
    </row>
    <row r="1586" spans="3:26" ht="15.75" thickBot="1">
      <c r="C1586" s="15"/>
      <c r="D1586" s="462"/>
      <c r="E1586" s="463"/>
      <c r="F1586" s="6">
        <f t="shared" si="75"/>
        <v>150</v>
      </c>
      <c r="G1586" s="462" t="s">
        <v>6</v>
      </c>
      <c r="H1586" s="464"/>
      <c r="I1586" s="20">
        <f t="shared" si="76"/>
        <v>20</v>
      </c>
      <c r="J1586" s="462" t="s">
        <v>920</v>
      </c>
      <c r="K1586" s="464"/>
      <c r="L1586" s="76"/>
      <c r="M1586" s="25"/>
      <c r="N1586" s="20"/>
      <c r="O1586" s="140" t="s">
        <v>321</v>
      </c>
      <c r="P1586" s="132">
        <f>SUM(C1583:C1596)-SUM(F1583:F1596)-SUM(I1583:I1596)-P1589-P1592-P1595</f>
        <v>139.02999999999986</v>
      </c>
      <c r="Q1586" s="72">
        <f>Q1585-Q1568</f>
        <v>0</v>
      </c>
      <c r="R1586" s="308" t="s">
        <v>424</v>
      </c>
      <c r="S1586" s="474"/>
      <c r="T1586" s="475"/>
      <c r="U1586" s="467"/>
      <c r="V1586" s="468"/>
      <c r="W1586" s="282" t="s">
        <v>378</v>
      </c>
      <c r="X1586" s="132"/>
      <c r="Y1586" s="145" t="s">
        <v>324</v>
      </c>
      <c r="Z1586" s="135"/>
    </row>
    <row r="1587" spans="3:26" ht="15.75" thickBot="1">
      <c r="C1587" s="15"/>
      <c r="D1587" s="455"/>
      <c r="E1587" s="456"/>
      <c r="F1587" s="6">
        <f t="shared" si="75"/>
        <v>370</v>
      </c>
      <c r="G1587" s="462" t="s">
        <v>97</v>
      </c>
      <c r="H1587" s="464"/>
      <c r="I1587" s="20">
        <f t="shared" si="76"/>
        <v>11.9</v>
      </c>
      <c r="J1587" s="462" t="s">
        <v>249</v>
      </c>
      <c r="K1587" s="464"/>
      <c r="L1587" s="76"/>
      <c r="M1587" s="25"/>
      <c r="N1587" s="294"/>
      <c r="O1587" s="141" t="s">
        <v>322</v>
      </c>
      <c r="P1587" s="133">
        <f>P1586/29</f>
        <v>4.7941379310344781</v>
      </c>
      <c r="Q1587" s="10">
        <f>Q1586/29</f>
        <v>0</v>
      </c>
      <c r="R1587" s="143" t="s">
        <v>12</v>
      </c>
      <c r="S1587" s="476"/>
      <c r="T1587" s="477"/>
      <c r="U1587" s="478"/>
      <c r="V1587" s="479"/>
      <c r="W1587" s="289" t="s">
        <v>379</v>
      </c>
      <c r="X1587" s="132"/>
      <c r="Y1587" s="470" t="s">
        <v>14</v>
      </c>
      <c r="Z1587" s="471"/>
    </row>
    <row r="1588" spans="3:26" ht="15.75" thickBot="1">
      <c r="C1588" s="15"/>
      <c r="D1588" s="455"/>
      <c r="E1588" s="456"/>
      <c r="F1588" s="6">
        <f t="shared" si="75"/>
        <v>1860.75</v>
      </c>
      <c r="G1588" s="462" t="s">
        <v>304</v>
      </c>
      <c r="H1588" s="464"/>
      <c r="I1588" s="20">
        <f t="shared" si="76"/>
        <v>150</v>
      </c>
      <c r="J1588" s="462" t="s">
        <v>974</v>
      </c>
      <c r="K1588" s="464"/>
      <c r="L1588" s="76"/>
      <c r="M1588" s="25"/>
      <c r="N1588" s="294"/>
      <c r="O1588" s="136" t="s">
        <v>324</v>
      </c>
      <c r="P1588" s="319">
        <f>P1571+P1589</f>
        <v>8935</v>
      </c>
      <c r="Q1588" s="320">
        <f>Z1584+Z1585+Z1586</f>
        <v>0</v>
      </c>
      <c r="R1588" s="144" t="s">
        <v>425</v>
      </c>
      <c r="S1588" s="465"/>
      <c r="T1588" s="466"/>
      <c r="U1588" s="467"/>
      <c r="V1588" s="468"/>
      <c r="W1588" s="146" t="s">
        <v>375</v>
      </c>
      <c r="X1588" s="325"/>
      <c r="Y1588" s="143" t="s">
        <v>15</v>
      </c>
      <c r="Z1588" s="12"/>
    </row>
    <row r="1589" spans="3:26" ht="15.75" thickBot="1">
      <c r="C1589" s="15"/>
      <c r="D1589" s="462"/>
      <c r="E1589" s="463"/>
      <c r="F1589" s="6">
        <f t="shared" si="75"/>
        <v>70</v>
      </c>
      <c r="G1589" s="462" t="s">
        <v>982</v>
      </c>
      <c r="H1589" s="464"/>
      <c r="I1589" s="20">
        <f t="shared" si="76"/>
        <v>150</v>
      </c>
      <c r="J1589" s="462" t="s">
        <v>105</v>
      </c>
      <c r="K1589" s="464"/>
      <c r="L1589" s="76"/>
      <c r="M1589" s="25"/>
      <c r="N1589" s="294"/>
      <c r="O1589" s="140" t="s">
        <v>321</v>
      </c>
      <c r="P1589" s="132">
        <f>SUM(L1583:L1596)</f>
        <v>200</v>
      </c>
      <c r="Q1589" s="72">
        <f>Q1588-Q1571</f>
        <v>0</v>
      </c>
      <c r="R1589" s="144" t="s">
        <v>426</v>
      </c>
      <c r="S1589" s="465"/>
      <c r="T1589" s="466"/>
      <c r="U1589" s="467"/>
      <c r="V1589" s="468"/>
      <c r="W1589" s="470" t="s">
        <v>376</v>
      </c>
      <c r="X1589" s="471"/>
      <c r="Y1589" s="146" t="s">
        <v>325</v>
      </c>
      <c r="Z1589" s="10"/>
    </row>
    <row r="1590" spans="3:26" ht="16.5" thickTop="1" thickBot="1">
      <c r="C1590" s="15"/>
      <c r="D1590" s="462"/>
      <c r="E1590" s="463"/>
      <c r="F1590" s="6">
        <f t="shared" si="75"/>
        <v>50</v>
      </c>
      <c r="G1590" s="462" t="s">
        <v>926</v>
      </c>
      <c r="H1590" s="464"/>
      <c r="I1590" s="20">
        <f t="shared" si="76"/>
        <v>400</v>
      </c>
      <c r="J1590" s="462" t="s">
        <v>206</v>
      </c>
      <c r="K1590" s="464"/>
      <c r="L1590" s="76"/>
      <c r="M1590" s="25"/>
      <c r="N1590" s="292"/>
      <c r="O1590" s="141" t="s">
        <v>322</v>
      </c>
      <c r="P1590" s="133">
        <f>P1589/29</f>
        <v>6.8965517241379306</v>
      </c>
      <c r="Q1590" s="10">
        <f>Q1589/29</f>
        <v>0</v>
      </c>
      <c r="R1590" s="144" t="s">
        <v>422</v>
      </c>
      <c r="S1590" s="465"/>
      <c r="T1590" s="466"/>
      <c r="U1590" s="467"/>
      <c r="V1590" s="468"/>
      <c r="W1590" s="289" t="s">
        <v>12</v>
      </c>
      <c r="X1590" s="38"/>
      <c r="Y1590" s="470" t="s">
        <v>374</v>
      </c>
      <c r="Z1590" s="471"/>
    </row>
    <row r="1591" spans="3:26" ht="16.5" thickTop="1" thickBot="1">
      <c r="C1591" s="15"/>
      <c r="D1591" s="462"/>
      <c r="E1591" s="463"/>
      <c r="F1591" s="6">
        <f t="shared" si="75"/>
        <v>150</v>
      </c>
      <c r="G1591" s="462" t="s">
        <v>927</v>
      </c>
      <c r="H1591" s="464"/>
      <c r="I1591" s="20"/>
      <c r="J1591" s="462"/>
      <c r="K1591" s="464"/>
      <c r="L1591" s="76"/>
      <c r="M1591" s="25"/>
      <c r="N1591" s="293"/>
      <c r="O1591" s="136" t="s">
        <v>325</v>
      </c>
      <c r="P1591" s="319">
        <f>P1574+P1592</f>
        <v>6708.88</v>
      </c>
      <c r="Q1591" s="320">
        <f>Z1589</f>
        <v>0</v>
      </c>
      <c r="R1591" s="143" t="s">
        <v>421</v>
      </c>
      <c r="S1591" s="465"/>
      <c r="T1591" s="466"/>
      <c r="U1591" s="467"/>
      <c r="V1591" s="468"/>
      <c r="W1591" s="282" t="s">
        <v>373</v>
      </c>
      <c r="X1591" s="281"/>
      <c r="Y1591" s="321" t="s">
        <v>181</v>
      </c>
      <c r="Z1591" s="322">
        <v>0</v>
      </c>
    </row>
    <row r="1592" spans="3:26" ht="15.75" thickBot="1">
      <c r="C1592" s="266"/>
      <c r="D1592" s="448"/>
      <c r="E1592" s="469"/>
      <c r="F1592" s="6">
        <f t="shared" si="75"/>
        <v>150</v>
      </c>
      <c r="G1592" s="462" t="s">
        <v>925</v>
      </c>
      <c r="H1592" s="464"/>
      <c r="I1592" s="20"/>
      <c r="J1592" s="462"/>
      <c r="K1592" s="464"/>
      <c r="L1592" s="76"/>
      <c r="M1592" s="25"/>
      <c r="N1592" s="295"/>
      <c r="O1592" s="140" t="s">
        <v>321</v>
      </c>
      <c r="P1592" s="132">
        <f>SUM(M1583:M1596)</f>
        <v>150</v>
      </c>
      <c r="Q1592" s="72">
        <f>Q1591-Q1574</f>
        <v>0</v>
      </c>
      <c r="R1592" s="144" t="s">
        <v>418</v>
      </c>
      <c r="S1592" s="465"/>
      <c r="T1592" s="466"/>
      <c r="U1592" s="467"/>
      <c r="V1592" s="468"/>
      <c r="W1592" s="282" t="s">
        <v>378</v>
      </c>
      <c r="X1592" s="281"/>
      <c r="Y1592" s="470" t="s">
        <v>1000</v>
      </c>
      <c r="Z1592" s="471"/>
    </row>
    <row r="1593" spans="3:26" ht="16.5" thickTop="1" thickBot="1">
      <c r="C1593" s="266"/>
      <c r="D1593" s="448" t="s">
        <v>1001</v>
      </c>
      <c r="E1593" s="469"/>
      <c r="F1593" s="6">
        <f t="shared" si="75"/>
        <v>30</v>
      </c>
      <c r="G1593" s="462" t="s">
        <v>33</v>
      </c>
      <c r="H1593" s="464"/>
      <c r="I1593" s="20"/>
      <c r="J1593" s="462"/>
      <c r="K1593" s="464"/>
      <c r="L1593" s="76"/>
      <c r="M1593" s="25"/>
      <c r="N1593" s="293"/>
      <c r="O1593" s="141" t="s">
        <v>322</v>
      </c>
      <c r="P1593" s="133">
        <f>P1592/29</f>
        <v>5.1724137931034484</v>
      </c>
      <c r="Q1593" s="10">
        <f>Q1592/29</f>
        <v>0</v>
      </c>
      <c r="R1593" s="144" t="s">
        <v>438</v>
      </c>
      <c r="S1593" s="465"/>
      <c r="T1593" s="466"/>
      <c r="U1593" s="472"/>
      <c r="V1593" s="473"/>
      <c r="W1593" s="289" t="s">
        <v>379</v>
      </c>
      <c r="X1593" s="281"/>
      <c r="Y1593" s="143" t="s">
        <v>12</v>
      </c>
      <c r="Z1593" s="12"/>
    </row>
    <row r="1594" spans="3:26" ht="15.75" thickBot="1">
      <c r="C1594" s="15">
        <f>C1577</f>
        <v>4775.66</v>
      </c>
      <c r="D1594" s="455" t="s">
        <v>11</v>
      </c>
      <c r="E1594" s="456"/>
      <c r="F1594" s="15"/>
      <c r="G1594" s="462"/>
      <c r="H1594" s="464"/>
      <c r="I1594" s="20"/>
      <c r="J1594" s="462"/>
      <c r="K1594" s="464"/>
      <c r="L1594" s="76"/>
      <c r="M1594" s="25"/>
      <c r="N1594" s="295"/>
      <c r="O1594" s="136" t="s">
        <v>323</v>
      </c>
      <c r="P1594" s="319">
        <f>P1577+P1595</f>
        <v>18712.45730445853</v>
      </c>
      <c r="Q1594" s="320">
        <f>S1583+U1583</f>
        <v>0</v>
      </c>
      <c r="R1594" s="144" t="s">
        <v>380</v>
      </c>
      <c r="S1594" s="291">
        <f>S1585-S1586</f>
        <v>0</v>
      </c>
      <c r="T1594" s="327" t="e">
        <f>S1594/S1586</f>
        <v>#DIV/0!</v>
      </c>
      <c r="U1594" s="291">
        <f>U1585-U1586</f>
        <v>0</v>
      </c>
      <c r="V1594" s="329" t="e">
        <f>U1594/U1586</f>
        <v>#DIV/0!</v>
      </c>
      <c r="W1594" s="146" t="s">
        <v>375</v>
      </c>
      <c r="X1594" s="326"/>
      <c r="Y1594" s="144" t="s">
        <v>373</v>
      </c>
      <c r="Z1594" s="72"/>
    </row>
    <row r="1595" spans="3:26">
      <c r="C1595" s="15"/>
      <c r="D1595" s="455" t="s">
        <v>390</v>
      </c>
      <c r="E1595" s="456"/>
      <c r="F1595" s="15"/>
      <c r="G1595" s="457" t="s">
        <v>38</v>
      </c>
      <c r="H1595" s="458"/>
      <c r="I1595" s="20"/>
      <c r="J1595" s="457" t="s">
        <v>38</v>
      </c>
      <c r="K1595" s="458"/>
      <c r="L1595" s="76"/>
      <c r="M1595" s="25"/>
      <c r="N1595" s="293"/>
      <c r="O1595" s="140" t="s">
        <v>321</v>
      </c>
      <c r="P1595" s="132">
        <f>SUM(N1583:N1596)</f>
        <v>200</v>
      </c>
      <c r="Q1595" s="72">
        <f>Q1594-Q1577</f>
        <v>0</v>
      </c>
      <c r="R1595" s="144" t="s">
        <v>381</v>
      </c>
      <c r="S1595" s="291">
        <f>S1583-S1588</f>
        <v>0</v>
      </c>
      <c r="T1595" s="327" t="e">
        <f>S1595/S1588</f>
        <v>#DIV/0!</v>
      </c>
      <c r="U1595" s="291">
        <f>U1583-U1588</f>
        <v>0</v>
      </c>
      <c r="V1595" s="366" t="e">
        <f>U1595/ABS(U1588)</f>
        <v>#DIV/0!</v>
      </c>
      <c r="W1595" s="337" t="s">
        <v>410</v>
      </c>
      <c r="X1595" s="1" t="s">
        <v>558</v>
      </c>
      <c r="Y1595" s="144" t="s">
        <v>379</v>
      </c>
      <c r="Z1595" s="72"/>
    </row>
    <row r="1596" spans="3:26" ht="15.75" thickBot="1">
      <c r="C1596" s="17"/>
      <c r="D1596" s="459"/>
      <c r="E1596" s="460"/>
      <c r="F1596" s="17"/>
      <c r="G1596" s="459"/>
      <c r="H1596" s="461"/>
      <c r="I1596" s="21"/>
      <c r="J1596" s="459"/>
      <c r="K1596" s="461"/>
      <c r="L1596" s="42"/>
      <c r="M1596" s="5"/>
      <c r="N1596" s="21"/>
      <c r="O1596" s="137" t="s">
        <v>322</v>
      </c>
      <c r="P1596" s="138">
        <f>P1595/29</f>
        <v>6.8965517241379306</v>
      </c>
      <c r="Q1596" s="24">
        <f>Q1595/29</f>
        <v>0</v>
      </c>
      <c r="R1596" s="153" t="s">
        <v>410</v>
      </c>
      <c r="S1596" s="296">
        <f>S1594+S1595</f>
        <v>0</v>
      </c>
      <c r="T1596" s="328" t="e">
        <f>S1596/S1584</f>
        <v>#DIV/0!</v>
      </c>
      <c r="U1596" s="296">
        <f>U1595+U1594</f>
        <v>0</v>
      </c>
      <c r="V1596" s="330" t="e">
        <f>U1596/U1584</f>
        <v>#DIV/0!</v>
      </c>
      <c r="W1596" s="296">
        <f>S1596+U1596</f>
        <v>0</v>
      </c>
      <c r="X1596" s="330" t="e">
        <f>(W1596+S1584+U1584)/(S1584+U1584)-1</f>
        <v>#DIV/0!</v>
      </c>
      <c r="Y1596" s="153" t="s">
        <v>375</v>
      </c>
      <c r="Z1596" s="389"/>
    </row>
    <row r="1597" spans="3:26" ht="17.25" thickTop="1" thickBot="1">
      <c r="C1597" s="264">
        <v>47423</v>
      </c>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spans="3:26" ht="17.25" thickTop="1" thickBot="1">
      <c r="C1598" s="480" t="s">
        <v>386</v>
      </c>
      <c r="D1598" s="481"/>
      <c r="E1598" s="482"/>
      <c r="F1598" s="483" t="s">
        <v>387</v>
      </c>
      <c r="G1598" s="484"/>
      <c r="H1598" s="484"/>
      <c r="I1598" s="484"/>
      <c r="J1598" s="484"/>
      <c r="K1598" s="484"/>
      <c r="L1598" s="484"/>
      <c r="M1598" s="484"/>
      <c r="N1598" s="485"/>
      <c r="O1598" s="261" t="s">
        <v>320</v>
      </c>
      <c r="P1598" s="262" t="s">
        <v>257</v>
      </c>
      <c r="Q1598" s="263" t="s">
        <v>319</v>
      </c>
      <c r="R1598" s="486" t="s">
        <v>144</v>
      </c>
      <c r="S1598" s="487"/>
      <c r="T1598" s="487"/>
      <c r="U1598" s="487"/>
      <c r="V1598" s="487"/>
      <c r="W1598" s="487"/>
      <c r="X1598" s="487"/>
      <c r="Y1598" s="487"/>
      <c r="Z1598" s="488"/>
    </row>
    <row r="1599" spans="3:26" ht="15.75" thickBot="1">
      <c r="C1599" s="265"/>
      <c r="D1599" s="489"/>
      <c r="E1599" s="490"/>
      <c r="F1599" s="470" t="s">
        <v>3</v>
      </c>
      <c r="G1599" s="491"/>
      <c r="H1599" s="492"/>
      <c r="I1599" s="493" t="s">
        <v>4</v>
      </c>
      <c r="J1599" s="491"/>
      <c r="K1599" s="492"/>
      <c r="L1599" s="267" t="s">
        <v>324</v>
      </c>
      <c r="M1599" s="267" t="s">
        <v>325</v>
      </c>
      <c r="N1599" s="267" t="s">
        <v>323</v>
      </c>
      <c r="O1599" s="316" t="s">
        <v>5</v>
      </c>
      <c r="P1599" s="317">
        <f>P1602+P1605+P1608+P1611</f>
        <v>41453.99730445852</v>
      </c>
      <c r="Q1599" s="318">
        <f>Q1608+Q1605+Q1602+Q1611</f>
        <v>0</v>
      </c>
      <c r="R1599" s="268" t="s">
        <v>323</v>
      </c>
      <c r="S1599" s="493" t="s">
        <v>317</v>
      </c>
      <c r="T1599" s="492"/>
      <c r="U1599" s="493" t="s">
        <v>369</v>
      </c>
      <c r="V1599" s="471"/>
      <c r="W1599" s="470" t="s">
        <v>310</v>
      </c>
      <c r="X1599" s="471"/>
      <c r="Y1599" s="470" t="s">
        <v>13</v>
      </c>
      <c r="Z1599" s="471"/>
    </row>
    <row r="1600" spans="3:26" ht="16.5" thickTop="1" thickBot="1">
      <c r="C1600" s="15"/>
      <c r="D1600" s="494"/>
      <c r="E1600" s="495"/>
      <c r="G1600" s="496"/>
      <c r="H1600" s="497"/>
      <c r="J1600" s="496"/>
      <c r="K1600" s="497"/>
      <c r="L1600" s="76"/>
      <c r="M1600" s="25"/>
      <c r="N1600" s="292"/>
      <c r="O1600" s="258" t="s">
        <v>321</v>
      </c>
      <c r="P1600" s="315">
        <f>SUM(C1600:C1613)-SUM(F1600:F1613)-SUM(I1600:I1613)</f>
        <v>689.02999999999986</v>
      </c>
      <c r="Q1600" s="12">
        <f>Q1599-Q1582</f>
        <v>0</v>
      </c>
      <c r="R1600" s="307" t="s">
        <v>343</v>
      </c>
      <c r="S1600" s="498"/>
      <c r="T1600" s="499"/>
      <c r="U1600" s="498"/>
      <c r="V1600" s="500"/>
      <c r="W1600" s="501" t="s">
        <v>326</v>
      </c>
      <c r="X1600" s="502"/>
      <c r="Y1600" s="143" t="s">
        <v>17</v>
      </c>
      <c r="Z1600" s="12"/>
    </row>
    <row r="1601" spans="3:26" ht="16.5" thickTop="1" thickBot="1">
      <c r="C1601" s="15"/>
      <c r="D1601" s="455" t="s">
        <v>11</v>
      </c>
      <c r="E1601" s="456"/>
      <c r="F1601" s="6">
        <f>F1584</f>
        <v>400</v>
      </c>
      <c r="G1601" s="462" t="s">
        <v>223</v>
      </c>
      <c r="H1601" s="464"/>
      <c r="I1601" s="20">
        <f>I1584</f>
        <v>11.99</v>
      </c>
      <c r="J1601" s="462" t="s">
        <v>385</v>
      </c>
      <c r="K1601" s="464"/>
      <c r="L1601" s="76">
        <f>L1584</f>
        <v>200</v>
      </c>
      <c r="M1601" s="76">
        <f>M1584</f>
        <v>150</v>
      </c>
      <c r="N1601" s="76">
        <f>N1584</f>
        <v>200</v>
      </c>
      <c r="O1601" s="141" t="s">
        <v>322</v>
      </c>
      <c r="P1601" s="133">
        <f>P1600/29</f>
        <v>23.759655172413787</v>
      </c>
      <c r="Q1601" s="10">
        <f>Q1600/29</f>
        <v>0</v>
      </c>
      <c r="R1601" s="308" t="s">
        <v>382</v>
      </c>
      <c r="S1601" s="474"/>
      <c r="T1601" s="475"/>
      <c r="U1601" s="467"/>
      <c r="V1601" s="468"/>
      <c r="W1601" s="289" t="s">
        <v>12</v>
      </c>
      <c r="X1601" s="315"/>
      <c r="Y1601" s="144" t="s">
        <v>18</v>
      </c>
      <c r="Z1601" s="72"/>
    </row>
    <row r="1602" spans="3:26">
      <c r="C1602" s="15"/>
      <c r="D1602" s="455" t="s">
        <v>390</v>
      </c>
      <c r="E1602" s="456"/>
      <c r="F1602" s="6">
        <f t="shared" ref="F1602:F1610" si="77">F1585</f>
        <v>100</v>
      </c>
      <c r="G1602" s="462" t="s">
        <v>9</v>
      </c>
      <c r="H1602" s="464"/>
      <c r="I1602" s="20">
        <f t="shared" ref="I1602:I1607" si="78">I1585</f>
        <v>11.99</v>
      </c>
      <c r="J1602" s="462" t="s">
        <v>22</v>
      </c>
      <c r="K1602" s="464"/>
      <c r="L1602" s="76"/>
      <c r="M1602" s="25"/>
      <c r="N1602" s="294"/>
      <c r="O1602" s="136" t="s">
        <v>12</v>
      </c>
      <c r="P1602" s="319">
        <f>P1585+P1600-SUM(L1600:L1613)-SUM(M1600:M1613)-SUM(N1600:N1613)</f>
        <v>6547.6599999999862</v>
      </c>
      <c r="Q1602" s="320">
        <f>Z1600+Z1605+Z1608</f>
        <v>0</v>
      </c>
      <c r="R1602" s="308" t="s">
        <v>383</v>
      </c>
      <c r="S1602" s="474"/>
      <c r="T1602" s="475"/>
      <c r="U1602" s="467"/>
      <c r="V1602" s="468"/>
      <c r="W1602" s="282" t="s">
        <v>373</v>
      </c>
      <c r="X1602" s="132"/>
      <c r="Y1602" s="144" t="s">
        <v>19</v>
      </c>
      <c r="Z1602" s="72"/>
    </row>
    <row r="1603" spans="3:26" ht="15.75" thickBot="1">
      <c r="C1603" s="15"/>
      <c r="D1603" s="462"/>
      <c r="E1603" s="463"/>
      <c r="F1603" s="6">
        <f t="shared" si="77"/>
        <v>150</v>
      </c>
      <c r="G1603" s="462" t="s">
        <v>6</v>
      </c>
      <c r="H1603" s="464"/>
      <c r="I1603" s="20">
        <f t="shared" si="78"/>
        <v>20</v>
      </c>
      <c r="J1603" s="462" t="s">
        <v>920</v>
      </c>
      <c r="K1603" s="464"/>
      <c r="L1603" s="76"/>
      <c r="M1603" s="25"/>
      <c r="N1603" s="20"/>
      <c r="O1603" s="140" t="s">
        <v>321</v>
      </c>
      <c r="P1603" s="132">
        <f>SUM(C1600:C1613)-SUM(F1600:F1613)-SUM(I1600:I1613)-P1606-P1609-P1612</f>
        <v>139.02999999999986</v>
      </c>
      <c r="Q1603" s="72">
        <f>Q1602-Q1585</f>
        <v>0</v>
      </c>
      <c r="R1603" s="308" t="s">
        <v>424</v>
      </c>
      <c r="S1603" s="474"/>
      <c r="T1603" s="475"/>
      <c r="U1603" s="467"/>
      <c r="V1603" s="468"/>
      <c r="W1603" s="282" t="s">
        <v>378</v>
      </c>
      <c r="X1603" s="132"/>
      <c r="Y1603" s="145" t="s">
        <v>324</v>
      </c>
      <c r="Z1603" s="135"/>
    </row>
    <row r="1604" spans="3:26" ht="15.75" thickBot="1">
      <c r="C1604" s="15"/>
      <c r="D1604" s="455"/>
      <c r="E1604" s="456"/>
      <c r="F1604" s="6">
        <f t="shared" si="77"/>
        <v>370</v>
      </c>
      <c r="G1604" s="462" t="s">
        <v>97</v>
      </c>
      <c r="H1604" s="464"/>
      <c r="I1604" s="20">
        <f t="shared" si="78"/>
        <v>11.9</v>
      </c>
      <c r="J1604" s="462" t="s">
        <v>249</v>
      </c>
      <c r="K1604" s="464"/>
      <c r="L1604" s="76"/>
      <c r="M1604" s="25"/>
      <c r="N1604" s="294"/>
      <c r="O1604" s="141" t="s">
        <v>322</v>
      </c>
      <c r="P1604" s="133">
        <f>P1603/29</f>
        <v>4.7941379310344781</v>
      </c>
      <c r="Q1604" s="10">
        <f>Q1603/29</f>
        <v>0</v>
      </c>
      <c r="R1604" s="143" t="s">
        <v>12</v>
      </c>
      <c r="S1604" s="476"/>
      <c r="T1604" s="477"/>
      <c r="U1604" s="478"/>
      <c r="V1604" s="479"/>
      <c r="W1604" s="289" t="s">
        <v>379</v>
      </c>
      <c r="X1604" s="132"/>
      <c r="Y1604" s="470" t="s">
        <v>14</v>
      </c>
      <c r="Z1604" s="471"/>
    </row>
    <row r="1605" spans="3:26" ht="15.75" thickBot="1">
      <c r="C1605" s="15"/>
      <c r="D1605" s="455"/>
      <c r="E1605" s="456"/>
      <c r="F1605" s="6">
        <f t="shared" si="77"/>
        <v>1860.75</v>
      </c>
      <c r="G1605" s="462" t="s">
        <v>304</v>
      </c>
      <c r="H1605" s="464"/>
      <c r="I1605" s="20">
        <f t="shared" si="78"/>
        <v>150</v>
      </c>
      <c r="J1605" s="462" t="s">
        <v>974</v>
      </c>
      <c r="K1605" s="464"/>
      <c r="L1605" s="76"/>
      <c r="M1605" s="25"/>
      <c r="N1605" s="294"/>
      <c r="O1605" s="136" t="s">
        <v>324</v>
      </c>
      <c r="P1605" s="319">
        <f>P1588+P1606</f>
        <v>9135</v>
      </c>
      <c r="Q1605" s="320">
        <f>Z1601+Z1602+Z1603</f>
        <v>0</v>
      </c>
      <c r="R1605" s="144" t="s">
        <v>425</v>
      </c>
      <c r="S1605" s="465"/>
      <c r="T1605" s="466"/>
      <c r="U1605" s="467"/>
      <c r="V1605" s="468"/>
      <c r="W1605" s="146" t="s">
        <v>375</v>
      </c>
      <c r="X1605" s="325"/>
      <c r="Y1605" s="143" t="s">
        <v>15</v>
      </c>
      <c r="Z1605" s="12"/>
    </row>
    <row r="1606" spans="3:26" ht="15.75" thickBot="1">
      <c r="C1606" s="15"/>
      <c r="D1606" s="462"/>
      <c r="E1606" s="463"/>
      <c r="F1606" s="6">
        <f t="shared" si="77"/>
        <v>70</v>
      </c>
      <c r="G1606" s="462" t="s">
        <v>982</v>
      </c>
      <c r="H1606" s="464"/>
      <c r="I1606" s="20">
        <f t="shared" si="78"/>
        <v>150</v>
      </c>
      <c r="J1606" s="462" t="s">
        <v>105</v>
      </c>
      <c r="K1606" s="464"/>
      <c r="L1606" s="76"/>
      <c r="M1606" s="25"/>
      <c r="N1606" s="294"/>
      <c r="O1606" s="140" t="s">
        <v>321</v>
      </c>
      <c r="P1606" s="132">
        <f>SUM(L1600:L1613)</f>
        <v>200</v>
      </c>
      <c r="Q1606" s="72">
        <f>Q1605-Q1588</f>
        <v>0</v>
      </c>
      <c r="R1606" s="144" t="s">
        <v>426</v>
      </c>
      <c r="S1606" s="465"/>
      <c r="T1606" s="466"/>
      <c r="U1606" s="467"/>
      <c r="V1606" s="468"/>
      <c r="W1606" s="470" t="s">
        <v>376</v>
      </c>
      <c r="X1606" s="471"/>
      <c r="Y1606" s="146" t="s">
        <v>325</v>
      </c>
      <c r="Z1606" s="10"/>
    </row>
    <row r="1607" spans="3:26" ht="16.5" thickTop="1" thickBot="1">
      <c r="C1607" s="15"/>
      <c r="D1607" s="462"/>
      <c r="E1607" s="463"/>
      <c r="F1607" s="6">
        <f t="shared" si="77"/>
        <v>50</v>
      </c>
      <c r="G1607" s="462" t="s">
        <v>926</v>
      </c>
      <c r="H1607" s="464"/>
      <c r="I1607" s="20">
        <f t="shared" si="78"/>
        <v>400</v>
      </c>
      <c r="J1607" s="462" t="s">
        <v>206</v>
      </c>
      <c r="K1607" s="464"/>
      <c r="L1607" s="76"/>
      <c r="M1607" s="25"/>
      <c r="N1607" s="292"/>
      <c r="O1607" s="141" t="s">
        <v>322</v>
      </c>
      <c r="P1607" s="133">
        <f>P1606/29</f>
        <v>6.8965517241379306</v>
      </c>
      <c r="Q1607" s="10">
        <f>Q1606/29</f>
        <v>0</v>
      </c>
      <c r="R1607" s="144" t="s">
        <v>422</v>
      </c>
      <c r="S1607" s="465"/>
      <c r="T1607" s="466"/>
      <c r="U1607" s="467"/>
      <c r="V1607" s="468"/>
      <c r="W1607" s="289" t="s">
        <v>12</v>
      </c>
      <c r="X1607" s="38"/>
      <c r="Y1607" s="470" t="s">
        <v>374</v>
      </c>
      <c r="Z1607" s="471"/>
    </row>
    <row r="1608" spans="3:26" ht="16.5" thickTop="1" thickBot="1">
      <c r="C1608" s="15"/>
      <c r="D1608" s="462"/>
      <c r="E1608" s="463"/>
      <c r="F1608" s="6">
        <f t="shared" si="77"/>
        <v>150</v>
      </c>
      <c r="G1608" s="462" t="s">
        <v>927</v>
      </c>
      <c r="H1608" s="464"/>
      <c r="I1608" s="20"/>
      <c r="J1608" s="462"/>
      <c r="K1608" s="464"/>
      <c r="L1608" s="76"/>
      <c r="M1608" s="25"/>
      <c r="N1608" s="293"/>
      <c r="O1608" s="136" t="s">
        <v>325</v>
      </c>
      <c r="P1608" s="319">
        <f>P1591+P1609</f>
        <v>6858.88</v>
      </c>
      <c r="Q1608" s="320">
        <f>Z1606</f>
        <v>0</v>
      </c>
      <c r="R1608" s="143" t="s">
        <v>421</v>
      </c>
      <c r="S1608" s="465"/>
      <c r="T1608" s="466"/>
      <c r="U1608" s="467"/>
      <c r="V1608" s="468"/>
      <c r="W1608" s="282" t="s">
        <v>373</v>
      </c>
      <c r="X1608" s="281"/>
      <c r="Y1608" s="321" t="s">
        <v>181</v>
      </c>
      <c r="Z1608" s="322">
        <v>0</v>
      </c>
    </row>
    <row r="1609" spans="3:26" ht="15.75" thickBot="1">
      <c r="C1609" s="266"/>
      <c r="D1609" s="448"/>
      <c r="E1609" s="469"/>
      <c r="F1609" s="6">
        <f t="shared" si="77"/>
        <v>150</v>
      </c>
      <c r="G1609" s="462" t="s">
        <v>925</v>
      </c>
      <c r="H1609" s="464"/>
      <c r="I1609" s="20"/>
      <c r="J1609" s="462"/>
      <c r="K1609" s="464"/>
      <c r="L1609" s="76"/>
      <c r="M1609" s="25"/>
      <c r="N1609" s="295"/>
      <c r="O1609" s="140" t="s">
        <v>321</v>
      </c>
      <c r="P1609" s="132">
        <f>SUM(M1600:M1613)</f>
        <v>150</v>
      </c>
      <c r="Q1609" s="72">
        <f>Q1608-Q1591</f>
        <v>0</v>
      </c>
      <c r="R1609" s="144" t="s">
        <v>418</v>
      </c>
      <c r="S1609" s="465"/>
      <c r="T1609" s="466"/>
      <c r="U1609" s="467"/>
      <c r="V1609" s="468"/>
      <c r="W1609" s="282" t="s">
        <v>378</v>
      </c>
      <c r="X1609" s="281"/>
      <c r="Y1609" s="470" t="s">
        <v>1000</v>
      </c>
      <c r="Z1609" s="471"/>
    </row>
    <row r="1610" spans="3:26" ht="16.5" thickTop="1" thickBot="1">
      <c r="C1610" s="266"/>
      <c r="D1610" s="448" t="s">
        <v>1001</v>
      </c>
      <c r="E1610" s="469"/>
      <c r="F1610" s="6">
        <f t="shared" si="77"/>
        <v>30</v>
      </c>
      <c r="G1610" s="462" t="s">
        <v>33</v>
      </c>
      <c r="H1610" s="464"/>
      <c r="I1610" s="20"/>
      <c r="J1610" s="462"/>
      <c r="K1610" s="464"/>
      <c r="L1610" s="76"/>
      <c r="M1610" s="25"/>
      <c r="N1610" s="293"/>
      <c r="O1610" s="141" t="s">
        <v>322</v>
      </c>
      <c r="P1610" s="133">
        <f>P1609/29</f>
        <v>5.1724137931034484</v>
      </c>
      <c r="Q1610" s="10">
        <f>Q1609/29</f>
        <v>0</v>
      </c>
      <c r="R1610" s="144" t="s">
        <v>438</v>
      </c>
      <c r="S1610" s="465"/>
      <c r="T1610" s="466"/>
      <c r="U1610" s="472"/>
      <c r="V1610" s="473"/>
      <c r="W1610" s="289" t="s">
        <v>379</v>
      </c>
      <c r="X1610" s="281"/>
      <c r="Y1610" s="143" t="s">
        <v>12</v>
      </c>
      <c r="Z1610" s="12"/>
    </row>
    <row r="1611" spans="3:26" ht="15.75" thickBot="1">
      <c r="C1611" s="15">
        <f>C1594</f>
        <v>4775.66</v>
      </c>
      <c r="D1611" s="455" t="s">
        <v>11</v>
      </c>
      <c r="E1611" s="456"/>
      <c r="F1611" s="15"/>
      <c r="G1611" s="462"/>
      <c r="H1611" s="464"/>
      <c r="I1611" s="20"/>
      <c r="J1611" s="462"/>
      <c r="K1611" s="464"/>
      <c r="L1611" s="76"/>
      <c r="M1611" s="25"/>
      <c r="N1611" s="295"/>
      <c r="O1611" s="136" t="s">
        <v>323</v>
      </c>
      <c r="P1611" s="319">
        <f>P1594+P1612</f>
        <v>18912.45730445853</v>
      </c>
      <c r="Q1611" s="320">
        <f>S1600+U1600</f>
        <v>0</v>
      </c>
      <c r="R1611" s="144" t="s">
        <v>380</v>
      </c>
      <c r="S1611" s="291">
        <f>S1602-S1603</f>
        <v>0</v>
      </c>
      <c r="T1611" s="327" t="e">
        <f>S1611/S1603</f>
        <v>#DIV/0!</v>
      </c>
      <c r="U1611" s="291">
        <f>U1602-U1603</f>
        <v>0</v>
      </c>
      <c r="V1611" s="329" t="e">
        <f>U1611/U1603</f>
        <v>#DIV/0!</v>
      </c>
      <c r="W1611" s="146" t="s">
        <v>375</v>
      </c>
      <c r="X1611" s="326"/>
      <c r="Y1611" s="144" t="s">
        <v>373</v>
      </c>
      <c r="Z1611" s="72"/>
    </row>
    <row r="1612" spans="3:26">
      <c r="C1612" s="15"/>
      <c r="D1612" s="455" t="s">
        <v>390</v>
      </c>
      <c r="E1612" s="456"/>
      <c r="F1612" s="15"/>
      <c r="G1612" s="457" t="s">
        <v>38</v>
      </c>
      <c r="H1612" s="458"/>
      <c r="I1612" s="20"/>
      <c r="J1612" s="457" t="s">
        <v>38</v>
      </c>
      <c r="K1612" s="458"/>
      <c r="L1612" s="76"/>
      <c r="M1612" s="25"/>
      <c r="N1612" s="293"/>
      <c r="O1612" s="140" t="s">
        <v>321</v>
      </c>
      <c r="P1612" s="132">
        <f>SUM(N1600:N1613)</f>
        <v>200</v>
      </c>
      <c r="Q1612" s="72">
        <f>Q1611-Q1594</f>
        <v>0</v>
      </c>
      <c r="R1612" s="144" t="s">
        <v>381</v>
      </c>
      <c r="S1612" s="291">
        <f>S1600-S1605</f>
        <v>0</v>
      </c>
      <c r="T1612" s="327" t="e">
        <f>S1612/S1605</f>
        <v>#DIV/0!</v>
      </c>
      <c r="U1612" s="291">
        <f>U1600-U1605</f>
        <v>0</v>
      </c>
      <c r="V1612" s="366" t="e">
        <f>U1612/ABS(U1605)</f>
        <v>#DIV/0!</v>
      </c>
      <c r="W1612" s="337" t="s">
        <v>410</v>
      </c>
      <c r="X1612" s="1" t="s">
        <v>558</v>
      </c>
      <c r="Y1612" s="144" t="s">
        <v>379</v>
      </c>
      <c r="Z1612" s="72"/>
    </row>
    <row r="1613" spans="3:26" ht="15.75" thickBot="1">
      <c r="C1613" s="17"/>
      <c r="D1613" s="459"/>
      <c r="E1613" s="460"/>
      <c r="F1613" s="17"/>
      <c r="G1613" s="459"/>
      <c r="H1613" s="461"/>
      <c r="I1613" s="21"/>
      <c r="J1613" s="459"/>
      <c r="K1613" s="461"/>
      <c r="L1613" s="42"/>
      <c r="M1613" s="5"/>
      <c r="N1613" s="21"/>
      <c r="O1613" s="137" t="s">
        <v>322</v>
      </c>
      <c r="P1613" s="138">
        <f>P1612/29</f>
        <v>6.8965517241379306</v>
      </c>
      <c r="Q1613" s="24">
        <f>Q1612/29</f>
        <v>0</v>
      </c>
      <c r="R1613" s="153" t="s">
        <v>410</v>
      </c>
      <c r="S1613" s="296">
        <f>S1611+S1612</f>
        <v>0</v>
      </c>
      <c r="T1613" s="328" t="e">
        <f>S1613/S1601</f>
        <v>#DIV/0!</v>
      </c>
      <c r="U1613" s="296">
        <f>U1612+U1611</f>
        <v>0</v>
      </c>
      <c r="V1613" s="330" t="e">
        <f>U1613/U1601</f>
        <v>#DIV/0!</v>
      </c>
      <c r="W1613" s="296">
        <f>S1613+U1613</f>
        <v>0</v>
      </c>
      <c r="X1613" s="330" t="e">
        <f>(W1613+S1601+U1601)/(S1601+U1601)-1</f>
        <v>#DIV/0!</v>
      </c>
      <c r="Y1613" s="153" t="s">
        <v>375</v>
      </c>
      <c r="Z1613" s="389"/>
    </row>
    <row r="1614" spans="3:26" ht="17.25" thickTop="1" thickBot="1">
      <c r="C1614" s="264">
        <v>47453</v>
      </c>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spans="3:26" ht="17.25" thickTop="1" thickBot="1">
      <c r="C1615" s="480" t="s">
        <v>386</v>
      </c>
      <c r="D1615" s="481"/>
      <c r="E1615" s="482"/>
      <c r="F1615" s="483" t="s">
        <v>387</v>
      </c>
      <c r="G1615" s="484"/>
      <c r="H1615" s="484"/>
      <c r="I1615" s="484"/>
      <c r="J1615" s="484"/>
      <c r="K1615" s="484"/>
      <c r="L1615" s="484"/>
      <c r="M1615" s="484"/>
      <c r="N1615" s="485"/>
      <c r="O1615" s="261" t="s">
        <v>320</v>
      </c>
      <c r="P1615" s="262" t="s">
        <v>257</v>
      </c>
      <c r="Q1615" s="263" t="s">
        <v>319</v>
      </c>
      <c r="R1615" s="486" t="s">
        <v>144</v>
      </c>
      <c r="S1615" s="487"/>
      <c r="T1615" s="487"/>
      <c r="U1615" s="487"/>
      <c r="V1615" s="487"/>
      <c r="W1615" s="487"/>
      <c r="X1615" s="487"/>
      <c r="Y1615" s="487"/>
      <c r="Z1615" s="488"/>
    </row>
    <row r="1616" spans="3:26" ht="15.75" thickBot="1">
      <c r="C1616" s="265"/>
      <c r="D1616" s="489"/>
      <c r="E1616" s="490"/>
      <c r="F1616" s="470" t="s">
        <v>3</v>
      </c>
      <c r="G1616" s="491"/>
      <c r="H1616" s="492"/>
      <c r="I1616" s="493" t="s">
        <v>4</v>
      </c>
      <c r="J1616" s="491"/>
      <c r="K1616" s="492"/>
      <c r="L1616" s="267" t="s">
        <v>324</v>
      </c>
      <c r="M1616" s="267" t="s">
        <v>325</v>
      </c>
      <c r="N1616" s="267" t="s">
        <v>323</v>
      </c>
      <c r="O1616" s="316" t="s">
        <v>5</v>
      </c>
      <c r="P1616" s="317">
        <f>P1619+P1622+P1625+P1628</f>
        <v>42143.027304458519</v>
      </c>
      <c r="Q1616" s="318">
        <f>Q1625+Q1622+Q1619+Q1628</f>
        <v>0</v>
      </c>
      <c r="R1616" s="268" t="s">
        <v>323</v>
      </c>
      <c r="S1616" s="493" t="s">
        <v>317</v>
      </c>
      <c r="T1616" s="492"/>
      <c r="U1616" s="493" t="s">
        <v>369</v>
      </c>
      <c r="V1616" s="471"/>
      <c r="W1616" s="470" t="s">
        <v>310</v>
      </c>
      <c r="X1616" s="471"/>
      <c r="Y1616" s="470" t="s">
        <v>13</v>
      </c>
      <c r="Z1616" s="471"/>
    </row>
    <row r="1617" spans="3:26" ht="16.5" thickTop="1" thickBot="1">
      <c r="C1617" s="15"/>
      <c r="D1617" s="494"/>
      <c r="E1617" s="495"/>
      <c r="G1617" s="496"/>
      <c r="H1617" s="497"/>
      <c r="J1617" s="496"/>
      <c r="K1617" s="497"/>
      <c r="L1617" s="76"/>
      <c r="M1617" s="25"/>
      <c r="N1617" s="292"/>
      <c r="O1617" s="258" t="s">
        <v>321</v>
      </c>
      <c r="P1617" s="315">
        <f>SUM(C1617:C1630)-SUM(F1617:F1630)-SUM(I1617:I1630)</f>
        <v>689.02999999999986</v>
      </c>
      <c r="Q1617" s="12">
        <f>Q1616-Q1599</f>
        <v>0</v>
      </c>
      <c r="R1617" s="307" t="s">
        <v>343</v>
      </c>
      <c r="S1617" s="498"/>
      <c r="T1617" s="499"/>
      <c r="U1617" s="498"/>
      <c r="V1617" s="500"/>
      <c r="W1617" s="501" t="s">
        <v>326</v>
      </c>
      <c r="X1617" s="502"/>
      <c r="Y1617" s="143" t="s">
        <v>17</v>
      </c>
      <c r="Z1617" s="12"/>
    </row>
    <row r="1618" spans="3:26" ht="16.5" thickTop="1" thickBot="1">
      <c r="C1618" s="15"/>
      <c r="D1618" s="455" t="s">
        <v>11</v>
      </c>
      <c r="E1618" s="456"/>
      <c r="F1618" s="6">
        <f>F1601</f>
        <v>400</v>
      </c>
      <c r="G1618" s="462" t="s">
        <v>223</v>
      </c>
      <c r="H1618" s="464"/>
      <c r="I1618" s="20">
        <f>I1601</f>
        <v>11.99</v>
      </c>
      <c r="J1618" s="462" t="s">
        <v>385</v>
      </c>
      <c r="K1618" s="464"/>
      <c r="L1618" s="76">
        <f>L1601</f>
        <v>200</v>
      </c>
      <c r="M1618" s="76">
        <f>M1601</f>
        <v>150</v>
      </c>
      <c r="N1618" s="76">
        <f>N1601</f>
        <v>200</v>
      </c>
      <c r="O1618" s="141" t="s">
        <v>322</v>
      </c>
      <c r="P1618" s="133">
        <f>P1617/29</f>
        <v>23.759655172413787</v>
      </c>
      <c r="Q1618" s="10">
        <f>Q1617/29</f>
        <v>0</v>
      </c>
      <c r="R1618" s="308" t="s">
        <v>382</v>
      </c>
      <c r="S1618" s="474"/>
      <c r="T1618" s="475"/>
      <c r="U1618" s="467"/>
      <c r="V1618" s="468"/>
      <c r="W1618" s="289" t="s">
        <v>12</v>
      </c>
      <c r="X1618" s="315"/>
      <c r="Y1618" s="144" t="s">
        <v>18</v>
      </c>
      <c r="Z1618" s="72"/>
    </row>
    <row r="1619" spans="3:26">
      <c r="C1619" s="15"/>
      <c r="D1619" s="455" t="s">
        <v>390</v>
      </c>
      <c r="E1619" s="456"/>
      <c r="F1619" s="6">
        <f t="shared" ref="F1619:F1627" si="79">F1602</f>
        <v>100</v>
      </c>
      <c r="G1619" s="462" t="s">
        <v>9</v>
      </c>
      <c r="H1619" s="464"/>
      <c r="I1619" s="20">
        <f t="shared" ref="I1619:I1624" si="80">I1602</f>
        <v>11.99</v>
      </c>
      <c r="J1619" s="462" t="s">
        <v>22</v>
      </c>
      <c r="K1619" s="464"/>
      <c r="L1619" s="76"/>
      <c r="M1619" s="25"/>
      <c r="N1619" s="294"/>
      <c r="O1619" s="136" t="s">
        <v>12</v>
      </c>
      <c r="P1619" s="319">
        <f>P1602+P1617-SUM(L1617:L1630)-SUM(M1617:M1630)-SUM(N1617:N1630)</f>
        <v>6686.689999999986</v>
      </c>
      <c r="Q1619" s="320">
        <f>Z1617+Z1622+Z1625</f>
        <v>0</v>
      </c>
      <c r="R1619" s="308" t="s">
        <v>383</v>
      </c>
      <c r="S1619" s="474"/>
      <c r="T1619" s="475"/>
      <c r="U1619" s="467"/>
      <c r="V1619" s="468"/>
      <c r="W1619" s="282" t="s">
        <v>373</v>
      </c>
      <c r="X1619" s="132"/>
      <c r="Y1619" s="144" t="s">
        <v>19</v>
      </c>
      <c r="Z1619" s="72"/>
    </row>
    <row r="1620" spans="3:26" ht="15.75" thickBot="1">
      <c r="C1620" s="15"/>
      <c r="D1620" s="462"/>
      <c r="E1620" s="463"/>
      <c r="F1620" s="6">
        <f t="shared" si="79"/>
        <v>150</v>
      </c>
      <c r="G1620" s="462" t="s">
        <v>6</v>
      </c>
      <c r="H1620" s="464"/>
      <c r="I1620" s="20">
        <f t="shared" si="80"/>
        <v>20</v>
      </c>
      <c r="J1620" s="462" t="s">
        <v>920</v>
      </c>
      <c r="K1620" s="464"/>
      <c r="L1620" s="76"/>
      <c r="M1620" s="25"/>
      <c r="N1620" s="20"/>
      <c r="O1620" s="140" t="s">
        <v>321</v>
      </c>
      <c r="P1620" s="132">
        <f>SUM(C1617:C1630)-SUM(F1617:F1630)-SUM(I1617:I1630)-P1623-P1626-P1629</f>
        <v>139.02999999999986</v>
      </c>
      <c r="Q1620" s="72">
        <f>Q1619-Q1602</f>
        <v>0</v>
      </c>
      <c r="R1620" s="308" t="s">
        <v>424</v>
      </c>
      <c r="S1620" s="474"/>
      <c r="T1620" s="475"/>
      <c r="U1620" s="467"/>
      <c r="V1620" s="468"/>
      <c r="W1620" s="282" t="s">
        <v>378</v>
      </c>
      <c r="X1620" s="132"/>
      <c r="Y1620" s="145" t="s">
        <v>324</v>
      </c>
      <c r="Z1620" s="135"/>
    </row>
    <row r="1621" spans="3:26" ht="15.75" thickBot="1">
      <c r="C1621" s="15"/>
      <c r="D1621" s="455"/>
      <c r="E1621" s="456"/>
      <c r="F1621" s="6">
        <f t="shared" si="79"/>
        <v>370</v>
      </c>
      <c r="G1621" s="462" t="s">
        <v>97</v>
      </c>
      <c r="H1621" s="464"/>
      <c r="I1621" s="20">
        <f t="shared" si="80"/>
        <v>11.9</v>
      </c>
      <c r="J1621" s="462" t="s">
        <v>249</v>
      </c>
      <c r="K1621" s="464"/>
      <c r="L1621" s="76"/>
      <c r="M1621" s="25"/>
      <c r="N1621" s="294"/>
      <c r="O1621" s="141" t="s">
        <v>322</v>
      </c>
      <c r="P1621" s="133">
        <f>P1620/29</f>
        <v>4.7941379310344781</v>
      </c>
      <c r="Q1621" s="10">
        <f>Q1620/29</f>
        <v>0</v>
      </c>
      <c r="R1621" s="143" t="s">
        <v>12</v>
      </c>
      <c r="S1621" s="476"/>
      <c r="T1621" s="477"/>
      <c r="U1621" s="478"/>
      <c r="V1621" s="479"/>
      <c r="W1621" s="289" t="s">
        <v>379</v>
      </c>
      <c r="X1621" s="132"/>
      <c r="Y1621" s="470" t="s">
        <v>14</v>
      </c>
      <c r="Z1621" s="471"/>
    </row>
    <row r="1622" spans="3:26" ht="15.75" thickBot="1">
      <c r="C1622" s="15"/>
      <c r="D1622" s="455"/>
      <c r="E1622" s="456"/>
      <c r="F1622" s="6">
        <f t="shared" si="79"/>
        <v>1860.75</v>
      </c>
      <c r="G1622" s="462" t="s">
        <v>304</v>
      </c>
      <c r="H1622" s="464"/>
      <c r="I1622" s="20">
        <f t="shared" si="80"/>
        <v>150</v>
      </c>
      <c r="J1622" s="462" t="s">
        <v>974</v>
      </c>
      <c r="K1622" s="464"/>
      <c r="L1622" s="76"/>
      <c r="M1622" s="25"/>
      <c r="N1622" s="294"/>
      <c r="O1622" s="136" t="s">
        <v>324</v>
      </c>
      <c r="P1622" s="319">
        <f>P1605+P1623</f>
        <v>9335</v>
      </c>
      <c r="Q1622" s="320">
        <f>Z1618+Z1619+Z1620</f>
        <v>0</v>
      </c>
      <c r="R1622" s="144" t="s">
        <v>425</v>
      </c>
      <c r="S1622" s="465"/>
      <c r="T1622" s="466"/>
      <c r="U1622" s="467"/>
      <c r="V1622" s="468"/>
      <c r="W1622" s="146" t="s">
        <v>375</v>
      </c>
      <c r="X1622" s="325"/>
      <c r="Y1622" s="143" t="s">
        <v>15</v>
      </c>
      <c r="Z1622" s="12"/>
    </row>
    <row r="1623" spans="3:26" ht="15.75" thickBot="1">
      <c r="C1623" s="15"/>
      <c r="D1623" s="462"/>
      <c r="E1623" s="463"/>
      <c r="F1623" s="6">
        <f t="shared" si="79"/>
        <v>70</v>
      </c>
      <c r="G1623" s="462" t="s">
        <v>982</v>
      </c>
      <c r="H1623" s="464"/>
      <c r="I1623" s="20">
        <f t="shared" si="80"/>
        <v>150</v>
      </c>
      <c r="J1623" s="462" t="s">
        <v>105</v>
      </c>
      <c r="K1623" s="464"/>
      <c r="L1623" s="76"/>
      <c r="M1623" s="25"/>
      <c r="N1623" s="294"/>
      <c r="O1623" s="140" t="s">
        <v>321</v>
      </c>
      <c r="P1623" s="132">
        <f>SUM(L1617:L1630)</f>
        <v>200</v>
      </c>
      <c r="Q1623" s="72">
        <f>Q1622-Q1605</f>
        <v>0</v>
      </c>
      <c r="R1623" s="144" t="s">
        <v>426</v>
      </c>
      <c r="S1623" s="465"/>
      <c r="T1623" s="466"/>
      <c r="U1623" s="467"/>
      <c r="V1623" s="468"/>
      <c r="W1623" s="470" t="s">
        <v>376</v>
      </c>
      <c r="X1623" s="471"/>
      <c r="Y1623" s="146" t="s">
        <v>325</v>
      </c>
      <c r="Z1623" s="10"/>
    </row>
    <row r="1624" spans="3:26" ht="16.5" thickTop="1" thickBot="1">
      <c r="C1624" s="15"/>
      <c r="D1624" s="462"/>
      <c r="E1624" s="463"/>
      <c r="F1624" s="6">
        <f t="shared" si="79"/>
        <v>50</v>
      </c>
      <c r="G1624" s="462" t="s">
        <v>926</v>
      </c>
      <c r="H1624" s="464"/>
      <c r="I1624" s="20">
        <f t="shared" si="80"/>
        <v>400</v>
      </c>
      <c r="J1624" s="462" t="s">
        <v>206</v>
      </c>
      <c r="K1624" s="464"/>
      <c r="L1624" s="76"/>
      <c r="M1624" s="25"/>
      <c r="N1624" s="292"/>
      <c r="O1624" s="141" t="s">
        <v>322</v>
      </c>
      <c r="P1624" s="133">
        <f>P1623/29</f>
        <v>6.8965517241379306</v>
      </c>
      <c r="Q1624" s="10">
        <f>Q1623/29</f>
        <v>0</v>
      </c>
      <c r="R1624" s="144" t="s">
        <v>422</v>
      </c>
      <c r="S1624" s="465"/>
      <c r="T1624" s="466"/>
      <c r="U1624" s="467"/>
      <c r="V1624" s="468"/>
      <c r="W1624" s="289" t="s">
        <v>12</v>
      </c>
      <c r="X1624" s="38"/>
      <c r="Y1624" s="470" t="s">
        <v>374</v>
      </c>
      <c r="Z1624" s="471"/>
    </row>
    <row r="1625" spans="3:26" ht="16.5" thickTop="1" thickBot="1">
      <c r="C1625" s="15"/>
      <c r="D1625" s="462"/>
      <c r="E1625" s="463"/>
      <c r="F1625" s="6">
        <f t="shared" si="79"/>
        <v>150</v>
      </c>
      <c r="G1625" s="462" t="s">
        <v>927</v>
      </c>
      <c r="H1625" s="464"/>
      <c r="I1625" s="20"/>
      <c r="J1625" s="462"/>
      <c r="K1625" s="464"/>
      <c r="L1625" s="76"/>
      <c r="M1625" s="25"/>
      <c r="N1625" s="293"/>
      <c r="O1625" s="136" t="s">
        <v>325</v>
      </c>
      <c r="P1625" s="319">
        <f>P1608+P1626</f>
        <v>7008.88</v>
      </c>
      <c r="Q1625" s="320">
        <f>Z1623</f>
        <v>0</v>
      </c>
      <c r="R1625" s="143" t="s">
        <v>421</v>
      </c>
      <c r="S1625" s="465"/>
      <c r="T1625" s="466"/>
      <c r="U1625" s="467"/>
      <c r="V1625" s="468"/>
      <c r="W1625" s="282" t="s">
        <v>373</v>
      </c>
      <c r="X1625" s="281"/>
      <c r="Y1625" s="321" t="s">
        <v>181</v>
      </c>
      <c r="Z1625" s="322">
        <v>0</v>
      </c>
    </row>
    <row r="1626" spans="3:26" ht="15.75" thickBot="1">
      <c r="C1626" s="266"/>
      <c r="D1626" s="448"/>
      <c r="E1626" s="469"/>
      <c r="F1626" s="6">
        <f t="shared" si="79"/>
        <v>150</v>
      </c>
      <c r="G1626" s="462" t="s">
        <v>925</v>
      </c>
      <c r="H1626" s="464"/>
      <c r="I1626" s="20"/>
      <c r="J1626" s="462"/>
      <c r="K1626" s="464"/>
      <c r="L1626" s="76"/>
      <c r="M1626" s="25"/>
      <c r="N1626" s="295"/>
      <c r="O1626" s="140" t="s">
        <v>321</v>
      </c>
      <c r="P1626" s="132">
        <f>SUM(M1617:M1630)</f>
        <v>150</v>
      </c>
      <c r="Q1626" s="72">
        <f>Q1625-Q1608</f>
        <v>0</v>
      </c>
      <c r="R1626" s="144" t="s">
        <v>418</v>
      </c>
      <c r="S1626" s="465"/>
      <c r="T1626" s="466"/>
      <c r="U1626" s="467"/>
      <c r="V1626" s="468"/>
      <c r="W1626" s="282" t="s">
        <v>378</v>
      </c>
      <c r="X1626" s="281"/>
      <c r="Y1626" s="470" t="s">
        <v>1000</v>
      </c>
      <c r="Z1626" s="471"/>
    </row>
    <row r="1627" spans="3:26" ht="16.5" thickTop="1" thickBot="1">
      <c r="C1627" s="266"/>
      <c r="D1627" s="448" t="s">
        <v>1001</v>
      </c>
      <c r="E1627" s="469"/>
      <c r="F1627" s="6">
        <f t="shared" si="79"/>
        <v>30</v>
      </c>
      <c r="G1627" s="462" t="s">
        <v>33</v>
      </c>
      <c r="H1627" s="464"/>
      <c r="I1627" s="20"/>
      <c r="J1627" s="462"/>
      <c r="K1627" s="464"/>
      <c r="L1627" s="76"/>
      <c r="M1627" s="25"/>
      <c r="N1627" s="293"/>
      <c r="O1627" s="141" t="s">
        <v>322</v>
      </c>
      <c r="P1627" s="133">
        <f>P1626/29</f>
        <v>5.1724137931034484</v>
      </c>
      <c r="Q1627" s="10">
        <f>Q1626/29</f>
        <v>0</v>
      </c>
      <c r="R1627" s="144" t="s">
        <v>438</v>
      </c>
      <c r="S1627" s="465"/>
      <c r="T1627" s="466"/>
      <c r="U1627" s="472"/>
      <c r="V1627" s="473"/>
      <c r="W1627" s="289" t="s">
        <v>379</v>
      </c>
      <c r="X1627" s="281"/>
      <c r="Y1627" s="143" t="s">
        <v>12</v>
      </c>
      <c r="Z1627" s="12"/>
    </row>
    <row r="1628" spans="3:26" ht="15.75" thickBot="1">
      <c r="C1628" s="15">
        <f>C1611</f>
        <v>4775.66</v>
      </c>
      <c r="D1628" s="455" t="s">
        <v>11</v>
      </c>
      <c r="E1628" s="456"/>
      <c r="F1628" s="15"/>
      <c r="G1628" s="462"/>
      <c r="H1628" s="464"/>
      <c r="I1628" s="20"/>
      <c r="J1628" s="462"/>
      <c r="K1628" s="464"/>
      <c r="L1628" s="76"/>
      <c r="M1628" s="25"/>
      <c r="N1628" s="295"/>
      <c r="O1628" s="136" t="s">
        <v>323</v>
      </c>
      <c r="P1628" s="319">
        <f>P1611+P1629</f>
        <v>19112.45730445853</v>
      </c>
      <c r="Q1628" s="320">
        <f>S1617+U1617</f>
        <v>0</v>
      </c>
      <c r="R1628" s="144" t="s">
        <v>380</v>
      </c>
      <c r="S1628" s="291">
        <f>S1619-S1620</f>
        <v>0</v>
      </c>
      <c r="T1628" s="327" t="e">
        <f>S1628/S1620</f>
        <v>#DIV/0!</v>
      </c>
      <c r="U1628" s="291">
        <f>U1619-U1620</f>
        <v>0</v>
      </c>
      <c r="V1628" s="329" t="e">
        <f>U1628/U1620</f>
        <v>#DIV/0!</v>
      </c>
      <c r="W1628" s="146" t="s">
        <v>375</v>
      </c>
      <c r="X1628" s="326"/>
      <c r="Y1628" s="144" t="s">
        <v>373</v>
      </c>
      <c r="Z1628" s="72"/>
    </row>
    <row r="1629" spans="3:26">
      <c r="C1629" s="15"/>
      <c r="D1629" s="455" t="s">
        <v>390</v>
      </c>
      <c r="E1629" s="456"/>
      <c r="F1629" s="15"/>
      <c r="G1629" s="457" t="s">
        <v>38</v>
      </c>
      <c r="H1629" s="458"/>
      <c r="I1629" s="20"/>
      <c r="J1629" s="457" t="s">
        <v>38</v>
      </c>
      <c r="K1629" s="458"/>
      <c r="L1629" s="76"/>
      <c r="M1629" s="25"/>
      <c r="N1629" s="293"/>
      <c r="O1629" s="140" t="s">
        <v>321</v>
      </c>
      <c r="P1629" s="132">
        <f>SUM(N1617:N1630)</f>
        <v>200</v>
      </c>
      <c r="Q1629" s="72">
        <f>Q1628-Q1611</f>
        <v>0</v>
      </c>
      <c r="R1629" s="144" t="s">
        <v>381</v>
      </c>
      <c r="S1629" s="291">
        <f>S1617-S1622</f>
        <v>0</v>
      </c>
      <c r="T1629" s="327" t="e">
        <f>S1629/S1622</f>
        <v>#DIV/0!</v>
      </c>
      <c r="U1629" s="291">
        <f>U1617-U1622</f>
        <v>0</v>
      </c>
      <c r="V1629" s="366" t="e">
        <f>U1629/ABS(U1622)</f>
        <v>#DIV/0!</v>
      </c>
      <c r="W1629" s="337" t="s">
        <v>410</v>
      </c>
      <c r="X1629" s="1" t="s">
        <v>558</v>
      </c>
      <c r="Y1629" s="144" t="s">
        <v>379</v>
      </c>
      <c r="Z1629" s="72"/>
    </row>
    <row r="1630" spans="3:26" ht="15.75" thickBot="1">
      <c r="C1630" s="17"/>
      <c r="D1630" s="459"/>
      <c r="E1630" s="460"/>
      <c r="F1630" s="17"/>
      <c r="G1630" s="459"/>
      <c r="H1630" s="461"/>
      <c r="I1630" s="21"/>
      <c r="J1630" s="459"/>
      <c r="K1630" s="461"/>
      <c r="L1630" s="42"/>
      <c r="M1630" s="5"/>
      <c r="N1630" s="21"/>
      <c r="O1630" s="137" t="s">
        <v>322</v>
      </c>
      <c r="P1630" s="138">
        <f>P1629/29</f>
        <v>6.8965517241379306</v>
      </c>
      <c r="Q1630" s="24">
        <f>Q1629/29</f>
        <v>0</v>
      </c>
      <c r="R1630" s="153" t="s">
        <v>410</v>
      </c>
      <c r="S1630" s="296">
        <f>S1628+S1629</f>
        <v>0</v>
      </c>
      <c r="T1630" s="328" t="e">
        <f>S1630/S1618</f>
        <v>#DIV/0!</v>
      </c>
      <c r="U1630" s="296">
        <f>U1629+U1628</f>
        <v>0</v>
      </c>
      <c r="V1630" s="330" t="e">
        <f>U1630/U1618</f>
        <v>#DIV/0!</v>
      </c>
      <c r="W1630" s="296">
        <f>S1630+U1630</f>
        <v>0</v>
      </c>
      <c r="X1630" s="330" t="e">
        <f>(W1630+S1618+U1618)/(S1618+U1618)-1</f>
        <v>#DIV/0!</v>
      </c>
      <c r="Y1630" s="153" t="s">
        <v>375</v>
      </c>
      <c r="Z1630" s="389"/>
    </row>
    <row r="1631" spans="3:26" ht="17.25" thickTop="1" thickBot="1">
      <c r="C1631" s="264">
        <v>47484</v>
      </c>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spans="3:26" ht="17.25" thickTop="1" thickBot="1">
      <c r="C1632" s="480" t="s">
        <v>386</v>
      </c>
      <c r="D1632" s="481"/>
      <c r="E1632" s="482"/>
      <c r="F1632" s="483" t="s">
        <v>387</v>
      </c>
      <c r="G1632" s="484"/>
      <c r="H1632" s="484"/>
      <c r="I1632" s="484"/>
      <c r="J1632" s="484"/>
      <c r="K1632" s="484"/>
      <c r="L1632" s="484"/>
      <c r="M1632" s="484"/>
      <c r="N1632" s="485"/>
      <c r="O1632" s="261" t="s">
        <v>320</v>
      </c>
      <c r="P1632" s="262" t="s">
        <v>257</v>
      </c>
      <c r="Q1632" s="263" t="s">
        <v>319</v>
      </c>
      <c r="R1632" s="486" t="s">
        <v>144</v>
      </c>
      <c r="S1632" s="487"/>
      <c r="T1632" s="487"/>
      <c r="U1632" s="487"/>
      <c r="V1632" s="487"/>
      <c r="W1632" s="487"/>
      <c r="X1632" s="487"/>
      <c r="Y1632" s="487"/>
      <c r="Z1632" s="488"/>
    </row>
    <row r="1633" spans="3:26" ht="15.75" thickBot="1">
      <c r="C1633" s="265"/>
      <c r="D1633" s="489"/>
      <c r="E1633" s="490"/>
      <c r="F1633" s="470" t="s">
        <v>3</v>
      </c>
      <c r="G1633" s="491"/>
      <c r="H1633" s="492"/>
      <c r="I1633" s="493" t="s">
        <v>4</v>
      </c>
      <c r="J1633" s="491"/>
      <c r="K1633" s="492"/>
      <c r="L1633" s="267" t="s">
        <v>324</v>
      </c>
      <c r="M1633" s="267" t="s">
        <v>325</v>
      </c>
      <c r="N1633" s="267" t="s">
        <v>323</v>
      </c>
      <c r="O1633" s="316" t="s">
        <v>5</v>
      </c>
      <c r="P1633" s="317">
        <f>P1636+P1639+P1642+P1645</f>
        <v>42832.057304458518</v>
      </c>
      <c r="Q1633" s="318">
        <f>Q1642+Q1639+Q1636+Q1645</f>
        <v>0</v>
      </c>
      <c r="R1633" s="268" t="s">
        <v>323</v>
      </c>
      <c r="S1633" s="493" t="s">
        <v>317</v>
      </c>
      <c r="T1633" s="492"/>
      <c r="U1633" s="493" t="s">
        <v>369</v>
      </c>
      <c r="V1633" s="471"/>
      <c r="W1633" s="470" t="s">
        <v>310</v>
      </c>
      <c r="X1633" s="471"/>
      <c r="Y1633" s="470" t="s">
        <v>13</v>
      </c>
      <c r="Z1633" s="471"/>
    </row>
    <row r="1634" spans="3:26" ht="16.5" thickTop="1" thickBot="1">
      <c r="C1634" s="15"/>
      <c r="D1634" s="494"/>
      <c r="E1634" s="495"/>
      <c r="G1634" s="496"/>
      <c r="H1634" s="497"/>
      <c r="J1634" s="496"/>
      <c r="K1634" s="497"/>
      <c r="L1634" s="76"/>
      <c r="M1634" s="25"/>
      <c r="N1634" s="292"/>
      <c r="O1634" s="258" t="s">
        <v>321</v>
      </c>
      <c r="P1634" s="315">
        <f>SUM(C1634:C1647)-SUM(F1634:F1647)-SUM(I1634:I1647)</f>
        <v>689.02999999999986</v>
      </c>
      <c r="Q1634" s="12">
        <f>Q1633-Q1616</f>
        <v>0</v>
      </c>
      <c r="R1634" s="307" t="s">
        <v>343</v>
      </c>
      <c r="S1634" s="498"/>
      <c r="T1634" s="499"/>
      <c r="U1634" s="498"/>
      <c r="V1634" s="500"/>
      <c r="W1634" s="501" t="s">
        <v>326</v>
      </c>
      <c r="X1634" s="502"/>
      <c r="Y1634" s="143" t="s">
        <v>17</v>
      </c>
      <c r="Z1634" s="12"/>
    </row>
    <row r="1635" spans="3:26" ht="16.5" thickTop="1" thickBot="1">
      <c r="C1635" s="15"/>
      <c r="D1635" s="455" t="s">
        <v>11</v>
      </c>
      <c r="E1635" s="456"/>
      <c r="F1635" s="6">
        <f>F1618</f>
        <v>400</v>
      </c>
      <c r="G1635" s="462" t="s">
        <v>223</v>
      </c>
      <c r="H1635" s="464"/>
      <c r="I1635" s="20">
        <f>I1618</f>
        <v>11.99</v>
      </c>
      <c r="J1635" s="462" t="s">
        <v>385</v>
      </c>
      <c r="K1635" s="464"/>
      <c r="L1635" s="76">
        <f>L1618</f>
        <v>200</v>
      </c>
      <c r="M1635" s="76">
        <f>M1618</f>
        <v>150</v>
      </c>
      <c r="N1635" s="76">
        <f>N1618</f>
        <v>200</v>
      </c>
      <c r="O1635" s="141" t="s">
        <v>322</v>
      </c>
      <c r="P1635" s="133">
        <f>P1634/29</f>
        <v>23.759655172413787</v>
      </c>
      <c r="Q1635" s="10">
        <f>Q1634/29</f>
        <v>0</v>
      </c>
      <c r="R1635" s="308" t="s">
        <v>382</v>
      </c>
      <c r="S1635" s="474"/>
      <c r="T1635" s="475"/>
      <c r="U1635" s="467"/>
      <c r="V1635" s="468"/>
      <c r="W1635" s="289" t="s">
        <v>12</v>
      </c>
      <c r="X1635" s="315"/>
      <c r="Y1635" s="144" t="s">
        <v>18</v>
      </c>
      <c r="Z1635" s="72"/>
    </row>
    <row r="1636" spans="3:26">
      <c r="C1636" s="15"/>
      <c r="D1636" s="455" t="s">
        <v>390</v>
      </c>
      <c r="E1636" s="456"/>
      <c r="F1636" s="6">
        <f t="shared" ref="F1636:F1644" si="81">F1619</f>
        <v>100</v>
      </c>
      <c r="G1636" s="462" t="s">
        <v>9</v>
      </c>
      <c r="H1636" s="464"/>
      <c r="I1636" s="20">
        <f>I1619</f>
        <v>11.99</v>
      </c>
      <c r="J1636" s="462" t="s">
        <v>22</v>
      </c>
      <c r="K1636" s="464"/>
      <c r="L1636" s="76"/>
      <c r="M1636" s="25"/>
      <c r="N1636" s="294"/>
      <c r="O1636" s="136" t="s">
        <v>12</v>
      </c>
      <c r="P1636" s="319">
        <f>P1619+P1634-SUM(L1634:L1647)-SUM(M1634:M1647)-SUM(N1634:N1647)</f>
        <v>6825.7199999999857</v>
      </c>
      <c r="Q1636" s="320">
        <f>Z1634+Z1639+Z1642</f>
        <v>0</v>
      </c>
      <c r="R1636" s="308" t="s">
        <v>383</v>
      </c>
      <c r="S1636" s="474"/>
      <c r="T1636" s="475"/>
      <c r="U1636" s="467"/>
      <c r="V1636" s="468"/>
      <c r="W1636" s="282" t="s">
        <v>373</v>
      </c>
      <c r="X1636" s="132"/>
      <c r="Y1636" s="144" t="s">
        <v>19</v>
      </c>
      <c r="Z1636" s="72"/>
    </row>
    <row r="1637" spans="3:26" ht="15.75" thickBot="1">
      <c r="C1637" s="15"/>
      <c r="D1637" s="462"/>
      <c r="E1637" s="463"/>
      <c r="F1637" s="6">
        <f t="shared" si="81"/>
        <v>150</v>
      </c>
      <c r="G1637" s="462" t="s">
        <v>6</v>
      </c>
      <c r="H1637" s="464"/>
      <c r="I1637" s="20">
        <f>I1620</f>
        <v>20</v>
      </c>
      <c r="J1637" s="462" t="s">
        <v>920</v>
      </c>
      <c r="K1637" s="464"/>
      <c r="L1637" s="76"/>
      <c r="M1637" s="25"/>
      <c r="N1637" s="20"/>
      <c r="O1637" s="140" t="s">
        <v>321</v>
      </c>
      <c r="P1637" s="132">
        <f>SUM(C1634:C1647)-SUM(F1634:F1647)-SUM(I1634:I1647)-P1640-P1643-P1646</f>
        <v>139.02999999999986</v>
      </c>
      <c r="Q1637" s="72">
        <f>Q1636-Q1619</f>
        <v>0</v>
      </c>
      <c r="R1637" s="308" t="s">
        <v>424</v>
      </c>
      <c r="S1637" s="474"/>
      <c r="T1637" s="475"/>
      <c r="U1637" s="467"/>
      <c r="V1637" s="468"/>
      <c r="W1637" s="282" t="s">
        <v>378</v>
      </c>
      <c r="X1637" s="132"/>
      <c r="Y1637" s="145" t="s">
        <v>324</v>
      </c>
      <c r="Z1637" s="135"/>
    </row>
    <row r="1638" spans="3:26" ht="15.75" thickBot="1">
      <c r="C1638" s="15"/>
      <c r="D1638" s="455"/>
      <c r="E1638" s="456"/>
      <c r="F1638" s="6">
        <f t="shared" si="81"/>
        <v>370</v>
      </c>
      <c r="G1638" s="462" t="s">
        <v>97</v>
      </c>
      <c r="H1638" s="464"/>
      <c r="I1638" s="20">
        <f>I1621</f>
        <v>11.9</v>
      </c>
      <c r="J1638" s="462" t="s">
        <v>249</v>
      </c>
      <c r="K1638" s="464"/>
      <c r="L1638" s="76"/>
      <c r="M1638" s="25"/>
      <c r="N1638" s="294"/>
      <c r="O1638" s="141" t="s">
        <v>322</v>
      </c>
      <c r="P1638" s="133">
        <f>P1637/29</f>
        <v>4.7941379310344781</v>
      </c>
      <c r="Q1638" s="10">
        <f>Q1637/29</f>
        <v>0</v>
      </c>
      <c r="R1638" s="143" t="s">
        <v>12</v>
      </c>
      <c r="S1638" s="476"/>
      <c r="T1638" s="477"/>
      <c r="U1638" s="478"/>
      <c r="V1638" s="479"/>
      <c r="W1638" s="289" t="s">
        <v>379</v>
      </c>
      <c r="X1638" s="132"/>
      <c r="Y1638" s="470" t="s">
        <v>14</v>
      </c>
      <c r="Z1638" s="471"/>
    </row>
    <row r="1639" spans="3:26" ht="15.75" thickBot="1">
      <c r="C1639" s="15"/>
      <c r="D1639" s="455"/>
      <c r="E1639" s="456"/>
      <c r="F1639" s="6">
        <f t="shared" si="81"/>
        <v>1860.75</v>
      </c>
      <c r="G1639" s="462" t="s">
        <v>304</v>
      </c>
      <c r="H1639" s="464"/>
      <c r="I1639" s="63">
        <v>150</v>
      </c>
      <c r="J1639" s="462" t="s">
        <v>974</v>
      </c>
      <c r="K1639" s="464"/>
      <c r="L1639" s="76"/>
      <c r="M1639" s="25"/>
      <c r="N1639" s="294"/>
      <c r="O1639" s="136" t="s">
        <v>324</v>
      </c>
      <c r="P1639" s="319">
        <f>P1622+P1640</f>
        <v>9535</v>
      </c>
      <c r="Q1639" s="320">
        <f>Z1635+Z1636+Z1637</f>
        <v>0</v>
      </c>
      <c r="R1639" s="144" t="s">
        <v>425</v>
      </c>
      <c r="S1639" s="465"/>
      <c r="T1639" s="466"/>
      <c r="U1639" s="467"/>
      <c r="V1639" s="468"/>
      <c r="W1639" s="146" t="s">
        <v>375</v>
      </c>
      <c r="X1639" s="325"/>
      <c r="Y1639" s="143" t="s">
        <v>15</v>
      </c>
      <c r="Z1639" s="12"/>
    </row>
    <row r="1640" spans="3:26" ht="15.75" thickBot="1">
      <c r="C1640" s="15"/>
      <c r="D1640" s="462"/>
      <c r="E1640" s="463"/>
      <c r="F1640" s="6">
        <f t="shared" si="81"/>
        <v>70</v>
      </c>
      <c r="G1640" s="462" t="s">
        <v>982</v>
      </c>
      <c r="H1640" s="464"/>
      <c r="I1640" s="20">
        <v>150</v>
      </c>
      <c r="J1640" s="462" t="s">
        <v>105</v>
      </c>
      <c r="K1640" s="464"/>
      <c r="L1640" s="76"/>
      <c r="M1640" s="25"/>
      <c r="N1640" s="294"/>
      <c r="O1640" s="140" t="s">
        <v>321</v>
      </c>
      <c r="P1640" s="132">
        <f>SUM(L1634:L1647)</f>
        <v>200</v>
      </c>
      <c r="Q1640" s="72">
        <f>Q1639-Q1622</f>
        <v>0</v>
      </c>
      <c r="R1640" s="144" t="s">
        <v>426</v>
      </c>
      <c r="S1640" s="465"/>
      <c r="T1640" s="466"/>
      <c r="U1640" s="467"/>
      <c r="V1640" s="468"/>
      <c r="W1640" s="470" t="s">
        <v>376</v>
      </c>
      <c r="X1640" s="471"/>
      <c r="Y1640" s="146" t="s">
        <v>325</v>
      </c>
      <c r="Z1640" s="10"/>
    </row>
    <row r="1641" spans="3:26" ht="16.5" thickTop="1" thickBot="1">
      <c r="C1641" s="15"/>
      <c r="D1641" s="462"/>
      <c r="E1641" s="463"/>
      <c r="F1641" s="6">
        <f t="shared" si="81"/>
        <v>50</v>
      </c>
      <c r="G1641" s="462" t="s">
        <v>926</v>
      </c>
      <c r="H1641" s="464"/>
      <c r="I1641" s="20">
        <v>400</v>
      </c>
      <c r="J1641" s="462" t="s">
        <v>206</v>
      </c>
      <c r="K1641" s="464"/>
      <c r="L1641" s="76"/>
      <c r="M1641" s="25"/>
      <c r="N1641" s="292"/>
      <c r="O1641" s="141" t="s">
        <v>322</v>
      </c>
      <c r="P1641" s="133">
        <f>P1640/29</f>
        <v>6.8965517241379306</v>
      </c>
      <c r="Q1641" s="10">
        <f>Q1640/29</f>
        <v>0</v>
      </c>
      <c r="R1641" s="144" t="s">
        <v>422</v>
      </c>
      <c r="S1641" s="465"/>
      <c r="T1641" s="466"/>
      <c r="U1641" s="467"/>
      <c r="V1641" s="468"/>
      <c r="W1641" s="289" t="s">
        <v>12</v>
      </c>
      <c r="X1641" s="38"/>
      <c r="Y1641" s="470" t="s">
        <v>374</v>
      </c>
      <c r="Z1641" s="471"/>
    </row>
    <row r="1642" spans="3:26" ht="16.5" thickTop="1" thickBot="1">
      <c r="C1642" s="15"/>
      <c r="D1642" s="462"/>
      <c r="E1642" s="463"/>
      <c r="F1642" s="6">
        <f t="shared" si="81"/>
        <v>150</v>
      </c>
      <c r="G1642" s="462" t="s">
        <v>927</v>
      </c>
      <c r="H1642" s="464"/>
      <c r="I1642" s="20"/>
      <c r="J1642" s="462"/>
      <c r="K1642" s="464"/>
      <c r="L1642" s="76"/>
      <c r="M1642" s="25"/>
      <c r="N1642" s="293"/>
      <c r="O1642" s="136" t="s">
        <v>325</v>
      </c>
      <c r="P1642" s="319">
        <f>P1625+P1643</f>
        <v>7158.88</v>
      </c>
      <c r="Q1642" s="320">
        <f>Z1640</f>
        <v>0</v>
      </c>
      <c r="R1642" s="143" t="s">
        <v>421</v>
      </c>
      <c r="S1642" s="465"/>
      <c r="T1642" s="466"/>
      <c r="U1642" s="467"/>
      <c r="V1642" s="468"/>
      <c r="W1642" s="282" t="s">
        <v>373</v>
      </c>
      <c r="X1642" s="281"/>
      <c r="Y1642" s="321" t="s">
        <v>181</v>
      </c>
      <c r="Z1642" s="322">
        <v>0</v>
      </c>
    </row>
    <row r="1643" spans="3:26" ht="15.75" thickBot="1">
      <c r="C1643" s="266"/>
      <c r="D1643" s="448"/>
      <c r="E1643" s="469"/>
      <c r="F1643" s="6">
        <f t="shared" si="81"/>
        <v>150</v>
      </c>
      <c r="G1643" s="462" t="s">
        <v>925</v>
      </c>
      <c r="H1643" s="464"/>
      <c r="I1643" s="20"/>
      <c r="J1643" s="462"/>
      <c r="K1643" s="464"/>
      <c r="L1643" s="76"/>
      <c r="M1643" s="25"/>
      <c r="N1643" s="295"/>
      <c r="O1643" s="140" t="s">
        <v>321</v>
      </c>
      <c r="P1643" s="132">
        <f>SUM(M1634:M1647)</f>
        <v>150</v>
      </c>
      <c r="Q1643" s="72">
        <f>Q1642-Q1625</f>
        <v>0</v>
      </c>
      <c r="R1643" s="144" t="s">
        <v>418</v>
      </c>
      <c r="S1643" s="465"/>
      <c r="T1643" s="466"/>
      <c r="U1643" s="467"/>
      <c r="V1643" s="468"/>
      <c r="W1643" s="282" t="s">
        <v>378</v>
      </c>
      <c r="X1643" s="281"/>
      <c r="Y1643" s="470" t="s">
        <v>1000</v>
      </c>
      <c r="Z1643" s="471"/>
    </row>
    <row r="1644" spans="3:26" ht="16.5" thickTop="1" thickBot="1">
      <c r="C1644" s="266"/>
      <c r="D1644" s="448" t="s">
        <v>1001</v>
      </c>
      <c r="E1644" s="469"/>
      <c r="F1644" s="6">
        <f t="shared" si="81"/>
        <v>30</v>
      </c>
      <c r="G1644" s="462" t="s">
        <v>33</v>
      </c>
      <c r="H1644" s="464"/>
      <c r="I1644" s="20"/>
      <c r="J1644" s="462"/>
      <c r="K1644" s="464"/>
      <c r="L1644" s="76"/>
      <c r="M1644" s="25"/>
      <c r="N1644" s="293"/>
      <c r="O1644" s="141" t="s">
        <v>322</v>
      </c>
      <c r="P1644" s="133">
        <f>P1643/29</f>
        <v>5.1724137931034484</v>
      </c>
      <c r="Q1644" s="10">
        <f>Q1643/29</f>
        <v>0</v>
      </c>
      <c r="R1644" s="144" t="s">
        <v>438</v>
      </c>
      <c r="S1644" s="465"/>
      <c r="T1644" s="466"/>
      <c r="U1644" s="472"/>
      <c r="V1644" s="473"/>
      <c r="W1644" s="289" t="s">
        <v>379</v>
      </c>
      <c r="X1644" s="281"/>
      <c r="Y1644" s="143" t="s">
        <v>12</v>
      </c>
      <c r="Z1644" s="12"/>
    </row>
    <row r="1645" spans="3:26" ht="15.75" thickBot="1">
      <c r="C1645" s="15">
        <f>C1628</f>
        <v>4775.66</v>
      </c>
      <c r="D1645" s="455" t="s">
        <v>11</v>
      </c>
      <c r="E1645" s="456"/>
      <c r="F1645" s="15"/>
      <c r="G1645" s="462"/>
      <c r="H1645" s="464"/>
      <c r="I1645" s="20"/>
      <c r="J1645" s="462"/>
      <c r="K1645" s="464"/>
      <c r="L1645" s="76"/>
      <c r="M1645" s="25"/>
      <c r="N1645" s="295"/>
      <c r="O1645" s="136" t="s">
        <v>323</v>
      </c>
      <c r="P1645" s="319">
        <f>P1628+P1646</f>
        <v>19312.45730445853</v>
      </c>
      <c r="Q1645" s="320">
        <f>S1634+U1634</f>
        <v>0</v>
      </c>
      <c r="R1645" s="144" t="s">
        <v>380</v>
      </c>
      <c r="S1645" s="291">
        <f>S1636-S1637</f>
        <v>0</v>
      </c>
      <c r="T1645" s="327" t="e">
        <f>S1645/S1637</f>
        <v>#DIV/0!</v>
      </c>
      <c r="U1645" s="291">
        <f>U1636-U1637</f>
        <v>0</v>
      </c>
      <c r="V1645" s="329" t="e">
        <f>U1645/U1637</f>
        <v>#DIV/0!</v>
      </c>
      <c r="W1645" s="146" t="s">
        <v>375</v>
      </c>
      <c r="X1645" s="326"/>
      <c r="Y1645" s="144" t="s">
        <v>373</v>
      </c>
      <c r="Z1645" s="72"/>
    </row>
    <row r="1646" spans="3:26">
      <c r="C1646" s="15"/>
      <c r="D1646" s="455" t="s">
        <v>390</v>
      </c>
      <c r="E1646" s="456"/>
      <c r="F1646" s="15"/>
      <c r="G1646" s="457" t="s">
        <v>38</v>
      </c>
      <c r="H1646" s="458"/>
      <c r="I1646" s="20"/>
      <c r="J1646" s="457" t="s">
        <v>38</v>
      </c>
      <c r="K1646" s="458"/>
      <c r="L1646" s="76"/>
      <c r="M1646" s="25"/>
      <c r="N1646" s="293"/>
      <c r="O1646" s="140" t="s">
        <v>321</v>
      </c>
      <c r="P1646" s="132">
        <f>SUM(N1634:N1647)</f>
        <v>200</v>
      </c>
      <c r="Q1646" s="72">
        <f>Q1645-Q1628</f>
        <v>0</v>
      </c>
      <c r="R1646" s="144" t="s">
        <v>381</v>
      </c>
      <c r="S1646" s="291">
        <f>S1634-S1639</f>
        <v>0</v>
      </c>
      <c r="T1646" s="327" t="e">
        <f>S1646/S1639</f>
        <v>#DIV/0!</v>
      </c>
      <c r="U1646" s="291">
        <f>U1634-U1639</f>
        <v>0</v>
      </c>
      <c r="V1646" s="366" t="e">
        <f>U1646/ABS(U1639)</f>
        <v>#DIV/0!</v>
      </c>
      <c r="W1646" s="337" t="s">
        <v>410</v>
      </c>
      <c r="X1646" s="1" t="s">
        <v>558</v>
      </c>
      <c r="Y1646" s="144" t="s">
        <v>379</v>
      </c>
      <c r="Z1646" s="72"/>
    </row>
    <row r="1647" spans="3:26" ht="15.75" thickBot="1">
      <c r="C1647" s="17"/>
      <c r="D1647" s="459"/>
      <c r="E1647" s="460"/>
      <c r="F1647" s="17"/>
      <c r="G1647" s="459"/>
      <c r="H1647" s="461"/>
      <c r="I1647" s="21"/>
      <c r="J1647" s="459"/>
      <c r="K1647" s="461"/>
      <c r="L1647" s="42"/>
      <c r="M1647" s="5"/>
      <c r="N1647" s="21"/>
      <c r="O1647" s="137" t="s">
        <v>322</v>
      </c>
      <c r="P1647" s="138">
        <f>P1646/29</f>
        <v>6.8965517241379306</v>
      </c>
      <c r="Q1647" s="24">
        <f>Q1646/29</f>
        <v>0</v>
      </c>
      <c r="R1647" s="153" t="s">
        <v>410</v>
      </c>
      <c r="S1647" s="296">
        <f>S1645+S1646</f>
        <v>0</v>
      </c>
      <c r="T1647" s="328" t="e">
        <f>S1647/S1635</f>
        <v>#DIV/0!</v>
      </c>
      <c r="U1647" s="296">
        <f>U1646+U1645</f>
        <v>0</v>
      </c>
      <c r="V1647" s="330" t="e">
        <f>U1647/U1635</f>
        <v>#DIV/0!</v>
      </c>
      <c r="W1647" s="296">
        <f>S1647+U1647</f>
        <v>0</v>
      </c>
      <c r="X1647" s="330" t="e">
        <f>(W1647+S1635+U1635)/(S1635+U1635)-1</f>
        <v>#DIV/0!</v>
      </c>
      <c r="Y1647" s="153" t="s">
        <v>375</v>
      </c>
      <c r="Z1647" s="389"/>
    </row>
    <row r="1648" spans="3:26" ht="17.25" thickTop="1" thickBot="1">
      <c r="C1648" s="264">
        <v>47515</v>
      </c>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spans="3:26" ht="17.25" thickTop="1" thickBot="1">
      <c r="C1649" s="480" t="s">
        <v>386</v>
      </c>
      <c r="D1649" s="481"/>
      <c r="E1649" s="482"/>
      <c r="F1649" s="483" t="s">
        <v>387</v>
      </c>
      <c r="G1649" s="484"/>
      <c r="H1649" s="484"/>
      <c r="I1649" s="484"/>
      <c r="J1649" s="484"/>
      <c r="K1649" s="484"/>
      <c r="L1649" s="484"/>
      <c r="M1649" s="484"/>
      <c r="N1649" s="485"/>
      <c r="O1649" s="261" t="s">
        <v>320</v>
      </c>
      <c r="P1649" s="262" t="s">
        <v>257</v>
      </c>
      <c r="Q1649" s="263" t="s">
        <v>319</v>
      </c>
      <c r="R1649" s="486" t="s">
        <v>144</v>
      </c>
      <c r="S1649" s="487"/>
      <c r="T1649" s="487"/>
      <c r="U1649" s="487"/>
      <c r="V1649" s="487"/>
      <c r="W1649" s="487"/>
      <c r="X1649" s="487"/>
      <c r="Y1649" s="487"/>
      <c r="Z1649" s="488"/>
    </row>
    <row r="1650" spans="3:26" ht="15.75" thickBot="1">
      <c r="C1650" s="265"/>
      <c r="D1650" s="489"/>
      <c r="E1650" s="490"/>
      <c r="F1650" s="470" t="s">
        <v>3</v>
      </c>
      <c r="G1650" s="491"/>
      <c r="H1650" s="492"/>
      <c r="I1650" s="493" t="s">
        <v>4</v>
      </c>
      <c r="J1650" s="491"/>
      <c r="K1650" s="492"/>
      <c r="L1650" s="267" t="s">
        <v>324</v>
      </c>
      <c r="M1650" s="267" t="s">
        <v>325</v>
      </c>
      <c r="N1650" s="267" t="s">
        <v>323</v>
      </c>
      <c r="O1650" s="316" t="s">
        <v>5</v>
      </c>
      <c r="P1650" s="317">
        <f>P1653+P1656+P1659+P1662</f>
        <v>43521.087304458517</v>
      </c>
      <c r="Q1650" s="318">
        <f>Q1659+Q1656+Q1653+Q1662</f>
        <v>0</v>
      </c>
      <c r="R1650" s="268" t="s">
        <v>323</v>
      </c>
      <c r="S1650" s="493" t="s">
        <v>317</v>
      </c>
      <c r="T1650" s="492"/>
      <c r="U1650" s="493" t="s">
        <v>369</v>
      </c>
      <c r="V1650" s="471"/>
      <c r="W1650" s="470" t="s">
        <v>310</v>
      </c>
      <c r="X1650" s="471"/>
      <c r="Y1650" s="470" t="s">
        <v>13</v>
      </c>
      <c r="Z1650" s="471"/>
    </row>
    <row r="1651" spans="3:26" ht="16.5" thickTop="1" thickBot="1">
      <c r="C1651" s="15"/>
      <c r="D1651" s="494"/>
      <c r="E1651" s="495"/>
      <c r="G1651" s="496"/>
      <c r="H1651" s="497"/>
      <c r="J1651" s="496"/>
      <c r="K1651" s="497"/>
      <c r="L1651" s="76"/>
      <c r="M1651" s="25"/>
      <c r="N1651" s="292"/>
      <c r="O1651" s="258" t="s">
        <v>321</v>
      </c>
      <c r="P1651" s="315">
        <f>SUM(C1651:C1664)-SUM(F1651:F1664)-SUM(I1651:I1664)</f>
        <v>689.02999999999986</v>
      </c>
      <c r="Q1651" s="12">
        <f>Q1650-Q1633</f>
        <v>0</v>
      </c>
      <c r="R1651" s="307" t="s">
        <v>343</v>
      </c>
      <c r="S1651" s="498"/>
      <c r="T1651" s="499"/>
      <c r="U1651" s="498"/>
      <c r="V1651" s="500"/>
      <c r="W1651" s="501" t="s">
        <v>326</v>
      </c>
      <c r="X1651" s="502"/>
      <c r="Y1651" s="143" t="s">
        <v>17</v>
      </c>
      <c r="Z1651" s="12"/>
    </row>
    <row r="1652" spans="3:26" ht="16.5" thickTop="1" thickBot="1">
      <c r="C1652" s="15"/>
      <c r="D1652" s="455" t="s">
        <v>11</v>
      </c>
      <c r="E1652" s="456"/>
      <c r="F1652" s="6">
        <f>F1635</f>
        <v>400</v>
      </c>
      <c r="G1652" s="462" t="s">
        <v>223</v>
      </c>
      <c r="H1652" s="464"/>
      <c r="I1652" s="20">
        <f>I1635</f>
        <v>11.99</v>
      </c>
      <c r="J1652" s="462" t="s">
        <v>385</v>
      </c>
      <c r="K1652" s="464"/>
      <c r="L1652" s="76">
        <f>L1635</f>
        <v>200</v>
      </c>
      <c r="M1652" s="76">
        <f>M1635</f>
        <v>150</v>
      </c>
      <c r="N1652" s="76">
        <f>N1635</f>
        <v>200</v>
      </c>
      <c r="O1652" s="141" t="s">
        <v>322</v>
      </c>
      <c r="P1652" s="133">
        <f>P1651/29</f>
        <v>23.759655172413787</v>
      </c>
      <c r="Q1652" s="10">
        <f>Q1651/29</f>
        <v>0</v>
      </c>
      <c r="R1652" s="308" t="s">
        <v>382</v>
      </c>
      <c r="S1652" s="474"/>
      <c r="T1652" s="475"/>
      <c r="U1652" s="467"/>
      <c r="V1652" s="468"/>
      <c r="W1652" s="289" t="s">
        <v>12</v>
      </c>
      <c r="X1652" s="315"/>
      <c r="Y1652" s="144" t="s">
        <v>18</v>
      </c>
      <c r="Z1652" s="72"/>
    </row>
    <row r="1653" spans="3:26">
      <c r="C1653" s="15"/>
      <c r="D1653" s="455" t="s">
        <v>390</v>
      </c>
      <c r="E1653" s="456"/>
      <c r="F1653" s="6">
        <f t="shared" ref="F1653:F1661" si="82">F1636</f>
        <v>100</v>
      </c>
      <c r="G1653" s="462" t="s">
        <v>9</v>
      </c>
      <c r="H1653" s="464"/>
      <c r="I1653" s="20">
        <f>I1636</f>
        <v>11.99</v>
      </c>
      <c r="J1653" s="462" t="s">
        <v>22</v>
      </c>
      <c r="K1653" s="464"/>
      <c r="L1653" s="76"/>
      <c r="M1653" s="25"/>
      <c r="N1653" s="294"/>
      <c r="O1653" s="136" t="s">
        <v>12</v>
      </c>
      <c r="P1653" s="319">
        <f>P1636+P1651-SUM(L1651:L1664)-SUM(M1651:M1664)-SUM(N1651:N1664)</f>
        <v>6964.7499999999854</v>
      </c>
      <c r="Q1653" s="320">
        <f>Z1651+Z1656+Z1659</f>
        <v>0</v>
      </c>
      <c r="R1653" s="308" t="s">
        <v>383</v>
      </c>
      <c r="S1653" s="474"/>
      <c r="T1653" s="475"/>
      <c r="U1653" s="467"/>
      <c r="V1653" s="468"/>
      <c r="W1653" s="282" t="s">
        <v>373</v>
      </c>
      <c r="X1653" s="132"/>
      <c r="Y1653" s="144" t="s">
        <v>19</v>
      </c>
      <c r="Z1653" s="72"/>
    </row>
    <row r="1654" spans="3:26" ht="15.75" thickBot="1">
      <c r="C1654" s="15"/>
      <c r="D1654" s="462"/>
      <c r="E1654" s="463"/>
      <c r="F1654" s="6">
        <f t="shared" si="82"/>
        <v>150</v>
      </c>
      <c r="G1654" s="462" t="s">
        <v>6</v>
      </c>
      <c r="H1654" s="464"/>
      <c r="I1654" s="20">
        <f>I1637</f>
        <v>20</v>
      </c>
      <c r="J1654" s="462" t="s">
        <v>920</v>
      </c>
      <c r="K1654" s="464"/>
      <c r="L1654" s="76"/>
      <c r="M1654" s="25"/>
      <c r="N1654" s="20"/>
      <c r="O1654" s="140" t="s">
        <v>321</v>
      </c>
      <c r="P1654" s="132">
        <f>SUM(C1651:C1664)-SUM(F1651:F1664)-SUM(I1651:I1664)-P1657-P1660-P1663</f>
        <v>139.02999999999986</v>
      </c>
      <c r="Q1654" s="72">
        <f>Q1653-Q1636</f>
        <v>0</v>
      </c>
      <c r="R1654" s="308" t="s">
        <v>424</v>
      </c>
      <c r="S1654" s="474"/>
      <c r="T1654" s="475"/>
      <c r="U1654" s="467"/>
      <c r="V1654" s="468"/>
      <c r="W1654" s="282" t="s">
        <v>378</v>
      </c>
      <c r="X1654" s="132"/>
      <c r="Y1654" s="145" t="s">
        <v>324</v>
      </c>
      <c r="Z1654" s="135"/>
    </row>
    <row r="1655" spans="3:26" ht="15.75" thickBot="1">
      <c r="C1655" s="15"/>
      <c r="D1655" s="455"/>
      <c r="E1655" s="456"/>
      <c r="F1655" s="6">
        <f t="shared" si="82"/>
        <v>370</v>
      </c>
      <c r="G1655" s="462" t="s">
        <v>97</v>
      </c>
      <c r="H1655" s="464"/>
      <c r="I1655" s="20">
        <f>I1638</f>
        <v>11.9</v>
      </c>
      <c r="J1655" s="462" t="s">
        <v>249</v>
      </c>
      <c r="K1655" s="464"/>
      <c r="L1655" s="76"/>
      <c r="M1655" s="25"/>
      <c r="N1655" s="294"/>
      <c r="O1655" s="141" t="s">
        <v>322</v>
      </c>
      <c r="P1655" s="133">
        <f>P1654/29</f>
        <v>4.7941379310344781</v>
      </c>
      <c r="Q1655" s="10">
        <f>Q1654/29</f>
        <v>0</v>
      </c>
      <c r="R1655" s="143" t="s">
        <v>12</v>
      </c>
      <c r="S1655" s="476"/>
      <c r="T1655" s="477"/>
      <c r="U1655" s="478"/>
      <c r="V1655" s="479"/>
      <c r="W1655" s="289" t="s">
        <v>379</v>
      </c>
      <c r="X1655" s="132"/>
      <c r="Y1655" s="470" t="s">
        <v>14</v>
      </c>
      <c r="Z1655" s="471"/>
    </row>
    <row r="1656" spans="3:26" ht="15.75" thickBot="1">
      <c r="C1656" s="15"/>
      <c r="D1656" s="455"/>
      <c r="E1656" s="456"/>
      <c r="F1656" s="6">
        <f t="shared" si="82"/>
        <v>1860.75</v>
      </c>
      <c r="G1656" s="462" t="s">
        <v>304</v>
      </c>
      <c r="H1656" s="464"/>
      <c r="I1656" s="63">
        <v>150</v>
      </c>
      <c r="J1656" s="462" t="s">
        <v>974</v>
      </c>
      <c r="K1656" s="464"/>
      <c r="L1656" s="76"/>
      <c r="M1656" s="25"/>
      <c r="N1656" s="294"/>
      <c r="O1656" s="136" t="s">
        <v>324</v>
      </c>
      <c r="P1656" s="319">
        <f>P1639+P1657</f>
        <v>9735</v>
      </c>
      <c r="Q1656" s="320">
        <f>Z1652+Z1653+Z1654</f>
        <v>0</v>
      </c>
      <c r="R1656" s="144" t="s">
        <v>425</v>
      </c>
      <c r="S1656" s="465"/>
      <c r="T1656" s="466"/>
      <c r="U1656" s="467"/>
      <c r="V1656" s="468"/>
      <c r="W1656" s="146" t="s">
        <v>375</v>
      </c>
      <c r="X1656" s="325"/>
      <c r="Y1656" s="143" t="s">
        <v>15</v>
      </c>
      <c r="Z1656" s="12"/>
    </row>
    <row r="1657" spans="3:26" ht="15.75" thickBot="1">
      <c r="C1657" s="15"/>
      <c r="D1657" s="462"/>
      <c r="E1657" s="463"/>
      <c r="F1657" s="6">
        <f t="shared" si="82"/>
        <v>70</v>
      </c>
      <c r="G1657" s="462" t="s">
        <v>982</v>
      </c>
      <c r="H1657" s="464"/>
      <c r="I1657" s="20">
        <v>150</v>
      </c>
      <c r="J1657" s="462" t="s">
        <v>105</v>
      </c>
      <c r="K1657" s="464"/>
      <c r="L1657" s="76"/>
      <c r="M1657" s="25"/>
      <c r="N1657" s="294"/>
      <c r="O1657" s="140" t="s">
        <v>321</v>
      </c>
      <c r="P1657" s="132">
        <f>SUM(L1651:L1664)</f>
        <v>200</v>
      </c>
      <c r="Q1657" s="72">
        <f>Q1656-Q1639</f>
        <v>0</v>
      </c>
      <c r="R1657" s="144" t="s">
        <v>426</v>
      </c>
      <c r="S1657" s="465"/>
      <c r="T1657" s="466"/>
      <c r="U1657" s="467"/>
      <c r="V1657" s="468"/>
      <c r="W1657" s="470" t="s">
        <v>376</v>
      </c>
      <c r="X1657" s="471"/>
      <c r="Y1657" s="146" t="s">
        <v>325</v>
      </c>
      <c r="Z1657" s="10"/>
    </row>
    <row r="1658" spans="3:26" ht="16.5" thickTop="1" thickBot="1">
      <c r="C1658" s="15"/>
      <c r="D1658" s="462"/>
      <c r="E1658" s="463"/>
      <c r="F1658" s="6">
        <f t="shared" si="82"/>
        <v>50</v>
      </c>
      <c r="G1658" s="462" t="s">
        <v>926</v>
      </c>
      <c r="H1658" s="464"/>
      <c r="I1658" s="20">
        <v>400</v>
      </c>
      <c r="J1658" s="462" t="s">
        <v>206</v>
      </c>
      <c r="K1658" s="464"/>
      <c r="L1658" s="76"/>
      <c r="M1658" s="25"/>
      <c r="N1658" s="292"/>
      <c r="O1658" s="141" t="s">
        <v>322</v>
      </c>
      <c r="P1658" s="133">
        <f>P1657/29</f>
        <v>6.8965517241379306</v>
      </c>
      <c r="Q1658" s="10">
        <f>Q1657/29</f>
        <v>0</v>
      </c>
      <c r="R1658" s="144" t="s">
        <v>422</v>
      </c>
      <c r="S1658" s="465"/>
      <c r="T1658" s="466"/>
      <c r="U1658" s="467"/>
      <c r="V1658" s="468"/>
      <c r="W1658" s="289" t="s">
        <v>12</v>
      </c>
      <c r="X1658" s="38"/>
      <c r="Y1658" s="470" t="s">
        <v>374</v>
      </c>
      <c r="Z1658" s="471"/>
    </row>
    <row r="1659" spans="3:26" ht="16.5" thickTop="1" thickBot="1">
      <c r="C1659" s="15"/>
      <c r="D1659" s="462"/>
      <c r="E1659" s="463"/>
      <c r="F1659" s="6">
        <f t="shared" si="82"/>
        <v>150</v>
      </c>
      <c r="G1659" s="462" t="s">
        <v>927</v>
      </c>
      <c r="H1659" s="464"/>
      <c r="I1659" s="20"/>
      <c r="J1659" s="462"/>
      <c r="K1659" s="464"/>
      <c r="L1659" s="76"/>
      <c r="M1659" s="25"/>
      <c r="N1659" s="293"/>
      <c r="O1659" s="136" t="s">
        <v>325</v>
      </c>
      <c r="P1659" s="319">
        <f>P1642+P1660</f>
        <v>7308.88</v>
      </c>
      <c r="Q1659" s="320">
        <f>Z1657</f>
        <v>0</v>
      </c>
      <c r="R1659" s="143" t="s">
        <v>421</v>
      </c>
      <c r="S1659" s="465"/>
      <c r="T1659" s="466"/>
      <c r="U1659" s="467"/>
      <c r="V1659" s="468"/>
      <c r="W1659" s="282" t="s">
        <v>373</v>
      </c>
      <c r="X1659" s="281"/>
      <c r="Y1659" s="321" t="s">
        <v>181</v>
      </c>
      <c r="Z1659" s="322">
        <v>0</v>
      </c>
    </row>
    <row r="1660" spans="3:26" ht="15.75" thickBot="1">
      <c r="C1660" s="266"/>
      <c r="D1660" s="448"/>
      <c r="E1660" s="469"/>
      <c r="F1660" s="6">
        <f t="shared" si="82"/>
        <v>150</v>
      </c>
      <c r="G1660" s="462" t="s">
        <v>925</v>
      </c>
      <c r="H1660" s="464"/>
      <c r="I1660" s="20"/>
      <c r="J1660" s="462"/>
      <c r="K1660" s="464"/>
      <c r="L1660" s="76"/>
      <c r="M1660" s="25"/>
      <c r="N1660" s="295"/>
      <c r="O1660" s="140" t="s">
        <v>321</v>
      </c>
      <c r="P1660" s="132">
        <f>SUM(M1651:M1664)</f>
        <v>150</v>
      </c>
      <c r="Q1660" s="72">
        <f>Q1659-Q1642</f>
        <v>0</v>
      </c>
      <c r="R1660" s="144" t="s">
        <v>418</v>
      </c>
      <c r="S1660" s="465"/>
      <c r="T1660" s="466"/>
      <c r="U1660" s="467"/>
      <c r="V1660" s="468"/>
      <c r="W1660" s="282" t="s">
        <v>378</v>
      </c>
      <c r="X1660" s="281"/>
      <c r="Y1660" s="470" t="s">
        <v>1000</v>
      </c>
      <c r="Z1660" s="471"/>
    </row>
    <row r="1661" spans="3:26" ht="16.5" thickTop="1" thickBot="1">
      <c r="C1661" s="266"/>
      <c r="D1661" s="448" t="s">
        <v>1001</v>
      </c>
      <c r="E1661" s="469"/>
      <c r="F1661" s="6">
        <f t="shared" si="82"/>
        <v>30</v>
      </c>
      <c r="G1661" s="462" t="s">
        <v>33</v>
      </c>
      <c r="H1661" s="464"/>
      <c r="I1661" s="20"/>
      <c r="J1661" s="462"/>
      <c r="K1661" s="464"/>
      <c r="L1661" s="76"/>
      <c r="M1661" s="25"/>
      <c r="N1661" s="293"/>
      <c r="O1661" s="141" t="s">
        <v>322</v>
      </c>
      <c r="P1661" s="133">
        <f>P1660/29</f>
        <v>5.1724137931034484</v>
      </c>
      <c r="Q1661" s="10">
        <f>Q1660/29</f>
        <v>0</v>
      </c>
      <c r="R1661" s="144" t="s">
        <v>438</v>
      </c>
      <c r="S1661" s="465"/>
      <c r="T1661" s="466"/>
      <c r="U1661" s="472"/>
      <c r="V1661" s="473"/>
      <c r="W1661" s="289" t="s">
        <v>379</v>
      </c>
      <c r="X1661" s="281"/>
      <c r="Y1661" s="143" t="s">
        <v>12</v>
      </c>
      <c r="Z1661" s="12"/>
    </row>
    <row r="1662" spans="3:26" ht="15.75" thickBot="1">
      <c r="C1662" s="15">
        <f>C1645</f>
        <v>4775.66</v>
      </c>
      <c r="D1662" s="455" t="s">
        <v>11</v>
      </c>
      <c r="E1662" s="456"/>
      <c r="F1662" s="15"/>
      <c r="G1662" s="462"/>
      <c r="H1662" s="464"/>
      <c r="I1662" s="20"/>
      <c r="J1662" s="462"/>
      <c r="K1662" s="464"/>
      <c r="L1662" s="76"/>
      <c r="M1662" s="25"/>
      <c r="N1662" s="295"/>
      <c r="O1662" s="136" t="s">
        <v>323</v>
      </c>
      <c r="P1662" s="319">
        <f>P1645+P1663</f>
        <v>19512.45730445853</v>
      </c>
      <c r="Q1662" s="320">
        <f>S1651+U1651</f>
        <v>0</v>
      </c>
      <c r="R1662" s="144" t="s">
        <v>380</v>
      </c>
      <c r="S1662" s="291">
        <f>S1653-S1654</f>
        <v>0</v>
      </c>
      <c r="T1662" s="327" t="e">
        <f>S1662/S1654</f>
        <v>#DIV/0!</v>
      </c>
      <c r="U1662" s="291">
        <f>U1653-U1654</f>
        <v>0</v>
      </c>
      <c r="V1662" s="329" t="e">
        <f>U1662/U1654</f>
        <v>#DIV/0!</v>
      </c>
      <c r="W1662" s="146" t="s">
        <v>375</v>
      </c>
      <c r="X1662" s="326"/>
      <c r="Y1662" s="144" t="s">
        <v>373</v>
      </c>
      <c r="Z1662" s="72"/>
    </row>
    <row r="1663" spans="3:26">
      <c r="C1663" s="15"/>
      <c r="D1663" s="455" t="s">
        <v>390</v>
      </c>
      <c r="E1663" s="456"/>
      <c r="F1663" s="15"/>
      <c r="G1663" s="457" t="s">
        <v>38</v>
      </c>
      <c r="H1663" s="458"/>
      <c r="I1663" s="20"/>
      <c r="J1663" s="457" t="s">
        <v>38</v>
      </c>
      <c r="K1663" s="458"/>
      <c r="L1663" s="76"/>
      <c r="M1663" s="25"/>
      <c r="N1663" s="293"/>
      <c r="O1663" s="140" t="s">
        <v>321</v>
      </c>
      <c r="P1663" s="132">
        <f>SUM(N1651:N1664)</f>
        <v>200</v>
      </c>
      <c r="Q1663" s="72">
        <f>Q1662-Q1645</f>
        <v>0</v>
      </c>
      <c r="R1663" s="144" t="s">
        <v>381</v>
      </c>
      <c r="S1663" s="291">
        <f>S1651-S1656</f>
        <v>0</v>
      </c>
      <c r="T1663" s="327" t="e">
        <f>S1663/S1656</f>
        <v>#DIV/0!</v>
      </c>
      <c r="U1663" s="291">
        <f>U1651-U1656</f>
        <v>0</v>
      </c>
      <c r="V1663" s="366" t="e">
        <f>U1663/ABS(U1656)</f>
        <v>#DIV/0!</v>
      </c>
      <c r="W1663" s="337" t="s">
        <v>410</v>
      </c>
      <c r="X1663" s="1" t="s">
        <v>558</v>
      </c>
      <c r="Y1663" s="144" t="s">
        <v>379</v>
      </c>
      <c r="Z1663" s="72"/>
    </row>
    <row r="1664" spans="3:26" ht="15.75" thickBot="1">
      <c r="C1664" s="17"/>
      <c r="D1664" s="459"/>
      <c r="E1664" s="460"/>
      <c r="F1664" s="17"/>
      <c r="G1664" s="459"/>
      <c r="H1664" s="461"/>
      <c r="I1664" s="21"/>
      <c r="J1664" s="459"/>
      <c r="K1664" s="461"/>
      <c r="L1664" s="42"/>
      <c r="M1664" s="5"/>
      <c r="N1664" s="21"/>
      <c r="O1664" s="137" t="s">
        <v>322</v>
      </c>
      <c r="P1664" s="138">
        <f>P1663/29</f>
        <v>6.8965517241379306</v>
      </c>
      <c r="Q1664" s="24">
        <f>Q1663/29</f>
        <v>0</v>
      </c>
      <c r="R1664" s="153" t="s">
        <v>410</v>
      </c>
      <c r="S1664" s="296">
        <f>S1662+S1663</f>
        <v>0</v>
      </c>
      <c r="T1664" s="328" t="e">
        <f>S1664/S1652</f>
        <v>#DIV/0!</v>
      </c>
      <c r="U1664" s="296">
        <f>U1663+U1662</f>
        <v>0</v>
      </c>
      <c r="V1664" s="330" t="e">
        <f>U1664/U1652</f>
        <v>#DIV/0!</v>
      </c>
      <c r="W1664" s="296">
        <f>S1664+U1664</f>
        <v>0</v>
      </c>
      <c r="X1664" s="330" t="e">
        <f>(W1664+S1652+U1652)/(S1652+U1652)-1</f>
        <v>#DIV/0!</v>
      </c>
      <c r="Y1664" s="153" t="s">
        <v>375</v>
      </c>
      <c r="Z1664" s="389"/>
    </row>
    <row r="1665" spans="3:26" ht="17.25" thickTop="1" thickBot="1">
      <c r="C1665" s="264">
        <v>47543</v>
      </c>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spans="3:26" ht="17.25" thickTop="1" thickBot="1">
      <c r="C1666" s="480" t="s">
        <v>386</v>
      </c>
      <c r="D1666" s="481"/>
      <c r="E1666" s="482"/>
      <c r="F1666" s="483" t="s">
        <v>387</v>
      </c>
      <c r="G1666" s="484"/>
      <c r="H1666" s="484"/>
      <c r="I1666" s="484"/>
      <c r="J1666" s="484"/>
      <c r="K1666" s="484"/>
      <c r="L1666" s="484"/>
      <c r="M1666" s="484"/>
      <c r="N1666" s="485"/>
      <c r="O1666" s="261" t="s">
        <v>320</v>
      </c>
      <c r="P1666" s="262" t="s">
        <v>257</v>
      </c>
      <c r="Q1666" s="263" t="s">
        <v>319</v>
      </c>
      <c r="R1666" s="486" t="s">
        <v>144</v>
      </c>
      <c r="S1666" s="487"/>
      <c r="T1666" s="487"/>
      <c r="U1666" s="487"/>
      <c r="V1666" s="487"/>
      <c r="W1666" s="487"/>
      <c r="X1666" s="487"/>
      <c r="Y1666" s="487"/>
      <c r="Z1666" s="488"/>
    </row>
    <row r="1667" spans="3:26" ht="15.75" thickBot="1">
      <c r="C1667" s="265"/>
      <c r="D1667" s="489"/>
      <c r="E1667" s="490"/>
      <c r="F1667" s="470" t="s">
        <v>3</v>
      </c>
      <c r="G1667" s="491"/>
      <c r="H1667" s="492"/>
      <c r="I1667" s="493" t="s">
        <v>4</v>
      </c>
      <c r="J1667" s="491"/>
      <c r="K1667" s="492"/>
      <c r="L1667" s="267" t="s">
        <v>324</v>
      </c>
      <c r="M1667" s="267" t="s">
        <v>325</v>
      </c>
      <c r="N1667" s="267" t="s">
        <v>323</v>
      </c>
      <c r="O1667" s="316" t="s">
        <v>5</v>
      </c>
      <c r="P1667" s="317">
        <f>P1670+P1673+P1676+P1679</f>
        <v>44210.117304458516</v>
      </c>
      <c r="Q1667" s="318">
        <f>Q1676+Q1673+Q1670+Q1679</f>
        <v>0</v>
      </c>
      <c r="R1667" s="268" t="s">
        <v>323</v>
      </c>
      <c r="S1667" s="493" t="s">
        <v>317</v>
      </c>
      <c r="T1667" s="492"/>
      <c r="U1667" s="493" t="s">
        <v>369</v>
      </c>
      <c r="V1667" s="471"/>
      <c r="W1667" s="470" t="s">
        <v>310</v>
      </c>
      <c r="X1667" s="471"/>
      <c r="Y1667" s="470" t="s">
        <v>13</v>
      </c>
      <c r="Z1667" s="471"/>
    </row>
    <row r="1668" spans="3:26" ht="16.5" thickTop="1" thickBot="1">
      <c r="C1668" s="15"/>
      <c r="D1668" s="494"/>
      <c r="E1668" s="495"/>
      <c r="G1668" s="496"/>
      <c r="H1668" s="497"/>
      <c r="J1668" s="496"/>
      <c r="K1668" s="497"/>
      <c r="L1668" s="76"/>
      <c r="M1668" s="25"/>
      <c r="N1668" s="292"/>
      <c r="O1668" s="258" t="s">
        <v>321</v>
      </c>
      <c r="P1668" s="315">
        <f>SUM(C1668:C1681)-SUM(F1668:F1681)-SUM(I1668:I1681)</f>
        <v>689.02999999999986</v>
      </c>
      <c r="Q1668" s="12">
        <f>Q1667-Q1650</f>
        <v>0</v>
      </c>
      <c r="R1668" s="307" t="s">
        <v>343</v>
      </c>
      <c r="S1668" s="498"/>
      <c r="T1668" s="499"/>
      <c r="U1668" s="498"/>
      <c r="V1668" s="500"/>
      <c r="W1668" s="501" t="s">
        <v>326</v>
      </c>
      <c r="X1668" s="502"/>
      <c r="Y1668" s="143" t="s">
        <v>17</v>
      </c>
      <c r="Z1668" s="12"/>
    </row>
    <row r="1669" spans="3:26" ht="16.5" thickTop="1" thickBot="1">
      <c r="C1669" s="15"/>
      <c r="D1669" s="455" t="s">
        <v>11</v>
      </c>
      <c r="E1669" s="456"/>
      <c r="F1669" s="6">
        <f>F1652</f>
        <v>400</v>
      </c>
      <c r="G1669" s="462" t="s">
        <v>223</v>
      </c>
      <c r="H1669" s="464"/>
      <c r="I1669" s="20">
        <f>I1652</f>
        <v>11.99</v>
      </c>
      <c r="J1669" s="462" t="s">
        <v>385</v>
      </c>
      <c r="K1669" s="464"/>
      <c r="L1669" s="76">
        <f>L1652</f>
        <v>200</v>
      </c>
      <c r="M1669" s="76">
        <f>M1652</f>
        <v>150</v>
      </c>
      <c r="N1669" s="76">
        <f>N1652</f>
        <v>200</v>
      </c>
      <c r="O1669" s="141" t="s">
        <v>322</v>
      </c>
      <c r="P1669" s="133">
        <f>P1668/29</f>
        <v>23.759655172413787</v>
      </c>
      <c r="Q1669" s="10">
        <f>Q1668/29</f>
        <v>0</v>
      </c>
      <c r="R1669" s="308" t="s">
        <v>382</v>
      </c>
      <c r="S1669" s="474"/>
      <c r="T1669" s="475"/>
      <c r="U1669" s="467"/>
      <c r="V1669" s="468"/>
      <c r="W1669" s="289" t="s">
        <v>12</v>
      </c>
      <c r="X1669" s="315"/>
      <c r="Y1669" s="144" t="s">
        <v>18</v>
      </c>
      <c r="Z1669" s="72"/>
    </row>
    <row r="1670" spans="3:26">
      <c r="C1670" s="15"/>
      <c r="D1670" s="455" t="s">
        <v>390</v>
      </c>
      <c r="E1670" s="456"/>
      <c r="F1670" s="6">
        <f t="shared" ref="F1670:F1678" si="83">F1653</f>
        <v>100</v>
      </c>
      <c r="G1670" s="462" t="s">
        <v>9</v>
      </c>
      <c r="H1670" s="464"/>
      <c r="I1670" s="20">
        <f>I1653</f>
        <v>11.99</v>
      </c>
      <c r="J1670" s="462" t="s">
        <v>22</v>
      </c>
      <c r="K1670" s="464"/>
      <c r="L1670" s="76"/>
      <c r="M1670" s="25"/>
      <c r="N1670" s="294"/>
      <c r="O1670" s="136" t="s">
        <v>12</v>
      </c>
      <c r="P1670" s="319">
        <f>P1653+P1668-SUM(L1668:L1681)-SUM(M1668:M1681)-SUM(N1668:N1681)</f>
        <v>7103.7799999999852</v>
      </c>
      <c r="Q1670" s="320">
        <f>Z1668+Z1673+Z1676</f>
        <v>0</v>
      </c>
      <c r="R1670" s="308" t="s">
        <v>383</v>
      </c>
      <c r="S1670" s="474"/>
      <c r="T1670" s="475"/>
      <c r="U1670" s="467"/>
      <c r="V1670" s="468"/>
      <c r="W1670" s="282" t="s">
        <v>373</v>
      </c>
      <c r="X1670" s="132"/>
      <c r="Y1670" s="144" t="s">
        <v>19</v>
      </c>
      <c r="Z1670" s="72"/>
    </row>
    <row r="1671" spans="3:26" ht="15.75" thickBot="1">
      <c r="C1671" s="15"/>
      <c r="D1671" s="462"/>
      <c r="E1671" s="463"/>
      <c r="F1671" s="6">
        <f t="shared" si="83"/>
        <v>150</v>
      </c>
      <c r="G1671" s="462" t="s">
        <v>6</v>
      </c>
      <c r="H1671" s="464"/>
      <c r="I1671" s="20">
        <f>I1654</f>
        <v>20</v>
      </c>
      <c r="J1671" s="462" t="s">
        <v>920</v>
      </c>
      <c r="K1671" s="464"/>
      <c r="L1671" s="76"/>
      <c r="M1671" s="25"/>
      <c r="N1671" s="20"/>
      <c r="O1671" s="140" t="s">
        <v>321</v>
      </c>
      <c r="P1671" s="132">
        <f>SUM(C1668:C1681)-SUM(F1668:F1681)-SUM(I1668:I1681)-P1674-P1677-P1680</f>
        <v>139.02999999999986</v>
      </c>
      <c r="Q1671" s="72">
        <f>Q1670-Q1653</f>
        <v>0</v>
      </c>
      <c r="R1671" s="308" t="s">
        <v>424</v>
      </c>
      <c r="S1671" s="474"/>
      <c r="T1671" s="475"/>
      <c r="U1671" s="467"/>
      <c r="V1671" s="468"/>
      <c r="W1671" s="282" t="s">
        <v>378</v>
      </c>
      <c r="X1671" s="132"/>
      <c r="Y1671" s="145" t="s">
        <v>324</v>
      </c>
      <c r="Z1671" s="135"/>
    </row>
    <row r="1672" spans="3:26" ht="15.75" thickBot="1">
      <c r="C1672" s="15"/>
      <c r="D1672" s="455"/>
      <c r="E1672" s="456"/>
      <c r="F1672" s="6">
        <f t="shared" si="83"/>
        <v>370</v>
      </c>
      <c r="G1672" s="462" t="s">
        <v>97</v>
      </c>
      <c r="H1672" s="464"/>
      <c r="I1672" s="20">
        <f>I1655</f>
        <v>11.9</v>
      </c>
      <c r="J1672" s="462" t="s">
        <v>249</v>
      </c>
      <c r="K1672" s="464"/>
      <c r="L1672" s="76"/>
      <c r="M1672" s="25"/>
      <c r="N1672" s="294"/>
      <c r="O1672" s="141" t="s">
        <v>322</v>
      </c>
      <c r="P1672" s="133">
        <f>P1671/29</f>
        <v>4.7941379310344781</v>
      </c>
      <c r="Q1672" s="10">
        <f>Q1671/29</f>
        <v>0</v>
      </c>
      <c r="R1672" s="143" t="s">
        <v>12</v>
      </c>
      <c r="S1672" s="476"/>
      <c r="T1672" s="477"/>
      <c r="U1672" s="478"/>
      <c r="V1672" s="479"/>
      <c r="W1672" s="289" t="s">
        <v>379</v>
      </c>
      <c r="X1672" s="132"/>
      <c r="Y1672" s="470" t="s">
        <v>14</v>
      </c>
      <c r="Z1672" s="471"/>
    </row>
    <row r="1673" spans="3:26" ht="15.75" thickBot="1">
      <c r="C1673" s="15"/>
      <c r="D1673" s="455"/>
      <c r="E1673" s="456"/>
      <c r="F1673" s="6">
        <f t="shared" si="83"/>
        <v>1860.75</v>
      </c>
      <c r="G1673" s="462" t="s">
        <v>304</v>
      </c>
      <c r="H1673" s="464"/>
      <c r="I1673" s="63">
        <v>150</v>
      </c>
      <c r="J1673" s="462" t="s">
        <v>974</v>
      </c>
      <c r="K1673" s="464"/>
      <c r="L1673" s="76"/>
      <c r="M1673" s="25"/>
      <c r="N1673" s="294"/>
      <c r="O1673" s="136" t="s">
        <v>324</v>
      </c>
      <c r="P1673" s="319">
        <f>P1656+P1674</f>
        <v>9935</v>
      </c>
      <c r="Q1673" s="320">
        <f>Z1669+Z1670+Z1671</f>
        <v>0</v>
      </c>
      <c r="R1673" s="144" t="s">
        <v>425</v>
      </c>
      <c r="S1673" s="465"/>
      <c r="T1673" s="466"/>
      <c r="U1673" s="467"/>
      <c r="V1673" s="468"/>
      <c r="W1673" s="146" t="s">
        <v>375</v>
      </c>
      <c r="X1673" s="325"/>
      <c r="Y1673" s="143" t="s">
        <v>15</v>
      </c>
      <c r="Z1673" s="12"/>
    </row>
    <row r="1674" spans="3:26" ht="15.75" thickBot="1">
      <c r="C1674" s="15"/>
      <c r="D1674" s="462"/>
      <c r="E1674" s="463"/>
      <c r="F1674" s="6">
        <f t="shared" si="83"/>
        <v>70</v>
      </c>
      <c r="G1674" s="462" t="s">
        <v>982</v>
      </c>
      <c r="H1674" s="464"/>
      <c r="I1674" s="20">
        <v>150</v>
      </c>
      <c r="J1674" s="462" t="s">
        <v>105</v>
      </c>
      <c r="K1674" s="464"/>
      <c r="L1674" s="76"/>
      <c r="M1674" s="25"/>
      <c r="N1674" s="294"/>
      <c r="O1674" s="140" t="s">
        <v>321</v>
      </c>
      <c r="P1674" s="132">
        <f>SUM(L1668:L1681)</f>
        <v>200</v>
      </c>
      <c r="Q1674" s="72">
        <f>Q1673-Q1656</f>
        <v>0</v>
      </c>
      <c r="R1674" s="144" t="s">
        <v>426</v>
      </c>
      <c r="S1674" s="465"/>
      <c r="T1674" s="466"/>
      <c r="U1674" s="467"/>
      <c r="V1674" s="468"/>
      <c r="W1674" s="470" t="s">
        <v>376</v>
      </c>
      <c r="X1674" s="471"/>
      <c r="Y1674" s="146" t="s">
        <v>325</v>
      </c>
      <c r="Z1674" s="10"/>
    </row>
    <row r="1675" spans="3:26" ht="16.5" thickTop="1" thickBot="1">
      <c r="C1675" s="15"/>
      <c r="D1675" s="462"/>
      <c r="E1675" s="463"/>
      <c r="F1675" s="6">
        <f t="shared" si="83"/>
        <v>50</v>
      </c>
      <c r="G1675" s="462" t="s">
        <v>926</v>
      </c>
      <c r="H1675" s="464"/>
      <c r="I1675" s="20">
        <v>400</v>
      </c>
      <c r="J1675" s="462" t="s">
        <v>206</v>
      </c>
      <c r="K1675" s="464"/>
      <c r="L1675" s="76"/>
      <c r="M1675" s="25"/>
      <c r="N1675" s="292"/>
      <c r="O1675" s="141" t="s">
        <v>322</v>
      </c>
      <c r="P1675" s="133">
        <f>P1674/29</f>
        <v>6.8965517241379306</v>
      </c>
      <c r="Q1675" s="10">
        <f>Q1674/29</f>
        <v>0</v>
      </c>
      <c r="R1675" s="144" t="s">
        <v>422</v>
      </c>
      <c r="S1675" s="465"/>
      <c r="T1675" s="466"/>
      <c r="U1675" s="467"/>
      <c r="V1675" s="468"/>
      <c r="W1675" s="289" t="s">
        <v>12</v>
      </c>
      <c r="X1675" s="38"/>
      <c r="Y1675" s="470" t="s">
        <v>374</v>
      </c>
      <c r="Z1675" s="471"/>
    </row>
    <row r="1676" spans="3:26" ht="16.5" thickTop="1" thickBot="1">
      <c r="C1676" s="15"/>
      <c r="D1676" s="462"/>
      <c r="E1676" s="463"/>
      <c r="F1676" s="6">
        <f t="shared" si="83"/>
        <v>150</v>
      </c>
      <c r="G1676" s="462" t="s">
        <v>927</v>
      </c>
      <c r="H1676" s="464"/>
      <c r="I1676" s="20"/>
      <c r="J1676" s="462"/>
      <c r="K1676" s="464"/>
      <c r="L1676" s="76"/>
      <c r="M1676" s="25"/>
      <c r="N1676" s="293"/>
      <c r="O1676" s="136" t="s">
        <v>325</v>
      </c>
      <c r="P1676" s="319">
        <f>P1659+P1677</f>
        <v>7458.88</v>
      </c>
      <c r="Q1676" s="320">
        <f>Z1674</f>
        <v>0</v>
      </c>
      <c r="R1676" s="143" t="s">
        <v>421</v>
      </c>
      <c r="S1676" s="465"/>
      <c r="T1676" s="466"/>
      <c r="U1676" s="467"/>
      <c r="V1676" s="468"/>
      <c r="W1676" s="282" t="s">
        <v>373</v>
      </c>
      <c r="X1676" s="281"/>
      <c r="Y1676" s="321" t="s">
        <v>181</v>
      </c>
      <c r="Z1676" s="322">
        <v>0</v>
      </c>
    </row>
    <row r="1677" spans="3:26" ht="15.75" thickBot="1">
      <c r="C1677" s="266"/>
      <c r="D1677" s="448"/>
      <c r="E1677" s="469"/>
      <c r="F1677" s="6">
        <f t="shared" si="83"/>
        <v>150</v>
      </c>
      <c r="G1677" s="462" t="s">
        <v>925</v>
      </c>
      <c r="H1677" s="464"/>
      <c r="I1677" s="20"/>
      <c r="J1677" s="462"/>
      <c r="K1677" s="464"/>
      <c r="L1677" s="76"/>
      <c r="M1677" s="25"/>
      <c r="N1677" s="295"/>
      <c r="O1677" s="140" t="s">
        <v>321</v>
      </c>
      <c r="P1677" s="132">
        <f>SUM(M1668:M1681)</f>
        <v>150</v>
      </c>
      <c r="Q1677" s="72">
        <f>Q1676-Q1659</f>
        <v>0</v>
      </c>
      <c r="R1677" s="144" t="s">
        <v>418</v>
      </c>
      <c r="S1677" s="465"/>
      <c r="T1677" s="466"/>
      <c r="U1677" s="467"/>
      <c r="V1677" s="468"/>
      <c r="W1677" s="282" t="s">
        <v>378</v>
      </c>
      <c r="X1677" s="281"/>
      <c r="Y1677" s="470" t="s">
        <v>1000</v>
      </c>
      <c r="Z1677" s="471"/>
    </row>
    <row r="1678" spans="3:26" ht="16.5" thickTop="1" thickBot="1">
      <c r="C1678" s="266"/>
      <c r="D1678" s="448" t="s">
        <v>1001</v>
      </c>
      <c r="E1678" s="469"/>
      <c r="F1678" s="6">
        <f t="shared" si="83"/>
        <v>30</v>
      </c>
      <c r="G1678" s="462" t="s">
        <v>33</v>
      </c>
      <c r="H1678" s="464"/>
      <c r="I1678" s="20"/>
      <c r="J1678" s="462"/>
      <c r="K1678" s="464"/>
      <c r="L1678" s="76"/>
      <c r="M1678" s="25"/>
      <c r="N1678" s="293"/>
      <c r="O1678" s="141" t="s">
        <v>322</v>
      </c>
      <c r="P1678" s="133">
        <f>P1677/29</f>
        <v>5.1724137931034484</v>
      </c>
      <c r="Q1678" s="10">
        <f>Q1677/29</f>
        <v>0</v>
      </c>
      <c r="R1678" s="144" t="s">
        <v>438</v>
      </c>
      <c r="S1678" s="465"/>
      <c r="T1678" s="466"/>
      <c r="U1678" s="472"/>
      <c r="V1678" s="473"/>
      <c r="W1678" s="289" t="s">
        <v>379</v>
      </c>
      <c r="X1678" s="281"/>
      <c r="Y1678" s="143" t="s">
        <v>12</v>
      </c>
      <c r="Z1678" s="12"/>
    </row>
    <row r="1679" spans="3:26" ht="15.75" thickBot="1">
      <c r="C1679" s="15">
        <f>C1662</f>
        <v>4775.66</v>
      </c>
      <c r="D1679" s="455" t="s">
        <v>11</v>
      </c>
      <c r="E1679" s="456"/>
      <c r="F1679" s="15"/>
      <c r="G1679" s="462"/>
      <c r="H1679" s="464"/>
      <c r="I1679" s="20"/>
      <c r="J1679" s="462"/>
      <c r="K1679" s="464"/>
      <c r="L1679" s="76"/>
      <c r="M1679" s="25"/>
      <c r="N1679" s="295"/>
      <c r="O1679" s="136" t="s">
        <v>323</v>
      </c>
      <c r="P1679" s="319">
        <f>P1662+P1680</f>
        <v>19712.45730445853</v>
      </c>
      <c r="Q1679" s="320">
        <f>S1668+U1668</f>
        <v>0</v>
      </c>
      <c r="R1679" s="144" t="s">
        <v>380</v>
      </c>
      <c r="S1679" s="291">
        <f>S1670-S1671</f>
        <v>0</v>
      </c>
      <c r="T1679" s="327" t="e">
        <f>S1679/S1671</f>
        <v>#DIV/0!</v>
      </c>
      <c r="U1679" s="291">
        <f>U1670-U1671</f>
        <v>0</v>
      </c>
      <c r="V1679" s="329" t="e">
        <f>U1679/U1671</f>
        <v>#DIV/0!</v>
      </c>
      <c r="W1679" s="146" t="s">
        <v>375</v>
      </c>
      <c r="X1679" s="326"/>
      <c r="Y1679" s="144" t="s">
        <v>373</v>
      </c>
      <c r="Z1679" s="72"/>
    </row>
    <row r="1680" spans="3:26">
      <c r="C1680" s="15"/>
      <c r="D1680" s="455" t="s">
        <v>390</v>
      </c>
      <c r="E1680" s="456"/>
      <c r="F1680" s="15"/>
      <c r="G1680" s="457" t="s">
        <v>38</v>
      </c>
      <c r="H1680" s="458"/>
      <c r="I1680" s="20"/>
      <c r="J1680" s="457" t="s">
        <v>38</v>
      </c>
      <c r="K1680" s="458"/>
      <c r="L1680" s="76"/>
      <c r="M1680" s="25"/>
      <c r="N1680" s="293"/>
      <c r="O1680" s="140" t="s">
        <v>321</v>
      </c>
      <c r="P1680" s="132">
        <f>SUM(N1668:N1681)</f>
        <v>200</v>
      </c>
      <c r="Q1680" s="72">
        <f>Q1679-Q1662</f>
        <v>0</v>
      </c>
      <c r="R1680" s="144" t="s">
        <v>381</v>
      </c>
      <c r="S1680" s="291">
        <f>S1668-S1673</f>
        <v>0</v>
      </c>
      <c r="T1680" s="327" t="e">
        <f>S1680/S1673</f>
        <v>#DIV/0!</v>
      </c>
      <c r="U1680" s="291">
        <f>U1668-U1673</f>
        <v>0</v>
      </c>
      <c r="V1680" s="366" t="e">
        <f>U1680/ABS(U1673)</f>
        <v>#DIV/0!</v>
      </c>
      <c r="W1680" s="337" t="s">
        <v>410</v>
      </c>
      <c r="X1680" s="1" t="s">
        <v>558</v>
      </c>
      <c r="Y1680" s="144" t="s">
        <v>379</v>
      </c>
      <c r="Z1680" s="72"/>
    </row>
    <row r="1681" spans="3:26" ht="15.75" thickBot="1">
      <c r="C1681" s="17"/>
      <c r="D1681" s="459"/>
      <c r="E1681" s="460"/>
      <c r="F1681" s="17"/>
      <c r="G1681" s="459"/>
      <c r="H1681" s="461"/>
      <c r="I1681" s="21"/>
      <c r="J1681" s="459"/>
      <c r="K1681" s="461"/>
      <c r="L1681" s="42"/>
      <c r="M1681" s="5"/>
      <c r="N1681" s="21"/>
      <c r="O1681" s="137" t="s">
        <v>322</v>
      </c>
      <c r="P1681" s="138">
        <f>P1680/29</f>
        <v>6.8965517241379306</v>
      </c>
      <c r="Q1681" s="24">
        <f>Q1680/29</f>
        <v>0</v>
      </c>
      <c r="R1681" s="153" t="s">
        <v>410</v>
      </c>
      <c r="S1681" s="296">
        <f>S1679+S1680</f>
        <v>0</v>
      </c>
      <c r="T1681" s="328" t="e">
        <f>S1681/S1669</f>
        <v>#DIV/0!</v>
      </c>
      <c r="U1681" s="296">
        <f>U1680+U1679</f>
        <v>0</v>
      </c>
      <c r="V1681" s="330" t="e">
        <f>U1681/U1669</f>
        <v>#DIV/0!</v>
      </c>
      <c r="W1681" s="296">
        <f>S1681+U1681</f>
        <v>0</v>
      </c>
      <c r="X1681" s="330" t="e">
        <f>(W1681+S1669+U1669)/(S1669+U1669)-1</f>
        <v>#DIV/0!</v>
      </c>
      <c r="Y1681" s="153" t="s">
        <v>375</v>
      </c>
      <c r="Z1681" s="389"/>
    </row>
    <row r="1682" spans="3:26" ht="17.25" thickTop="1" thickBot="1">
      <c r="C1682" s="264">
        <v>47574</v>
      </c>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spans="3:26" ht="17.25" thickTop="1" thickBot="1">
      <c r="C1683" s="480" t="s">
        <v>386</v>
      </c>
      <c r="D1683" s="481"/>
      <c r="E1683" s="482"/>
      <c r="F1683" s="483" t="s">
        <v>387</v>
      </c>
      <c r="G1683" s="484"/>
      <c r="H1683" s="484"/>
      <c r="I1683" s="484"/>
      <c r="J1683" s="484"/>
      <c r="K1683" s="484"/>
      <c r="L1683" s="484"/>
      <c r="M1683" s="484"/>
      <c r="N1683" s="485"/>
      <c r="O1683" s="261" t="s">
        <v>320</v>
      </c>
      <c r="P1683" s="262" t="s">
        <v>257</v>
      </c>
      <c r="Q1683" s="263" t="s">
        <v>319</v>
      </c>
      <c r="R1683" s="486" t="s">
        <v>144</v>
      </c>
      <c r="S1683" s="487"/>
      <c r="T1683" s="487"/>
      <c r="U1683" s="487"/>
      <c r="V1683" s="487"/>
      <c r="W1683" s="487"/>
      <c r="X1683" s="487"/>
      <c r="Y1683" s="487"/>
      <c r="Z1683" s="488"/>
    </row>
    <row r="1684" spans="3:26" ht="15.75" thickBot="1">
      <c r="C1684" s="265"/>
      <c r="D1684" s="489"/>
      <c r="E1684" s="490"/>
      <c r="F1684" s="470" t="s">
        <v>3</v>
      </c>
      <c r="G1684" s="491"/>
      <c r="H1684" s="492"/>
      <c r="I1684" s="493" t="s">
        <v>4</v>
      </c>
      <c r="J1684" s="491"/>
      <c r="K1684" s="492"/>
      <c r="L1684" s="267" t="s">
        <v>324</v>
      </c>
      <c r="M1684" s="267" t="s">
        <v>325</v>
      </c>
      <c r="N1684" s="267" t="s">
        <v>323</v>
      </c>
      <c r="O1684" s="316" t="s">
        <v>5</v>
      </c>
      <c r="P1684" s="317">
        <f>P1687+P1690+P1693+P1696</f>
        <v>44899.147304458515</v>
      </c>
      <c r="Q1684" s="318">
        <f>Q1693+Q1690+Q1687+Q1696</f>
        <v>0</v>
      </c>
      <c r="R1684" s="268" t="s">
        <v>323</v>
      </c>
      <c r="S1684" s="493" t="s">
        <v>317</v>
      </c>
      <c r="T1684" s="492"/>
      <c r="U1684" s="493" t="s">
        <v>369</v>
      </c>
      <c r="V1684" s="471"/>
      <c r="W1684" s="470" t="s">
        <v>310</v>
      </c>
      <c r="X1684" s="471"/>
      <c r="Y1684" s="470" t="s">
        <v>13</v>
      </c>
      <c r="Z1684" s="471"/>
    </row>
    <row r="1685" spans="3:26" ht="16.5" thickTop="1" thickBot="1">
      <c r="C1685" s="15"/>
      <c r="D1685" s="494"/>
      <c r="E1685" s="495"/>
      <c r="G1685" s="496"/>
      <c r="H1685" s="497"/>
      <c r="J1685" s="496"/>
      <c r="K1685" s="497"/>
      <c r="L1685" s="76"/>
      <c r="M1685" s="25"/>
      <c r="N1685" s="292"/>
      <c r="O1685" s="258" t="s">
        <v>321</v>
      </c>
      <c r="P1685" s="315">
        <f>SUM(C1685:C1698)-SUM(F1685:F1698)-SUM(I1685:I1698)</f>
        <v>689.02999999999986</v>
      </c>
      <c r="Q1685" s="12">
        <f>Q1684-Q1667</f>
        <v>0</v>
      </c>
      <c r="R1685" s="307" t="s">
        <v>343</v>
      </c>
      <c r="S1685" s="498"/>
      <c r="T1685" s="499"/>
      <c r="U1685" s="498"/>
      <c r="V1685" s="500"/>
      <c r="W1685" s="501" t="s">
        <v>326</v>
      </c>
      <c r="X1685" s="502"/>
      <c r="Y1685" s="143" t="s">
        <v>17</v>
      </c>
      <c r="Z1685" s="12"/>
    </row>
    <row r="1686" spans="3:26" ht="16.5" thickTop="1" thickBot="1">
      <c r="C1686" s="15"/>
      <c r="D1686" s="455" t="s">
        <v>11</v>
      </c>
      <c r="E1686" s="456"/>
      <c r="F1686" s="6">
        <f>F1669</f>
        <v>400</v>
      </c>
      <c r="G1686" s="462" t="s">
        <v>223</v>
      </c>
      <c r="H1686" s="464"/>
      <c r="I1686" s="20">
        <f>I1669</f>
        <v>11.99</v>
      </c>
      <c r="J1686" s="462" t="s">
        <v>385</v>
      </c>
      <c r="K1686" s="464"/>
      <c r="L1686" s="76">
        <f>L1669</f>
        <v>200</v>
      </c>
      <c r="M1686" s="76">
        <f>M1669</f>
        <v>150</v>
      </c>
      <c r="N1686" s="76">
        <f>N1669</f>
        <v>200</v>
      </c>
      <c r="O1686" s="141" t="s">
        <v>322</v>
      </c>
      <c r="P1686" s="133">
        <f>P1685/29</f>
        <v>23.759655172413787</v>
      </c>
      <c r="Q1686" s="10">
        <f>Q1685/29</f>
        <v>0</v>
      </c>
      <c r="R1686" s="308" t="s">
        <v>382</v>
      </c>
      <c r="S1686" s="474"/>
      <c r="T1686" s="475"/>
      <c r="U1686" s="467"/>
      <c r="V1686" s="468"/>
      <c r="W1686" s="289" t="s">
        <v>12</v>
      </c>
      <c r="X1686" s="315"/>
      <c r="Y1686" s="144" t="s">
        <v>18</v>
      </c>
      <c r="Z1686" s="72"/>
    </row>
    <row r="1687" spans="3:26">
      <c r="C1687" s="15"/>
      <c r="D1687" s="455" t="s">
        <v>390</v>
      </c>
      <c r="E1687" s="456"/>
      <c r="F1687" s="6">
        <f t="shared" ref="F1687:F1695" si="84">F1670</f>
        <v>100</v>
      </c>
      <c r="G1687" s="462" t="s">
        <v>9</v>
      </c>
      <c r="H1687" s="464"/>
      <c r="I1687" s="20">
        <f t="shared" ref="I1687:I1692" si="85">I1670</f>
        <v>11.99</v>
      </c>
      <c r="J1687" s="462" t="s">
        <v>22</v>
      </c>
      <c r="K1687" s="464"/>
      <c r="L1687" s="76"/>
      <c r="M1687" s="25"/>
      <c r="N1687" s="294"/>
      <c r="O1687" s="136" t="s">
        <v>12</v>
      </c>
      <c r="P1687" s="319">
        <f>P1670+P1685-SUM(L1685:L1698)-SUM(M1685:M1698)-SUM(N1685:N1698)</f>
        <v>7242.8099999999849</v>
      </c>
      <c r="Q1687" s="320">
        <f>Z1685+Z1690+Z1693</f>
        <v>0</v>
      </c>
      <c r="R1687" s="308" t="s">
        <v>383</v>
      </c>
      <c r="S1687" s="474"/>
      <c r="T1687" s="475"/>
      <c r="U1687" s="467"/>
      <c r="V1687" s="468"/>
      <c r="W1687" s="282" t="s">
        <v>373</v>
      </c>
      <c r="X1687" s="132"/>
      <c r="Y1687" s="144" t="s">
        <v>19</v>
      </c>
      <c r="Z1687" s="72"/>
    </row>
    <row r="1688" spans="3:26" ht="15.75" thickBot="1">
      <c r="C1688" s="15"/>
      <c r="D1688" s="462"/>
      <c r="E1688" s="463"/>
      <c r="F1688" s="6">
        <f t="shared" si="84"/>
        <v>150</v>
      </c>
      <c r="G1688" s="462" t="s">
        <v>6</v>
      </c>
      <c r="H1688" s="464"/>
      <c r="I1688" s="20">
        <f t="shared" si="85"/>
        <v>20</v>
      </c>
      <c r="J1688" s="462" t="s">
        <v>920</v>
      </c>
      <c r="K1688" s="464"/>
      <c r="L1688" s="76"/>
      <c r="M1688" s="25"/>
      <c r="N1688" s="20"/>
      <c r="O1688" s="140" t="s">
        <v>321</v>
      </c>
      <c r="P1688" s="132">
        <f>SUM(C1685:C1698)-SUM(F1685:F1698)-SUM(I1685:I1698)-P1691-P1694-P1697</f>
        <v>139.02999999999986</v>
      </c>
      <c r="Q1688" s="72">
        <f>Q1687-Q1670</f>
        <v>0</v>
      </c>
      <c r="R1688" s="308" t="s">
        <v>424</v>
      </c>
      <c r="S1688" s="474"/>
      <c r="T1688" s="475"/>
      <c r="U1688" s="467"/>
      <c r="V1688" s="468"/>
      <c r="W1688" s="282" t="s">
        <v>378</v>
      </c>
      <c r="X1688" s="132"/>
      <c r="Y1688" s="145" t="s">
        <v>324</v>
      </c>
      <c r="Z1688" s="135"/>
    </row>
    <row r="1689" spans="3:26" ht="15.75" thickBot="1">
      <c r="C1689" s="15"/>
      <c r="D1689" s="455"/>
      <c r="E1689" s="456"/>
      <c r="F1689" s="6">
        <f t="shared" si="84"/>
        <v>370</v>
      </c>
      <c r="G1689" s="462" t="s">
        <v>97</v>
      </c>
      <c r="H1689" s="464"/>
      <c r="I1689" s="20">
        <f t="shared" si="85"/>
        <v>11.9</v>
      </c>
      <c r="J1689" s="462" t="s">
        <v>249</v>
      </c>
      <c r="K1689" s="464"/>
      <c r="L1689" s="76"/>
      <c r="M1689" s="25"/>
      <c r="N1689" s="294"/>
      <c r="O1689" s="141" t="s">
        <v>322</v>
      </c>
      <c r="P1689" s="133">
        <f>P1688/29</f>
        <v>4.7941379310344781</v>
      </c>
      <c r="Q1689" s="10">
        <f>Q1688/29</f>
        <v>0</v>
      </c>
      <c r="R1689" s="143" t="s">
        <v>12</v>
      </c>
      <c r="S1689" s="476"/>
      <c r="T1689" s="477"/>
      <c r="U1689" s="478"/>
      <c r="V1689" s="479"/>
      <c r="W1689" s="289" t="s">
        <v>379</v>
      </c>
      <c r="X1689" s="132"/>
      <c r="Y1689" s="470" t="s">
        <v>14</v>
      </c>
      <c r="Z1689" s="471"/>
    </row>
    <row r="1690" spans="3:26" ht="15.75" thickBot="1">
      <c r="C1690" s="15"/>
      <c r="D1690" s="455"/>
      <c r="E1690" s="456"/>
      <c r="F1690" s="6">
        <f t="shared" si="84"/>
        <v>1860.75</v>
      </c>
      <c r="G1690" s="462" t="s">
        <v>304</v>
      </c>
      <c r="H1690" s="464"/>
      <c r="I1690" s="20">
        <f t="shared" si="85"/>
        <v>150</v>
      </c>
      <c r="J1690" s="462" t="s">
        <v>974</v>
      </c>
      <c r="K1690" s="464"/>
      <c r="L1690" s="76"/>
      <c r="M1690" s="25"/>
      <c r="N1690" s="294"/>
      <c r="O1690" s="136" t="s">
        <v>324</v>
      </c>
      <c r="P1690" s="319">
        <f>P1673+P1691</f>
        <v>10135</v>
      </c>
      <c r="Q1690" s="320">
        <f>Z1686+Z1687+Z1688</f>
        <v>0</v>
      </c>
      <c r="R1690" s="144" t="s">
        <v>425</v>
      </c>
      <c r="S1690" s="465"/>
      <c r="T1690" s="466"/>
      <c r="U1690" s="467"/>
      <c r="V1690" s="468"/>
      <c r="W1690" s="146" t="s">
        <v>375</v>
      </c>
      <c r="X1690" s="325"/>
      <c r="Y1690" s="143" t="s">
        <v>15</v>
      </c>
      <c r="Z1690" s="12"/>
    </row>
    <row r="1691" spans="3:26" ht="15.75" thickBot="1">
      <c r="C1691" s="15"/>
      <c r="D1691" s="462"/>
      <c r="E1691" s="463"/>
      <c r="F1691" s="6">
        <f t="shared" si="84"/>
        <v>70</v>
      </c>
      <c r="G1691" s="462" t="s">
        <v>982</v>
      </c>
      <c r="H1691" s="464"/>
      <c r="I1691" s="20">
        <f t="shared" si="85"/>
        <v>150</v>
      </c>
      <c r="J1691" s="462" t="s">
        <v>105</v>
      </c>
      <c r="K1691" s="464"/>
      <c r="L1691" s="76"/>
      <c r="M1691" s="25"/>
      <c r="N1691" s="294"/>
      <c r="O1691" s="140" t="s">
        <v>321</v>
      </c>
      <c r="P1691" s="132">
        <f>SUM(L1685:L1698)</f>
        <v>200</v>
      </c>
      <c r="Q1691" s="72">
        <f>Q1690-Q1673</f>
        <v>0</v>
      </c>
      <c r="R1691" s="144" t="s">
        <v>426</v>
      </c>
      <c r="S1691" s="465"/>
      <c r="T1691" s="466"/>
      <c r="U1691" s="467"/>
      <c r="V1691" s="468"/>
      <c r="W1691" s="470" t="s">
        <v>376</v>
      </c>
      <c r="X1691" s="471"/>
      <c r="Y1691" s="146" t="s">
        <v>325</v>
      </c>
      <c r="Z1691" s="10"/>
    </row>
    <row r="1692" spans="3:26" ht="16.5" thickTop="1" thickBot="1">
      <c r="C1692" s="15"/>
      <c r="D1692" s="462"/>
      <c r="E1692" s="463"/>
      <c r="F1692" s="6">
        <f t="shared" si="84"/>
        <v>50</v>
      </c>
      <c r="G1692" s="462" t="s">
        <v>926</v>
      </c>
      <c r="H1692" s="464"/>
      <c r="I1692" s="20">
        <f t="shared" si="85"/>
        <v>400</v>
      </c>
      <c r="J1692" s="462" t="s">
        <v>206</v>
      </c>
      <c r="K1692" s="464"/>
      <c r="L1692" s="76"/>
      <c r="M1692" s="25"/>
      <c r="N1692" s="292"/>
      <c r="O1692" s="141" t="s">
        <v>322</v>
      </c>
      <c r="P1692" s="133">
        <f>P1691/29</f>
        <v>6.8965517241379306</v>
      </c>
      <c r="Q1692" s="10">
        <f>Q1691/29</f>
        <v>0</v>
      </c>
      <c r="R1692" s="144" t="s">
        <v>422</v>
      </c>
      <c r="S1692" s="465"/>
      <c r="T1692" s="466"/>
      <c r="U1692" s="467"/>
      <c r="V1692" s="468"/>
      <c r="W1692" s="289" t="s">
        <v>12</v>
      </c>
      <c r="X1692" s="38"/>
      <c r="Y1692" s="470" t="s">
        <v>374</v>
      </c>
      <c r="Z1692" s="471"/>
    </row>
    <row r="1693" spans="3:26" ht="16.5" thickTop="1" thickBot="1">
      <c r="C1693" s="15"/>
      <c r="D1693" s="462"/>
      <c r="E1693" s="463"/>
      <c r="F1693" s="6">
        <f t="shared" si="84"/>
        <v>150</v>
      </c>
      <c r="G1693" s="462" t="s">
        <v>927</v>
      </c>
      <c r="H1693" s="464"/>
      <c r="I1693" s="20"/>
      <c r="J1693" s="462"/>
      <c r="K1693" s="464"/>
      <c r="L1693" s="76"/>
      <c r="M1693" s="25"/>
      <c r="N1693" s="293"/>
      <c r="O1693" s="136" t="s">
        <v>325</v>
      </c>
      <c r="P1693" s="319">
        <f>P1676+P1694</f>
        <v>7608.88</v>
      </c>
      <c r="Q1693" s="320">
        <f>Z1691</f>
        <v>0</v>
      </c>
      <c r="R1693" s="143" t="s">
        <v>421</v>
      </c>
      <c r="S1693" s="465"/>
      <c r="T1693" s="466"/>
      <c r="U1693" s="467"/>
      <c r="V1693" s="468"/>
      <c r="W1693" s="282" t="s">
        <v>373</v>
      </c>
      <c r="X1693" s="281"/>
      <c r="Y1693" s="321" t="s">
        <v>181</v>
      </c>
      <c r="Z1693" s="322">
        <v>0</v>
      </c>
    </row>
    <row r="1694" spans="3:26" ht="15.75" thickBot="1">
      <c r="C1694" s="266"/>
      <c r="D1694" s="448"/>
      <c r="E1694" s="469"/>
      <c r="F1694" s="6">
        <f t="shared" si="84"/>
        <v>150</v>
      </c>
      <c r="G1694" s="462" t="s">
        <v>925</v>
      </c>
      <c r="H1694" s="464"/>
      <c r="I1694" s="20"/>
      <c r="J1694" s="462"/>
      <c r="K1694" s="464"/>
      <c r="L1694" s="76"/>
      <c r="M1694" s="25"/>
      <c r="N1694" s="295"/>
      <c r="O1694" s="140" t="s">
        <v>321</v>
      </c>
      <c r="P1694" s="132">
        <f>SUM(M1685:M1698)</f>
        <v>150</v>
      </c>
      <c r="Q1694" s="72">
        <f>Q1693-Q1676</f>
        <v>0</v>
      </c>
      <c r="R1694" s="144" t="s">
        <v>418</v>
      </c>
      <c r="S1694" s="465"/>
      <c r="T1694" s="466"/>
      <c r="U1694" s="467"/>
      <c r="V1694" s="468"/>
      <c r="W1694" s="282" t="s">
        <v>378</v>
      </c>
      <c r="X1694" s="281"/>
      <c r="Y1694" s="470" t="s">
        <v>1000</v>
      </c>
      <c r="Z1694" s="471"/>
    </row>
    <row r="1695" spans="3:26" ht="16.5" thickTop="1" thickBot="1">
      <c r="C1695" s="266"/>
      <c r="D1695" s="448" t="s">
        <v>1001</v>
      </c>
      <c r="E1695" s="469"/>
      <c r="F1695" s="6">
        <f t="shared" si="84"/>
        <v>30</v>
      </c>
      <c r="G1695" s="462" t="s">
        <v>33</v>
      </c>
      <c r="H1695" s="464"/>
      <c r="I1695" s="20"/>
      <c r="J1695" s="462"/>
      <c r="K1695" s="464"/>
      <c r="L1695" s="76"/>
      <c r="M1695" s="25"/>
      <c r="N1695" s="293"/>
      <c r="O1695" s="141" t="s">
        <v>322</v>
      </c>
      <c r="P1695" s="133">
        <f>P1694/29</f>
        <v>5.1724137931034484</v>
      </c>
      <c r="Q1695" s="10">
        <f>Q1694/29</f>
        <v>0</v>
      </c>
      <c r="R1695" s="144" t="s">
        <v>438</v>
      </c>
      <c r="S1695" s="465"/>
      <c r="T1695" s="466"/>
      <c r="U1695" s="472"/>
      <c r="V1695" s="473"/>
      <c r="W1695" s="289" t="s">
        <v>379</v>
      </c>
      <c r="X1695" s="281"/>
      <c r="Y1695" s="143" t="s">
        <v>12</v>
      </c>
      <c r="Z1695" s="12"/>
    </row>
    <row r="1696" spans="3:26" ht="15.75" thickBot="1">
      <c r="C1696" s="15">
        <f>C1679</f>
        <v>4775.66</v>
      </c>
      <c r="D1696" s="455" t="s">
        <v>11</v>
      </c>
      <c r="E1696" s="456"/>
      <c r="F1696" s="15"/>
      <c r="G1696" s="462"/>
      <c r="H1696" s="464"/>
      <c r="I1696" s="20"/>
      <c r="J1696" s="462"/>
      <c r="K1696" s="464"/>
      <c r="L1696" s="76"/>
      <c r="M1696" s="25"/>
      <c r="N1696" s="295"/>
      <c r="O1696" s="136" t="s">
        <v>323</v>
      </c>
      <c r="P1696" s="319">
        <f>P1679+P1697</f>
        <v>19912.45730445853</v>
      </c>
      <c r="Q1696" s="320">
        <f>S1685+U1685</f>
        <v>0</v>
      </c>
      <c r="R1696" s="144" t="s">
        <v>380</v>
      </c>
      <c r="S1696" s="291">
        <f>S1687-S1688</f>
        <v>0</v>
      </c>
      <c r="T1696" s="327" t="e">
        <f>S1696/S1688</f>
        <v>#DIV/0!</v>
      </c>
      <c r="U1696" s="291">
        <f>U1687-U1688</f>
        <v>0</v>
      </c>
      <c r="V1696" s="329" t="e">
        <f>U1696/U1688</f>
        <v>#DIV/0!</v>
      </c>
      <c r="W1696" s="146" t="s">
        <v>375</v>
      </c>
      <c r="X1696" s="326"/>
      <c r="Y1696" s="144" t="s">
        <v>373</v>
      </c>
      <c r="Z1696" s="72"/>
    </row>
    <row r="1697" spans="3:26">
      <c r="C1697" s="15"/>
      <c r="D1697" s="455" t="s">
        <v>390</v>
      </c>
      <c r="E1697" s="456"/>
      <c r="F1697" s="15"/>
      <c r="G1697" s="457" t="s">
        <v>38</v>
      </c>
      <c r="H1697" s="458"/>
      <c r="I1697" s="20"/>
      <c r="J1697" s="457" t="s">
        <v>38</v>
      </c>
      <c r="K1697" s="458"/>
      <c r="L1697" s="76"/>
      <c r="M1697" s="25"/>
      <c r="N1697" s="293"/>
      <c r="O1697" s="140" t="s">
        <v>321</v>
      </c>
      <c r="P1697" s="132">
        <f>SUM(N1685:N1698)</f>
        <v>200</v>
      </c>
      <c r="Q1697" s="72">
        <f>Q1696-Q1679</f>
        <v>0</v>
      </c>
      <c r="R1697" s="144" t="s">
        <v>381</v>
      </c>
      <c r="S1697" s="291">
        <f>S1685-S1690</f>
        <v>0</v>
      </c>
      <c r="T1697" s="327" t="e">
        <f>S1697/S1690</f>
        <v>#DIV/0!</v>
      </c>
      <c r="U1697" s="291">
        <f>U1685-U1690</f>
        <v>0</v>
      </c>
      <c r="V1697" s="366" t="e">
        <f>U1697/ABS(U1690)</f>
        <v>#DIV/0!</v>
      </c>
      <c r="W1697" s="337" t="s">
        <v>410</v>
      </c>
      <c r="X1697" s="1" t="s">
        <v>558</v>
      </c>
      <c r="Y1697" s="144" t="s">
        <v>379</v>
      </c>
      <c r="Z1697" s="72"/>
    </row>
    <row r="1698" spans="3:26" ht="15.75" thickBot="1">
      <c r="C1698" s="17"/>
      <c r="D1698" s="459"/>
      <c r="E1698" s="460"/>
      <c r="F1698" s="17"/>
      <c r="G1698" s="459"/>
      <c r="H1698" s="461"/>
      <c r="I1698" s="21"/>
      <c r="J1698" s="459"/>
      <c r="K1698" s="461"/>
      <c r="L1698" s="42"/>
      <c r="M1698" s="5"/>
      <c r="N1698" s="21"/>
      <c r="O1698" s="137" t="s">
        <v>322</v>
      </c>
      <c r="P1698" s="138">
        <f>P1697/29</f>
        <v>6.8965517241379306</v>
      </c>
      <c r="Q1698" s="24">
        <f>Q1697/29</f>
        <v>0</v>
      </c>
      <c r="R1698" s="153" t="s">
        <v>410</v>
      </c>
      <c r="S1698" s="296">
        <f>S1696+S1697</f>
        <v>0</v>
      </c>
      <c r="T1698" s="328" t="e">
        <f>S1698/S1686</f>
        <v>#DIV/0!</v>
      </c>
      <c r="U1698" s="296">
        <f>U1697+U1696</f>
        <v>0</v>
      </c>
      <c r="V1698" s="330" t="e">
        <f>U1698/U1686</f>
        <v>#DIV/0!</v>
      </c>
      <c r="W1698" s="296">
        <f>S1698+U1698</f>
        <v>0</v>
      </c>
      <c r="X1698" s="330" t="e">
        <f>(W1698+S1686+U1686)/(S1686+U1686)-1</f>
        <v>#DIV/0!</v>
      </c>
      <c r="Y1698" s="153" t="s">
        <v>375</v>
      </c>
      <c r="Z1698" s="389"/>
    </row>
    <row r="1699" spans="3:26" ht="17.25" thickTop="1" thickBot="1">
      <c r="C1699" s="264">
        <v>47604</v>
      </c>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spans="3:26" ht="17.25" thickTop="1" thickBot="1">
      <c r="C1700" s="480" t="s">
        <v>386</v>
      </c>
      <c r="D1700" s="481"/>
      <c r="E1700" s="482"/>
      <c r="F1700" s="483" t="s">
        <v>387</v>
      </c>
      <c r="G1700" s="484"/>
      <c r="H1700" s="484"/>
      <c r="I1700" s="484"/>
      <c r="J1700" s="484"/>
      <c r="K1700" s="484"/>
      <c r="L1700" s="484"/>
      <c r="M1700" s="484"/>
      <c r="N1700" s="485"/>
      <c r="O1700" s="261" t="s">
        <v>320</v>
      </c>
      <c r="P1700" s="262" t="s">
        <v>257</v>
      </c>
      <c r="Q1700" s="263" t="s">
        <v>319</v>
      </c>
      <c r="R1700" s="486" t="s">
        <v>144</v>
      </c>
      <c r="S1700" s="487"/>
      <c r="T1700" s="487"/>
      <c r="U1700" s="487"/>
      <c r="V1700" s="487"/>
      <c r="W1700" s="487"/>
      <c r="X1700" s="487"/>
      <c r="Y1700" s="487"/>
      <c r="Z1700" s="488"/>
    </row>
    <row r="1701" spans="3:26" ht="15.75" thickBot="1">
      <c r="C1701" s="265"/>
      <c r="D1701" s="489"/>
      <c r="E1701" s="490"/>
      <c r="F1701" s="470" t="s">
        <v>3</v>
      </c>
      <c r="G1701" s="491"/>
      <c r="H1701" s="492"/>
      <c r="I1701" s="493" t="s">
        <v>4</v>
      </c>
      <c r="J1701" s="491"/>
      <c r="K1701" s="492"/>
      <c r="L1701" s="267" t="s">
        <v>324</v>
      </c>
      <c r="M1701" s="267" t="s">
        <v>325</v>
      </c>
      <c r="N1701" s="267" t="s">
        <v>323</v>
      </c>
      <c r="O1701" s="316" t="s">
        <v>5</v>
      </c>
      <c r="P1701" s="317">
        <f>P1704+P1707+P1710+P1713</f>
        <v>45588.177304458513</v>
      </c>
      <c r="Q1701" s="318">
        <f>Q1710+Q1707+Q1704+Q1713</f>
        <v>0</v>
      </c>
      <c r="R1701" s="268" t="s">
        <v>323</v>
      </c>
      <c r="S1701" s="493" t="s">
        <v>317</v>
      </c>
      <c r="T1701" s="492"/>
      <c r="U1701" s="493" t="s">
        <v>369</v>
      </c>
      <c r="V1701" s="471"/>
      <c r="W1701" s="470" t="s">
        <v>310</v>
      </c>
      <c r="X1701" s="471"/>
      <c r="Y1701" s="470" t="s">
        <v>13</v>
      </c>
      <c r="Z1701" s="471"/>
    </row>
    <row r="1702" spans="3:26" ht="16.5" thickTop="1" thickBot="1">
      <c r="C1702" s="15"/>
      <c r="D1702" s="494"/>
      <c r="E1702" s="495"/>
      <c r="G1702" s="496"/>
      <c r="H1702" s="497"/>
      <c r="J1702" s="496"/>
      <c r="K1702" s="497"/>
      <c r="L1702" s="76"/>
      <c r="M1702" s="25"/>
      <c r="N1702" s="292"/>
      <c r="O1702" s="258" t="s">
        <v>321</v>
      </c>
      <c r="P1702" s="315">
        <f>SUM(C1702:C1715)-SUM(F1702:F1715)-SUM(I1702:I1715)</f>
        <v>689.02999999999986</v>
      </c>
      <c r="Q1702" s="12">
        <f>Q1701-Q1684</f>
        <v>0</v>
      </c>
      <c r="R1702" s="307" t="s">
        <v>343</v>
      </c>
      <c r="S1702" s="498"/>
      <c r="T1702" s="499"/>
      <c r="U1702" s="498"/>
      <c r="V1702" s="500"/>
      <c r="W1702" s="501" t="s">
        <v>326</v>
      </c>
      <c r="X1702" s="502"/>
      <c r="Y1702" s="143" t="s">
        <v>17</v>
      </c>
      <c r="Z1702" s="12"/>
    </row>
    <row r="1703" spans="3:26" ht="16.5" thickTop="1" thickBot="1">
      <c r="C1703" s="15"/>
      <c r="D1703" s="455" t="s">
        <v>11</v>
      </c>
      <c r="E1703" s="456"/>
      <c r="F1703" s="6">
        <f>F1686</f>
        <v>400</v>
      </c>
      <c r="G1703" s="462" t="s">
        <v>223</v>
      </c>
      <c r="H1703" s="464"/>
      <c r="I1703" s="20">
        <f>I1686</f>
        <v>11.99</v>
      </c>
      <c r="J1703" s="462" t="s">
        <v>385</v>
      </c>
      <c r="K1703" s="464"/>
      <c r="L1703" s="76">
        <f>L1686</f>
        <v>200</v>
      </c>
      <c r="M1703" s="76">
        <f>M1686</f>
        <v>150</v>
      </c>
      <c r="N1703" s="76">
        <f>N1686</f>
        <v>200</v>
      </c>
      <c r="O1703" s="141" t="s">
        <v>322</v>
      </c>
      <c r="P1703" s="133">
        <f>P1702/29</f>
        <v>23.759655172413787</v>
      </c>
      <c r="Q1703" s="10">
        <f>Q1702/29</f>
        <v>0</v>
      </c>
      <c r="R1703" s="308" t="s">
        <v>382</v>
      </c>
      <c r="S1703" s="474"/>
      <c r="T1703" s="475"/>
      <c r="U1703" s="467"/>
      <c r="V1703" s="468"/>
      <c r="W1703" s="289" t="s">
        <v>12</v>
      </c>
      <c r="X1703" s="315"/>
      <c r="Y1703" s="144" t="s">
        <v>18</v>
      </c>
      <c r="Z1703" s="72"/>
    </row>
    <row r="1704" spans="3:26">
      <c r="C1704" s="15"/>
      <c r="D1704" s="455" t="s">
        <v>390</v>
      </c>
      <c r="E1704" s="456"/>
      <c r="F1704" s="6">
        <f t="shared" ref="F1704:F1712" si="86">F1687</f>
        <v>100</v>
      </c>
      <c r="G1704" s="462" t="s">
        <v>9</v>
      </c>
      <c r="H1704" s="464"/>
      <c r="I1704" s="20">
        <f t="shared" ref="I1704:I1709" si="87">I1687</f>
        <v>11.99</v>
      </c>
      <c r="J1704" s="462" t="s">
        <v>22</v>
      </c>
      <c r="K1704" s="464"/>
      <c r="L1704" s="76"/>
      <c r="M1704" s="25"/>
      <c r="N1704" s="294"/>
      <c r="O1704" s="136" t="s">
        <v>12</v>
      </c>
      <c r="P1704" s="319">
        <f>P1687+P1702-SUM(L1702:L1715)-SUM(M1702:M1715)-SUM(N1702:N1715)</f>
        <v>7381.8399999999847</v>
      </c>
      <c r="Q1704" s="320">
        <f>Z1702+Z1707+Z1710</f>
        <v>0</v>
      </c>
      <c r="R1704" s="308" t="s">
        <v>383</v>
      </c>
      <c r="S1704" s="474"/>
      <c r="T1704" s="475"/>
      <c r="U1704" s="467"/>
      <c r="V1704" s="468"/>
      <c r="W1704" s="282" t="s">
        <v>373</v>
      </c>
      <c r="X1704" s="132"/>
      <c r="Y1704" s="144" t="s">
        <v>19</v>
      </c>
      <c r="Z1704" s="72"/>
    </row>
    <row r="1705" spans="3:26" ht="15.75" thickBot="1">
      <c r="C1705" s="15"/>
      <c r="D1705" s="462"/>
      <c r="E1705" s="463"/>
      <c r="F1705" s="6">
        <f t="shared" si="86"/>
        <v>150</v>
      </c>
      <c r="G1705" s="462" t="s">
        <v>6</v>
      </c>
      <c r="H1705" s="464"/>
      <c r="I1705" s="20">
        <f t="shared" si="87"/>
        <v>20</v>
      </c>
      <c r="J1705" s="462" t="s">
        <v>920</v>
      </c>
      <c r="K1705" s="464"/>
      <c r="L1705" s="76"/>
      <c r="M1705" s="25"/>
      <c r="N1705" s="20"/>
      <c r="O1705" s="140" t="s">
        <v>321</v>
      </c>
      <c r="P1705" s="132">
        <f>SUM(C1702:C1715)-SUM(F1702:F1715)-SUM(I1702:I1715)-P1708-P1711-P1714</f>
        <v>139.02999999999986</v>
      </c>
      <c r="Q1705" s="72">
        <f>Q1704-Q1687</f>
        <v>0</v>
      </c>
      <c r="R1705" s="308" t="s">
        <v>424</v>
      </c>
      <c r="S1705" s="474"/>
      <c r="T1705" s="475"/>
      <c r="U1705" s="467"/>
      <c r="V1705" s="468"/>
      <c r="W1705" s="282" t="s">
        <v>378</v>
      </c>
      <c r="X1705" s="132"/>
      <c r="Y1705" s="145" t="s">
        <v>324</v>
      </c>
      <c r="Z1705" s="135"/>
    </row>
    <row r="1706" spans="3:26" ht="15.75" thickBot="1">
      <c r="C1706" s="15"/>
      <c r="D1706" s="455"/>
      <c r="E1706" s="456"/>
      <c r="F1706" s="6">
        <f t="shared" si="86"/>
        <v>370</v>
      </c>
      <c r="G1706" s="462" t="s">
        <v>97</v>
      </c>
      <c r="H1706" s="464"/>
      <c r="I1706" s="20">
        <f t="shared" si="87"/>
        <v>11.9</v>
      </c>
      <c r="J1706" s="462" t="s">
        <v>249</v>
      </c>
      <c r="K1706" s="464"/>
      <c r="L1706" s="76"/>
      <c r="M1706" s="25"/>
      <c r="N1706" s="294"/>
      <c r="O1706" s="141" t="s">
        <v>322</v>
      </c>
      <c r="P1706" s="133">
        <f>P1705/29</f>
        <v>4.7941379310344781</v>
      </c>
      <c r="Q1706" s="10">
        <f>Q1705/29</f>
        <v>0</v>
      </c>
      <c r="R1706" s="143" t="s">
        <v>12</v>
      </c>
      <c r="S1706" s="476"/>
      <c r="T1706" s="477"/>
      <c r="U1706" s="478"/>
      <c r="V1706" s="479"/>
      <c r="W1706" s="289" t="s">
        <v>379</v>
      </c>
      <c r="X1706" s="132"/>
      <c r="Y1706" s="470" t="s">
        <v>14</v>
      </c>
      <c r="Z1706" s="471"/>
    </row>
    <row r="1707" spans="3:26" ht="15.75" thickBot="1">
      <c r="C1707" s="15"/>
      <c r="D1707" s="455"/>
      <c r="E1707" s="456"/>
      <c r="F1707" s="6">
        <f t="shared" si="86"/>
        <v>1860.75</v>
      </c>
      <c r="G1707" s="462" t="s">
        <v>304</v>
      </c>
      <c r="H1707" s="464"/>
      <c r="I1707" s="20">
        <f t="shared" si="87"/>
        <v>150</v>
      </c>
      <c r="J1707" s="462" t="s">
        <v>974</v>
      </c>
      <c r="K1707" s="464"/>
      <c r="L1707" s="76"/>
      <c r="M1707" s="25"/>
      <c r="N1707" s="294"/>
      <c r="O1707" s="136" t="s">
        <v>324</v>
      </c>
      <c r="P1707" s="319">
        <f>P1690+P1708</f>
        <v>10335</v>
      </c>
      <c r="Q1707" s="320">
        <f>Z1703+Z1704+Z1705</f>
        <v>0</v>
      </c>
      <c r="R1707" s="144" t="s">
        <v>425</v>
      </c>
      <c r="S1707" s="465"/>
      <c r="T1707" s="466"/>
      <c r="U1707" s="467"/>
      <c r="V1707" s="468"/>
      <c r="W1707" s="146" t="s">
        <v>375</v>
      </c>
      <c r="X1707" s="325"/>
      <c r="Y1707" s="143" t="s">
        <v>15</v>
      </c>
      <c r="Z1707" s="12"/>
    </row>
    <row r="1708" spans="3:26" ht="15.75" thickBot="1">
      <c r="C1708" s="15"/>
      <c r="D1708" s="462"/>
      <c r="E1708" s="463"/>
      <c r="F1708" s="6">
        <f t="shared" si="86"/>
        <v>70</v>
      </c>
      <c r="G1708" s="462" t="s">
        <v>982</v>
      </c>
      <c r="H1708" s="464"/>
      <c r="I1708" s="20">
        <f t="shared" si="87"/>
        <v>150</v>
      </c>
      <c r="J1708" s="462" t="s">
        <v>105</v>
      </c>
      <c r="K1708" s="464"/>
      <c r="L1708" s="76"/>
      <c r="M1708" s="25"/>
      <c r="N1708" s="294"/>
      <c r="O1708" s="140" t="s">
        <v>321</v>
      </c>
      <c r="P1708" s="132">
        <f>SUM(L1702:L1715)</f>
        <v>200</v>
      </c>
      <c r="Q1708" s="72">
        <f>Q1707-Q1690</f>
        <v>0</v>
      </c>
      <c r="R1708" s="144" t="s">
        <v>426</v>
      </c>
      <c r="S1708" s="465"/>
      <c r="T1708" s="466"/>
      <c r="U1708" s="467"/>
      <c r="V1708" s="468"/>
      <c r="W1708" s="470" t="s">
        <v>376</v>
      </c>
      <c r="X1708" s="471"/>
      <c r="Y1708" s="146" t="s">
        <v>325</v>
      </c>
      <c r="Z1708" s="10"/>
    </row>
    <row r="1709" spans="3:26" ht="16.5" thickTop="1" thickBot="1">
      <c r="C1709" s="15"/>
      <c r="D1709" s="462"/>
      <c r="E1709" s="463"/>
      <c r="F1709" s="6">
        <f t="shared" si="86"/>
        <v>50</v>
      </c>
      <c r="G1709" s="462" t="s">
        <v>926</v>
      </c>
      <c r="H1709" s="464"/>
      <c r="I1709" s="20">
        <f t="shared" si="87"/>
        <v>400</v>
      </c>
      <c r="J1709" s="462" t="s">
        <v>206</v>
      </c>
      <c r="K1709" s="464"/>
      <c r="L1709" s="76"/>
      <c r="M1709" s="25"/>
      <c r="N1709" s="292"/>
      <c r="O1709" s="141" t="s">
        <v>322</v>
      </c>
      <c r="P1709" s="133">
        <f>P1708/29</f>
        <v>6.8965517241379306</v>
      </c>
      <c r="Q1709" s="10">
        <f>Q1708/29</f>
        <v>0</v>
      </c>
      <c r="R1709" s="144" t="s">
        <v>422</v>
      </c>
      <c r="S1709" s="465"/>
      <c r="T1709" s="466"/>
      <c r="U1709" s="467"/>
      <c r="V1709" s="468"/>
      <c r="W1709" s="289" t="s">
        <v>12</v>
      </c>
      <c r="X1709" s="38"/>
      <c r="Y1709" s="470" t="s">
        <v>374</v>
      </c>
      <c r="Z1709" s="471"/>
    </row>
    <row r="1710" spans="3:26" ht="16.5" thickTop="1" thickBot="1">
      <c r="C1710" s="15"/>
      <c r="D1710" s="462"/>
      <c r="E1710" s="463"/>
      <c r="F1710" s="6">
        <f t="shared" si="86"/>
        <v>150</v>
      </c>
      <c r="G1710" s="462" t="s">
        <v>927</v>
      </c>
      <c r="H1710" s="464"/>
      <c r="I1710" s="20"/>
      <c r="J1710" s="462"/>
      <c r="K1710" s="464"/>
      <c r="L1710" s="76"/>
      <c r="M1710" s="25"/>
      <c r="N1710" s="293"/>
      <c r="O1710" s="136" t="s">
        <v>325</v>
      </c>
      <c r="P1710" s="319">
        <f>P1693+P1711</f>
        <v>7758.88</v>
      </c>
      <c r="Q1710" s="320">
        <f>Z1708</f>
        <v>0</v>
      </c>
      <c r="R1710" s="143" t="s">
        <v>421</v>
      </c>
      <c r="S1710" s="465"/>
      <c r="T1710" s="466"/>
      <c r="U1710" s="467"/>
      <c r="V1710" s="468"/>
      <c r="W1710" s="282" t="s">
        <v>373</v>
      </c>
      <c r="X1710" s="281"/>
      <c r="Y1710" s="321" t="s">
        <v>181</v>
      </c>
      <c r="Z1710" s="322">
        <v>0</v>
      </c>
    </row>
    <row r="1711" spans="3:26" ht="15.75" thickBot="1">
      <c r="C1711" s="266"/>
      <c r="D1711" s="448"/>
      <c r="E1711" s="469"/>
      <c r="F1711" s="6">
        <f t="shared" si="86"/>
        <v>150</v>
      </c>
      <c r="G1711" s="462" t="s">
        <v>925</v>
      </c>
      <c r="H1711" s="464"/>
      <c r="I1711" s="20"/>
      <c r="J1711" s="462"/>
      <c r="K1711" s="464"/>
      <c r="L1711" s="76"/>
      <c r="M1711" s="25"/>
      <c r="N1711" s="295"/>
      <c r="O1711" s="140" t="s">
        <v>321</v>
      </c>
      <c r="P1711" s="132">
        <f>SUM(M1702:M1715)</f>
        <v>150</v>
      </c>
      <c r="Q1711" s="72">
        <f>Q1710-Q1693</f>
        <v>0</v>
      </c>
      <c r="R1711" s="144" t="s">
        <v>418</v>
      </c>
      <c r="S1711" s="465"/>
      <c r="T1711" s="466"/>
      <c r="U1711" s="467"/>
      <c r="V1711" s="468"/>
      <c r="W1711" s="282" t="s">
        <v>378</v>
      </c>
      <c r="X1711" s="281"/>
      <c r="Y1711" s="470" t="s">
        <v>1000</v>
      </c>
      <c r="Z1711" s="471"/>
    </row>
    <row r="1712" spans="3:26" ht="16.5" thickTop="1" thickBot="1">
      <c r="C1712" s="266"/>
      <c r="D1712" s="448" t="s">
        <v>1001</v>
      </c>
      <c r="E1712" s="469"/>
      <c r="F1712" s="6">
        <f t="shared" si="86"/>
        <v>30</v>
      </c>
      <c r="G1712" s="462" t="s">
        <v>33</v>
      </c>
      <c r="H1712" s="464"/>
      <c r="I1712" s="20"/>
      <c r="J1712" s="462"/>
      <c r="K1712" s="464"/>
      <c r="L1712" s="76"/>
      <c r="M1712" s="25"/>
      <c r="N1712" s="293"/>
      <c r="O1712" s="141" t="s">
        <v>322</v>
      </c>
      <c r="P1712" s="133">
        <f>P1711/29</f>
        <v>5.1724137931034484</v>
      </c>
      <c r="Q1712" s="10">
        <f>Q1711/29</f>
        <v>0</v>
      </c>
      <c r="R1712" s="144" t="s">
        <v>438</v>
      </c>
      <c r="S1712" s="465"/>
      <c r="T1712" s="466"/>
      <c r="U1712" s="472"/>
      <c r="V1712" s="473"/>
      <c r="W1712" s="289" t="s">
        <v>379</v>
      </c>
      <c r="X1712" s="281"/>
      <c r="Y1712" s="143" t="s">
        <v>12</v>
      </c>
      <c r="Z1712" s="12"/>
    </row>
    <row r="1713" spans="3:26" ht="15.75" thickBot="1">
      <c r="C1713" s="15">
        <f>C1696</f>
        <v>4775.66</v>
      </c>
      <c r="D1713" s="455" t="s">
        <v>11</v>
      </c>
      <c r="E1713" s="456"/>
      <c r="F1713" s="15"/>
      <c r="G1713" s="462"/>
      <c r="H1713" s="464"/>
      <c r="I1713" s="20"/>
      <c r="J1713" s="462"/>
      <c r="K1713" s="464"/>
      <c r="L1713" s="76"/>
      <c r="M1713" s="25"/>
      <c r="N1713" s="295"/>
      <c r="O1713" s="136" t="s">
        <v>323</v>
      </c>
      <c r="P1713" s="319">
        <f>P1696+P1714</f>
        <v>20112.45730445853</v>
      </c>
      <c r="Q1713" s="320">
        <f>S1702+U1702</f>
        <v>0</v>
      </c>
      <c r="R1713" s="144" t="s">
        <v>380</v>
      </c>
      <c r="S1713" s="291">
        <f>S1704-S1705</f>
        <v>0</v>
      </c>
      <c r="T1713" s="327" t="e">
        <f>S1713/S1705</f>
        <v>#DIV/0!</v>
      </c>
      <c r="U1713" s="291">
        <f>U1704-U1705</f>
        <v>0</v>
      </c>
      <c r="V1713" s="329" t="e">
        <f>U1713/U1705</f>
        <v>#DIV/0!</v>
      </c>
      <c r="W1713" s="146" t="s">
        <v>375</v>
      </c>
      <c r="X1713" s="326"/>
      <c r="Y1713" s="144" t="s">
        <v>373</v>
      </c>
      <c r="Z1713" s="72"/>
    </row>
    <row r="1714" spans="3:26">
      <c r="C1714" s="15"/>
      <c r="D1714" s="455" t="s">
        <v>390</v>
      </c>
      <c r="E1714" s="456"/>
      <c r="F1714" s="15"/>
      <c r="G1714" s="457" t="s">
        <v>38</v>
      </c>
      <c r="H1714" s="458"/>
      <c r="I1714" s="20"/>
      <c r="J1714" s="457" t="s">
        <v>38</v>
      </c>
      <c r="K1714" s="458"/>
      <c r="L1714" s="76"/>
      <c r="M1714" s="25"/>
      <c r="N1714" s="293"/>
      <c r="O1714" s="140" t="s">
        <v>321</v>
      </c>
      <c r="P1714" s="132">
        <f>SUM(N1702:N1715)</f>
        <v>200</v>
      </c>
      <c r="Q1714" s="72">
        <f>Q1713-Q1696</f>
        <v>0</v>
      </c>
      <c r="R1714" s="144" t="s">
        <v>381</v>
      </c>
      <c r="S1714" s="291">
        <f>S1702-S1707</f>
        <v>0</v>
      </c>
      <c r="T1714" s="327" t="e">
        <f>S1714/S1707</f>
        <v>#DIV/0!</v>
      </c>
      <c r="U1714" s="291">
        <f>U1702-U1707</f>
        <v>0</v>
      </c>
      <c r="V1714" s="366" t="e">
        <f>U1714/ABS(U1707)</f>
        <v>#DIV/0!</v>
      </c>
      <c r="W1714" s="337" t="s">
        <v>410</v>
      </c>
      <c r="X1714" s="1" t="s">
        <v>558</v>
      </c>
      <c r="Y1714" s="144" t="s">
        <v>379</v>
      </c>
      <c r="Z1714" s="72"/>
    </row>
    <row r="1715" spans="3:26" ht="15.75" thickBot="1">
      <c r="C1715" s="17"/>
      <c r="D1715" s="459"/>
      <c r="E1715" s="460"/>
      <c r="F1715" s="17"/>
      <c r="G1715" s="459"/>
      <c r="H1715" s="461"/>
      <c r="I1715" s="21"/>
      <c r="J1715" s="459"/>
      <c r="K1715" s="461"/>
      <c r="L1715" s="42"/>
      <c r="M1715" s="5"/>
      <c r="N1715" s="21"/>
      <c r="O1715" s="137" t="s">
        <v>322</v>
      </c>
      <c r="P1715" s="138">
        <f>P1714/29</f>
        <v>6.8965517241379306</v>
      </c>
      <c r="Q1715" s="24">
        <f>Q1714/29</f>
        <v>0</v>
      </c>
      <c r="R1715" s="153" t="s">
        <v>410</v>
      </c>
      <c r="S1715" s="296">
        <f>S1713+S1714</f>
        <v>0</v>
      </c>
      <c r="T1715" s="328" t="e">
        <f>S1715/S1703</f>
        <v>#DIV/0!</v>
      </c>
      <c r="U1715" s="296">
        <f>U1714+U1713</f>
        <v>0</v>
      </c>
      <c r="V1715" s="330" t="e">
        <f>U1715/U1703</f>
        <v>#DIV/0!</v>
      </c>
      <c r="W1715" s="296">
        <f>S1715+U1715</f>
        <v>0</v>
      </c>
      <c r="X1715" s="330" t="e">
        <f>(W1715+S1703+U1703)/(S1703+U1703)-1</f>
        <v>#DIV/0!</v>
      </c>
      <c r="Y1715" s="153" t="s">
        <v>375</v>
      </c>
      <c r="Z1715" s="389"/>
    </row>
    <row r="1716" spans="3:26" ht="17.25" thickTop="1" thickBot="1">
      <c r="C1716" s="264">
        <v>47635</v>
      </c>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spans="3:26" ht="17.25" thickTop="1" thickBot="1">
      <c r="C1717" s="480" t="s">
        <v>386</v>
      </c>
      <c r="D1717" s="481"/>
      <c r="E1717" s="482"/>
      <c r="F1717" s="483" t="s">
        <v>387</v>
      </c>
      <c r="G1717" s="484"/>
      <c r="H1717" s="484"/>
      <c r="I1717" s="484"/>
      <c r="J1717" s="484"/>
      <c r="K1717" s="484"/>
      <c r="L1717" s="484"/>
      <c r="M1717" s="484"/>
      <c r="N1717" s="485"/>
      <c r="O1717" s="261" t="s">
        <v>320</v>
      </c>
      <c r="P1717" s="262" t="s">
        <v>257</v>
      </c>
      <c r="Q1717" s="263" t="s">
        <v>319</v>
      </c>
      <c r="R1717" s="486" t="s">
        <v>144</v>
      </c>
      <c r="S1717" s="487"/>
      <c r="T1717" s="487"/>
      <c r="U1717" s="487"/>
      <c r="V1717" s="487"/>
      <c r="W1717" s="487"/>
      <c r="X1717" s="487"/>
      <c r="Y1717" s="487"/>
      <c r="Z1717" s="488"/>
    </row>
    <row r="1718" spans="3:26" ht="15.75" thickBot="1">
      <c r="C1718" s="265"/>
      <c r="D1718" s="489"/>
      <c r="E1718" s="490"/>
      <c r="F1718" s="470" t="s">
        <v>3</v>
      </c>
      <c r="G1718" s="491"/>
      <c r="H1718" s="492"/>
      <c r="I1718" s="493" t="s">
        <v>4</v>
      </c>
      <c r="J1718" s="491"/>
      <c r="K1718" s="492"/>
      <c r="L1718" s="267" t="s">
        <v>324</v>
      </c>
      <c r="M1718" s="267" t="s">
        <v>325</v>
      </c>
      <c r="N1718" s="267" t="s">
        <v>323</v>
      </c>
      <c r="O1718" s="316" t="s">
        <v>5</v>
      </c>
      <c r="P1718" s="317">
        <f>P1721+P1724+P1727+P1730</f>
        <v>46277.207304458512</v>
      </c>
      <c r="Q1718" s="318">
        <f>Q1727+Q1724+Q1721+Q1730</f>
        <v>0</v>
      </c>
      <c r="R1718" s="268" t="s">
        <v>323</v>
      </c>
      <c r="S1718" s="493" t="s">
        <v>317</v>
      </c>
      <c r="T1718" s="492"/>
      <c r="U1718" s="493" t="s">
        <v>369</v>
      </c>
      <c r="V1718" s="471"/>
      <c r="W1718" s="470" t="s">
        <v>310</v>
      </c>
      <c r="X1718" s="471"/>
      <c r="Y1718" s="470" t="s">
        <v>13</v>
      </c>
      <c r="Z1718" s="471"/>
    </row>
    <row r="1719" spans="3:26" ht="16.5" thickTop="1" thickBot="1">
      <c r="C1719" s="15"/>
      <c r="D1719" s="494"/>
      <c r="E1719" s="495"/>
      <c r="G1719" s="496"/>
      <c r="H1719" s="497"/>
      <c r="J1719" s="496"/>
      <c r="K1719" s="497"/>
      <c r="L1719" s="76"/>
      <c r="M1719" s="25"/>
      <c r="N1719" s="292"/>
      <c r="O1719" s="258" t="s">
        <v>321</v>
      </c>
      <c r="P1719" s="315">
        <f>SUM(C1719:C1732)-SUM(F1719:F1732)-SUM(I1719:I1732)</f>
        <v>689.02999999999986</v>
      </c>
      <c r="Q1719" s="12">
        <f>Q1718-Q1701</f>
        <v>0</v>
      </c>
      <c r="R1719" s="307" t="s">
        <v>343</v>
      </c>
      <c r="S1719" s="498"/>
      <c r="T1719" s="499"/>
      <c r="U1719" s="498"/>
      <c r="V1719" s="500"/>
      <c r="W1719" s="501" t="s">
        <v>326</v>
      </c>
      <c r="X1719" s="502"/>
      <c r="Y1719" s="143" t="s">
        <v>17</v>
      </c>
      <c r="Z1719" s="12"/>
    </row>
    <row r="1720" spans="3:26" ht="16.5" thickTop="1" thickBot="1">
      <c r="C1720" s="15"/>
      <c r="D1720" s="455" t="s">
        <v>11</v>
      </c>
      <c r="E1720" s="456"/>
      <c r="F1720" s="6">
        <f>F1703</f>
        <v>400</v>
      </c>
      <c r="G1720" s="462" t="s">
        <v>223</v>
      </c>
      <c r="H1720" s="464"/>
      <c r="I1720" s="20">
        <f>I1703</f>
        <v>11.99</v>
      </c>
      <c r="J1720" s="462" t="s">
        <v>385</v>
      </c>
      <c r="K1720" s="464"/>
      <c r="L1720" s="76">
        <f>L1703</f>
        <v>200</v>
      </c>
      <c r="M1720" s="76">
        <f>M1703</f>
        <v>150</v>
      </c>
      <c r="N1720" s="76">
        <f>N1703</f>
        <v>200</v>
      </c>
      <c r="O1720" s="141" t="s">
        <v>322</v>
      </c>
      <c r="P1720" s="133">
        <f>P1719/29</f>
        <v>23.759655172413787</v>
      </c>
      <c r="Q1720" s="10">
        <f>Q1719/29</f>
        <v>0</v>
      </c>
      <c r="R1720" s="308" t="s">
        <v>382</v>
      </c>
      <c r="S1720" s="474"/>
      <c r="T1720" s="475"/>
      <c r="U1720" s="467"/>
      <c r="V1720" s="468"/>
      <c r="W1720" s="289" t="s">
        <v>12</v>
      </c>
      <c r="X1720" s="315"/>
      <c r="Y1720" s="144" t="s">
        <v>18</v>
      </c>
      <c r="Z1720" s="72"/>
    </row>
    <row r="1721" spans="3:26">
      <c r="C1721" s="15"/>
      <c r="D1721" s="455" t="s">
        <v>390</v>
      </c>
      <c r="E1721" s="456"/>
      <c r="F1721" s="6">
        <f t="shared" ref="F1721:F1729" si="88">F1704</f>
        <v>100</v>
      </c>
      <c r="G1721" s="462" t="s">
        <v>9</v>
      </c>
      <c r="H1721" s="464"/>
      <c r="I1721" s="20">
        <f t="shared" ref="I1721:I1726" si="89">I1704</f>
        <v>11.99</v>
      </c>
      <c r="J1721" s="462" t="s">
        <v>22</v>
      </c>
      <c r="K1721" s="464"/>
      <c r="L1721" s="76"/>
      <c r="M1721" s="25"/>
      <c r="N1721" s="294"/>
      <c r="O1721" s="136" t="s">
        <v>12</v>
      </c>
      <c r="P1721" s="319">
        <f>P1704+P1719-SUM(L1719:L1732)-SUM(M1719:M1732)-SUM(N1719:N1732)</f>
        <v>7520.8699999999844</v>
      </c>
      <c r="Q1721" s="320">
        <f>Z1719+Z1724+Z1727</f>
        <v>0</v>
      </c>
      <c r="R1721" s="308" t="s">
        <v>383</v>
      </c>
      <c r="S1721" s="474"/>
      <c r="T1721" s="475"/>
      <c r="U1721" s="467"/>
      <c r="V1721" s="468"/>
      <c r="W1721" s="282" t="s">
        <v>373</v>
      </c>
      <c r="X1721" s="132"/>
      <c r="Y1721" s="144" t="s">
        <v>19</v>
      </c>
      <c r="Z1721" s="72"/>
    </row>
    <row r="1722" spans="3:26" ht="15.75" thickBot="1">
      <c r="C1722" s="15"/>
      <c r="D1722" s="462"/>
      <c r="E1722" s="463"/>
      <c r="F1722" s="6">
        <f t="shared" si="88"/>
        <v>150</v>
      </c>
      <c r="G1722" s="462" t="s">
        <v>6</v>
      </c>
      <c r="H1722" s="464"/>
      <c r="I1722" s="20">
        <f t="shared" si="89"/>
        <v>20</v>
      </c>
      <c r="J1722" s="462" t="s">
        <v>920</v>
      </c>
      <c r="K1722" s="464"/>
      <c r="L1722" s="76"/>
      <c r="M1722" s="25"/>
      <c r="N1722" s="20"/>
      <c r="O1722" s="140" t="s">
        <v>321</v>
      </c>
      <c r="P1722" s="132">
        <f>SUM(C1719:C1732)-SUM(F1719:F1732)-SUM(I1719:I1732)-P1725-P1728-P1731</f>
        <v>139.02999999999986</v>
      </c>
      <c r="Q1722" s="72">
        <f>Q1721-Q1704</f>
        <v>0</v>
      </c>
      <c r="R1722" s="308" t="s">
        <v>424</v>
      </c>
      <c r="S1722" s="474"/>
      <c r="T1722" s="475"/>
      <c r="U1722" s="467"/>
      <c r="V1722" s="468"/>
      <c r="W1722" s="282" t="s">
        <v>378</v>
      </c>
      <c r="X1722" s="132"/>
      <c r="Y1722" s="145" t="s">
        <v>324</v>
      </c>
      <c r="Z1722" s="135"/>
    </row>
    <row r="1723" spans="3:26" ht="15.75" thickBot="1">
      <c r="C1723" s="15"/>
      <c r="D1723" s="455"/>
      <c r="E1723" s="456"/>
      <c r="F1723" s="6">
        <f t="shared" si="88"/>
        <v>370</v>
      </c>
      <c r="G1723" s="462" t="s">
        <v>97</v>
      </c>
      <c r="H1723" s="464"/>
      <c r="I1723" s="20">
        <f t="shared" si="89"/>
        <v>11.9</v>
      </c>
      <c r="J1723" s="462" t="s">
        <v>249</v>
      </c>
      <c r="K1723" s="464"/>
      <c r="L1723" s="76"/>
      <c r="M1723" s="25"/>
      <c r="N1723" s="294"/>
      <c r="O1723" s="141" t="s">
        <v>322</v>
      </c>
      <c r="P1723" s="133">
        <f>P1722/29</f>
        <v>4.7941379310344781</v>
      </c>
      <c r="Q1723" s="10">
        <f>Q1722/29</f>
        <v>0</v>
      </c>
      <c r="R1723" s="143" t="s">
        <v>12</v>
      </c>
      <c r="S1723" s="476"/>
      <c r="T1723" s="477"/>
      <c r="U1723" s="478"/>
      <c r="V1723" s="479"/>
      <c r="W1723" s="289" t="s">
        <v>379</v>
      </c>
      <c r="X1723" s="132"/>
      <c r="Y1723" s="470" t="s">
        <v>14</v>
      </c>
      <c r="Z1723" s="471"/>
    </row>
    <row r="1724" spans="3:26" ht="15.75" thickBot="1">
      <c r="C1724" s="15"/>
      <c r="D1724" s="455"/>
      <c r="E1724" s="456"/>
      <c r="F1724" s="6">
        <f t="shared" si="88"/>
        <v>1860.75</v>
      </c>
      <c r="G1724" s="462" t="s">
        <v>304</v>
      </c>
      <c r="H1724" s="464"/>
      <c r="I1724" s="20">
        <f t="shared" si="89"/>
        <v>150</v>
      </c>
      <c r="J1724" s="462" t="s">
        <v>974</v>
      </c>
      <c r="K1724" s="464"/>
      <c r="L1724" s="76"/>
      <c r="M1724" s="25"/>
      <c r="N1724" s="294"/>
      <c r="O1724" s="136" t="s">
        <v>324</v>
      </c>
      <c r="P1724" s="319">
        <f>P1707+P1725</f>
        <v>10535</v>
      </c>
      <c r="Q1724" s="320">
        <f>Z1720+Z1721+Z1722</f>
        <v>0</v>
      </c>
      <c r="R1724" s="144" t="s">
        <v>425</v>
      </c>
      <c r="S1724" s="465"/>
      <c r="T1724" s="466"/>
      <c r="U1724" s="467"/>
      <c r="V1724" s="468"/>
      <c r="W1724" s="146" t="s">
        <v>375</v>
      </c>
      <c r="X1724" s="325"/>
      <c r="Y1724" s="143" t="s">
        <v>15</v>
      </c>
      <c r="Z1724" s="12"/>
    </row>
    <row r="1725" spans="3:26" ht="15.75" thickBot="1">
      <c r="C1725" s="15"/>
      <c r="D1725" s="462"/>
      <c r="E1725" s="463"/>
      <c r="F1725" s="6">
        <f t="shared" si="88"/>
        <v>70</v>
      </c>
      <c r="G1725" s="462" t="s">
        <v>982</v>
      </c>
      <c r="H1725" s="464"/>
      <c r="I1725" s="20">
        <f t="shared" si="89"/>
        <v>150</v>
      </c>
      <c r="J1725" s="462" t="s">
        <v>105</v>
      </c>
      <c r="K1725" s="464"/>
      <c r="L1725" s="76"/>
      <c r="M1725" s="25"/>
      <c r="N1725" s="294"/>
      <c r="O1725" s="140" t="s">
        <v>321</v>
      </c>
      <c r="P1725" s="132">
        <f>SUM(L1719:L1732)</f>
        <v>200</v>
      </c>
      <c r="Q1725" s="72">
        <f>Q1724-Q1707</f>
        <v>0</v>
      </c>
      <c r="R1725" s="144" t="s">
        <v>426</v>
      </c>
      <c r="S1725" s="465"/>
      <c r="T1725" s="466"/>
      <c r="U1725" s="467"/>
      <c r="V1725" s="468"/>
      <c r="W1725" s="470" t="s">
        <v>376</v>
      </c>
      <c r="X1725" s="471"/>
      <c r="Y1725" s="146" t="s">
        <v>325</v>
      </c>
      <c r="Z1725" s="10"/>
    </row>
    <row r="1726" spans="3:26" ht="16.5" thickTop="1" thickBot="1">
      <c r="C1726" s="15"/>
      <c r="D1726" s="462"/>
      <c r="E1726" s="463"/>
      <c r="F1726" s="6">
        <f t="shared" si="88"/>
        <v>50</v>
      </c>
      <c r="G1726" s="462" t="s">
        <v>926</v>
      </c>
      <c r="H1726" s="464"/>
      <c r="I1726" s="20">
        <f t="shared" si="89"/>
        <v>400</v>
      </c>
      <c r="J1726" s="462" t="s">
        <v>206</v>
      </c>
      <c r="K1726" s="464"/>
      <c r="L1726" s="76"/>
      <c r="M1726" s="25"/>
      <c r="N1726" s="292"/>
      <c r="O1726" s="141" t="s">
        <v>322</v>
      </c>
      <c r="P1726" s="133">
        <f>P1725/29</f>
        <v>6.8965517241379306</v>
      </c>
      <c r="Q1726" s="10">
        <f>Q1725/29</f>
        <v>0</v>
      </c>
      <c r="R1726" s="144" t="s">
        <v>422</v>
      </c>
      <c r="S1726" s="465"/>
      <c r="T1726" s="466"/>
      <c r="U1726" s="467"/>
      <c r="V1726" s="468"/>
      <c r="W1726" s="289" t="s">
        <v>12</v>
      </c>
      <c r="X1726" s="38"/>
      <c r="Y1726" s="470" t="s">
        <v>374</v>
      </c>
      <c r="Z1726" s="471"/>
    </row>
    <row r="1727" spans="3:26" ht="16.5" thickTop="1" thickBot="1">
      <c r="C1727" s="15"/>
      <c r="D1727" s="462"/>
      <c r="E1727" s="463"/>
      <c r="F1727" s="6">
        <f t="shared" si="88"/>
        <v>150</v>
      </c>
      <c r="G1727" s="462" t="s">
        <v>927</v>
      </c>
      <c r="H1727" s="464"/>
      <c r="I1727" s="20"/>
      <c r="J1727" s="462"/>
      <c r="K1727" s="464"/>
      <c r="L1727" s="76"/>
      <c r="M1727" s="25"/>
      <c r="N1727" s="293"/>
      <c r="O1727" s="136" t="s">
        <v>325</v>
      </c>
      <c r="P1727" s="319">
        <f>P1710+P1728</f>
        <v>7908.88</v>
      </c>
      <c r="Q1727" s="320">
        <f>Z1725</f>
        <v>0</v>
      </c>
      <c r="R1727" s="143" t="s">
        <v>421</v>
      </c>
      <c r="S1727" s="465"/>
      <c r="T1727" s="466"/>
      <c r="U1727" s="467"/>
      <c r="V1727" s="468"/>
      <c r="W1727" s="282" t="s">
        <v>373</v>
      </c>
      <c r="X1727" s="281"/>
      <c r="Y1727" s="321" t="s">
        <v>181</v>
      </c>
      <c r="Z1727" s="322">
        <v>0</v>
      </c>
    </row>
    <row r="1728" spans="3:26" ht="15.75" thickBot="1">
      <c r="C1728" s="266"/>
      <c r="D1728" s="448"/>
      <c r="E1728" s="469"/>
      <c r="F1728" s="6">
        <f t="shared" si="88"/>
        <v>150</v>
      </c>
      <c r="G1728" s="462" t="s">
        <v>925</v>
      </c>
      <c r="H1728" s="464"/>
      <c r="I1728" s="20"/>
      <c r="J1728" s="462"/>
      <c r="K1728" s="464"/>
      <c r="L1728" s="76"/>
      <c r="M1728" s="25"/>
      <c r="N1728" s="295"/>
      <c r="O1728" s="140" t="s">
        <v>321</v>
      </c>
      <c r="P1728" s="132">
        <f>SUM(M1719:M1732)</f>
        <v>150</v>
      </c>
      <c r="Q1728" s="72">
        <f>Q1727-Q1710</f>
        <v>0</v>
      </c>
      <c r="R1728" s="144" t="s">
        <v>418</v>
      </c>
      <c r="S1728" s="465"/>
      <c r="T1728" s="466"/>
      <c r="U1728" s="467"/>
      <c r="V1728" s="468"/>
      <c r="W1728" s="282" t="s">
        <v>378</v>
      </c>
      <c r="X1728" s="281"/>
      <c r="Y1728" s="470" t="s">
        <v>1000</v>
      </c>
      <c r="Z1728" s="471"/>
    </row>
    <row r="1729" spans="3:26" ht="16.5" thickTop="1" thickBot="1">
      <c r="C1729" s="266"/>
      <c r="D1729" s="448" t="s">
        <v>1001</v>
      </c>
      <c r="E1729" s="469"/>
      <c r="F1729" s="6">
        <f t="shared" si="88"/>
        <v>30</v>
      </c>
      <c r="G1729" s="462" t="s">
        <v>33</v>
      </c>
      <c r="H1729" s="464"/>
      <c r="I1729" s="20"/>
      <c r="J1729" s="462"/>
      <c r="K1729" s="464"/>
      <c r="L1729" s="76"/>
      <c r="M1729" s="25"/>
      <c r="N1729" s="293"/>
      <c r="O1729" s="141" t="s">
        <v>322</v>
      </c>
      <c r="P1729" s="133">
        <f>P1728/29</f>
        <v>5.1724137931034484</v>
      </c>
      <c r="Q1729" s="10">
        <f>Q1728/29</f>
        <v>0</v>
      </c>
      <c r="R1729" s="144" t="s">
        <v>438</v>
      </c>
      <c r="S1729" s="465"/>
      <c r="T1729" s="466"/>
      <c r="U1729" s="472"/>
      <c r="V1729" s="473"/>
      <c r="W1729" s="289" t="s">
        <v>379</v>
      </c>
      <c r="X1729" s="281"/>
      <c r="Y1729" s="143" t="s">
        <v>12</v>
      </c>
      <c r="Z1729" s="12"/>
    </row>
    <row r="1730" spans="3:26" ht="15.75" thickBot="1">
      <c r="C1730" s="15">
        <f>C1713</f>
        <v>4775.66</v>
      </c>
      <c r="D1730" s="455" t="s">
        <v>11</v>
      </c>
      <c r="E1730" s="456"/>
      <c r="F1730" s="15"/>
      <c r="G1730" s="462"/>
      <c r="H1730" s="464"/>
      <c r="I1730" s="20"/>
      <c r="J1730" s="462"/>
      <c r="K1730" s="464"/>
      <c r="L1730" s="76"/>
      <c r="M1730" s="25"/>
      <c r="N1730" s="295"/>
      <c r="O1730" s="136" t="s">
        <v>323</v>
      </c>
      <c r="P1730" s="319">
        <f>P1713+P1731</f>
        <v>20312.45730445853</v>
      </c>
      <c r="Q1730" s="320">
        <f>S1719+U1719</f>
        <v>0</v>
      </c>
      <c r="R1730" s="144" t="s">
        <v>380</v>
      </c>
      <c r="S1730" s="291">
        <f>S1721-S1722</f>
        <v>0</v>
      </c>
      <c r="T1730" s="327" t="e">
        <f>S1730/S1722</f>
        <v>#DIV/0!</v>
      </c>
      <c r="U1730" s="291">
        <f>U1721-U1722</f>
        <v>0</v>
      </c>
      <c r="V1730" s="329" t="e">
        <f>U1730/U1722</f>
        <v>#DIV/0!</v>
      </c>
      <c r="W1730" s="146" t="s">
        <v>375</v>
      </c>
      <c r="X1730" s="326"/>
      <c r="Y1730" s="144" t="s">
        <v>373</v>
      </c>
      <c r="Z1730" s="72"/>
    </row>
    <row r="1731" spans="3:26">
      <c r="C1731" s="15"/>
      <c r="D1731" s="455" t="s">
        <v>390</v>
      </c>
      <c r="E1731" s="456"/>
      <c r="F1731" s="15"/>
      <c r="G1731" s="457" t="s">
        <v>38</v>
      </c>
      <c r="H1731" s="458"/>
      <c r="I1731" s="20"/>
      <c r="J1731" s="457" t="s">
        <v>38</v>
      </c>
      <c r="K1731" s="458"/>
      <c r="L1731" s="76"/>
      <c r="M1731" s="25"/>
      <c r="N1731" s="293"/>
      <c r="O1731" s="140" t="s">
        <v>321</v>
      </c>
      <c r="P1731" s="132">
        <f>SUM(N1719:N1732)</f>
        <v>200</v>
      </c>
      <c r="Q1731" s="72">
        <f>Q1730-Q1713</f>
        <v>0</v>
      </c>
      <c r="R1731" s="144" t="s">
        <v>381</v>
      </c>
      <c r="S1731" s="291">
        <f>S1719-S1724</f>
        <v>0</v>
      </c>
      <c r="T1731" s="327" t="e">
        <f>S1731/S1724</f>
        <v>#DIV/0!</v>
      </c>
      <c r="U1731" s="291">
        <f>U1719-U1724</f>
        <v>0</v>
      </c>
      <c r="V1731" s="366" t="e">
        <f>U1731/ABS(U1724)</f>
        <v>#DIV/0!</v>
      </c>
      <c r="W1731" s="337" t="s">
        <v>410</v>
      </c>
      <c r="X1731" s="1" t="s">
        <v>558</v>
      </c>
      <c r="Y1731" s="144" t="s">
        <v>379</v>
      </c>
      <c r="Z1731" s="72"/>
    </row>
    <row r="1732" spans="3:26" ht="15.75" thickBot="1">
      <c r="C1732" s="17"/>
      <c r="D1732" s="459"/>
      <c r="E1732" s="460"/>
      <c r="F1732" s="17"/>
      <c r="G1732" s="459"/>
      <c r="H1732" s="461"/>
      <c r="I1732" s="21"/>
      <c r="J1732" s="459"/>
      <c r="K1732" s="461"/>
      <c r="L1732" s="42"/>
      <c r="M1732" s="5"/>
      <c r="N1732" s="21"/>
      <c r="O1732" s="137" t="s">
        <v>322</v>
      </c>
      <c r="P1732" s="138">
        <f>P1731/29</f>
        <v>6.8965517241379306</v>
      </c>
      <c r="Q1732" s="24">
        <f>Q1731/29</f>
        <v>0</v>
      </c>
      <c r="R1732" s="153" t="s">
        <v>410</v>
      </c>
      <c r="S1732" s="296">
        <f>S1730+S1731</f>
        <v>0</v>
      </c>
      <c r="T1732" s="328" t="e">
        <f>S1732/S1720</f>
        <v>#DIV/0!</v>
      </c>
      <c r="U1732" s="296">
        <f>U1731+U1730</f>
        <v>0</v>
      </c>
      <c r="V1732" s="330" t="e">
        <f>U1732/U1720</f>
        <v>#DIV/0!</v>
      </c>
      <c r="W1732" s="296">
        <f>S1732+U1732</f>
        <v>0</v>
      </c>
      <c r="X1732" s="330" t="e">
        <f>(W1732+S1720+U1720)/(S1720+U1720)-1</f>
        <v>#DIV/0!</v>
      </c>
      <c r="Y1732" s="153" t="s">
        <v>375</v>
      </c>
      <c r="Z1732" s="389"/>
    </row>
    <row r="1733" spans="3:26" ht="17.25" thickTop="1" thickBot="1">
      <c r="C1733" s="264">
        <v>47665</v>
      </c>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spans="3:26" ht="17.25" thickTop="1" thickBot="1">
      <c r="C1734" s="480" t="s">
        <v>386</v>
      </c>
      <c r="D1734" s="481"/>
      <c r="E1734" s="482"/>
      <c r="F1734" s="483" t="s">
        <v>387</v>
      </c>
      <c r="G1734" s="484"/>
      <c r="H1734" s="484"/>
      <c r="I1734" s="484"/>
      <c r="J1734" s="484"/>
      <c r="K1734" s="484"/>
      <c r="L1734" s="484"/>
      <c r="M1734" s="484"/>
      <c r="N1734" s="485"/>
      <c r="O1734" s="261" t="s">
        <v>320</v>
      </c>
      <c r="P1734" s="262" t="s">
        <v>257</v>
      </c>
      <c r="Q1734" s="263" t="s">
        <v>319</v>
      </c>
      <c r="R1734" s="486" t="s">
        <v>144</v>
      </c>
      <c r="S1734" s="487"/>
      <c r="T1734" s="487"/>
      <c r="U1734" s="487"/>
      <c r="V1734" s="487"/>
      <c r="W1734" s="487"/>
      <c r="X1734" s="487"/>
      <c r="Y1734" s="487"/>
      <c r="Z1734" s="488"/>
    </row>
    <row r="1735" spans="3:26" ht="15.75" thickBot="1">
      <c r="C1735" s="265"/>
      <c r="D1735" s="489"/>
      <c r="E1735" s="490"/>
      <c r="F1735" s="470" t="s">
        <v>3</v>
      </c>
      <c r="G1735" s="491"/>
      <c r="H1735" s="492"/>
      <c r="I1735" s="493" t="s">
        <v>4</v>
      </c>
      <c r="J1735" s="491"/>
      <c r="K1735" s="492"/>
      <c r="L1735" s="267" t="s">
        <v>324</v>
      </c>
      <c r="M1735" s="267" t="s">
        <v>325</v>
      </c>
      <c r="N1735" s="267" t="s">
        <v>323</v>
      </c>
      <c r="O1735" s="316" t="s">
        <v>5</v>
      </c>
      <c r="P1735" s="317">
        <f>P1738+P1741+P1744+P1747</f>
        <v>46966.237304458518</v>
      </c>
      <c r="Q1735" s="318">
        <f>Q1744+Q1741+Q1738+Q1747</f>
        <v>0</v>
      </c>
      <c r="R1735" s="268" t="s">
        <v>323</v>
      </c>
      <c r="S1735" s="493" t="s">
        <v>317</v>
      </c>
      <c r="T1735" s="492"/>
      <c r="U1735" s="493" t="s">
        <v>369</v>
      </c>
      <c r="V1735" s="471"/>
      <c r="W1735" s="470" t="s">
        <v>310</v>
      </c>
      <c r="X1735" s="471"/>
      <c r="Y1735" s="470" t="s">
        <v>13</v>
      </c>
      <c r="Z1735" s="471"/>
    </row>
    <row r="1736" spans="3:26" ht="16.5" thickTop="1" thickBot="1">
      <c r="C1736" s="15"/>
      <c r="D1736" s="494"/>
      <c r="E1736" s="495"/>
      <c r="G1736" s="496"/>
      <c r="H1736" s="497"/>
      <c r="J1736" s="496"/>
      <c r="K1736" s="497"/>
      <c r="L1736" s="76"/>
      <c r="M1736" s="25"/>
      <c r="N1736" s="292"/>
      <c r="O1736" s="258" t="s">
        <v>321</v>
      </c>
      <c r="P1736" s="315">
        <f>SUM(C1736:C1749)-SUM(F1736:F1749)-SUM(I1736:I1749)</f>
        <v>689.02999999999986</v>
      </c>
      <c r="Q1736" s="12">
        <f>Q1735-Q1718</f>
        <v>0</v>
      </c>
      <c r="R1736" s="307" t="s">
        <v>343</v>
      </c>
      <c r="S1736" s="498"/>
      <c r="T1736" s="499"/>
      <c r="U1736" s="498"/>
      <c r="V1736" s="500"/>
      <c r="W1736" s="501" t="s">
        <v>326</v>
      </c>
      <c r="X1736" s="502"/>
      <c r="Y1736" s="143" t="s">
        <v>17</v>
      </c>
      <c r="Z1736" s="12"/>
    </row>
    <row r="1737" spans="3:26" ht="16.5" thickTop="1" thickBot="1">
      <c r="C1737" s="15"/>
      <c r="D1737" s="455" t="s">
        <v>11</v>
      </c>
      <c r="E1737" s="456"/>
      <c r="F1737" s="6">
        <f>F1720</f>
        <v>400</v>
      </c>
      <c r="G1737" s="462" t="s">
        <v>223</v>
      </c>
      <c r="H1737" s="464"/>
      <c r="I1737" s="20">
        <f>I1720</f>
        <v>11.99</v>
      </c>
      <c r="J1737" s="462" t="s">
        <v>385</v>
      </c>
      <c r="K1737" s="464"/>
      <c r="L1737" s="76">
        <f>L1720</f>
        <v>200</v>
      </c>
      <c r="M1737" s="76">
        <f>M1720</f>
        <v>150</v>
      </c>
      <c r="N1737" s="76">
        <f>N1720</f>
        <v>200</v>
      </c>
      <c r="O1737" s="141" t="s">
        <v>322</v>
      </c>
      <c r="P1737" s="133">
        <f>P1736/29</f>
        <v>23.759655172413787</v>
      </c>
      <c r="Q1737" s="10">
        <f>Q1736/29</f>
        <v>0</v>
      </c>
      <c r="R1737" s="308" t="s">
        <v>382</v>
      </c>
      <c r="S1737" s="474"/>
      <c r="T1737" s="475"/>
      <c r="U1737" s="467"/>
      <c r="V1737" s="468"/>
      <c r="W1737" s="289" t="s">
        <v>12</v>
      </c>
      <c r="X1737" s="315"/>
      <c r="Y1737" s="144" t="s">
        <v>18</v>
      </c>
      <c r="Z1737" s="72"/>
    </row>
    <row r="1738" spans="3:26">
      <c r="C1738" s="15"/>
      <c r="D1738" s="455" t="s">
        <v>390</v>
      </c>
      <c r="E1738" s="456"/>
      <c r="F1738" s="6">
        <f t="shared" ref="F1738:F1746" si="90">F1721</f>
        <v>100</v>
      </c>
      <c r="G1738" s="462" t="s">
        <v>9</v>
      </c>
      <c r="H1738" s="464"/>
      <c r="I1738" s="20">
        <f t="shared" ref="I1738:I1743" si="91">I1721</f>
        <v>11.99</v>
      </c>
      <c r="J1738" s="462" t="s">
        <v>22</v>
      </c>
      <c r="K1738" s="464"/>
      <c r="L1738" s="76"/>
      <c r="M1738" s="25"/>
      <c r="N1738" s="294"/>
      <c r="O1738" s="136" t="s">
        <v>12</v>
      </c>
      <c r="P1738" s="319">
        <f>P1721+P1736-SUM(L1736:L1749)-SUM(M1736:M1749)-SUM(N1736:N1749)</f>
        <v>7659.8999999999851</v>
      </c>
      <c r="Q1738" s="320">
        <f>Z1736+Z1741+Z1744</f>
        <v>0</v>
      </c>
      <c r="R1738" s="308" t="s">
        <v>383</v>
      </c>
      <c r="S1738" s="474"/>
      <c r="T1738" s="475"/>
      <c r="U1738" s="467"/>
      <c r="V1738" s="468"/>
      <c r="W1738" s="282" t="s">
        <v>373</v>
      </c>
      <c r="X1738" s="132"/>
      <c r="Y1738" s="144" t="s">
        <v>19</v>
      </c>
      <c r="Z1738" s="72"/>
    </row>
    <row r="1739" spans="3:26" ht="15.75" thickBot="1">
      <c r="C1739" s="15"/>
      <c r="D1739" s="462"/>
      <c r="E1739" s="463"/>
      <c r="F1739" s="6">
        <f t="shared" si="90"/>
        <v>150</v>
      </c>
      <c r="G1739" s="462" t="s">
        <v>6</v>
      </c>
      <c r="H1739" s="464"/>
      <c r="I1739" s="20">
        <f t="shared" si="91"/>
        <v>20</v>
      </c>
      <c r="J1739" s="462" t="s">
        <v>920</v>
      </c>
      <c r="K1739" s="464"/>
      <c r="L1739" s="76"/>
      <c r="M1739" s="25"/>
      <c r="N1739" s="20"/>
      <c r="O1739" s="140" t="s">
        <v>321</v>
      </c>
      <c r="P1739" s="132">
        <f>SUM(C1736:C1749)-SUM(F1736:F1749)-SUM(I1736:I1749)-P1742-P1745-P1748</f>
        <v>139.02999999999986</v>
      </c>
      <c r="Q1739" s="72">
        <f>Q1738-Q1721</f>
        <v>0</v>
      </c>
      <c r="R1739" s="308" t="s">
        <v>424</v>
      </c>
      <c r="S1739" s="474"/>
      <c r="T1739" s="475"/>
      <c r="U1739" s="467"/>
      <c r="V1739" s="468"/>
      <c r="W1739" s="282" t="s">
        <v>378</v>
      </c>
      <c r="X1739" s="132"/>
      <c r="Y1739" s="145" t="s">
        <v>324</v>
      </c>
      <c r="Z1739" s="135"/>
    </row>
    <row r="1740" spans="3:26" ht="15.75" thickBot="1">
      <c r="C1740" s="15"/>
      <c r="D1740" s="455"/>
      <c r="E1740" s="456"/>
      <c r="F1740" s="6">
        <f t="shared" si="90"/>
        <v>370</v>
      </c>
      <c r="G1740" s="462" t="s">
        <v>97</v>
      </c>
      <c r="H1740" s="464"/>
      <c r="I1740" s="20">
        <f t="shared" si="91"/>
        <v>11.9</v>
      </c>
      <c r="J1740" s="462" t="s">
        <v>249</v>
      </c>
      <c r="K1740" s="464"/>
      <c r="L1740" s="76"/>
      <c r="M1740" s="25"/>
      <c r="N1740" s="294"/>
      <c r="O1740" s="141" t="s">
        <v>322</v>
      </c>
      <c r="P1740" s="133">
        <f>P1739/29</f>
        <v>4.7941379310344781</v>
      </c>
      <c r="Q1740" s="10">
        <f>Q1739/29</f>
        <v>0</v>
      </c>
      <c r="R1740" s="143" t="s">
        <v>12</v>
      </c>
      <c r="S1740" s="476"/>
      <c r="T1740" s="477"/>
      <c r="U1740" s="478"/>
      <c r="V1740" s="479"/>
      <c r="W1740" s="289" t="s">
        <v>379</v>
      </c>
      <c r="X1740" s="132"/>
      <c r="Y1740" s="470" t="s">
        <v>14</v>
      </c>
      <c r="Z1740" s="471"/>
    </row>
    <row r="1741" spans="3:26" ht="15.75" thickBot="1">
      <c r="C1741" s="15"/>
      <c r="D1741" s="455"/>
      <c r="E1741" s="456"/>
      <c r="F1741" s="6">
        <f t="shared" si="90"/>
        <v>1860.75</v>
      </c>
      <c r="G1741" s="462" t="s">
        <v>304</v>
      </c>
      <c r="H1741" s="464"/>
      <c r="I1741" s="20">
        <f t="shared" si="91"/>
        <v>150</v>
      </c>
      <c r="J1741" s="462" t="s">
        <v>974</v>
      </c>
      <c r="K1741" s="464"/>
      <c r="L1741" s="76"/>
      <c r="M1741" s="25"/>
      <c r="N1741" s="294"/>
      <c r="O1741" s="136" t="s">
        <v>324</v>
      </c>
      <c r="P1741" s="319">
        <f>P1724+P1742</f>
        <v>10735</v>
      </c>
      <c r="Q1741" s="320">
        <f>Z1737+Z1738+Z1739</f>
        <v>0</v>
      </c>
      <c r="R1741" s="144" t="s">
        <v>425</v>
      </c>
      <c r="S1741" s="465"/>
      <c r="T1741" s="466"/>
      <c r="U1741" s="467"/>
      <c r="V1741" s="468"/>
      <c r="W1741" s="146" t="s">
        <v>375</v>
      </c>
      <c r="X1741" s="325"/>
      <c r="Y1741" s="143" t="s">
        <v>15</v>
      </c>
      <c r="Z1741" s="12"/>
    </row>
    <row r="1742" spans="3:26" ht="15.75" thickBot="1">
      <c r="C1742" s="15"/>
      <c r="D1742" s="462"/>
      <c r="E1742" s="463"/>
      <c r="F1742" s="6">
        <f t="shared" si="90"/>
        <v>70</v>
      </c>
      <c r="G1742" s="462" t="s">
        <v>982</v>
      </c>
      <c r="H1742" s="464"/>
      <c r="I1742" s="20">
        <f t="shared" si="91"/>
        <v>150</v>
      </c>
      <c r="J1742" s="462" t="s">
        <v>105</v>
      </c>
      <c r="K1742" s="464"/>
      <c r="L1742" s="76"/>
      <c r="M1742" s="25"/>
      <c r="N1742" s="294"/>
      <c r="O1742" s="140" t="s">
        <v>321</v>
      </c>
      <c r="P1742" s="132">
        <f>SUM(L1736:L1749)</f>
        <v>200</v>
      </c>
      <c r="Q1742" s="72">
        <f>Q1741-Q1724</f>
        <v>0</v>
      </c>
      <c r="R1742" s="144" t="s">
        <v>426</v>
      </c>
      <c r="S1742" s="465"/>
      <c r="T1742" s="466"/>
      <c r="U1742" s="467"/>
      <c r="V1742" s="468"/>
      <c r="W1742" s="470" t="s">
        <v>376</v>
      </c>
      <c r="X1742" s="471"/>
      <c r="Y1742" s="146" t="s">
        <v>325</v>
      </c>
      <c r="Z1742" s="10"/>
    </row>
    <row r="1743" spans="3:26" ht="16.5" thickTop="1" thickBot="1">
      <c r="C1743" s="15"/>
      <c r="D1743" s="462"/>
      <c r="E1743" s="463"/>
      <c r="F1743" s="6">
        <f t="shared" si="90"/>
        <v>50</v>
      </c>
      <c r="G1743" s="462" t="s">
        <v>926</v>
      </c>
      <c r="H1743" s="464"/>
      <c r="I1743" s="20">
        <f t="shared" si="91"/>
        <v>400</v>
      </c>
      <c r="J1743" s="462" t="s">
        <v>206</v>
      </c>
      <c r="K1743" s="464"/>
      <c r="L1743" s="76"/>
      <c r="M1743" s="25"/>
      <c r="N1743" s="292"/>
      <c r="O1743" s="141" t="s">
        <v>322</v>
      </c>
      <c r="P1743" s="133">
        <f>P1742/29</f>
        <v>6.8965517241379306</v>
      </c>
      <c r="Q1743" s="10">
        <f>Q1742/29</f>
        <v>0</v>
      </c>
      <c r="R1743" s="144" t="s">
        <v>422</v>
      </c>
      <c r="S1743" s="465"/>
      <c r="T1743" s="466"/>
      <c r="U1743" s="467"/>
      <c r="V1743" s="468"/>
      <c r="W1743" s="289" t="s">
        <v>12</v>
      </c>
      <c r="X1743" s="38"/>
      <c r="Y1743" s="470" t="s">
        <v>374</v>
      </c>
      <c r="Z1743" s="471"/>
    </row>
    <row r="1744" spans="3:26" ht="16.5" thickTop="1" thickBot="1">
      <c r="C1744" s="15"/>
      <c r="D1744" s="462"/>
      <c r="E1744" s="463"/>
      <c r="F1744" s="6">
        <f t="shared" si="90"/>
        <v>150</v>
      </c>
      <c r="G1744" s="462" t="s">
        <v>927</v>
      </c>
      <c r="H1744" s="464"/>
      <c r="I1744" s="20"/>
      <c r="J1744" s="462"/>
      <c r="K1744" s="464"/>
      <c r="L1744" s="76"/>
      <c r="M1744" s="25"/>
      <c r="N1744" s="293"/>
      <c r="O1744" s="136" t="s">
        <v>325</v>
      </c>
      <c r="P1744" s="319">
        <f>P1727+P1745</f>
        <v>8058.88</v>
      </c>
      <c r="Q1744" s="320">
        <f>Z1742</f>
        <v>0</v>
      </c>
      <c r="R1744" s="143" t="s">
        <v>421</v>
      </c>
      <c r="S1744" s="465"/>
      <c r="T1744" s="466"/>
      <c r="U1744" s="467"/>
      <c r="V1744" s="468"/>
      <c r="W1744" s="282" t="s">
        <v>373</v>
      </c>
      <c r="X1744" s="281"/>
      <c r="Y1744" s="321" t="s">
        <v>181</v>
      </c>
      <c r="Z1744" s="322">
        <v>0</v>
      </c>
    </row>
    <row r="1745" spans="3:26" ht="15.75" thickBot="1">
      <c r="C1745" s="266"/>
      <c r="D1745" s="448"/>
      <c r="E1745" s="469"/>
      <c r="F1745" s="6">
        <f t="shared" si="90"/>
        <v>150</v>
      </c>
      <c r="G1745" s="462" t="s">
        <v>925</v>
      </c>
      <c r="H1745" s="464"/>
      <c r="I1745" s="20"/>
      <c r="J1745" s="462"/>
      <c r="K1745" s="464"/>
      <c r="L1745" s="76"/>
      <c r="M1745" s="25"/>
      <c r="N1745" s="295"/>
      <c r="O1745" s="140" t="s">
        <v>321</v>
      </c>
      <c r="P1745" s="132">
        <f>SUM(M1736:M1749)</f>
        <v>150</v>
      </c>
      <c r="Q1745" s="72">
        <f>Q1744-Q1727</f>
        <v>0</v>
      </c>
      <c r="R1745" s="144" t="s">
        <v>418</v>
      </c>
      <c r="S1745" s="465"/>
      <c r="T1745" s="466"/>
      <c r="U1745" s="467"/>
      <c r="V1745" s="468"/>
      <c r="W1745" s="282" t="s">
        <v>378</v>
      </c>
      <c r="X1745" s="281"/>
      <c r="Y1745" s="470" t="s">
        <v>1000</v>
      </c>
      <c r="Z1745" s="471"/>
    </row>
    <row r="1746" spans="3:26" ht="16.5" thickTop="1" thickBot="1">
      <c r="C1746" s="266"/>
      <c r="D1746" s="448" t="s">
        <v>1001</v>
      </c>
      <c r="E1746" s="469"/>
      <c r="F1746" s="6">
        <f t="shared" si="90"/>
        <v>30</v>
      </c>
      <c r="G1746" s="462" t="s">
        <v>33</v>
      </c>
      <c r="H1746" s="464"/>
      <c r="I1746" s="20"/>
      <c r="J1746" s="462"/>
      <c r="K1746" s="464"/>
      <c r="L1746" s="76"/>
      <c r="M1746" s="25"/>
      <c r="N1746" s="293"/>
      <c r="O1746" s="141" t="s">
        <v>322</v>
      </c>
      <c r="P1746" s="133">
        <f>P1745/29</f>
        <v>5.1724137931034484</v>
      </c>
      <c r="Q1746" s="10">
        <f>Q1745/29</f>
        <v>0</v>
      </c>
      <c r="R1746" s="144" t="s">
        <v>438</v>
      </c>
      <c r="S1746" s="465"/>
      <c r="T1746" s="466"/>
      <c r="U1746" s="472"/>
      <c r="V1746" s="473"/>
      <c r="W1746" s="289" t="s">
        <v>379</v>
      </c>
      <c r="X1746" s="281"/>
      <c r="Y1746" s="143" t="s">
        <v>12</v>
      </c>
      <c r="Z1746" s="12"/>
    </row>
    <row r="1747" spans="3:26" ht="15.75" thickBot="1">
      <c r="C1747" s="15">
        <f>C1730</f>
        <v>4775.66</v>
      </c>
      <c r="D1747" s="455" t="s">
        <v>11</v>
      </c>
      <c r="E1747" s="456"/>
      <c r="F1747" s="15"/>
      <c r="G1747" s="462"/>
      <c r="H1747" s="464"/>
      <c r="I1747" s="20"/>
      <c r="J1747" s="462"/>
      <c r="K1747" s="464"/>
      <c r="L1747" s="76"/>
      <c r="M1747" s="25"/>
      <c r="N1747" s="295"/>
      <c r="O1747" s="136" t="s">
        <v>323</v>
      </c>
      <c r="P1747" s="319">
        <f>P1730+P1748</f>
        <v>20512.45730445853</v>
      </c>
      <c r="Q1747" s="320">
        <f>S1736+U1736</f>
        <v>0</v>
      </c>
      <c r="R1747" s="144" t="s">
        <v>380</v>
      </c>
      <c r="S1747" s="291">
        <f>S1738-S1739</f>
        <v>0</v>
      </c>
      <c r="T1747" s="327" t="e">
        <f>S1747/S1739</f>
        <v>#DIV/0!</v>
      </c>
      <c r="U1747" s="291">
        <f>U1738-U1739</f>
        <v>0</v>
      </c>
      <c r="V1747" s="329" t="e">
        <f>U1747/U1739</f>
        <v>#DIV/0!</v>
      </c>
      <c r="W1747" s="146" t="s">
        <v>375</v>
      </c>
      <c r="X1747" s="326"/>
      <c r="Y1747" s="144" t="s">
        <v>373</v>
      </c>
      <c r="Z1747" s="72"/>
    </row>
    <row r="1748" spans="3:26">
      <c r="C1748" s="15"/>
      <c r="D1748" s="455" t="s">
        <v>390</v>
      </c>
      <c r="E1748" s="456"/>
      <c r="F1748" s="15"/>
      <c r="G1748" s="457" t="s">
        <v>38</v>
      </c>
      <c r="H1748" s="458"/>
      <c r="I1748" s="20"/>
      <c r="J1748" s="457" t="s">
        <v>38</v>
      </c>
      <c r="K1748" s="458"/>
      <c r="L1748" s="76"/>
      <c r="M1748" s="25"/>
      <c r="N1748" s="293"/>
      <c r="O1748" s="140" t="s">
        <v>321</v>
      </c>
      <c r="P1748" s="132">
        <f>SUM(N1736:N1749)</f>
        <v>200</v>
      </c>
      <c r="Q1748" s="72">
        <f>Q1747-Q1730</f>
        <v>0</v>
      </c>
      <c r="R1748" s="144" t="s">
        <v>381</v>
      </c>
      <c r="S1748" s="291">
        <f>S1736-S1741</f>
        <v>0</v>
      </c>
      <c r="T1748" s="327" t="e">
        <f>S1748/S1741</f>
        <v>#DIV/0!</v>
      </c>
      <c r="U1748" s="291">
        <f>U1736-U1741</f>
        <v>0</v>
      </c>
      <c r="V1748" s="366" t="e">
        <f>U1748/ABS(U1741)</f>
        <v>#DIV/0!</v>
      </c>
      <c r="W1748" s="337" t="s">
        <v>410</v>
      </c>
      <c r="X1748" s="1" t="s">
        <v>558</v>
      </c>
      <c r="Y1748" s="144" t="s">
        <v>379</v>
      </c>
      <c r="Z1748" s="72"/>
    </row>
    <row r="1749" spans="3:26" ht="15.75" thickBot="1">
      <c r="C1749" s="17"/>
      <c r="D1749" s="459"/>
      <c r="E1749" s="460"/>
      <c r="F1749" s="17"/>
      <c r="G1749" s="459"/>
      <c r="H1749" s="461"/>
      <c r="I1749" s="21"/>
      <c r="J1749" s="459"/>
      <c r="K1749" s="461"/>
      <c r="L1749" s="42"/>
      <c r="M1749" s="5"/>
      <c r="N1749" s="21"/>
      <c r="O1749" s="137" t="s">
        <v>322</v>
      </c>
      <c r="P1749" s="138">
        <f>P1748/29</f>
        <v>6.8965517241379306</v>
      </c>
      <c r="Q1749" s="24">
        <f>Q1748/29</f>
        <v>0</v>
      </c>
      <c r="R1749" s="153" t="s">
        <v>410</v>
      </c>
      <c r="S1749" s="296">
        <f>S1747+S1748</f>
        <v>0</v>
      </c>
      <c r="T1749" s="328" t="e">
        <f>S1749/S1737</f>
        <v>#DIV/0!</v>
      </c>
      <c r="U1749" s="296">
        <f>U1748+U1747</f>
        <v>0</v>
      </c>
      <c r="V1749" s="330" t="e">
        <f>U1749/U1737</f>
        <v>#DIV/0!</v>
      </c>
      <c r="W1749" s="296">
        <f>S1749+U1749</f>
        <v>0</v>
      </c>
      <c r="X1749" s="330" t="e">
        <f>(W1749+S1737+U1737)/(S1737+U1737)-1</f>
        <v>#DIV/0!</v>
      </c>
      <c r="Y1749" s="153" t="s">
        <v>375</v>
      </c>
      <c r="Z1749" s="389"/>
    </row>
    <row r="1750" spans="3:26" ht="17.25" thickTop="1" thickBot="1">
      <c r="C1750" s="264">
        <v>47696</v>
      </c>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spans="3:26" ht="17.25" thickTop="1" thickBot="1">
      <c r="C1751" s="480" t="s">
        <v>386</v>
      </c>
      <c r="D1751" s="481"/>
      <c r="E1751" s="482"/>
      <c r="F1751" s="483" t="s">
        <v>387</v>
      </c>
      <c r="G1751" s="484"/>
      <c r="H1751" s="484"/>
      <c r="I1751" s="484"/>
      <c r="J1751" s="484"/>
      <c r="K1751" s="484"/>
      <c r="L1751" s="484"/>
      <c r="M1751" s="484"/>
      <c r="N1751" s="485"/>
      <c r="O1751" s="261" t="s">
        <v>320</v>
      </c>
      <c r="P1751" s="262" t="s">
        <v>257</v>
      </c>
      <c r="Q1751" s="263" t="s">
        <v>319</v>
      </c>
      <c r="R1751" s="486" t="s">
        <v>144</v>
      </c>
      <c r="S1751" s="487"/>
      <c r="T1751" s="487"/>
      <c r="U1751" s="487"/>
      <c r="V1751" s="487"/>
      <c r="W1751" s="487"/>
      <c r="X1751" s="487"/>
      <c r="Y1751" s="487"/>
      <c r="Z1751" s="488"/>
    </row>
    <row r="1752" spans="3:26" ht="15.75" thickBot="1">
      <c r="C1752" s="265"/>
      <c r="D1752" s="489"/>
      <c r="E1752" s="490"/>
      <c r="F1752" s="470" t="s">
        <v>3</v>
      </c>
      <c r="G1752" s="491"/>
      <c r="H1752" s="492"/>
      <c r="I1752" s="493" t="s">
        <v>4</v>
      </c>
      <c r="J1752" s="491"/>
      <c r="K1752" s="492"/>
      <c r="L1752" s="267" t="s">
        <v>324</v>
      </c>
      <c r="M1752" s="267" t="s">
        <v>325</v>
      </c>
      <c r="N1752" s="267" t="s">
        <v>323</v>
      </c>
      <c r="O1752" s="316" t="s">
        <v>5</v>
      </c>
      <c r="P1752" s="317">
        <f>P1755+P1758+P1761+P1764</f>
        <v>47655.267304458517</v>
      </c>
      <c r="Q1752" s="318">
        <f>Q1761+Q1758+Q1755+Q1764</f>
        <v>0</v>
      </c>
      <c r="R1752" s="268" t="s">
        <v>323</v>
      </c>
      <c r="S1752" s="493" t="s">
        <v>317</v>
      </c>
      <c r="T1752" s="492"/>
      <c r="U1752" s="493" t="s">
        <v>369</v>
      </c>
      <c r="V1752" s="471"/>
      <c r="W1752" s="470" t="s">
        <v>310</v>
      </c>
      <c r="X1752" s="471"/>
      <c r="Y1752" s="470" t="s">
        <v>13</v>
      </c>
      <c r="Z1752" s="471"/>
    </row>
    <row r="1753" spans="3:26" ht="16.5" thickTop="1" thickBot="1">
      <c r="C1753" s="15"/>
      <c r="D1753" s="494"/>
      <c r="E1753" s="495"/>
      <c r="G1753" s="496"/>
      <c r="H1753" s="497"/>
      <c r="J1753" s="496"/>
      <c r="K1753" s="497"/>
      <c r="L1753" s="76"/>
      <c r="M1753" s="25"/>
      <c r="N1753" s="292"/>
      <c r="O1753" s="258" t="s">
        <v>321</v>
      </c>
      <c r="P1753" s="315">
        <f>SUM(C1753:C1766)-SUM(F1753:F1766)-SUM(I1753:I1766)</f>
        <v>689.02999999999986</v>
      </c>
      <c r="Q1753" s="12">
        <f>Q1752-Q1735</f>
        <v>0</v>
      </c>
      <c r="R1753" s="307" t="s">
        <v>343</v>
      </c>
      <c r="S1753" s="498"/>
      <c r="T1753" s="499"/>
      <c r="U1753" s="498"/>
      <c r="V1753" s="500"/>
      <c r="W1753" s="501" t="s">
        <v>326</v>
      </c>
      <c r="X1753" s="502"/>
      <c r="Y1753" s="143" t="s">
        <v>17</v>
      </c>
      <c r="Z1753" s="12"/>
    </row>
    <row r="1754" spans="3:26" ht="16.5" thickTop="1" thickBot="1">
      <c r="C1754" s="15"/>
      <c r="D1754" s="455" t="s">
        <v>11</v>
      </c>
      <c r="E1754" s="456"/>
      <c r="F1754" s="6">
        <f>F1737</f>
        <v>400</v>
      </c>
      <c r="G1754" s="462" t="s">
        <v>223</v>
      </c>
      <c r="H1754" s="464"/>
      <c r="I1754" s="20">
        <f>I1737</f>
        <v>11.99</v>
      </c>
      <c r="J1754" s="462" t="s">
        <v>385</v>
      </c>
      <c r="K1754" s="464"/>
      <c r="L1754" s="76">
        <f>L1737</f>
        <v>200</v>
      </c>
      <c r="M1754" s="76">
        <f>M1737</f>
        <v>150</v>
      </c>
      <c r="N1754" s="76">
        <f>N1737</f>
        <v>200</v>
      </c>
      <c r="O1754" s="141" t="s">
        <v>322</v>
      </c>
      <c r="P1754" s="133">
        <f>P1753/29</f>
        <v>23.759655172413787</v>
      </c>
      <c r="Q1754" s="10">
        <f>Q1753/29</f>
        <v>0</v>
      </c>
      <c r="R1754" s="308" t="s">
        <v>382</v>
      </c>
      <c r="S1754" s="474"/>
      <c r="T1754" s="475"/>
      <c r="U1754" s="467"/>
      <c r="V1754" s="468"/>
      <c r="W1754" s="289" t="s">
        <v>12</v>
      </c>
      <c r="X1754" s="315"/>
      <c r="Y1754" s="144" t="s">
        <v>18</v>
      </c>
      <c r="Z1754" s="72"/>
    </row>
    <row r="1755" spans="3:26">
      <c r="C1755" s="15"/>
      <c r="D1755" s="455" t="s">
        <v>390</v>
      </c>
      <c r="E1755" s="456"/>
      <c r="F1755" s="6">
        <f t="shared" ref="F1755:F1763" si="92">F1738</f>
        <v>100</v>
      </c>
      <c r="G1755" s="462" t="s">
        <v>9</v>
      </c>
      <c r="H1755" s="464"/>
      <c r="I1755" s="20">
        <f t="shared" ref="I1755:I1760" si="93">I1738</f>
        <v>11.99</v>
      </c>
      <c r="J1755" s="462" t="s">
        <v>22</v>
      </c>
      <c r="K1755" s="464"/>
      <c r="L1755" s="76"/>
      <c r="M1755" s="25"/>
      <c r="N1755" s="294"/>
      <c r="O1755" s="136" t="s">
        <v>12</v>
      </c>
      <c r="P1755" s="319">
        <f>P1738+P1753-SUM(L1753:L1766)-SUM(M1753:M1766)-SUM(N1753:N1766)</f>
        <v>7798.9299999999857</v>
      </c>
      <c r="Q1755" s="320">
        <f>Z1753+Z1758+Z1761</f>
        <v>0</v>
      </c>
      <c r="R1755" s="308" t="s">
        <v>383</v>
      </c>
      <c r="S1755" s="474"/>
      <c r="T1755" s="475"/>
      <c r="U1755" s="467"/>
      <c r="V1755" s="468"/>
      <c r="W1755" s="282" t="s">
        <v>373</v>
      </c>
      <c r="X1755" s="132"/>
      <c r="Y1755" s="144" t="s">
        <v>19</v>
      </c>
      <c r="Z1755" s="72"/>
    </row>
    <row r="1756" spans="3:26" ht="15.75" thickBot="1">
      <c r="C1756" s="15"/>
      <c r="D1756" s="462"/>
      <c r="E1756" s="463"/>
      <c r="F1756" s="6">
        <f t="shared" si="92"/>
        <v>150</v>
      </c>
      <c r="G1756" s="462" t="s">
        <v>6</v>
      </c>
      <c r="H1756" s="464"/>
      <c r="I1756" s="20">
        <f t="shared" si="93"/>
        <v>20</v>
      </c>
      <c r="J1756" s="462" t="s">
        <v>920</v>
      </c>
      <c r="K1756" s="464"/>
      <c r="L1756" s="76"/>
      <c r="M1756" s="25"/>
      <c r="N1756" s="20"/>
      <c r="O1756" s="140" t="s">
        <v>321</v>
      </c>
      <c r="P1756" s="132">
        <f>SUM(C1753:C1766)-SUM(F1753:F1766)-SUM(I1753:I1766)-P1759-P1762-P1765</f>
        <v>139.02999999999986</v>
      </c>
      <c r="Q1756" s="72">
        <f>Q1755-Q1738</f>
        <v>0</v>
      </c>
      <c r="R1756" s="308" t="s">
        <v>424</v>
      </c>
      <c r="S1756" s="474"/>
      <c r="T1756" s="475"/>
      <c r="U1756" s="467"/>
      <c r="V1756" s="468"/>
      <c r="W1756" s="282" t="s">
        <v>378</v>
      </c>
      <c r="X1756" s="132"/>
      <c r="Y1756" s="145" t="s">
        <v>324</v>
      </c>
      <c r="Z1756" s="135"/>
    </row>
    <row r="1757" spans="3:26" ht="15.75" thickBot="1">
      <c r="C1757" s="15"/>
      <c r="D1757" s="455"/>
      <c r="E1757" s="456"/>
      <c r="F1757" s="6">
        <f t="shared" si="92"/>
        <v>370</v>
      </c>
      <c r="G1757" s="462" t="s">
        <v>97</v>
      </c>
      <c r="H1757" s="464"/>
      <c r="I1757" s="20">
        <f t="shared" si="93"/>
        <v>11.9</v>
      </c>
      <c r="J1757" s="462" t="s">
        <v>249</v>
      </c>
      <c r="K1757" s="464"/>
      <c r="L1757" s="76"/>
      <c r="M1757" s="25"/>
      <c r="N1757" s="294"/>
      <c r="O1757" s="141" t="s">
        <v>322</v>
      </c>
      <c r="P1757" s="133">
        <f>P1756/29</f>
        <v>4.7941379310344781</v>
      </c>
      <c r="Q1757" s="10">
        <f>Q1756/29</f>
        <v>0</v>
      </c>
      <c r="R1757" s="143" t="s">
        <v>12</v>
      </c>
      <c r="S1757" s="476"/>
      <c r="T1757" s="477"/>
      <c r="U1757" s="478"/>
      <c r="V1757" s="479"/>
      <c r="W1757" s="289" t="s">
        <v>379</v>
      </c>
      <c r="X1757" s="132"/>
      <c r="Y1757" s="470" t="s">
        <v>14</v>
      </c>
      <c r="Z1757" s="471"/>
    </row>
    <row r="1758" spans="3:26" ht="15.75" thickBot="1">
      <c r="C1758" s="15"/>
      <c r="D1758" s="455"/>
      <c r="E1758" s="456"/>
      <c r="F1758" s="6">
        <f t="shared" si="92"/>
        <v>1860.75</v>
      </c>
      <c r="G1758" s="462" t="s">
        <v>304</v>
      </c>
      <c r="H1758" s="464"/>
      <c r="I1758" s="20">
        <f t="shared" si="93"/>
        <v>150</v>
      </c>
      <c r="J1758" s="462" t="s">
        <v>974</v>
      </c>
      <c r="K1758" s="464"/>
      <c r="L1758" s="76"/>
      <c r="M1758" s="25"/>
      <c r="N1758" s="294"/>
      <c r="O1758" s="136" t="s">
        <v>324</v>
      </c>
      <c r="P1758" s="319">
        <f>P1741+P1759</f>
        <v>10935</v>
      </c>
      <c r="Q1758" s="320">
        <f>Z1754+Z1755+Z1756</f>
        <v>0</v>
      </c>
      <c r="R1758" s="144" t="s">
        <v>425</v>
      </c>
      <c r="S1758" s="465"/>
      <c r="T1758" s="466"/>
      <c r="U1758" s="467"/>
      <c r="V1758" s="468"/>
      <c r="W1758" s="146" t="s">
        <v>375</v>
      </c>
      <c r="X1758" s="325"/>
      <c r="Y1758" s="143" t="s">
        <v>15</v>
      </c>
      <c r="Z1758" s="12"/>
    </row>
    <row r="1759" spans="3:26" ht="15.75" thickBot="1">
      <c r="C1759" s="15"/>
      <c r="D1759" s="462"/>
      <c r="E1759" s="463"/>
      <c r="F1759" s="6">
        <f t="shared" si="92"/>
        <v>70</v>
      </c>
      <c r="G1759" s="462" t="s">
        <v>982</v>
      </c>
      <c r="H1759" s="464"/>
      <c r="I1759" s="20">
        <f t="shared" si="93"/>
        <v>150</v>
      </c>
      <c r="J1759" s="462" t="s">
        <v>105</v>
      </c>
      <c r="K1759" s="464"/>
      <c r="L1759" s="76"/>
      <c r="M1759" s="25"/>
      <c r="N1759" s="294"/>
      <c r="O1759" s="140" t="s">
        <v>321</v>
      </c>
      <c r="P1759" s="132">
        <f>SUM(L1753:L1766)</f>
        <v>200</v>
      </c>
      <c r="Q1759" s="72">
        <f>Q1758-Q1741</f>
        <v>0</v>
      </c>
      <c r="R1759" s="144" t="s">
        <v>426</v>
      </c>
      <c r="S1759" s="465"/>
      <c r="T1759" s="466"/>
      <c r="U1759" s="467"/>
      <c r="V1759" s="468"/>
      <c r="W1759" s="470" t="s">
        <v>376</v>
      </c>
      <c r="X1759" s="471"/>
      <c r="Y1759" s="146" t="s">
        <v>325</v>
      </c>
      <c r="Z1759" s="10"/>
    </row>
    <row r="1760" spans="3:26" ht="16.5" thickTop="1" thickBot="1">
      <c r="C1760" s="15"/>
      <c r="D1760" s="462"/>
      <c r="E1760" s="463"/>
      <c r="F1760" s="6">
        <f t="shared" si="92"/>
        <v>50</v>
      </c>
      <c r="G1760" s="462" t="s">
        <v>926</v>
      </c>
      <c r="H1760" s="464"/>
      <c r="I1760" s="20">
        <f t="shared" si="93"/>
        <v>400</v>
      </c>
      <c r="J1760" s="462" t="s">
        <v>206</v>
      </c>
      <c r="K1760" s="464"/>
      <c r="L1760" s="76"/>
      <c r="M1760" s="25"/>
      <c r="N1760" s="292"/>
      <c r="O1760" s="141" t="s">
        <v>322</v>
      </c>
      <c r="P1760" s="133">
        <f>P1759/29</f>
        <v>6.8965517241379306</v>
      </c>
      <c r="Q1760" s="10">
        <f>Q1759/29</f>
        <v>0</v>
      </c>
      <c r="R1760" s="144" t="s">
        <v>422</v>
      </c>
      <c r="S1760" s="465"/>
      <c r="T1760" s="466"/>
      <c r="U1760" s="467"/>
      <c r="V1760" s="468"/>
      <c r="W1760" s="289" t="s">
        <v>12</v>
      </c>
      <c r="X1760" s="38"/>
      <c r="Y1760" s="470" t="s">
        <v>374</v>
      </c>
      <c r="Z1760" s="471"/>
    </row>
    <row r="1761" spans="3:26" ht="16.5" thickTop="1" thickBot="1">
      <c r="C1761" s="15"/>
      <c r="D1761" s="462"/>
      <c r="E1761" s="463"/>
      <c r="F1761" s="6">
        <f t="shared" si="92"/>
        <v>150</v>
      </c>
      <c r="G1761" s="462" t="s">
        <v>927</v>
      </c>
      <c r="H1761" s="464"/>
      <c r="I1761" s="20"/>
      <c r="J1761" s="462"/>
      <c r="K1761" s="464"/>
      <c r="L1761" s="76"/>
      <c r="M1761" s="25"/>
      <c r="N1761" s="293"/>
      <c r="O1761" s="136" t="s">
        <v>325</v>
      </c>
      <c r="P1761" s="319">
        <f>P1744+P1762</f>
        <v>8208.880000000001</v>
      </c>
      <c r="Q1761" s="320">
        <f>Z1759</f>
        <v>0</v>
      </c>
      <c r="R1761" s="143" t="s">
        <v>421</v>
      </c>
      <c r="S1761" s="465"/>
      <c r="T1761" s="466"/>
      <c r="U1761" s="467"/>
      <c r="V1761" s="468"/>
      <c r="W1761" s="282" t="s">
        <v>373</v>
      </c>
      <c r="X1761" s="281"/>
      <c r="Y1761" s="321" t="s">
        <v>181</v>
      </c>
      <c r="Z1761" s="322">
        <v>0</v>
      </c>
    </row>
    <row r="1762" spans="3:26" ht="15.75" thickBot="1">
      <c r="C1762" s="266"/>
      <c r="D1762" s="448"/>
      <c r="E1762" s="469"/>
      <c r="F1762" s="6">
        <f t="shared" si="92"/>
        <v>150</v>
      </c>
      <c r="G1762" s="462" t="s">
        <v>925</v>
      </c>
      <c r="H1762" s="464"/>
      <c r="I1762" s="20"/>
      <c r="J1762" s="462"/>
      <c r="K1762" s="464"/>
      <c r="L1762" s="76"/>
      <c r="M1762" s="25"/>
      <c r="N1762" s="295"/>
      <c r="O1762" s="140" t="s">
        <v>321</v>
      </c>
      <c r="P1762" s="132">
        <f>SUM(M1753:M1766)</f>
        <v>150</v>
      </c>
      <c r="Q1762" s="72">
        <f>Q1761-Q1744</f>
        <v>0</v>
      </c>
      <c r="R1762" s="144" t="s">
        <v>418</v>
      </c>
      <c r="S1762" s="465"/>
      <c r="T1762" s="466"/>
      <c r="U1762" s="467"/>
      <c r="V1762" s="468"/>
      <c r="W1762" s="282" t="s">
        <v>378</v>
      </c>
      <c r="X1762" s="281"/>
      <c r="Y1762" s="470" t="s">
        <v>1000</v>
      </c>
      <c r="Z1762" s="471"/>
    </row>
    <row r="1763" spans="3:26" ht="16.5" thickTop="1" thickBot="1">
      <c r="C1763" s="266"/>
      <c r="D1763" s="448" t="s">
        <v>1001</v>
      </c>
      <c r="E1763" s="469"/>
      <c r="F1763" s="6">
        <f t="shared" si="92"/>
        <v>30</v>
      </c>
      <c r="G1763" s="462" t="s">
        <v>33</v>
      </c>
      <c r="H1763" s="464"/>
      <c r="I1763" s="20"/>
      <c r="J1763" s="462"/>
      <c r="K1763" s="464"/>
      <c r="L1763" s="76"/>
      <c r="M1763" s="25"/>
      <c r="N1763" s="293"/>
      <c r="O1763" s="141" t="s">
        <v>322</v>
      </c>
      <c r="P1763" s="133">
        <f>P1762/29</f>
        <v>5.1724137931034484</v>
      </c>
      <c r="Q1763" s="10">
        <f>Q1762/29</f>
        <v>0</v>
      </c>
      <c r="R1763" s="144" t="s">
        <v>438</v>
      </c>
      <c r="S1763" s="465"/>
      <c r="T1763" s="466"/>
      <c r="U1763" s="472"/>
      <c r="V1763" s="473"/>
      <c r="W1763" s="289" t="s">
        <v>379</v>
      </c>
      <c r="X1763" s="281"/>
      <c r="Y1763" s="143" t="s">
        <v>12</v>
      </c>
      <c r="Z1763" s="12"/>
    </row>
    <row r="1764" spans="3:26" ht="15.75" thickBot="1">
      <c r="C1764" s="15">
        <f>C1747</f>
        <v>4775.66</v>
      </c>
      <c r="D1764" s="455" t="s">
        <v>11</v>
      </c>
      <c r="E1764" s="456"/>
      <c r="F1764" s="15"/>
      <c r="G1764" s="462"/>
      <c r="H1764" s="464"/>
      <c r="I1764" s="20"/>
      <c r="J1764" s="462"/>
      <c r="K1764" s="464"/>
      <c r="L1764" s="76"/>
      <c r="M1764" s="25"/>
      <c r="N1764" s="295"/>
      <c r="O1764" s="136" t="s">
        <v>323</v>
      </c>
      <c r="P1764" s="319">
        <f>P1747+P1765</f>
        <v>20712.45730445853</v>
      </c>
      <c r="Q1764" s="320">
        <f>S1753+U1753</f>
        <v>0</v>
      </c>
      <c r="R1764" s="144" t="s">
        <v>380</v>
      </c>
      <c r="S1764" s="291">
        <f>S1755-S1756</f>
        <v>0</v>
      </c>
      <c r="T1764" s="327" t="e">
        <f>S1764/S1756</f>
        <v>#DIV/0!</v>
      </c>
      <c r="U1764" s="291">
        <f>U1755-U1756</f>
        <v>0</v>
      </c>
      <c r="V1764" s="329" t="e">
        <f>U1764/U1756</f>
        <v>#DIV/0!</v>
      </c>
      <c r="W1764" s="146" t="s">
        <v>375</v>
      </c>
      <c r="X1764" s="326"/>
      <c r="Y1764" s="144" t="s">
        <v>373</v>
      </c>
      <c r="Z1764" s="72"/>
    </row>
    <row r="1765" spans="3:26">
      <c r="C1765" s="15"/>
      <c r="D1765" s="455" t="s">
        <v>390</v>
      </c>
      <c r="E1765" s="456"/>
      <c r="F1765" s="15"/>
      <c r="G1765" s="457" t="s">
        <v>38</v>
      </c>
      <c r="H1765" s="458"/>
      <c r="I1765" s="20"/>
      <c r="J1765" s="457" t="s">
        <v>38</v>
      </c>
      <c r="K1765" s="458"/>
      <c r="L1765" s="76"/>
      <c r="M1765" s="25"/>
      <c r="N1765" s="293"/>
      <c r="O1765" s="140" t="s">
        <v>321</v>
      </c>
      <c r="P1765" s="132">
        <f>SUM(N1753:N1766)</f>
        <v>200</v>
      </c>
      <c r="Q1765" s="72">
        <f>Q1764-Q1747</f>
        <v>0</v>
      </c>
      <c r="R1765" s="144" t="s">
        <v>381</v>
      </c>
      <c r="S1765" s="291">
        <f>S1753-S1758</f>
        <v>0</v>
      </c>
      <c r="T1765" s="327" t="e">
        <f>S1765/S1758</f>
        <v>#DIV/0!</v>
      </c>
      <c r="U1765" s="291">
        <f>U1753-U1758</f>
        <v>0</v>
      </c>
      <c r="V1765" s="366" t="e">
        <f>U1765/ABS(U1758)</f>
        <v>#DIV/0!</v>
      </c>
      <c r="W1765" s="337" t="s">
        <v>410</v>
      </c>
      <c r="X1765" s="1" t="s">
        <v>558</v>
      </c>
      <c r="Y1765" s="144" t="s">
        <v>379</v>
      </c>
      <c r="Z1765" s="72"/>
    </row>
    <row r="1766" spans="3:26" ht="15.75" thickBot="1">
      <c r="C1766" s="17"/>
      <c r="D1766" s="459"/>
      <c r="E1766" s="460"/>
      <c r="F1766" s="17"/>
      <c r="G1766" s="459"/>
      <c r="H1766" s="461"/>
      <c r="I1766" s="21"/>
      <c r="J1766" s="459"/>
      <c r="K1766" s="461"/>
      <c r="L1766" s="42"/>
      <c r="M1766" s="5"/>
      <c r="N1766" s="21"/>
      <c r="O1766" s="137" t="s">
        <v>322</v>
      </c>
      <c r="P1766" s="138">
        <f>P1765/29</f>
        <v>6.8965517241379306</v>
      </c>
      <c r="Q1766" s="24">
        <f>Q1765/29</f>
        <v>0</v>
      </c>
      <c r="R1766" s="153" t="s">
        <v>410</v>
      </c>
      <c r="S1766" s="296">
        <f>S1764+S1765</f>
        <v>0</v>
      </c>
      <c r="T1766" s="328" t="e">
        <f>S1766/S1754</f>
        <v>#DIV/0!</v>
      </c>
      <c r="U1766" s="296">
        <f>U1765+U1764</f>
        <v>0</v>
      </c>
      <c r="V1766" s="330" t="e">
        <f>U1766/U1754</f>
        <v>#DIV/0!</v>
      </c>
      <c r="W1766" s="296">
        <f>S1766+U1766</f>
        <v>0</v>
      </c>
      <c r="X1766" s="330" t="e">
        <f>(W1766+S1754+U1754)/(S1754+U1754)-1</f>
        <v>#DIV/0!</v>
      </c>
      <c r="Y1766" s="153" t="s">
        <v>375</v>
      </c>
      <c r="Z1766" s="389"/>
    </row>
    <row r="1767" spans="3:26" ht="17.25" thickTop="1" thickBot="1">
      <c r="C1767" s="264">
        <v>47727</v>
      </c>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spans="3:26" ht="17.25" thickTop="1" thickBot="1">
      <c r="C1768" s="480" t="s">
        <v>386</v>
      </c>
      <c r="D1768" s="481"/>
      <c r="E1768" s="482"/>
      <c r="F1768" s="483" t="s">
        <v>387</v>
      </c>
      <c r="G1768" s="484"/>
      <c r="H1768" s="484"/>
      <c r="I1768" s="484"/>
      <c r="J1768" s="484"/>
      <c r="K1768" s="484"/>
      <c r="L1768" s="484"/>
      <c r="M1768" s="484"/>
      <c r="N1768" s="485"/>
      <c r="O1768" s="261" t="s">
        <v>320</v>
      </c>
      <c r="P1768" s="262" t="s">
        <v>257</v>
      </c>
      <c r="Q1768" s="263" t="s">
        <v>319</v>
      </c>
      <c r="R1768" s="486" t="s">
        <v>144</v>
      </c>
      <c r="S1768" s="487"/>
      <c r="T1768" s="487"/>
      <c r="U1768" s="487"/>
      <c r="V1768" s="487"/>
      <c r="W1768" s="487"/>
      <c r="X1768" s="487"/>
      <c r="Y1768" s="487"/>
      <c r="Z1768" s="488"/>
    </row>
    <row r="1769" spans="3:26" ht="15.75" thickBot="1">
      <c r="C1769" s="265"/>
      <c r="D1769" s="489"/>
      <c r="E1769" s="490"/>
      <c r="F1769" s="470" t="s">
        <v>3</v>
      </c>
      <c r="G1769" s="491"/>
      <c r="H1769" s="492"/>
      <c r="I1769" s="493" t="s">
        <v>4</v>
      </c>
      <c r="J1769" s="491"/>
      <c r="K1769" s="492"/>
      <c r="L1769" s="267" t="s">
        <v>324</v>
      </c>
      <c r="M1769" s="267" t="s">
        <v>325</v>
      </c>
      <c r="N1769" s="267" t="s">
        <v>323</v>
      </c>
      <c r="O1769" s="316" t="s">
        <v>5</v>
      </c>
      <c r="P1769" s="317">
        <f>P1772+P1775+P1778+P1781</f>
        <v>48344.297304458516</v>
      </c>
      <c r="Q1769" s="318">
        <f>Q1778+Q1775+Q1772+Q1781</f>
        <v>0</v>
      </c>
      <c r="R1769" s="268" t="s">
        <v>323</v>
      </c>
      <c r="S1769" s="493" t="s">
        <v>317</v>
      </c>
      <c r="T1769" s="492"/>
      <c r="U1769" s="493" t="s">
        <v>369</v>
      </c>
      <c r="V1769" s="471"/>
      <c r="W1769" s="470" t="s">
        <v>310</v>
      </c>
      <c r="X1769" s="471"/>
      <c r="Y1769" s="470" t="s">
        <v>13</v>
      </c>
      <c r="Z1769" s="471"/>
    </row>
    <row r="1770" spans="3:26" ht="16.5" thickTop="1" thickBot="1">
      <c r="C1770" s="15"/>
      <c r="D1770" s="494"/>
      <c r="E1770" s="495"/>
      <c r="G1770" s="496"/>
      <c r="H1770" s="497"/>
      <c r="J1770" s="496"/>
      <c r="K1770" s="497"/>
      <c r="L1770" s="76"/>
      <c r="M1770" s="25"/>
      <c r="N1770" s="292"/>
      <c r="O1770" s="258" t="s">
        <v>321</v>
      </c>
      <c r="P1770" s="315">
        <f>SUM(C1770:C1783)-SUM(F1770:F1783)-SUM(I1770:I1783)</f>
        <v>689.02999999999986</v>
      </c>
      <c r="Q1770" s="12">
        <f>Q1769-Q1752</f>
        <v>0</v>
      </c>
      <c r="R1770" s="307" t="s">
        <v>343</v>
      </c>
      <c r="S1770" s="498"/>
      <c r="T1770" s="499"/>
      <c r="U1770" s="498"/>
      <c r="V1770" s="500"/>
      <c r="W1770" s="501" t="s">
        <v>326</v>
      </c>
      <c r="X1770" s="502"/>
      <c r="Y1770" s="143" t="s">
        <v>17</v>
      </c>
      <c r="Z1770" s="12"/>
    </row>
    <row r="1771" spans="3:26" ht="16.5" thickTop="1" thickBot="1">
      <c r="C1771" s="15"/>
      <c r="D1771" s="455" t="s">
        <v>11</v>
      </c>
      <c r="E1771" s="456"/>
      <c r="F1771" s="6">
        <f>F1754</f>
        <v>400</v>
      </c>
      <c r="G1771" s="462" t="s">
        <v>223</v>
      </c>
      <c r="H1771" s="464"/>
      <c r="I1771" s="20">
        <f>I1754</f>
        <v>11.99</v>
      </c>
      <c r="J1771" s="462" t="s">
        <v>385</v>
      </c>
      <c r="K1771" s="464"/>
      <c r="L1771" s="76">
        <f>L1754</f>
        <v>200</v>
      </c>
      <c r="M1771" s="76">
        <f>M1754</f>
        <v>150</v>
      </c>
      <c r="N1771" s="76">
        <f>N1754</f>
        <v>200</v>
      </c>
      <c r="O1771" s="141" t="s">
        <v>322</v>
      </c>
      <c r="P1771" s="133">
        <f>P1770/29</f>
        <v>23.759655172413787</v>
      </c>
      <c r="Q1771" s="10">
        <f>Q1770/29</f>
        <v>0</v>
      </c>
      <c r="R1771" s="308" t="s">
        <v>382</v>
      </c>
      <c r="S1771" s="474"/>
      <c r="T1771" s="475"/>
      <c r="U1771" s="467"/>
      <c r="V1771" s="468"/>
      <c r="W1771" s="289" t="s">
        <v>12</v>
      </c>
      <c r="X1771" s="315"/>
      <c r="Y1771" s="144" t="s">
        <v>18</v>
      </c>
      <c r="Z1771" s="72"/>
    </row>
    <row r="1772" spans="3:26">
      <c r="C1772" s="15"/>
      <c r="D1772" s="455" t="s">
        <v>390</v>
      </c>
      <c r="E1772" s="456"/>
      <c r="F1772" s="6">
        <f t="shared" ref="F1772:F1780" si="94">F1755</f>
        <v>100</v>
      </c>
      <c r="G1772" s="462" t="s">
        <v>9</v>
      </c>
      <c r="H1772" s="464"/>
      <c r="I1772" s="20">
        <f t="shared" ref="I1772:I1777" si="95">I1755</f>
        <v>11.99</v>
      </c>
      <c r="J1772" s="462" t="s">
        <v>22</v>
      </c>
      <c r="K1772" s="464"/>
      <c r="L1772" s="76"/>
      <c r="M1772" s="25"/>
      <c r="N1772" s="294"/>
      <c r="O1772" s="136" t="s">
        <v>12</v>
      </c>
      <c r="P1772" s="319">
        <f>P1755+P1770-SUM(L1770:L1783)-SUM(M1770:M1783)-SUM(N1770:N1783)</f>
        <v>7937.9599999999864</v>
      </c>
      <c r="Q1772" s="320">
        <f>Z1770+Z1775+Z1778</f>
        <v>0</v>
      </c>
      <c r="R1772" s="308" t="s">
        <v>383</v>
      </c>
      <c r="S1772" s="474"/>
      <c r="T1772" s="475"/>
      <c r="U1772" s="467"/>
      <c r="V1772" s="468"/>
      <c r="W1772" s="282" t="s">
        <v>373</v>
      </c>
      <c r="X1772" s="132"/>
      <c r="Y1772" s="144" t="s">
        <v>19</v>
      </c>
      <c r="Z1772" s="72"/>
    </row>
    <row r="1773" spans="3:26" ht="15.75" thickBot="1">
      <c r="C1773" s="15"/>
      <c r="D1773" s="462"/>
      <c r="E1773" s="463"/>
      <c r="F1773" s="6">
        <f t="shared" si="94"/>
        <v>150</v>
      </c>
      <c r="G1773" s="462" t="s">
        <v>6</v>
      </c>
      <c r="H1773" s="464"/>
      <c r="I1773" s="20">
        <f t="shared" si="95"/>
        <v>20</v>
      </c>
      <c r="J1773" s="462" t="s">
        <v>920</v>
      </c>
      <c r="K1773" s="464"/>
      <c r="L1773" s="76"/>
      <c r="M1773" s="25"/>
      <c r="N1773" s="20"/>
      <c r="O1773" s="140" t="s">
        <v>321</v>
      </c>
      <c r="P1773" s="132">
        <f>SUM(C1770:C1783)-SUM(F1770:F1783)-SUM(I1770:I1783)-P1776-P1779-P1782</f>
        <v>139.02999999999986</v>
      </c>
      <c r="Q1773" s="72">
        <f>Q1772-Q1755</f>
        <v>0</v>
      </c>
      <c r="R1773" s="308" t="s">
        <v>424</v>
      </c>
      <c r="S1773" s="474"/>
      <c r="T1773" s="475"/>
      <c r="U1773" s="467"/>
      <c r="V1773" s="468"/>
      <c r="W1773" s="282" t="s">
        <v>378</v>
      </c>
      <c r="X1773" s="132"/>
      <c r="Y1773" s="145" t="s">
        <v>324</v>
      </c>
      <c r="Z1773" s="135"/>
    </row>
    <row r="1774" spans="3:26" ht="15.75" thickBot="1">
      <c r="C1774" s="15"/>
      <c r="D1774" s="455"/>
      <c r="E1774" s="456"/>
      <c r="F1774" s="6">
        <f t="shared" si="94"/>
        <v>370</v>
      </c>
      <c r="G1774" s="462" t="s">
        <v>97</v>
      </c>
      <c r="H1774" s="464"/>
      <c r="I1774" s="20">
        <f t="shared" si="95"/>
        <v>11.9</v>
      </c>
      <c r="J1774" s="462" t="s">
        <v>249</v>
      </c>
      <c r="K1774" s="464"/>
      <c r="L1774" s="76"/>
      <c r="M1774" s="25"/>
      <c r="N1774" s="294"/>
      <c r="O1774" s="141" t="s">
        <v>322</v>
      </c>
      <c r="P1774" s="133">
        <f>P1773/29</f>
        <v>4.7941379310344781</v>
      </c>
      <c r="Q1774" s="10">
        <f>Q1773/29</f>
        <v>0</v>
      </c>
      <c r="R1774" s="143" t="s">
        <v>12</v>
      </c>
      <c r="S1774" s="476"/>
      <c r="T1774" s="477"/>
      <c r="U1774" s="478"/>
      <c r="V1774" s="479"/>
      <c r="W1774" s="289" t="s">
        <v>379</v>
      </c>
      <c r="X1774" s="132"/>
      <c r="Y1774" s="470" t="s">
        <v>14</v>
      </c>
      <c r="Z1774" s="471"/>
    </row>
    <row r="1775" spans="3:26" ht="15.75" thickBot="1">
      <c r="C1775" s="15"/>
      <c r="D1775" s="455"/>
      <c r="E1775" s="456"/>
      <c r="F1775" s="6">
        <f t="shared" si="94"/>
        <v>1860.75</v>
      </c>
      <c r="G1775" s="462" t="s">
        <v>304</v>
      </c>
      <c r="H1775" s="464"/>
      <c r="I1775" s="20">
        <f t="shared" si="95"/>
        <v>150</v>
      </c>
      <c r="J1775" s="462" t="s">
        <v>974</v>
      </c>
      <c r="K1775" s="464"/>
      <c r="L1775" s="76"/>
      <c r="M1775" s="25"/>
      <c r="N1775" s="294"/>
      <c r="O1775" s="136" t="s">
        <v>324</v>
      </c>
      <c r="P1775" s="319">
        <f>P1758+P1776</f>
        <v>11135</v>
      </c>
      <c r="Q1775" s="320">
        <f>Z1771+Z1772+Z1773</f>
        <v>0</v>
      </c>
      <c r="R1775" s="144" t="s">
        <v>425</v>
      </c>
      <c r="S1775" s="465"/>
      <c r="T1775" s="466"/>
      <c r="U1775" s="467"/>
      <c r="V1775" s="468"/>
      <c r="W1775" s="146" t="s">
        <v>375</v>
      </c>
      <c r="X1775" s="325"/>
      <c r="Y1775" s="143" t="s">
        <v>15</v>
      </c>
      <c r="Z1775" s="12"/>
    </row>
    <row r="1776" spans="3:26" ht="15.75" thickBot="1">
      <c r="C1776" s="15"/>
      <c r="D1776" s="462"/>
      <c r="E1776" s="463"/>
      <c r="F1776" s="6">
        <f t="shared" si="94"/>
        <v>70</v>
      </c>
      <c r="G1776" s="462" t="s">
        <v>982</v>
      </c>
      <c r="H1776" s="464"/>
      <c r="I1776" s="20">
        <f t="shared" si="95"/>
        <v>150</v>
      </c>
      <c r="J1776" s="462" t="s">
        <v>105</v>
      </c>
      <c r="K1776" s="464"/>
      <c r="L1776" s="76"/>
      <c r="M1776" s="25"/>
      <c r="N1776" s="294"/>
      <c r="O1776" s="140" t="s">
        <v>321</v>
      </c>
      <c r="P1776" s="132">
        <f>SUM(L1770:L1783)</f>
        <v>200</v>
      </c>
      <c r="Q1776" s="72">
        <f>Q1775-Q1758</f>
        <v>0</v>
      </c>
      <c r="R1776" s="144" t="s">
        <v>426</v>
      </c>
      <c r="S1776" s="465"/>
      <c r="T1776" s="466"/>
      <c r="U1776" s="467"/>
      <c r="V1776" s="468"/>
      <c r="W1776" s="470" t="s">
        <v>376</v>
      </c>
      <c r="X1776" s="471"/>
      <c r="Y1776" s="146" t="s">
        <v>325</v>
      </c>
      <c r="Z1776" s="10"/>
    </row>
    <row r="1777" spans="3:26" ht="16.5" thickTop="1" thickBot="1">
      <c r="C1777" s="15"/>
      <c r="D1777" s="462"/>
      <c r="E1777" s="463"/>
      <c r="F1777" s="6">
        <f t="shared" si="94"/>
        <v>50</v>
      </c>
      <c r="G1777" s="462" t="s">
        <v>926</v>
      </c>
      <c r="H1777" s="464"/>
      <c r="I1777" s="20">
        <f t="shared" si="95"/>
        <v>400</v>
      </c>
      <c r="J1777" s="462" t="s">
        <v>206</v>
      </c>
      <c r="K1777" s="464"/>
      <c r="L1777" s="76"/>
      <c r="M1777" s="25"/>
      <c r="N1777" s="292"/>
      <c r="O1777" s="141" t="s">
        <v>322</v>
      </c>
      <c r="P1777" s="133">
        <f>P1776/29</f>
        <v>6.8965517241379306</v>
      </c>
      <c r="Q1777" s="10">
        <f>Q1776/29</f>
        <v>0</v>
      </c>
      <c r="R1777" s="144" t="s">
        <v>422</v>
      </c>
      <c r="S1777" s="465"/>
      <c r="T1777" s="466"/>
      <c r="U1777" s="467"/>
      <c r="V1777" s="468"/>
      <c r="W1777" s="289" t="s">
        <v>12</v>
      </c>
      <c r="X1777" s="38"/>
      <c r="Y1777" s="470" t="s">
        <v>374</v>
      </c>
      <c r="Z1777" s="471"/>
    </row>
    <row r="1778" spans="3:26" ht="16.5" thickTop="1" thickBot="1">
      <c r="C1778" s="15"/>
      <c r="D1778" s="462"/>
      <c r="E1778" s="463"/>
      <c r="F1778" s="6">
        <f t="shared" si="94"/>
        <v>150</v>
      </c>
      <c r="G1778" s="462" t="s">
        <v>927</v>
      </c>
      <c r="H1778" s="464"/>
      <c r="I1778" s="20"/>
      <c r="J1778" s="462"/>
      <c r="K1778" s="464"/>
      <c r="L1778" s="76"/>
      <c r="M1778" s="25"/>
      <c r="N1778" s="293"/>
      <c r="O1778" s="136" t="s">
        <v>325</v>
      </c>
      <c r="P1778" s="319">
        <f>P1761+P1779</f>
        <v>8358.880000000001</v>
      </c>
      <c r="Q1778" s="320">
        <f>Z1776</f>
        <v>0</v>
      </c>
      <c r="R1778" s="143" t="s">
        <v>421</v>
      </c>
      <c r="S1778" s="465"/>
      <c r="T1778" s="466"/>
      <c r="U1778" s="467"/>
      <c r="V1778" s="468"/>
      <c r="W1778" s="282" t="s">
        <v>373</v>
      </c>
      <c r="X1778" s="281"/>
      <c r="Y1778" s="321" t="s">
        <v>181</v>
      </c>
      <c r="Z1778" s="322">
        <v>0</v>
      </c>
    </row>
    <row r="1779" spans="3:26" ht="15.75" thickBot="1">
      <c r="C1779" s="266"/>
      <c r="D1779" s="448"/>
      <c r="E1779" s="469"/>
      <c r="F1779" s="6">
        <f t="shared" si="94"/>
        <v>150</v>
      </c>
      <c r="G1779" s="462" t="s">
        <v>925</v>
      </c>
      <c r="H1779" s="464"/>
      <c r="I1779" s="20"/>
      <c r="J1779" s="462"/>
      <c r="K1779" s="464"/>
      <c r="L1779" s="76"/>
      <c r="M1779" s="25"/>
      <c r="N1779" s="295"/>
      <c r="O1779" s="140" t="s">
        <v>321</v>
      </c>
      <c r="P1779" s="132">
        <f>SUM(M1770:M1783)</f>
        <v>150</v>
      </c>
      <c r="Q1779" s="72">
        <f>Q1778-Q1761</f>
        <v>0</v>
      </c>
      <c r="R1779" s="144" t="s">
        <v>418</v>
      </c>
      <c r="S1779" s="465"/>
      <c r="T1779" s="466"/>
      <c r="U1779" s="467"/>
      <c r="V1779" s="468"/>
      <c r="W1779" s="282" t="s">
        <v>378</v>
      </c>
      <c r="X1779" s="281"/>
      <c r="Y1779" s="470" t="s">
        <v>1000</v>
      </c>
      <c r="Z1779" s="471"/>
    </row>
    <row r="1780" spans="3:26" ht="16.5" thickTop="1" thickBot="1">
      <c r="C1780" s="266"/>
      <c r="D1780" s="448" t="s">
        <v>1001</v>
      </c>
      <c r="E1780" s="469"/>
      <c r="F1780" s="6">
        <f t="shared" si="94"/>
        <v>30</v>
      </c>
      <c r="G1780" s="462" t="s">
        <v>33</v>
      </c>
      <c r="H1780" s="464"/>
      <c r="I1780" s="20"/>
      <c r="J1780" s="462"/>
      <c r="K1780" s="464"/>
      <c r="L1780" s="76"/>
      <c r="M1780" s="25"/>
      <c r="N1780" s="293"/>
      <c r="O1780" s="141" t="s">
        <v>322</v>
      </c>
      <c r="P1780" s="133">
        <f>P1779/29</f>
        <v>5.1724137931034484</v>
      </c>
      <c r="Q1780" s="10">
        <f>Q1779/29</f>
        <v>0</v>
      </c>
      <c r="R1780" s="144" t="s">
        <v>438</v>
      </c>
      <c r="S1780" s="465"/>
      <c r="T1780" s="466"/>
      <c r="U1780" s="472"/>
      <c r="V1780" s="473"/>
      <c r="W1780" s="289" t="s">
        <v>379</v>
      </c>
      <c r="X1780" s="281"/>
      <c r="Y1780" s="143" t="s">
        <v>12</v>
      </c>
      <c r="Z1780" s="12"/>
    </row>
    <row r="1781" spans="3:26" ht="15.75" thickBot="1">
      <c r="C1781" s="15">
        <f>C1764</f>
        <v>4775.66</v>
      </c>
      <c r="D1781" s="455" t="s">
        <v>11</v>
      </c>
      <c r="E1781" s="456"/>
      <c r="F1781" s="15"/>
      <c r="G1781" s="462"/>
      <c r="H1781" s="464"/>
      <c r="I1781" s="20"/>
      <c r="J1781" s="462"/>
      <c r="K1781" s="464"/>
      <c r="L1781" s="76"/>
      <c r="M1781" s="25"/>
      <c r="N1781" s="295"/>
      <c r="O1781" s="136" t="s">
        <v>323</v>
      </c>
      <c r="P1781" s="319">
        <f>P1764+P1782</f>
        <v>20912.45730445853</v>
      </c>
      <c r="Q1781" s="320">
        <f>S1770+U1770</f>
        <v>0</v>
      </c>
      <c r="R1781" s="144" t="s">
        <v>380</v>
      </c>
      <c r="S1781" s="291">
        <f>S1772-S1773</f>
        <v>0</v>
      </c>
      <c r="T1781" s="327" t="e">
        <f>S1781/S1773</f>
        <v>#DIV/0!</v>
      </c>
      <c r="U1781" s="291">
        <f>U1772-U1773</f>
        <v>0</v>
      </c>
      <c r="V1781" s="329" t="e">
        <f>U1781/U1773</f>
        <v>#DIV/0!</v>
      </c>
      <c r="W1781" s="146" t="s">
        <v>375</v>
      </c>
      <c r="X1781" s="326"/>
      <c r="Y1781" s="144" t="s">
        <v>373</v>
      </c>
      <c r="Z1781" s="72"/>
    </row>
    <row r="1782" spans="3:26">
      <c r="C1782" s="15"/>
      <c r="D1782" s="455" t="s">
        <v>390</v>
      </c>
      <c r="E1782" s="456"/>
      <c r="F1782" s="15"/>
      <c r="G1782" s="457" t="s">
        <v>38</v>
      </c>
      <c r="H1782" s="458"/>
      <c r="I1782" s="20"/>
      <c r="J1782" s="457" t="s">
        <v>38</v>
      </c>
      <c r="K1782" s="458"/>
      <c r="L1782" s="76"/>
      <c r="M1782" s="25"/>
      <c r="N1782" s="293"/>
      <c r="O1782" s="140" t="s">
        <v>321</v>
      </c>
      <c r="P1782" s="132">
        <f>SUM(N1770:N1783)</f>
        <v>200</v>
      </c>
      <c r="Q1782" s="72">
        <f>Q1781-Q1764</f>
        <v>0</v>
      </c>
      <c r="R1782" s="144" t="s">
        <v>381</v>
      </c>
      <c r="S1782" s="291">
        <f>S1770-S1775</f>
        <v>0</v>
      </c>
      <c r="T1782" s="327" t="e">
        <f>S1782/S1775</f>
        <v>#DIV/0!</v>
      </c>
      <c r="U1782" s="291">
        <f>U1770-U1775</f>
        <v>0</v>
      </c>
      <c r="V1782" s="366" t="e">
        <f>U1782/ABS(U1775)</f>
        <v>#DIV/0!</v>
      </c>
      <c r="W1782" s="337" t="s">
        <v>410</v>
      </c>
      <c r="X1782" s="1" t="s">
        <v>558</v>
      </c>
      <c r="Y1782" s="144" t="s">
        <v>379</v>
      </c>
      <c r="Z1782" s="72"/>
    </row>
    <row r="1783" spans="3:26" ht="15.75" thickBot="1">
      <c r="C1783" s="17"/>
      <c r="D1783" s="459"/>
      <c r="E1783" s="460"/>
      <c r="F1783" s="17"/>
      <c r="G1783" s="459"/>
      <c r="H1783" s="461"/>
      <c r="I1783" s="21"/>
      <c r="J1783" s="459"/>
      <c r="K1783" s="461"/>
      <c r="L1783" s="42"/>
      <c r="M1783" s="5"/>
      <c r="N1783" s="21"/>
      <c r="O1783" s="137" t="s">
        <v>322</v>
      </c>
      <c r="P1783" s="138">
        <f>P1782/29</f>
        <v>6.8965517241379306</v>
      </c>
      <c r="Q1783" s="24">
        <f>Q1782/29</f>
        <v>0</v>
      </c>
      <c r="R1783" s="153" t="s">
        <v>410</v>
      </c>
      <c r="S1783" s="296">
        <f>S1781+S1782</f>
        <v>0</v>
      </c>
      <c r="T1783" s="328" t="e">
        <f>S1783/S1771</f>
        <v>#DIV/0!</v>
      </c>
      <c r="U1783" s="296">
        <f>U1782+U1781</f>
        <v>0</v>
      </c>
      <c r="V1783" s="330" t="e">
        <f>U1783/U1771</f>
        <v>#DIV/0!</v>
      </c>
      <c r="W1783" s="296">
        <f>S1783+U1783</f>
        <v>0</v>
      </c>
      <c r="X1783" s="330" t="e">
        <f>(W1783+S1771+U1771)/(S1771+U1771)-1</f>
        <v>#DIV/0!</v>
      </c>
      <c r="Y1783" s="153" t="s">
        <v>375</v>
      </c>
      <c r="Z1783" s="389"/>
    </row>
    <row r="1784" spans="3:26" ht="17.25" thickTop="1" thickBot="1">
      <c r="C1784" s="264">
        <v>47757</v>
      </c>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spans="3:26" ht="17.25" thickTop="1" thickBot="1">
      <c r="C1785" s="480" t="s">
        <v>386</v>
      </c>
      <c r="D1785" s="481"/>
      <c r="E1785" s="482"/>
      <c r="F1785" s="483" t="s">
        <v>387</v>
      </c>
      <c r="G1785" s="484"/>
      <c r="H1785" s="484"/>
      <c r="I1785" s="484"/>
      <c r="J1785" s="484"/>
      <c r="K1785" s="484"/>
      <c r="L1785" s="484"/>
      <c r="M1785" s="484"/>
      <c r="N1785" s="485"/>
      <c r="O1785" s="261" t="s">
        <v>320</v>
      </c>
      <c r="P1785" s="262" t="s">
        <v>257</v>
      </c>
      <c r="Q1785" s="263" t="s">
        <v>319</v>
      </c>
      <c r="R1785" s="486" t="s">
        <v>144</v>
      </c>
      <c r="S1785" s="487"/>
      <c r="T1785" s="487"/>
      <c r="U1785" s="487"/>
      <c r="V1785" s="487"/>
      <c r="W1785" s="487"/>
      <c r="X1785" s="487"/>
      <c r="Y1785" s="487"/>
      <c r="Z1785" s="488"/>
    </row>
    <row r="1786" spans="3:26" ht="15.75" thickBot="1">
      <c r="C1786" s="265"/>
      <c r="D1786" s="489"/>
      <c r="E1786" s="490"/>
      <c r="F1786" s="470" t="s">
        <v>3</v>
      </c>
      <c r="G1786" s="491"/>
      <c r="H1786" s="492"/>
      <c r="I1786" s="493" t="s">
        <v>4</v>
      </c>
      <c r="J1786" s="491"/>
      <c r="K1786" s="492"/>
      <c r="L1786" s="267" t="s">
        <v>324</v>
      </c>
      <c r="M1786" s="267" t="s">
        <v>325</v>
      </c>
      <c r="N1786" s="267" t="s">
        <v>323</v>
      </c>
      <c r="O1786" s="316" t="s">
        <v>5</v>
      </c>
      <c r="P1786" s="317">
        <f>P1789+P1792+P1795+P1798</f>
        <v>49033.327304458522</v>
      </c>
      <c r="Q1786" s="318">
        <f>Q1795+Q1792+Q1789+Q1798</f>
        <v>0</v>
      </c>
      <c r="R1786" s="268" t="s">
        <v>323</v>
      </c>
      <c r="S1786" s="493" t="s">
        <v>317</v>
      </c>
      <c r="T1786" s="492"/>
      <c r="U1786" s="493" t="s">
        <v>369</v>
      </c>
      <c r="V1786" s="471"/>
      <c r="W1786" s="470" t="s">
        <v>310</v>
      </c>
      <c r="X1786" s="471"/>
      <c r="Y1786" s="470" t="s">
        <v>13</v>
      </c>
      <c r="Z1786" s="471"/>
    </row>
    <row r="1787" spans="3:26" ht="16.5" thickTop="1" thickBot="1">
      <c r="C1787" s="15"/>
      <c r="D1787" s="494"/>
      <c r="E1787" s="495"/>
      <c r="G1787" s="496"/>
      <c r="H1787" s="497"/>
      <c r="J1787" s="496"/>
      <c r="K1787" s="497"/>
      <c r="L1787" s="76"/>
      <c r="M1787" s="25"/>
      <c r="N1787" s="292"/>
      <c r="O1787" s="258" t="s">
        <v>321</v>
      </c>
      <c r="P1787" s="315">
        <f>SUM(C1787:C1800)-SUM(F1787:F1800)-SUM(I1787:I1800)</f>
        <v>689.02999999999986</v>
      </c>
      <c r="Q1787" s="12">
        <f>Q1786-Q1769</f>
        <v>0</v>
      </c>
      <c r="R1787" s="307" t="s">
        <v>343</v>
      </c>
      <c r="S1787" s="498"/>
      <c r="T1787" s="499"/>
      <c r="U1787" s="498"/>
      <c r="V1787" s="500"/>
      <c r="W1787" s="501" t="s">
        <v>326</v>
      </c>
      <c r="X1787" s="502"/>
      <c r="Y1787" s="143" t="s">
        <v>17</v>
      </c>
      <c r="Z1787" s="12"/>
    </row>
    <row r="1788" spans="3:26" ht="16.5" thickTop="1" thickBot="1">
      <c r="C1788" s="15"/>
      <c r="D1788" s="455" t="s">
        <v>11</v>
      </c>
      <c r="E1788" s="456"/>
      <c r="F1788" s="6">
        <f>F1771</f>
        <v>400</v>
      </c>
      <c r="G1788" s="462" t="s">
        <v>223</v>
      </c>
      <c r="H1788" s="464"/>
      <c r="I1788" s="20">
        <f>I1771</f>
        <v>11.99</v>
      </c>
      <c r="J1788" s="462" t="s">
        <v>385</v>
      </c>
      <c r="K1788" s="464"/>
      <c r="L1788" s="76">
        <f>L1771</f>
        <v>200</v>
      </c>
      <c r="M1788" s="76">
        <f>M1771</f>
        <v>150</v>
      </c>
      <c r="N1788" s="76">
        <f>N1771</f>
        <v>200</v>
      </c>
      <c r="O1788" s="141" t="s">
        <v>322</v>
      </c>
      <c r="P1788" s="133">
        <f>P1787/29</f>
        <v>23.759655172413787</v>
      </c>
      <c r="Q1788" s="10">
        <f>Q1787/29</f>
        <v>0</v>
      </c>
      <c r="R1788" s="308" t="s">
        <v>382</v>
      </c>
      <c r="S1788" s="474"/>
      <c r="T1788" s="475"/>
      <c r="U1788" s="467"/>
      <c r="V1788" s="468"/>
      <c r="W1788" s="289" t="s">
        <v>12</v>
      </c>
      <c r="X1788" s="315"/>
      <c r="Y1788" s="144" t="s">
        <v>18</v>
      </c>
      <c r="Z1788" s="72"/>
    </row>
    <row r="1789" spans="3:26">
      <c r="C1789" s="15"/>
      <c r="D1789" s="455" t="s">
        <v>390</v>
      </c>
      <c r="E1789" s="456"/>
      <c r="F1789" s="6">
        <f t="shared" ref="F1789:F1797" si="96">F1772</f>
        <v>100</v>
      </c>
      <c r="G1789" s="462" t="s">
        <v>9</v>
      </c>
      <c r="H1789" s="464"/>
      <c r="I1789" s="20">
        <f t="shared" ref="I1789:I1794" si="97">I1772</f>
        <v>11.99</v>
      </c>
      <c r="J1789" s="462" t="s">
        <v>22</v>
      </c>
      <c r="K1789" s="464"/>
      <c r="L1789" s="76"/>
      <c r="M1789" s="25"/>
      <c r="N1789" s="294"/>
      <c r="O1789" s="136" t="s">
        <v>12</v>
      </c>
      <c r="P1789" s="319">
        <f>P1772+P1787-SUM(L1787:L1800)-SUM(M1787:M1800)-SUM(N1787:N1800)</f>
        <v>8076.989999999987</v>
      </c>
      <c r="Q1789" s="320">
        <f>Z1787+Z1792+Z1795</f>
        <v>0</v>
      </c>
      <c r="R1789" s="308" t="s">
        <v>383</v>
      </c>
      <c r="S1789" s="474"/>
      <c r="T1789" s="475"/>
      <c r="U1789" s="467"/>
      <c r="V1789" s="468"/>
      <c r="W1789" s="282" t="s">
        <v>373</v>
      </c>
      <c r="X1789" s="132"/>
      <c r="Y1789" s="144" t="s">
        <v>19</v>
      </c>
      <c r="Z1789" s="72"/>
    </row>
    <row r="1790" spans="3:26" ht="15.75" thickBot="1">
      <c r="C1790" s="15"/>
      <c r="D1790" s="462"/>
      <c r="E1790" s="463"/>
      <c r="F1790" s="6">
        <f t="shared" si="96"/>
        <v>150</v>
      </c>
      <c r="G1790" s="462" t="s">
        <v>6</v>
      </c>
      <c r="H1790" s="464"/>
      <c r="I1790" s="20">
        <f t="shared" si="97"/>
        <v>20</v>
      </c>
      <c r="J1790" s="462" t="s">
        <v>920</v>
      </c>
      <c r="K1790" s="464"/>
      <c r="L1790" s="76"/>
      <c r="M1790" s="25"/>
      <c r="N1790" s="20"/>
      <c r="O1790" s="140" t="s">
        <v>321</v>
      </c>
      <c r="P1790" s="132">
        <f>SUM(C1787:C1800)-SUM(F1787:F1800)-SUM(I1787:I1800)-P1793-P1796-P1799</f>
        <v>139.02999999999986</v>
      </c>
      <c r="Q1790" s="72">
        <f>Q1789-Q1772</f>
        <v>0</v>
      </c>
      <c r="R1790" s="308" t="s">
        <v>424</v>
      </c>
      <c r="S1790" s="474"/>
      <c r="T1790" s="475"/>
      <c r="U1790" s="467"/>
      <c r="V1790" s="468"/>
      <c r="W1790" s="282" t="s">
        <v>378</v>
      </c>
      <c r="X1790" s="132"/>
      <c r="Y1790" s="145" t="s">
        <v>324</v>
      </c>
      <c r="Z1790" s="135"/>
    </row>
    <row r="1791" spans="3:26" ht="15.75" thickBot="1">
      <c r="C1791" s="15"/>
      <c r="D1791" s="455"/>
      <c r="E1791" s="456"/>
      <c r="F1791" s="6">
        <f t="shared" si="96"/>
        <v>370</v>
      </c>
      <c r="G1791" s="462" t="s">
        <v>97</v>
      </c>
      <c r="H1791" s="464"/>
      <c r="I1791" s="20">
        <f t="shared" si="97"/>
        <v>11.9</v>
      </c>
      <c r="J1791" s="462" t="s">
        <v>249</v>
      </c>
      <c r="K1791" s="464"/>
      <c r="L1791" s="76"/>
      <c r="M1791" s="25"/>
      <c r="N1791" s="294"/>
      <c r="O1791" s="141" t="s">
        <v>322</v>
      </c>
      <c r="P1791" s="133">
        <f>P1790/29</f>
        <v>4.7941379310344781</v>
      </c>
      <c r="Q1791" s="10">
        <f>Q1790/29</f>
        <v>0</v>
      </c>
      <c r="R1791" s="143" t="s">
        <v>12</v>
      </c>
      <c r="S1791" s="476"/>
      <c r="T1791" s="477"/>
      <c r="U1791" s="478"/>
      <c r="V1791" s="479"/>
      <c r="W1791" s="289" t="s">
        <v>379</v>
      </c>
      <c r="X1791" s="132"/>
      <c r="Y1791" s="470" t="s">
        <v>14</v>
      </c>
      <c r="Z1791" s="471"/>
    </row>
    <row r="1792" spans="3:26" ht="15.75" thickBot="1">
      <c r="C1792" s="15"/>
      <c r="D1792" s="455"/>
      <c r="E1792" s="456"/>
      <c r="F1792" s="6">
        <f t="shared" si="96"/>
        <v>1860.75</v>
      </c>
      <c r="G1792" s="462" t="s">
        <v>304</v>
      </c>
      <c r="H1792" s="464"/>
      <c r="I1792" s="20">
        <f t="shared" si="97"/>
        <v>150</v>
      </c>
      <c r="J1792" s="462" t="s">
        <v>974</v>
      </c>
      <c r="K1792" s="464"/>
      <c r="L1792" s="76"/>
      <c r="M1792" s="25"/>
      <c r="N1792" s="294"/>
      <c r="O1792" s="136" t="s">
        <v>324</v>
      </c>
      <c r="P1792" s="319">
        <f>P1775+P1793</f>
        <v>11335</v>
      </c>
      <c r="Q1792" s="320">
        <f>Z1788+Z1789+Z1790</f>
        <v>0</v>
      </c>
      <c r="R1792" s="144" t="s">
        <v>425</v>
      </c>
      <c r="S1792" s="465"/>
      <c r="T1792" s="466"/>
      <c r="U1792" s="467"/>
      <c r="V1792" s="468"/>
      <c r="W1792" s="146" t="s">
        <v>375</v>
      </c>
      <c r="X1792" s="325"/>
      <c r="Y1792" s="143" t="s">
        <v>15</v>
      </c>
      <c r="Z1792" s="12"/>
    </row>
    <row r="1793" spans="3:26" ht="15.75" thickBot="1">
      <c r="C1793" s="15"/>
      <c r="D1793" s="462"/>
      <c r="E1793" s="463"/>
      <c r="F1793" s="6">
        <f t="shared" si="96"/>
        <v>70</v>
      </c>
      <c r="G1793" s="462" t="s">
        <v>982</v>
      </c>
      <c r="H1793" s="464"/>
      <c r="I1793" s="20">
        <f t="shared" si="97"/>
        <v>150</v>
      </c>
      <c r="J1793" s="462" t="s">
        <v>105</v>
      </c>
      <c r="K1793" s="464"/>
      <c r="L1793" s="76"/>
      <c r="M1793" s="25"/>
      <c r="N1793" s="294"/>
      <c r="O1793" s="140" t="s">
        <v>321</v>
      </c>
      <c r="P1793" s="132">
        <f>SUM(L1787:L1800)</f>
        <v>200</v>
      </c>
      <c r="Q1793" s="72">
        <f>Q1792-Q1775</f>
        <v>0</v>
      </c>
      <c r="R1793" s="144" t="s">
        <v>426</v>
      </c>
      <c r="S1793" s="465"/>
      <c r="T1793" s="466"/>
      <c r="U1793" s="467"/>
      <c r="V1793" s="468"/>
      <c r="W1793" s="470" t="s">
        <v>376</v>
      </c>
      <c r="X1793" s="471"/>
      <c r="Y1793" s="146" t="s">
        <v>325</v>
      </c>
      <c r="Z1793" s="10"/>
    </row>
    <row r="1794" spans="3:26" ht="16.5" thickTop="1" thickBot="1">
      <c r="C1794" s="15"/>
      <c r="D1794" s="462"/>
      <c r="E1794" s="463"/>
      <c r="F1794" s="6">
        <f t="shared" si="96"/>
        <v>50</v>
      </c>
      <c r="G1794" s="462" t="s">
        <v>926</v>
      </c>
      <c r="H1794" s="464"/>
      <c r="I1794" s="20">
        <f t="shared" si="97"/>
        <v>400</v>
      </c>
      <c r="J1794" s="462" t="s">
        <v>206</v>
      </c>
      <c r="K1794" s="464"/>
      <c r="L1794" s="76"/>
      <c r="M1794" s="25"/>
      <c r="N1794" s="292"/>
      <c r="O1794" s="141" t="s">
        <v>322</v>
      </c>
      <c r="P1794" s="133">
        <f>P1793/29</f>
        <v>6.8965517241379306</v>
      </c>
      <c r="Q1794" s="10">
        <f>Q1793/29</f>
        <v>0</v>
      </c>
      <c r="R1794" s="144" t="s">
        <v>422</v>
      </c>
      <c r="S1794" s="465"/>
      <c r="T1794" s="466"/>
      <c r="U1794" s="467"/>
      <c r="V1794" s="468"/>
      <c r="W1794" s="289" t="s">
        <v>12</v>
      </c>
      <c r="X1794" s="38"/>
      <c r="Y1794" s="470" t="s">
        <v>374</v>
      </c>
      <c r="Z1794" s="471"/>
    </row>
    <row r="1795" spans="3:26" ht="16.5" thickTop="1" thickBot="1">
      <c r="C1795" s="15"/>
      <c r="D1795" s="462"/>
      <c r="E1795" s="463"/>
      <c r="F1795" s="6">
        <f t="shared" si="96"/>
        <v>150</v>
      </c>
      <c r="G1795" s="462" t="s">
        <v>927</v>
      </c>
      <c r="H1795" s="464"/>
      <c r="I1795" s="20"/>
      <c r="J1795" s="462"/>
      <c r="K1795" s="464"/>
      <c r="L1795" s="76"/>
      <c r="M1795" s="25"/>
      <c r="N1795" s="293"/>
      <c r="O1795" s="136" t="s">
        <v>325</v>
      </c>
      <c r="P1795" s="319">
        <f>P1778+P1796</f>
        <v>8508.880000000001</v>
      </c>
      <c r="Q1795" s="320">
        <f>Z1793</f>
        <v>0</v>
      </c>
      <c r="R1795" s="143" t="s">
        <v>421</v>
      </c>
      <c r="S1795" s="465"/>
      <c r="T1795" s="466"/>
      <c r="U1795" s="467"/>
      <c r="V1795" s="468"/>
      <c r="W1795" s="282" t="s">
        <v>373</v>
      </c>
      <c r="X1795" s="281"/>
      <c r="Y1795" s="321" t="s">
        <v>181</v>
      </c>
      <c r="Z1795" s="322">
        <v>0</v>
      </c>
    </row>
    <row r="1796" spans="3:26" ht="15.75" thickBot="1">
      <c r="C1796" s="266"/>
      <c r="D1796" s="448"/>
      <c r="E1796" s="469"/>
      <c r="F1796" s="6">
        <f t="shared" si="96"/>
        <v>150</v>
      </c>
      <c r="G1796" s="462" t="s">
        <v>925</v>
      </c>
      <c r="H1796" s="464"/>
      <c r="I1796" s="20"/>
      <c r="J1796" s="462"/>
      <c r="K1796" s="464"/>
      <c r="L1796" s="76"/>
      <c r="M1796" s="25"/>
      <c r="N1796" s="295"/>
      <c r="O1796" s="140" t="s">
        <v>321</v>
      </c>
      <c r="P1796" s="132">
        <f>SUM(M1787:M1800)</f>
        <v>150</v>
      </c>
      <c r="Q1796" s="72">
        <f>Q1795-Q1778</f>
        <v>0</v>
      </c>
      <c r="R1796" s="144" t="s">
        <v>418</v>
      </c>
      <c r="S1796" s="465"/>
      <c r="T1796" s="466"/>
      <c r="U1796" s="467"/>
      <c r="V1796" s="468"/>
      <c r="W1796" s="282" t="s">
        <v>378</v>
      </c>
      <c r="X1796" s="281"/>
      <c r="Y1796" s="470" t="s">
        <v>1000</v>
      </c>
      <c r="Z1796" s="471"/>
    </row>
    <row r="1797" spans="3:26" ht="16.5" thickTop="1" thickBot="1">
      <c r="C1797" s="266"/>
      <c r="D1797" s="448" t="s">
        <v>1001</v>
      </c>
      <c r="E1797" s="469"/>
      <c r="F1797" s="6">
        <f t="shared" si="96"/>
        <v>30</v>
      </c>
      <c r="G1797" s="462" t="s">
        <v>33</v>
      </c>
      <c r="H1797" s="464"/>
      <c r="I1797" s="20"/>
      <c r="J1797" s="462"/>
      <c r="K1797" s="464"/>
      <c r="L1797" s="76"/>
      <c r="M1797" s="25"/>
      <c r="N1797" s="293"/>
      <c r="O1797" s="141" t="s">
        <v>322</v>
      </c>
      <c r="P1797" s="133">
        <f>P1796/29</f>
        <v>5.1724137931034484</v>
      </c>
      <c r="Q1797" s="10">
        <f>Q1796/29</f>
        <v>0</v>
      </c>
      <c r="R1797" s="144" t="s">
        <v>438</v>
      </c>
      <c r="S1797" s="465"/>
      <c r="T1797" s="466"/>
      <c r="U1797" s="472"/>
      <c r="V1797" s="473"/>
      <c r="W1797" s="289" t="s">
        <v>379</v>
      </c>
      <c r="X1797" s="281"/>
      <c r="Y1797" s="143" t="s">
        <v>12</v>
      </c>
      <c r="Z1797" s="12"/>
    </row>
    <row r="1798" spans="3:26" ht="15.75" thickBot="1">
      <c r="C1798" s="15">
        <f>C1781</f>
        <v>4775.66</v>
      </c>
      <c r="D1798" s="455" t="s">
        <v>11</v>
      </c>
      <c r="E1798" s="456"/>
      <c r="F1798" s="15"/>
      <c r="G1798" s="462"/>
      <c r="H1798" s="464"/>
      <c r="I1798" s="20"/>
      <c r="J1798" s="462"/>
      <c r="K1798" s="464"/>
      <c r="L1798" s="76"/>
      <c r="M1798" s="25"/>
      <c r="N1798" s="295"/>
      <c r="O1798" s="136" t="s">
        <v>323</v>
      </c>
      <c r="P1798" s="319">
        <f>P1781+P1799</f>
        <v>21112.45730445853</v>
      </c>
      <c r="Q1798" s="320">
        <f>S1787+U1787</f>
        <v>0</v>
      </c>
      <c r="R1798" s="144" t="s">
        <v>380</v>
      </c>
      <c r="S1798" s="291">
        <f>S1789-S1790</f>
        <v>0</v>
      </c>
      <c r="T1798" s="327" t="e">
        <f>S1798/S1790</f>
        <v>#DIV/0!</v>
      </c>
      <c r="U1798" s="291">
        <f>U1789-U1790</f>
        <v>0</v>
      </c>
      <c r="V1798" s="329" t="e">
        <f>U1798/U1790</f>
        <v>#DIV/0!</v>
      </c>
      <c r="W1798" s="146" t="s">
        <v>375</v>
      </c>
      <c r="X1798" s="326"/>
      <c r="Y1798" s="144" t="s">
        <v>373</v>
      </c>
      <c r="Z1798" s="72"/>
    </row>
    <row r="1799" spans="3:26">
      <c r="C1799" s="15"/>
      <c r="D1799" s="455" t="s">
        <v>390</v>
      </c>
      <c r="E1799" s="456"/>
      <c r="F1799" s="15"/>
      <c r="G1799" s="457" t="s">
        <v>38</v>
      </c>
      <c r="H1799" s="458"/>
      <c r="I1799" s="20"/>
      <c r="J1799" s="457" t="s">
        <v>38</v>
      </c>
      <c r="K1799" s="458"/>
      <c r="L1799" s="76"/>
      <c r="M1799" s="25"/>
      <c r="N1799" s="293"/>
      <c r="O1799" s="140" t="s">
        <v>321</v>
      </c>
      <c r="P1799" s="132">
        <f>SUM(N1787:N1800)</f>
        <v>200</v>
      </c>
      <c r="Q1799" s="72">
        <f>Q1798-Q1781</f>
        <v>0</v>
      </c>
      <c r="R1799" s="144" t="s">
        <v>381</v>
      </c>
      <c r="S1799" s="291">
        <f>S1787-S1792</f>
        <v>0</v>
      </c>
      <c r="T1799" s="327" t="e">
        <f>S1799/S1792</f>
        <v>#DIV/0!</v>
      </c>
      <c r="U1799" s="291">
        <f>U1787-U1792</f>
        <v>0</v>
      </c>
      <c r="V1799" s="366" t="e">
        <f>U1799/ABS(U1792)</f>
        <v>#DIV/0!</v>
      </c>
      <c r="W1799" s="337" t="s">
        <v>410</v>
      </c>
      <c r="X1799" s="1" t="s">
        <v>558</v>
      </c>
      <c r="Y1799" s="144" t="s">
        <v>379</v>
      </c>
      <c r="Z1799" s="72"/>
    </row>
    <row r="1800" spans="3:26" ht="15.75" thickBot="1">
      <c r="C1800" s="17"/>
      <c r="D1800" s="459"/>
      <c r="E1800" s="460"/>
      <c r="F1800" s="17"/>
      <c r="G1800" s="459"/>
      <c r="H1800" s="461"/>
      <c r="I1800" s="21"/>
      <c r="J1800" s="459"/>
      <c r="K1800" s="461"/>
      <c r="L1800" s="42"/>
      <c r="M1800" s="5"/>
      <c r="N1800" s="21"/>
      <c r="O1800" s="137" t="s">
        <v>322</v>
      </c>
      <c r="P1800" s="138">
        <f>P1799/29</f>
        <v>6.8965517241379306</v>
      </c>
      <c r="Q1800" s="24">
        <f>Q1799/29</f>
        <v>0</v>
      </c>
      <c r="R1800" s="153" t="s">
        <v>410</v>
      </c>
      <c r="S1800" s="296">
        <f>S1798+S1799</f>
        <v>0</v>
      </c>
      <c r="T1800" s="328" t="e">
        <f>S1800/S1788</f>
        <v>#DIV/0!</v>
      </c>
      <c r="U1800" s="296">
        <f>U1799+U1798</f>
        <v>0</v>
      </c>
      <c r="V1800" s="330" t="e">
        <f>U1800/U1788</f>
        <v>#DIV/0!</v>
      </c>
      <c r="W1800" s="296">
        <f>S1800+U1800</f>
        <v>0</v>
      </c>
      <c r="X1800" s="330" t="e">
        <f>(W1800+S1788+U1788)/(S1788+U1788)-1</f>
        <v>#DIV/0!</v>
      </c>
      <c r="Y1800" s="153" t="s">
        <v>375</v>
      </c>
      <c r="Z1800" s="389"/>
    </row>
    <row r="1801" spans="3:26" ht="17.25" thickTop="1" thickBot="1">
      <c r="C1801" s="264">
        <v>47788</v>
      </c>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spans="3:26" ht="17.25" thickTop="1" thickBot="1">
      <c r="C1802" s="480" t="s">
        <v>386</v>
      </c>
      <c r="D1802" s="481"/>
      <c r="E1802" s="482"/>
      <c r="F1802" s="483" t="s">
        <v>387</v>
      </c>
      <c r="G1802" s="484"/>
      <c r="H1802" s="484"/>
      <c r="I1802" s="484"/>
      <c r="J1802" s="484"/>
      <c r="K1802" s="484"/>
      <c r="L1802" s="484"/>
      <c r="M1802" s="484"/>
      <c r="N1802" s="485"/>
      <c r="O1802" s="261" t="s">
        <v>320</v>
      </c>
      <c r="P1802" s="262" t="s">
        <v>257</v>
      </c>
      <c r="Q1802" s="263" t="s">
        <v>319</v>
      </c>
      <c r="R1802" s="486" t="s">
        <v>144</v>
      </c>
      <c r="S1802" s="487"/>
      <c r="T1802" s="487"/>
      <c r="U1802" s="487"/>
      <c r="V1802" s="487"/>
      <c r="W1802" s="487"/>
      <c r="X1802" s="487"/>
      <c r="Y1802" s="487"/>
      <c r="Z1802" s="488"/>
    </row>
    <row r="1803" spans="3:26" ht="15.75" thickBot="1">
      <c r="C1803" s="265"/>
      <c r="D1803" s="489"/>
      <c r="E1803" s="490"/>
      <c r="F1803" s="470" t="s">
        <v>3</v>
      </c>
      <c r="G1803" s="491"/>
      <c r="H1803" s="492"/>
      <c r="I1803" s="493" t="s">
        <v>4</v>
      </c>
      <c r="J1803" s="491"/>
      <c r="K1803" s="492"/>
      <c r="L1803" s="267" t="s">
        <v>324</v>
      </c>
      <c r="M1803" s="267" t="s">
        <v>325</v>
      </c>
      <c r="N1803" s="267" t="s">
        <v>323</v>
      </c>
      <c r="O1803" s="316" t="s">
        <v>5</v>
      </c>
      <c r="P1803" s="317">
        <f>P1806+P1809+P1812+P1815</f>
        <v>49722.357304458521</v>
      </c>
      <c r="Q1803" s="318">
        <f>Q1812+Q1809+Q1806+Q1815</f>
        <v>0</v>
      </c>
      <c r="R1803" s="268" t="s">
        <v>323</v>
      </c>
      <c r="S1803" s="493" t="s">
        <v>317</v>
      </c>
      <c r="T1803" s="492"/>
      <c r="U1803" s="493" t="s">
        <v>369</v>
      </c>
      <c r="V1803" s="471"/>
      <c r="W1803" s="470" t="s">
        <v>310</v>
      </c>
      <c r="X1803" s="471"/>
      <c r="Y1803" s="470" t="s">
        <v>13</v>
      </c>
      <c r="Z1803" s="471"/>
    </row>
    <row r="1804" spans="3:26" ht="16.5" thickTop="1" thickBot="1">
      <c r="C1804" s="15"/>
      <c r="D1804" s="494"/>
      <c r="E1804" s="495"/>
      <c r="G1804" s="496"/>
      <c r="H1804" s="497"/>
      <c r="J1804" s="496"/>
      <c r="K1804" s="497"/>
      <c r="L1804" s="76"/>
      <c r="M1804" s="25"/>
      <c r="N1804" s="292"/>
      <c r="O1804" s="258" t="s">
        <v>321</v>
      </c>
      <c r="P1804" s="315">
        <f>SUM(C1804:C1817)-SUM(F1804:F1817)-SUM(I1804:I1817)</f>
        <v>689.02999999999986</v>
      </c>
      <c r="Q1804" s="12">
        <f>Q1803-Q1786</f>
        <v>0</v>
      </c>
      <c r="R1804" s="307" t="s">
        <v>343</v>
      </c>
      <c r="S1804" s="498"/>
      <c r="T1804" s="499"/>
      <c r="U1804" s="498"/>
      <c r="V1804" s="500"/>
      <c r="W1804" s="501" t="s">
        <v>326</v>
      </c>
      <c r="X1804" s="502"/>
      <c r="Y1804" s="143" t="s">
        <v>17</v>
      </c>
      <c r="Z1804" s="12"/>
    </row>
    <row r="1805" spans="3:26" ht="16.5" thickTop="1" thickBot="1">
      <c r="C1805" s="15"/>
      <c r="D1805" s="455" t="s">
        <v>11</v>
      </c>
      <c r="E1805" s="456"/>
      <c r="F1805" s="6">
        <f>F1788</f>
        <v>400</v>
      </c>
      <c r="G1805" s="462" t="s">
        <v>223</v>
      </c>
      <c r="H1805" s="464"/>
      <c r="I1805" s="20">
        <f>I1788</f>
        <v>11.99</v>
      </c>
      <c r="J1805" s="462" t="s">
        <v>385</v>
      </c>
      <c r="K1805" s="464"/>
      <c r="L1805" s="76">
        <f>L1788</f>
        <v>200</v>
      </c>
      <c r="M1805" s="76">
        <f>M1788</f>
        <v>150</v>
      </c>
      <c r="N1805" s="76">
        <f>N1788</f>
        <v>200</v>
      </c>
      <c r="O1805" s="141" t="s">
        <v>322</v>
      </c>
      <c r="P1805" s="133">
        <f>P1804/29</f>
        <v>23.759655172413787</v>
      </c>
      <c r="Q1805" s="10">
        <f>Q1804/29</f>
        <v>0</v>
      </c>
      <c r="R1805" s="308" t="s">
        <v>382</v>
      </c>
      <c r="S1805" s="474"/>
      <c r="T1805" s="475"/>
      <c r="U1805" s="467"/>
      <c r="V1805" s="468"/>
      <c r="W1805" s="289" t="s">
        <v>12</v>
      </c>
      <c r="X1805" s="315"/>
      <c r="Y1805" s="144" t="s">
        <v>18</v>
      </c>
      <c r="Z1805" s="72"/>
    </row>
    <row r="1806" spans="3:26">
      <c r="C1806" s="15"/>
      <c r="D1806" s="455" t="s">
        <v>390</v>
      </c>
      <c r="E1806" s="456"/>
      <c r="F1806" s="6">
        <f t="shared" ref="F1806:F1814" si="98">F1789</f>
        <v>100</v>
      </c>
      <c r="G1806" s="462" t="s">
        <v>9</v>
      </c>
      <c r="H1806" s="464"/>
      <c r="I1806" s="20">
        <f t="shared" ref="I1806:I1811" si="99">I1789</f>
        <v>11.99</v>
      </c>
      <c r="J1806" s="462" t="s">
        <v>22</v>
      </c>
      <c r="K1806" s="464"/>
      <c r="L1806" s="76"/>
      <c r="M1806" s="25"/>
      <c r="N1806" s="294"/>
      <c r="O1806" s="136" t="s">
        <v>12</v>
      </c>
      <c r="P1806" s="319">
        <f>P1789+P1804-SUM(L1804:L1817)-SUM(M1804:M1817)-SUM(N1804:N1817)</f>
        <v>8216.0199999999877</v>
      </c>
      <c r="Q1806" s="320">
        <f>Z1804+Z1809+Z1812</f>
        <v>0</v>
      </c>
      <c r="R1806" s="308" t="s">
        <v>383</v>
      </c>
      <c r="S1806" s="474"/>
      <c r="T1806" s="475"/>
      <c r="U1806" s="467"/>
      <c r="V1806" s="468"/>
      <c r="W1806" s="282" t="s">
        <v>373</v>
      </c>
      <c r="X1806" s="132"/>
      <c r="Y1806" s="144" t="s">
        <v>19</v>
      </c>
      <c r="Z1806" s="72"/>
    </row>
    <row r="1807" spans="3:26" ht="15.75" thickBot="1">
      <c r="C1807" s="15"/>
      <c r="D1807" s="462"/>
      <c r="E1807" s="463"/>
      <c r="F1807" s="6">
        <f t="shared" si="98"/>
        <v>150</v>
      </c>
      <c r="G1807" s="462" t="s">
        <v>6</v>
      </c>
      <c r="H1807" s="464"/>
      <c r="I1807" s="20">
        <f t="shared" si="99"/>
        <v>20</v>
      </c>
      <c r="J1807" s="462" t="s">
        <v>920</v>
      </c>
      <c r="K1807" s="464"/>
      <c r="L1807" s="76"/>
      <c r="M1807" s="25"/>
      <c r="N1807" s="20"/>
      <c r="O1807" s="140" t="s">
        <v>321</v>
      </c>
      <c r="P1807" s="132">
        <f>SUM(C1804:C1817)-SUM(F1804:F1817)-SUM(I1804:I1817)-P1810-P1813-P1816</f>
        <v>139.02999999999986</v>
      </c>
      <c r="Q1807" s="72">
        <f>Q1806-Q1789</f>
        <v>0</v>
      </c>
      <c r="R1807" s="308" t="s">
        <v>424</v>
      </c>
      <c r="S1807" s="474"/>
      <c r="T1807" s="475"/>
      <c r="U1807" s="467"/>
      <c r="V1807" s="468"/>
      <c r="W1807" s="282" t="s">
        <v>378</v>
      </c>
      <c r="X1807" s="132"/>
      <c r="Y1807" s="145" t="s">
        <v>324</v>
      </c>
      <c r="Z1807" s="135"/>
    </row>
    <row r="1808" spans="3:26" ht="15.75" thickBot="1">
      <c r="C1808" s="15"/>
      <c r="D1808" s="455"/>
      <c r="E1808" s="456"/>
      <c r="F1808" s="6">
        <f t="shared" si="98"/>
        <v>370</v>
      </c>
      <c r="G1808" s="462" t="s">
        <v>97</v>
      </c>
      <c r="H1808" s="464"/>
      <c r="I1808" s="20">
        <f t="shared" si="99"/>
        <v>11.9</v>
      </c>
      <c r="J1808" s="462" t="s">
        <v>249</v>
      </c>
      <c r="K1808" s="464"/>
      <c r="L1808" s="76"/>
      <c r="M1808" s="25"/>
      <c r="N1808" s="294"/>
      <c r="O1808" s="141" t="s">
        <v>322</v>
      </c>
      <c r="P1808" s="133">
        <f>P1807/29</f>
        <v>4.7941379310344781</v>
      </c>
      <c r="Q1808" s="10">
        <f>Q1807/29</f>
        <v>0</v>
      </c>
      <c r="R1808" s="143" t="s">
        <v>12</v>
      </c>
      <c r="S1808" s="476"/>
      <c r="T1808" s="477"/>
      <c r="U1808" s="478"/>
      <c r="V1808" s="479"/>
      <c r="W1808" s="289" t="s">
        <v>379</v>
      </c>
      <c r="X1808" s="132"/>
      <c r="Y1808" s="470" t="s">
        <v>14</v>
      </c>
      <c r="Z1808" s="471"/>
    </row>
    <row r="1809" spans="3:26" ht="15.75" thickBot="1">
      <c r="C1809" s="15"/>
      <c r="D1809" s="455"/>
      <c r="E1809" s="456"/>
      <c r="F1809" s="6">
        <f t="shared" si="98"/>
        <v>1860.75</v>
      </c>
      <c r="G1809" s="462" t="s">
        <v>304</v>
      </c>
      <c r="H1809" s="464"/>
      <c r="I1809" s="20">
        <f t="shared" si="99"/>
        <v>150</v>
      </c>
      <c r="J1809" s="462" t="s">
        <v>974</v>
      </c>
      <c r="K1809" s="464"/>
      <c r="L1809" s="76"/>
      <c r="M1809" s="25"/>
      <c r="N1809" s="294"/>
      <c r="O1809" s="136" t="s">
        <v>324</v>
      </c>
      <c r="P1809" s="319">
        <f>P1792+P1810</f>
        <v>11535</v>
      </c>
      <c r="Q1809" s="320">
        <f>Z1805+Z1806+Z1807</f>
        <v>0</v>
      </c>
      <c r="R1809" s="144" t="s">
        <v>425</v>
      </c>
      <c r="S1809" s="465"/>
      <c r="T1809" s="466"/>
      <c r="U1809" s="467"/>
      <c r="V1809" s="468"/>
      <c r="W1809" s="146" t="s">
        <v>375</v>
      </c>
      <c r="X1809" s="325"/>
      <c r="Y1809" s="143" t="s">
        <v>15</v>
      </c>
      <c r="Z1809" s="12"/>
    </row>
    <row r="1810" spans="3:26" ht="15.75" thickBot="1">
      <c r="C1810" s="15"/>
      <c r="D1810" s="462"/>
      <c r="E1810" s="463"/>
      <c r="F1810" s="6">
        <f t="shared" si="98"/>
        <v>70</v>
      </c>
      <c r="G1810" s="462" t="s">
        <v>982</v>
      </c>
      <c r="H1810" s="464"/>
      <c r="I1810" s="20">
        <f t="shared" si="99"/>
        <v>150</v>
      </c>
      <c r="J1810" s="462" t="s">
        <v>105</v>
      </c>
      <c r="K1810" s="464"/>
      <c r="L1810" s="76"/>
      <c r="M1810" s="25"/>
      <c r="N1810" s="294"/>
      <c r="O1810" s="140" t="s">
        <v>321</v>
      </c>
      <c r="P1810" s="132">
        <f>SUM(L1804:L1817)</f>
        <v>200</v>
      </c>
      <c r="Q1810" s="72">
        <f>Q1809-Q1792</f>
        <v>0</v>
      </c>
      <c r="R1810" s="144" t="s">
        <v>426</v>
      </c>
      <c r="S1810" s="465"/>
      <c r="T1810" s="466"/>
      <c r="U1810" s="467"/>
      <c r="V1810" s="468"/>
      <c r="W1810" s="470" t="s">
        <v>376</v>
      </c>
      <c r="X1810" s="471"/>
      <c r="Y1810" s="146" t="s">
        <v>325</v>
      </c>
      <c r="Z1810" s="10"/>
    </row>
    <row r="1811" spans="3:26" ht="16.5" thickTop="1" thickBot="1">
      <c r="C1811" s="15"/>
      <c r="D1811" s="462"/>
      <c r="E1811" s="463"/>
      <c r="F1811" s="6">
        <f t="shared" si="98"/>
        <v>50</v>
      </c>
      <c r="G1811" s="462" t="s">
        <v>926</v>
      </c>
      <c r="H1811" s="464"/>
      <c r="I1811" s="20">
        <f t="shared" si="99"/>
        <v>400</v>
      </c>
      <c r="J1811" s="462" t="s">
        <v>206</v>
      </c>
      <c r="K1811" s="464"/>
      <c r="L1811" s="76"/>
      <c r="M1811" s="25"/>
      <c r="N1811" s="292"/>
      <c r="O1811" s="141" t="s">
        <v>322</v>
      </c>
      <c r="P1811" s="133">
        <f>P1810/29</f>
        <v>6.8965517241379306</v>
      </c>
      <c r="Q1811" s="10">
        <f>Q1810/29</f>
        <v>0</v>
      </c>
      <c r="R1811" s="144" t="s">
        <v>422</v>
      </c>
      <c r="S1811" s="465"/>
      <c r="T1811" s="466"/>
      <c r="U1811" s="467"/>
      <c r="V1811" s="468"/>
      <c r="W1811" s="289" t="s">
        <v>12</v>
      </c>
      <c r="X1811" s="38"/>
      <c r="Y1811" s="470" t="s">
        <v>374</v>
      </c>
      <c r="Z1811" s="471"/>
    </row>
    <row r="1812" spans="3:26" ht="16.5" thickTop="1" thickBot="1">
      <c r="C1812" s="15"/>
      <c r="D1812" s="462"/>
      <c r="E1812" s="463"/>
      <c r="F1812" s="6">
        <f t="shared" si="98"/>
        <v>150</v>
      </c>
      <c r="G1812" s="462" t="s">
        <v>927</v>
      </c>
      <c r="H1812" s="464"/>
      <c r="I1812" s="20"/>
      <c r="J1812" s="462"/>
      <c r="K1812" s="464"/>
      <c r="L1812" s="76"/>
      <c r="M1812" s="25"/>
      <c r="N1812" s="293"/>
      <c r="O1812" s="136" t="s">
        <v>325</v>
      </c>
      <c r="P1812" s="319">
        <f>P1795+P1813</f>
        <v>8658.880000000001</v>
      </c>
      <c r="Q1812" s="320">
        <f>Z1810</f>
        <v>0</v>
      </c>
      <c r="R1812" s="143" t="s">
        <v>421</v>
      </c>
      <c r="S1812" s="465"/>
      <c r="T1812" s="466"/>
      <c r="U1812" s="467"/>
      <c r="V1812" s="468"/>
      <c r="W1812" s="282" t="s">
        <v>373</v>
      </c>
      <c r="X1812" s="281"/>
      <c r="Y1812" s="321" t="s">
        <v>181</v>
      </c>
      <c r="Z1812" s="322">
        <v>0</v>
      </c>
    </row>
    <row r="1813" spans="3:26" ht="15.75" thickBot="1">
      <c r="C1813" s="266"/>
      <c r="D1813" s="448"/>
      <c r="E1813" s="469"/>
      <c r="F1813" s="6">
        <f t="shared" si="98"/>
        <v>150</v>
      </c>
      <c r="G1813" s="462" t="s">
        <v>925</v>
      </c>
      <c r="H1813" s="464"/>
      <c r="I1813" s="20"/>
      <c r="J1813" s="462"/>
      <c r="K1813" s="464"/>
      <c r="L1813" s="76"/>
      <c r="M1813" s="25"/>
      <c r="N1813" s="295"/>
      <c r="O1813" s="140" t="s">
        <v>321</v>
      </c>
      <c r="P1813" s="132">
        <f>SUM(M1804:M1817)</f>
        <v>150</v>
      </c>
      <c r="Q1813" s="72">
        <f>Q1812-Q1795</f>
        <v>0</v>
      </c>
      <c r="R1813" s="144" t="s">
        <v>418</v>
      </c>
      <c r="S1813" s="465"/>
      <c r="T1813" s="466"/>
      <c r="U1813" s="467"/>
      <c r="V1813" s="468"/>
      <c r="W1813" s="282" t="s">
        <v>378</v>
      </c>
      <c r="X1813" s="281"/>
      <c r="Y1813" s="470" t="s">
        <v>1000</v>
      </c>
      <c r="Z1813" s="471"/>
    </row>
    <row r="1814" spans="3:26" ht="16.5" thickTop="1" thickBot="1">
      <c r="C1814" s="266"/>
      <c r="D1814" s="448" t="s">
        <v>1001</v>
      </c>
      <c r="E1814" s="469"/>
      <c r="F1814" s="6">
        <f t="shared" si="98"/>
        <v>30</v>
      </c>
      <c r="G1814" s="462" t="s">
        <v>33</v>
      </c>
      <c r="H1814" s="464"/>
      <c r="I1814" s="20"/>
      <c r="J1814" s="462"/>
      <c r="K1814" s="464"/>
      <c r="L1814" s="76"/>
      <c r="M1814" s="25"/>
      <c r="N1814" s="293"/>
      <c r="O1814" s="141" t="s">
        <v>322</v>
      </c>
      <c r="P1814" s="133">
        <f>P1813/29</f>
        <v>5.1724137931034484</v>
      </c>
      <c r="Q1814" s="10">
        <f>Q1813/29</f>
        <v>0</v>
      </c>
      <c r="R1814" s="144" t="s">
        <v>438</v>
      </c>
      <c r="S1814" s="465"/>
      <c r="T1814" s="466"/>
      <c r="U1814" s="472"/>
      <c r="V1814" s="473"/>
      <c r="W1814" s="289" t="s">
        <v>379</v>
      </c>
      <c r="X1814" s="281"/>
      <c r="Y1814" s="143" t="s">
        <v>12</v>
      </c>
      <c r="Z1814" s="12"/>
    </row>
    <row r="1815" spans="3:26" ht="15.75" thickBot="1">
      <c r="C1815" s="15">
        <f>C1798</f>
        <v>4775.66</v>
      </c>
      <c r="D1815" s="455" t="s">
        <v>11</v>
      </c>
      <c r="E1815" s="456"/>
      <c r="F1815" s="15"/>
      <c r="G1815" s="462"/>
      <c r="H1815" s="464"/>
      <c r="I1815" s="20"/>
      <c r="J1815" s="462"/>
      <c r="K1815" s="464"/>
      <c r="L1815" s="76"/>
      <c r="M1815" s="25"/>
      <c r="N1815" s="295"/>
      <c r="O1815" s="136" t="s">
        <v>323</v>
      </c>
      <c r="P1815" s="319">
        <f>P1798+P1816</f>
        <v>21312.45730445853</v>
      </c>
      <c r="Q1815" s="320">
        <f>S1804+U1804</f>
        <v>0</v>
      </c>
      <c r="R1815" s="144" t="s">
        <v>380</v>
      </c>
      <c r="S1815" s="291">
        <f>S1806-S1807</f>
        <v>0</v>
      </c>
      <c r="T1815" s="327" t="e">
        <f>S1815/S1807</f>
        <v>#DIV/0!</v>
      </c>
      <c r="U1815" s="291">
        <f>U1806-U1807</f>
        <v>0</v>
      </c>
      <c r="V1815" s="329" t="e">
        <f>U1815/U1807</f>
        <v>#DIV/0!</v>
      </c>
      <c r="W1815" s="146" t="s">
        <v>375</v>
      </c>
      <c r="X1815" s="326"/>
      <c r="Y1815" s="144" t="s">
        <v>373</v>
      </c>
      <c r="Z1815" s="72"/>
    </row>
    <row r="1816" spans="3:26">
      <c r="C1816" s="15"/>
      <c r="D1816" s="455" t="s">
        <v>390</v>
      </c>
      <c r="E1816" s="456"/>
      <c r="F1816" s="15"/>
      <c r="G1816" s="457" t="s">
        <v>38</v>
      </c>
      <c r="H1816" s="458"/>
      <c r="I1816" s="20"/>
      <c r="J1816" s="457" t="s">
        <v>38</v>
      </c>
      <c r="K1816" s="458"/>
      <c r="L1816" s="76"/>
      <c r="M1816" s="25"/>
      <c r="N1816" s="293"/>
      <c r="O1816" s="140" t="s">
        <v>321</v>
      </c>
      <c r="P1816" s="132">
        <f>SUM(N1804:N1817)</f>
        <v>200</v>
      </c>
      <c r="Q1816" s="72">
        <f>Q1815-Q1798</f>
        <v>0</v>
      </c>
      <c r="R1816" s="144" t="s">
        <v>381</v>
      </c>
      <c r="S1816" s="291">
        <f>S1804-S1809</f>
        <v>0</v>
      </c>
      <c r="T1816" s="327" t="e">
        <f>S1816/S1809</f>
        <v>#DIV/0!</v>
      </c>
      <c r="U1816" s="291">
        <f>U1804-U1809</f>
        <v>0</v>
      </c>
      <c r="V1816" s="366" t="e">
        <f>U1816/ABS(U1809)</f>
        <v>#DIV/0!</v>
      </c>
      <c r="W1816" s="337" t="s">
        <v>410</v>
      </c>
      <c r="X1816" s="1" t="s">
        <v>558</v>
      </c>
      <c r="Y1816" s="144" t="s">
        <v>379</v>
      </c>
      <c r="Z1816" s="72"/>
    </row>
    <row r="1817" spans="3:26" ht="15.75" thickBot="1">
      <c r="C1817" s="17"/>
      <c r="D1817" s="459"/>
      <c r="E1817" s="460"/>
      <c r="F1817" s="17"/>
      <c r="G1817" s="459"/>
      <c r="H1817" s="461"/>
      <c r="I1817" s="21"/>
      <c r="J1817" s="459"/>
      <c r="K1817" s="461"/>
      <c r="L1817" s="42"/>
      <c r="M1817" s="5"/>
      <c r="N1817" s="21"/>
      <c r="O1817" s="137" t="s">
        <v>322</v>
      </c>
      <c r="P1817" s="138">
        <f>P1816/29</f>
        <v>6.8965517241379306</v>
      </c>
      <c r="Q1817" s="24">
        <f>Q1816/29</f>
        <v>0</v>
      </c>
      <c r="R1817" s="153" t="s">
        <v>410</v>
      </c>
      <c r="S1817" s="296">
        <f>S1815+S1816</f>
        <v>0</v>
      </c>
      <c r="T1817" s="328" t="e">
        <f>S1817/S1805</f>
        <v>#DIV/0!</v>
      </c>
      <c r="U1817" s="296">
        <f>U1816+U1815</f>
        <v>0</v>
      </c>
      <c r="V1817" s="330" t="e">
        <f>U1817/U1805</f>
        <v>#DIV/0!</v>
      </c>
      <c r="W1817" s="296">
        <f>S1817+U1817</f>
        <v>0</v>
      </c>
      <c r="X1817" s="330" t="e">
        <f>(W1817+S1805+U1805)/(S1805+U1805)-1</f>
        <v>#DIV/0!</v>
      </c>
      <c r="Y1817" s="153" t="s">
        <v>375</v>
      </c>
      <c r="Z1817" s="389"/>
    </row>
    <row r="1818" spans="3:26" ht="17.25" thickTop="1" thickBot="1">
      <c r="C1818" s="264">
        <v>47818</v>
      </c>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spans="3:26" ht="17.25" thickTop="1" thickBot="1">
      <c r="C1819" s="480" t="s">
        <v>386</v>
      </c>
      <c r="D1819" s="481"/>
      <c r="E1819" s="482"/>
      <c r="F1819" s="483" t="s">
        <v>387</v>
      </c>
      <c r="G1819" s="484"/>
      <c r="H1819" s="484"/>
      <c r="I1819" s="484"/>
      <c r="J1819" s="484"/>
      <c r="K1819" s="484"/>
      <c r="L1819" s="484"/>
      <c r="M1819" s="484"/>
      <c r="N1819" s="485"/>
      <c r="O1819" s="261" t="s">
        <v>320</v>
      </c>
      <c r="P1819" s="262" t="s">
        <v>257</v>
      </c>
      <c r="Q1819" s="263" t="s">
        <v>319</v>
      </c>
      <c r="R1819" s="486" t="s">
        <v>144</v>
      </c>
      <c r="S1819" s="487"/>
      <c r="T1819" s="487"/>
      <c r="U1819" s="487"/>
      <c r="V1819" s="487"/>
      <c r="W1819" s="487"/>
      <c r="X1819" s="487"/>
      <c r="Y1819" s="487"/>
      <c r="Z1819" s="488"/>
    </row>
    <row r="1820" spans="3:26" ht="15.75" thickBot="1">
      <c r="C1820" s="265"/>
      <c r="D1820" s="489"/>
      <c r="E1820" s="490"/>
      <c r="F1820" s="470" t="s">
        <v>3</v>
      </c>
      <c r="G1820" s="491"/>
      <c r="H1820" s="492"/>
      <c r="I1820" s="493" t="s">
        <v>4</v>
      </c>
      <c r="J1820" s="491"/>
      <c r="K1820" s="492"/>
      <c r="L1820" s="267" t="s">
        <v>324</v>
      </c>
      <c r="M1820" s="267" t="s">
        <v>325</v>
      </c>
      <c r="N1820" s="267" t="s">
        <v>323</v>
      </c>
      <c r="O1820" s="316" t="s">
        <v>5</v>
      </c>
      <c r="P1820" s="317">
        <f>P1823+P1826+P1829+P1832</f>
        <v>50411.38730445852</v>
      </c>
      <c r="Q1820" s="318">
        <f>Q1829+Q1826+Q1823+Q1832</f>
        <v>0</v>
      </c>
      <c r="R1820" s="268" t="s">
        <v>323</v>
      </c>
      <c r="S1820" s="493" t="s">
        <v>317</v>
      </c>
      <c r="T1820" s="492"/>
      <c r="U1820" s="493" t="s">
        <v>369</v>
      </c>
      <c r="V1820" s="471"/>
      <c r="W1820" s="470" t="s">
        <v>310</v>
      </c>
      <c r="X1820" s="471"/>
      <c r="Y1820" s="470" t="s">
        <v>13</v>
      </c>
      <c r="Z1820" s="471"/>
    </row>
    <row r="1821" spans="3:26" ht="16.5" thickTop="1" thickBot="1">
      <c r="C1821" s="15"/>
      <c r="D1821" s="494"/>
      <c r="E1821" s="495"/>
      <c r="G1821" s="496"/>
      <c r="H1821" s="497"/>
      <c r="J1821" s="496"/>
      <c r="K1821" s="497"/>
      <c r="L1821" s="76"/>
      <c r="M1821" s="25"/>
      <c r="N1821" s="292"/>
      <c r="O1821" s="258" t="s">
        <v>321</v>
      </c>
      <c r="P1821" s="315">
        <f>SUM(C1821:C1834)-SUM(F1821:F1834)-SUM(I1821:I1834)</f>
        <v>689.02999999999986</v>
      </c>
      <c r="Q1821" s="12">
        <f>Q1820-Q1803</f>
        <v>0</v>
      </c>
      <c r="R1821" s="307" t="s">
        <v>343</v>
      </c>
      <c r="S1821" s="498"/>
      <c r="T1821" s="499"/>
      <c r="U1821" s="498"/>
      <c r="V1821" s="500"/>
      <c r="W1821" s="501" t="s">
        <v>326</v>
      </c>
      <c r="X1821" s="502"/>
      <c r="Y1821" s="143" t="s">
        <v>17</v>
      </c>
      <c r="Z1821" s="12"/>
    </row>
    <row r="1822" spans="3:26" ht="16.5" thickTop="1" thickBot="1">
      <c r="C1822" s="15"/>
      <c r="D1822" s="455" t="s">
        <v>11</v>
      </c>
      <c r="E1822" s="456"/>
      <c r="F1822" s="6">
        <f>F1805</f>
        <v>400</v>
      </c>
      <c r="G1822" s="462" t="s">
        <v>223</v>
      </c>
      <c r="H1822" s="464"/>
      <c r="I1822" s="20">
        <f>I1805</f>
        <v>11.99</v>
      </c>
      <c r="J1822" s="462" t="s">
        <v>385</v>
      </c>
      <c r="K1822" s="464"/>
      <c r="L1822" s="76">
        <f>L1805</f>
        <v>200</v>
      </c>
      <c r="M1822" s="76">
        <f>M1805</f>
        <v>150</v>
      </c>
      <c r="N1822" s="76">
        <f>N1805</f>
        <v>200</v>
      </c>
      <c r="O1822" s="141" t="s">
        <v>322</v>
      </c>
      <c r="P1822" s="133">
        <f>P1821/29</f>
        <v>23.759655172413787</v>
      </c>
      <c r="Q1822" s="10">
        <f>Q1821/29</f>
        <v>0</v>
      </c>
      <c r="R1822" s="308" t="s">
        <v>382</v>
      </c>
      <c r="S1822" s="474"/>
      <c r="T1822" s="475"/>
      <c r="U1822" s="467"/>
      <c r="V1822" s="468"/>
      <c r="W1822" s="289" t="s">
        <v>12</v>
      </c>
      <c r="X1822" s="315"/>
      <c r="Y1822" s="144" t="s">
        <v>18</v>
      </c>
      <c r="Z1822" s="72"/>
    </row>
    <row r="1823" spans="3:26">
      <c r="C1823" s="15"/>
      <c r="D1823" s="455" t="s">
        <v>390</v>
      </c>
      <c r="E1823" s="456"/>
      <c r="F1823" s="6">
        <f t="shared" ref="F1823:F1831" si="100">F1806</f>
        <v>100</v>
      </c>
      <c r="G1823" s="462" t="s">
        <v>9</v>
      </c>
      <c r="H1823" s="464"/>
      <c r="I1823" s="20">
        <f t="shared" ref="I1823:I1828" si="101">I1806</f>
        <v>11.99</v>
      </c>
      <c r="J1823" s="462" t="s">
        <v>22</v>
      </c>
      <c r="K1823" s="464"/>
      <c r="L1823" s="76"/>
      <c r="M1823" s="25"/>
      <c r="N1823" s="294"/>
      <c r="O1823" s="136" t="s">
        <v>12</v>
      </c>
      <c r="P1823" s="319">
        <f>P1806+P1821-SUM(L1821:L1834)-SUM(M1821:M1834)-SUM(N1821:N1834)</f>
        <v>8355.0499999999884</v>
      </c>
      <c r="Q1823" s="320">
        <f>Z1821+Z1826+Z1829</f>
        <v>0</v>
      </c>
      <c r="R1823" s="308" t="s">
        <v>383</v>
      </c>
      <c r="S1823" s="474"/>
      <c r="T1823" s="475"/>
      <c r="U1823" s="467"/>
      <c r="V1823" s="468"/>
      <c r="W1823" s="282" t="s">
        <v>373</v>
      </c>
      <c r="X1823" s="132"/>
      <c r="Y1823" s="144" t="s">
        <v>19</v>
      </c>
      <c r="Z1823" s="72"/>
    </row>
    <row r="1824" spans="3:26" ht="15.75" thickBot="1">
      <c r="C1824" s="15"/>
      <c r="D1824" s="462"/>
      <c r="E1824" s="463"/>
      <c r="F1824" s="6">
        <f t="shared" si="100"/>
        <v>150</v>
      </c>
      <c r="G1824" s="462" t="s">
        <v>6</v>
      </c>
      <c r="H1824" s="464"/>
      <c r="I1824" s="20">
        <f t="shared" si="101"/>
        <v>20</v>
      </c>
      <c r="J1824" s="462" t="s">
        <v>920</v>
      </c>
      <c r="K1824" s="464"/>
      <c r="L1824" s="76"/>
      <c r="M1824" s="25"/>
      <c r="N1824" s="20"/>
      <c r="O1824" s="140" t="s">
        <v>321</v>
      </c>
      <c r="P1824" s="132">
        <f>SUM(C1821:C1834)-SUM(F1821:F1834)-SUM(I1821:I1834)-P1827-P1830-P1833</f>
        <v>139.02999999999986</v>
      </c>
      <c r="Q1824" s="72">
        <f>Q1823-Q1806</f>
        <v>0</v>
      </c>
      <c r="R1824" s="308" t="s">
        <v>424</v>
      </c>
      <c r="S1824" s="474"/>
      <c r="T1824" s="475"/>
      <c r="U1824" s="467"/>
      <c r="V1824" s="468"/>
      <c r="W1824" s="282" t="s">
        <v>378</v>
      </c>
      <c r="X1824" s="132"/>
      <c r="Y1824" s="145" t="s">
        <v>324</v>
      </c>
      <c r="Z1824" s="135"/>
    </row>
    <row r="1825" spans="3:26" ht="15.75" thickBot="1">
      <c r="C1825" s="15"/>
      <c r="D1825" s="455"/>
      <c r="E1825" s="456"/>
      <c r="F1825" s="6">
        <f t="shared" si="100"/>
        <v>370</v>
      </c>
      <c r="G1825" s="462" t="s">
        <v>97</v>
      </c>
      <c r="H1825" s="464"/>
      <c r="I1825" s="20">
        <f t="shared" si="101"/>
        <v>11.9</v>
      </c>
      <c r="J1825" s="462" t="s">
        <v>249</v>
      </c>
      <c r="K1825" s="464"/>
      <c r="L1825" s="76"/>
      <c r="M1825" s="25"/>
      <c r="N1825" s="294"/>
      <c r="O1825" s="141" t="s">
        <v>322</v>
      </c>
      <c r="P1825" s="133">
        <f>P1824/29</f>
        <v>4.7941379310344781</v>
      </c>
      <c r="Q1825" s="10">
        <f>Q1824/29</f>
        <v>0</v>
      </c>
      <c r="R1825" s="143" t="s">
        <v>12</v>
      </c>
      <c r="S1825" s="476"/>
      <c r="T1825" s="477"/>
      <c r="U1825" s="478"/>
      <c r="V1825" s="479"/>
      <c r="W1825" s="289" t="s">
        <v>379</v>
      </c>
      <c r="X1825" s="132"/>
      <c r="Y1825" s="470" t="s">
        <v>14</v>
      </c>
      <c r="Z1825" s="471"/>
    </row>
    <row r="1826" spans="3:26" ht="15.75" thickBot="1">
      <c r="C1826" s="15"/>
      <c r="D1826" s="455"/>
      <c r="E1826" s="456"/>
      <c r="F1826" s="6">
        <f t="shared" si="100"/>
        <v>1860.75</v>
      </c>
      <c r="G1826" s="462" t="s">
        <v>304</v>
      </c>
      <c r="H1826" s="464"/>
      <c r="I1826" s="20">
        <f t="shared" si="101"/>
        <v>150</v>
      </c>
      <c r="J1826" s="462" t="s">
        <v>974</v>
      </c>
      <c r="K1826" s="464"/>
      <c r="L1826" s="76"/>
      <c r="M1826" s="25"/>
      <c r="N1826" s="294"/>
      <c r="O1826" s="136" t="s">
        <v>324</v>
      </c>
      <c r="P1826" s="319">
        <f>P1809+P1827</f>
        <v>11735</v>
      </c>
      <c r="Q1826" s="320">
        <f>Z1822+Z1823+Z1824</f>
        <v>0</v>
      </c>
      <c r="R1826" s="144" t="s">
        <v>425</v>
      </c>
      <c r="S1826" s="465"/>
      <c r="T1826" s="466"/>
      <c r="U1826" s="467"/>
      <c r="V1826" s="468"/>
      <c r="W1826" s="146" t="s">
        <v>375</v>
      </c>
      <c r="X1826" s="325"/>
      <c r="Y1826" s="143" t="s">
        <v>15</v>
      </c>
      <c r="Z1826" s="12"/>
    </row>
    <row r="1827" spans="3:26" ht="15.75" thickBot="1">
      <c r="C1827" s="15"/>
      <c r="D1827" s="462"/>
      <c r="E1827" s="463"/>
      <c r="F1827" s="6">
        <f t="shared" si="100"/>
        <v>70</v>
      </c>
      <c r="G1827" s="462" t="s">
        <v>982</v>
      </c>
      <c r="H1827" s="464"/>
      <c r="I1827" s="20">
        <f t="shared" si="101"/>
        <v>150</v>
      </c>
      <c r="J1827" s="462" t="s">
        <v>105</v>
      </c>
      <c r="K1827" s="464"/>
      <c r="L1827" s="76"/>
      <c r="M1827" s="25"/>
      <c r="N1827" s="294"/>
      <c r="O1827" s="140" t="s">
        <v>321</v>
      </c>
      <c r="P1827" s="132">
        <f>SUM(L1821:L1834)</f>
        <v>200</v>
      </c>
      <c r="Q1827" s="72">
        <f>Q1826-Q1809</f>
        <v>0</v>
      </c>
      <c r="R1827" s="144" t="s">
        <v>426</v>
      </c>
      <c r="S1827" s="465"/>
      <c r="T1827" s="466"/>
      <c r="U1827" s="467"/>
      <c r="V1827" s="468"/>
      <c r="W1827" s="470" t="s">
        <v>376</v>
      </c>
      <c r="X1827" s="471"/>
      <c r="Y1827" s="146" t="s">
        <v>325</v>
      </c>
      <c r="Z1827" s="10"/>
    </row>
    <row r="1828" spans="3:26" ht="16.5" thickTop="1" thickBot="1">
      <c r="C1828" s="15"/>
      <c r="D1828" s="462"/>
      <c r="E1828" s="463"/>
      <c r="F1828" s="6">
        <f t="shared" si="100"/>
        <v>50</v>
      </c>
      <c r="G1828" s="462" t="s">
        <v>926</v>
      </c>
      <c r="H1828" s="464"/>
      <c r="I1828" s="20">
        <f t="shared" si="101"/>
        <v>400</v>
      </c>
      <c r="J1828" s="462" t="s">
        <v>206</v>
      </c>
      <c r="K1828" s="464"/>
      <c r="L1828" s="76"/>
      <c r="M1828" s="25"/>
      <c r="N1828" s="292"/>
      <c r="O1828" s="141" t="s">
        <v>322</v>
      </c>
      <c r="P1828" s="133">
        <f>P1827/29</f>
        <v>6.8965517241379306</v>
      </c>
      <c r="Q1828" s="10">
        <f>Q1827/29</f>
        <v>0</v>
      </c>
      <c r="R1828" s="144" t="s">
        <v>422</v>
      </c>
      <c r="S1828" s="465"/>
      <c r="T1828" s="466"/>
      <c r="U1828" s="467"/>
      <c r="V1828" s="468"/>
      <c r="W1828" s="289" t="s">
        <v>12</v>
      </c>
      <c r="X1828" s="38"/>
      <c r="Y1828" s="470" t="s">
        <v>374</v>
      </c>
      <c r="Z1828" s="471"/>
    </row>
    <row r="1829" spans="3:26" ht="16.5" thickTop="1" thickBot="1">
      <c r="C1829" s="15"/>
      <c r="D1829" s="462"/>
      <c r="E1829" s="463"/>
      <c r="F1829" s="6">
        <f t="shared" si="100"/>
        <v>150</v>
      </c>
      <c r="G1829" s="462" t="s">
        <v>927</v>
      </c>
      <c r="H1829" s="464"/>
      <c r="I1829" s="20"/>
      <c r="J1829" s="462"/>
      <c r="K1829" s="464"/>
      <c r="L1829" s="76"/>
      <c r="M1829" s="25"/>
      <c r="N1829" s="293"/>
      <c r="O1829" s="136" t="s">
        <v>325</v>
      </c>
      <c r="P1829" s="319">
        <f>P1812+P1830</f>
        <v>8808.880000000001</v>
      </c>
      <c r="Q1829" s="320">
        <f>Z1827</f>
        <v>0</v>
      </c>
      <c r="R1829" s="143" t="s">
        <v>421</v>
      </c>
      <c r="S1829" s="465"/>
      <c r="T1829" s="466"/>
      <c r="U1829" s="467"/>
      <c r="V1829" s="468"/>
      <c r="W1829" s="282" t="s">
        <v>373</v>
      </c>
      <c r="X1829" s="281"/>
      <c r="Y1829" s="321" t="s">
        <v>181</v>
      </c>
      <c r="Z1829" s="322">
        <v>0</v>
      </c>
    </row>
    <row r="1830" spans="3:26" ht="15.75" thickBot="1">
      <c r="C1830" s="266"/>
      <c r="D1830" s="448"/>
      <c r="E1830" s="469"/>
      <c r="F1830" s="6">
        <f t="shared" si="100"/>
        <v>150</v>
      </c>
      <c r="G1830" s="462" t="s">
        <v>925</v>
      </c>
      <c r="H1830" s="464"/>
      <c r="I1830" s="20"/>
      <c r="J1830" s="462"/>
      <c r="K1830" s="464"/>
      <c r="L1830" s="76"/>
      <c r="M1830" s="25"/>
      <c r="N1830" s="295"/>
      <c r="O1830" s="140" t="s">
        <v>321</v>
      </c>
      <c r="P1830" s="132">
        <f>SUM(M1821:M1834)</f>
        <v>150</v>
      </c>
      <c r="Q1830" s="72">
        <f>Q1829-Q1812</f>
        <v>0</v>
      </c>
      <c r="R1830" s="144" t="s">
        <v>418</v>
      </c>
      <c r="S1830" s="465"/>
      <c r="T1830" s="466"/>
      <c r="U1830" s="467"/>
      <c r="V1830" s="468"/>
      <c r="W1830" s="282" t="s">
        <v>378</v>
      </c>
      <c r="X1830" s="281"/>
      <c r="Y1830" s="470" t="s">
        <v>1000</v>
      </c>
      <c r="Z1830" s="471"/>
    </row>
    <row r="1831" spans="3:26" ht="16.5" thickTop="1" thickBot="1">
      <c r="C1831" s="266"/>
      <c r="D1831" s="448" t="s">
        <v>1001</v>
      </c>
      <c r="E1831" s="469"/>
      <c r="F1831" s="6">
        <f t="shared" si="100"/>
        <v>30</v>
      </c>
      <c r="G1831" s="462" t="s">
        <v>33</v>
      </c>
      <c r="H1831" s="464"/>
      <c r="I1831" s="20"/>
      <c r="J1831" s="462"/>
      <c r="K1831" s="464"/>
      <c r="L1831" s="76"/>
      <c r="M1831" s="25"/>
      <c r="N1831" s="293"/>
      <c r="O1831" s="141" t="s">
        <v>322</v>
      </c>
      <c r="P1831" s="133">
        <f>P1830/29</f>
        <v>5.1724137931034484</v>
      </c>
      <c r="Q1831" s="10">
        <f>Q1830/29</f>
        <v>0</v>
      </c>
      <c r="R1831" s="144" t="s">
        <v>438</v>
      </c>
      <c r="S1831" s="465"/>
      <c r="T1831" s="466"/>
      <c r="U1831" s="472"/>
      <c r="V1831" s="473"/>
      <c r="W1831" s="289" t="s">
        <v>379</v>
      </c>
      <c r="X1831" s="281"/>
      <c r="Y1831" s="143" t="s">
        <v>12</v>
      </c>
      <c r="Z1831" s="12"/>
    </row>
    <row r="1832" spans="3:26" ht="15.75" thickBot="1">
      <c r="C1832" s="15">
        <f>C1815</f>
        <v>4775.66</v>
      </c>
      <c r="D1832" s="455" t="s">
        <v>11</v>
      </c>
      <c r="E1832" s="456"/>
      <c r="F1832" s="15"/>
      <c r="G1832" s="462"/>
      <c r="H1832" s="464"/>
      <c r="I1832" s="20"/>
      <c r="J1832" s="462"/>
      <c r="K1832" s="464"/>
      <c r="L1832" s="76"/>
      <c r="M1832" s="25"/>
      <c r="N1832" s="295"/>
      <c r="O1832" s="136" t="s">
        <v>323</v>
      </c>
      <c r="P1832" s="319">
        <f>P1815+P1833</f>
        <v>21512.45730445853</v>
      </c>
      <c r="Q1832" s="320">
        <f>S1821+U1821</f>
        <v>0</v>
      </c>
      <c r="R1832" s="144" t="s">
        <v>380</v>
      </c>
      <c r="S1832" s="291">
        <f>S1823-S1824</f>
        <v>0</v>
      </c>
      <c r="T1832" s="327" t="e">
        <f>S1832/S1824</f>
        <v>#DIV/0!</v>
      </c>
      <c r="U1832" s="291">
        <f>U1823-U1824</f>
        <v>0</v>
      </c>
      <c r="V1832" s="329" t="e">
        <f>U1832/U1824</f>
        <v>#DIV/0!</v>
      </c>
      <c r="W1832" s="146" t="s">
        <v>375</v>
      </c>
      <c r="X1832" s="326"/>
      <c r="Y1832" s="144" t="s">
        <v>373</v>
      </c>
      <c r="Z1832" s="72"/>
    </row>
    <row r="1833" spans="3:26">
      <c r="C1833" s="15"/>
      <c r="D1833" s="455" t="s">
        <v>390</v>
      </c>
      <c r="E1833" s="456"/>
      <c r="F1833" s="15"/>
      <c r="G1833" s="457" t="s">
        <v>38</v>
      </c>
      <c r="H1833" s="458"/>
      <c r="I1833" s="20"/>
      <c r="J1833" s="457" t="s">
        <v>38</v>
      </c>
      <c r="K1833" s="458"/>
      <c r="L1833" s="76"/>
      <c r="M1833" s="25"/>
      <c r="N1833" s="293"/>
      <c r="O1833" s="140" t="s">
        <v>321</v>
      </c>
      <c r="P1833" s="132">
        <f>SUM(N1821:N1834)</f>
        <v>200</v>
      </c>
      <c r="Q1833" s="72">
        <f>Q1832-Q1815</f>
        <v>0</v>
      </c>
      <c r="R1833" s="144" t="s">
        <v>381</v>
      </c>
      <c r="S1833" s="291">
        <f>S1821-S1826</f>
        <v>0</v>
      </c>
      <c r="T1833" s="327" t="e">
        <f>S1833/S1826</f>
        <v>#DIV/0!</v>
      </c>
      <c r="U1833" s="291">
        <f>U1821-U1826</f>
        <v>0</v>
      </c>
      <c r="V1833" s="366" t="e">
        <f>U1833/ABS(U1826)</f>
        <v>#DIV/0!</v>
      </c>
      <c r="W1833" s="337" t="s">
        <v>410</v>
      </c>
      <c r="X1833" s="1" t="s">
        <v>558</v>
      </c>
      <c r="Y1833" s="144" t="s">
        <v>379</v>
      </c>
      <c r="Z1833" s="72"/>
    </row>
    <row r="1834" spans="3:26" ht="15.75" thickBot="1">
      <c r="C1834" s="17"/>
      <c r="D1834" s="459"/>
      <c r="E1834" s="460"/>
      <c r="F1834" s="17"/>
      <c r="G1834" s="459"/>
      <c r="H1834" s="461"/>
      <c r="I1834" s="21"/>
      <c r="J1834" s="459"/>
      <c r="K1834" s="461"/>
      <c r="L1834" s="42"/>
      <c r="M1834" s="5"/>
      <c r="N1834" s="21"/>
      <c r="O1834" s="137" t="s">
        <v>322</v>
      </c>
      <c r="P1834" s="138">
        <f>P1833/29</f>
        <v>6.8965517241379306</v>
      </c>
      <c r="Q1834" s="24">
        <f>Q1833/29</f>
        <v>0</v>
      </c>
      <c r="R1834" s="153" t="s">
        <v>410</v>
      </c>
      <c r="S1834" s="296">
        <f>S1832+S1833</f>
        <v>0</v>
      </c>
      <c r="T1834" s="328" t="e">
        <f>S1834/S1822</f>
        <v>#DIV/0!</v>
      </c>
      <c r="U1834" s="296">
        <f>U1833+U1832</f>
        <v>0</v>
      </c>
      <c r="V1834" s="330" t="e">
        <f>U1834/U1822</f>
        <v>#DIV/0!</v>
      </c>
      <c r="W1834" s="296">
        <f>S1834+U1834</f>
        <v>0</v>
      </c>
      <c r="X1834" s="330" t="e">
        <f>(W1834+S1822+U1822)/(S1822+U1822)-1</f>
        <v>#DIV/0!</v>
      </c>
      <c r="Y1834" s="153" t="s">
        <v>375</v>
      </c>
      <c r="Z1834" s="389"/>
    </row>
    <row r="1835" spans="3:26" ht="15.75" thickTop="1"/>
  </sheetData>
  <mergeCells count="7817">
    <mergeCell ref="S844:T844"/>
    <mergeCell ref="U844:V844"/>
    <mergeCell ref="Y844:Z844"/>
    <mergeCell ref="S845:T845"/>
    <mergeCell ref="U845:V845"/>
    <mergeCell ref="U836:V836"/>
    <mergeCell ref="S837:T837"/>
    <mergeCell ref="U837:V837"/>
    <mergeCell ref="S838:T838"/>
    <mergeCell ref="U838:V838"/>
    <mergeCell ref="S839:T839"/>
    <mergeCell ref="U839:V839"/>
    <mergeCell ref="Y839:Z839"/>
    <mergeCell ref="S840:T840"/>
    <mergeCell ref="U840:V840"/>
    <mergeCell ref="S841:T841"/>
    <mergeCell ref="U841:V841"/>
    <mergeCell ref="W841:X841"/>
    <mergeCell ref="S842:T842"/>
    <mergeCell ref="U842:V842"/>
    <mergeCell ref="Y842:Z842"/>
    <mergeCell ref="S843:T843"/>
    <mergeCell ref="U843:V843"/>
    <mergeCell ref="S409:T409"/>
    <mergeCell ref="S410:T410"/>
    <mergeCell ref="S411:T411"/>
    <mergeCell ref="S412:T412"/>
    <mergeCell ref="S413:T413"/>
    <mergeCell ref="S414:T414"/>
    <mergeCell ref="S415:T415"/>
    <mergeCell ref="S416:T416"/>
    <mergeCell ref="S417:T417"/>
    <mergeCell ref="S418:T418"/>
    <mergeCell ref="S419:T419"/>
    <mergeCell ref="S420:T420"/>
    <mergeCell ref="U409:V409"/>
    <mergeCell ref="U410:V410"/>
    <mergeCell ref="U411:V411"/>
    <mergeCell ref="U412:V412"/>
    <mergeCell ref="U413:V413"/>
    <mergeCell ref="U414:V414"/>
    <mergeCell ref="U415:V415"/>
    <mergeCell ref="U416:V416"/>
    <mergeCell ref="U417:V417"/>
    <mergeCell ref="U418:V418"/>
    <mergeCell ref="U419:V419"/>
    <mergeCell ref="U420:V420"/>
    <mergeCell ref="D432:E432"/>
    <mergeCell ref="J432:K432"/>
    <mergeCell ref="D433:E433"/>
    <mergeCell ref="J437:K437"/>
    <mergeCell ref="D436:E436"/>
    <mergeCell ref="D437:E437"/>
    <mergeCell ref="G436:H436"/>
    <mergeCell ref="D438:E438"/>
    <mergeCell ref="G438:H438"/>
    <mergeCell ref="J438:K438"/>
    <mergeCell ref="J410:K410"/>
    <mergeCell ref="J417:K417"/>
    <mergeCell ref="J418:K418"/>
    <mergeCell ref="J419:K419"/>
    <mergeCell ref="J422:K422"/>
    <mergeCell ref="J420:K420"/>
    <mergeCell ref="D423:E423"/>
    <mergeCell ref="D416:E416"/>
    <mergeCell ref="D417:E417"/>
    <mergeCell ref="D431:E431"/>
    <mergeCell ref="G431:H431"/>
    <mergeCell ref="D410:E410"/>
    <mergeCell ref="D415:E415"/>
    <mergeCell ref="J431:K431"/>
    <mergeCell ref="J423:K423"/>
    <mergeCell ref="D421:E421"/>
    <mergeCell ref="G421:H421"/>
    <mergeCell ref="J421:K421"/>
    <mergeCell ref="D422:E422"/>
    <mergeCell ref="D418:E418"/>
    <mergeCell ref="G414:H414"/>
    <mergeCell ref="G415:H415"/>
    <mergeCell ref="J406:K406"/>
    <mergeCell ref="J403:K403"/>
    <mergeCell ref="J404:K404"/>
    <mergeCell ref="J405:K405"/>
    <mergeCell ref="J398:K398"/>
    <mergeCell ref="J399:K399"/>
    <mergeCell ref="J400:K400"/>
    <mergeCell ref="J401:K401"/>
    <mergeCell ref="J402:K402"/>
    <mergeCell ref="D398:E398"/>
    <mergeCell ref="D406:E406"/>
    <mergeCell ref="D401:E401"/>
    <mergeCell ref="D402:E402"/>
    <mergeCell ref="D403:E403"/>
    <mergeCell ref="D404:E404"/>
    <mergeCell ref="D405:E405"/>
    <mergeCell ref="D439:E439"/>
    <mergeCell ref="G439:H439"/>
    <mergeCell ref="J439:K439"/>
    <mergeCell ref="D428:E428"/>
    <mergeCell ref="G428:H428"/>
    <mergeCell ref="J428:K428"/>
    <mergeCell ref="D429:E429"/>
    <mergeCell ref="G429:H429"/>
    <mergeCell ref="J429:K429"/>
    <mergeCell ref="D426:E426"/>
    <mergeCell ref="G427:H427"/>
    <mergeCell ref="J427:K427"/>
    <mergeCell ref="D434:E434"/>
    <mergeCell ref="G434:H434"/>
    <mergeCell ref="J434:K434"/>
    <mergeCell ref="D435:E435"/>
    <mergeCell ref="J393:K393"/>
    <mergeCell ref="J394:K394"/>
    <mergeCell ref="J395:K395"/>
    <mergeCell ref="J396:K396"/>
    <mergeCell ref="J397:K397"/>
    <mergeCell ref="J388:K388"/>
    <mergeCell ref="J389:K389"/>
    <mergeCell ref="J390:K390"/>
    <mergeCell ref="J391:K391"/>
    <mergeCell ref="J392:K392"/>
    <mergeCell ref="J383:K383"/>
    <mergeCell ref="J384:K384"/>
    <mergeCell ref="J385:K385"/>
    <mergeCell ref="J386:K386"/>
    <mergeCell ref="J387:K387"/>
    <mergeCell ref="J378:K378"/>
    <mergeCell ref="J379:K379"/>
    <mergeCell ref="J380:K380"/>
    <mergeCell ref="J381:K381"/>
    <mergeCell ref="J382:K382"/>
    <mergeCell ref="J373:K373"/>
    <mergeCell ref="J374:K374"/>
    <mergeCell ref="J375:K375"/>
    <mergeCell ref="J376:K376"/>
    <mergeCell ref="J377:K377"/>
    <mergeCell ref="J368:K368"/>
    <mergeCell ref="J369:K369"/>
    <mergeCell ref="J370:K370"/>
    <mergeCell ref="J371:K371"/>
    <mergeCell ref="J372:K372"/>
    <mergeCell ref="J363:K363"/>
    <mergeCell ref="J364:K364"/>
    <mergeCell ref="J365:K365"/>
    <mergeCell ref="J366:K366"/>
    <mergeCell ref="J367:K367"/>
    <mergeCell ref="J358:K358"/>
    <mergeCell ref="J359:K359"/>
    <mergeCell ref="J360:K360"/>
    <mergeCell ref="J361:K361"/>
    <mergeCell ref="J362:K362"/>
    <mergeCell ref="J353:K353"/>
    <mergeCell ref="J354:K354"/>
    <mergeCell ref="J355:K355"/>
    <mergeCell ref="J356:K356"/>
    <mergeCell ref="J357:K357"/>
    <mergeCell ref="J348:K348"/>
    <mergeCell ref="J349:K349"/>
    <mergeCell ref="J350:K350"/>
    <mergeCell ref="J351:K351"/>
    <mergeCell ref="J352:K352"/>
    <mergeCell ref="J343:K343"/>
    <mergeCell ref="J344:K344"/>
    <mergeCell ref="J345:K345"/>
    <mergeCell ref="J346:K346"/>
    <mergeCell ref="J347:K347"/>
    <mergeCell ref="J338:K338"/>
    <mergeCell ref="J339:K339"/>
    <mergeCell ref="J340:K340"/>
    <mergeCell ref="J341:K341"/>
    <mergeCell ref="J342:K342"/>
    <mergeCell ref="J333:K333"/>
    <mergeCell ref="J334:K334"/>
    <mergeCell ref="J335:K335"/>
    <mergeCell ref="J336:K336"/>
    <mergeCell ref="J337:K337"/>
    <mergeCell ref="J328:K328"/>
    <mergeCell ref="J329:K329"/>
    <mergeCell ref="J330:K330"/>
    <mergeCell ref="J331:K331"/>
    <mergeCell ref="J332:K332"/>
    <mergeCell ref="J323:K323"/>
    <mergeCell ref="J324:K324"/>
    <mergeCell ref="J325:K325"/>
    <mergeCell ref="J326:K326"/>
    <mergeCell ref="J327:K327"/>
    <mergeCell ref="J318:K318"/>
    <mergeCell ref="J319:K319"/>
    <mergeCell ref="J320:K320"/>
    <mergeCell ref="J321:K321"/>
    <mergeCell ref="J322:K322"/>
    <mergeCell ref="J313:K313"/>
    <mergeCell ref="J314:K314"/>
    <mergeCell ref="J315:K315"/>
    <mergeCell ref="J316:K316"/>
    <mergeCell ref="J317:K317"/>
    <mergeCell ref="J308:K308"/>
    <mergeCell ref="J309:K309"/>
    <mergeCell ref="J310:K310"/>
    <mergeCell ref="J311:K311"/>
    <mergeCell ref="J312:K312"/>
    <mergeCell ref="J303:K303"/>
    <mergeCell ref="J304:K304"/>
    <mergeCell ref="J305:K305"/>
    <mergeCell ref="J306:K306"/>
    <mergeCell ref="J307:K307"/>
    <mergeCell ref="J298:K298"/>
    <mergeCell ref="J299:K299"/>
    <mergeCell ref="J300:K300"/>
    <mergeCell ref="J301:K301"/>
    <mergeCell ref="J302:K302"/>
    <mergeCell ref="J293:K293"/>
    <mergeCell ref="J294:K294"/>
    <mergeCell ref="J295:K295"/>
    <mergeCell ref="J296:K296"/>
    <mergeCell ref="J297:K297"/>
    <mergeCell ref="J288:K288"/>
    <mergeCell ref="J289:K289"/>
    <mergeCell ref="J290:K290"/>
    <mergeCell ref="J291:K291"/>
    <mergeCell ref="J292:K292"/>
    <mergeCell ref="J283:K283"/>
    <mergeCell ref="J284:K284"/>
    <mergeCell ref="J285:K285"/>
    <mergeCell ref="J286:K286"/>
    <mergeCell ref="J287:K287"/>
    <mergeCell ref="J278:K278"/>
    <mergeCell ref="J279:K279"/>
    <mergeCell ref="J280:K280"/>
    <mergeCell ref="J281:K281"/>
    <mergeCell ref="J282:K282"/>
    <mergeCell ref="J273:K273"/>
    <mergeCell ref="J274:K274"/>
    <mergeCell ref="J275:K275"/>
    <mergeCell ref="J276:K276"/>
    <mergeCell ref="J277:K277"/>
    <mergeCell ref="J268:K268"/>
    <mergeCell ref="J269:K269"/>
    <mergeCell ref="J270:K270"/>
    <mergeCell ref="J271:K271"/>
    <mergeCell ref="J272:K272"/>
    <mergeCell ref="J263:K263"/>
    <mergeCell ref="J264:K264"/>
    <mergeCell ref="J265:K265"/>
    <mergeCell ref="J266:K266"/>
    <mergeCell ref="J267:K267"/>
    <mergeCell ref="J258:K258"/>
    <mergeCell ref="J259:K259"/>
    <mergeCell ref="J260:K260"/>
    <mergeCell ref="J261:K261"/>
    <mergeCell ref="J262:K262"/>
    <mergeCell ref="J253:K253"/>
    <mergeCell ref="J254:K254"/>
    <mergeCell ref="J255:K255"/>
    <mergeCell ref="J256:K256"/>
    <mergeCell ref="J257:K257"/>
    <mergeCell ref="J248:K248"/>
    <mergeCell ref="J249:K249"/>
    <mergeCell ref="J250:K250"/>
    <mergeCell ref="J251:K251"/>
    <mergeCell ref="J252:K252"/>
    <mergeCell ref="J243:K243"/>
    <mergeCell ref="J244:K244"/>
    <mergeCell ref="J245:K245"/>
    <mergeCell ref="J246:K246"/>
    <mergeCell ref="J247:K247"/>
    <mergeCell ref="J238:K238"/>
    <mergeCell ref="J239:K239"/>
    <mergeCell ref="J240:K240"/>
    <mergeCell ref="J241:K241"/>
    <mergeCell ref="J242:K242"/>
    <mergeCell ref="J233:K233"/>
    <mergeCell ref="J234:K234"/>
    <mergeCell ref="J235:K235"/>
    <mergeCell ref="J236:K236"/>
    <mergeCell ref="J237:K237"/>
    <mergeCell ref="J228:K228"/>
    <mergeCell ref="J229:K229"/>
    <mergeCell ref="J230:K230"/>
    <mergeCell ref="J231:K231"/>
    <mergeCell ref="J232:K232"/>
    <mergeCell ref="J223:K223"/>
    <mergeCell ref="J224:K224"/>
    <mergeCell ref="J225:K225"/>
    <mergeCell ref="J226:K226"/>
    <mergeCell ref="J227:K227"/>
    <mergeCell ref="J218:K218"/>
    <mergeCell ref="J219:K219"/>
    <mergeCell ref="J220:K220"/>
    <mergeCell ref="J221:K221"/>
    <mergeCell ref="J222:K222"/>
    <mergeCell ref="J213:K213"/>
    <mergeCell ref="J214:K214"/>
    <mergeCell ref="J215:K215"/>
    <mergeCell ref="J216:K216"/>
    <mergeCell ref="J217:K217"/>
    <mergeCell ref="J208:K208"/>
    <mergeCell ref="J209:K209"/>
    <mergeCell ref="J210:K210"/>
    <mergeCell ref="J211:K211"/>
    <mergeCell ref="J212:K212"/>
    <mergeCell ref="J203:K203"/>
    <mergeCell ref="J204:K204"/>
    <mergeCell ref="J205:K205"/>
    <mergeCell ref="J206:K206"/>
    <mergeCell ref="J207:K207"/>
    <mergeCell ref="J198:K198"/>
    <mergeCell ref="J199:K199"/>
    <mergeCell ref="J200:K200"/>
    <mergeCell ref="J201:K201"/>
    <mergeCell ref="J202:K202"/>
    <mergeCell ref="J193:K193"/>
    <mergeCell ref="J194:K194"/>
    <mergeCell ref="J195:K195"/>
    <mergeCell ref="J196:K196"/>
    <mergeCell ref="J197:K197"/>
    <mergeCell ref="J188:K188"/>
    <mergeCell ref="J189:K189"/>
    <mergeCell ref="J190:K190"/>
    <mergeCell ref="J191:K191"/>
    <mergeCell ref="J192:K192"/>
    <mergeCell ref="J183:K183"/>
    <mergeCell ref="J184:K184"/>
    <mergeCell ref="J185:K185"/>
    <mergeCell ref="J186:K186"/>
    <mergeCell ref="J187:K187"/>
    <mergeCell ref="J178:K178"/>
    <mergeCell ref="J179:K179"/>
    <mergeCell ref="J180:K180"/>
    <mergeCell ref="J181:K181"/>
    <mergeCell ref="J182:K182"/>
    <mergeCell ref="J173:K173"/>
    <mergeCell ref="J174:K174"/>
    <mergeCell ref="J175:K175"/>
    <mergeCell ref="J176:K176"/>
    <mergeCell ref="J177:K177"/>
    <mergeCell ref="J168:K168"/>
    <mergeCell ref="J169:K169"/>
    <mergeCell ref="J170:K170"/>
    <mergeCell ref="J171:K171"/>
    <mergeCell ref="J172:K172"/>
    <mergeCell ref="J163:K163"/>
    <mergeCell ref="J164:K164"/>
    <mergeCell ref="J165:K165"/>
    <mergeCell ref="J166:K166"/>
    <mergeCell ref="J167:K167"/>
    <mergeCell ref="J158:K158"/>
    <mergeCell ref="J159:K159"/>
    <mergeCell ref="J160:K160"/>
    <mergeCell ref="J161:K161"/>
    <mergeCell ref="J162:K162"/>
    <mergeCell ref="J153:K153"/>
    <mergeCell ref="J154:K154"/>
    <mergeCell ref="J155:K155"/>
    <mergeCell ref="J156:K156"/>
    <mergeCell ref="J157:K157"/>
    <mergeCell ref="J148:K148"/>
    <mergeCell ref="J149:K149"/>
    <mergeCell ref="J150:K150"/>
    <mergeCell ref="J151:K151"/>
    <mergeCell ref="J152:K152"/>
    <mergeCell ref="J143:K143"/>
    <mergeCell ref="J144:K144"/>
    <mergeCell ref="J145:K145"/>
    <mergeCell ref="J146:K146"/>
    <mergeCell ref="J147:K147"/>
    <mergeCell ref="J138:K138"/>
    <mergeCell ref="J139:K139"/>
    <mergeCell ref="J140:K140"/>
    <mergeCell ref="J141:K141"/>
    <mergeCell ref="J142:K142"/>
    <mergeCell ref="J133:K133"/>
    <mergeCell ref="J134:K134"/>
    <mergeCell ref="J135:K135"/>
    <mergeCell ref="J136:K136"/>
    <mergeCell ref="J137:K137"/>
    <mergeCell ref="J128:K128"/>
    <mergeCell ref="J129:K129"/>
    <mergeCell ref="J130:K130"/>
    <mergeCell ref="J131:K131"/>
    <mergeCell ref="J132:K132"/>
    <mergeCell ref="J123:K123"/>
    <mergeCell ref="J124:K124"/>
    <mergeCell ref="J125:K125"/>
    <mergeCell ref="J126:K126"/>
    <mergeCell ref="J127:K127"/>
    <mergeCell ref="J118:K118"/>
    <mergeCell ref="J119:K119"/>
    <mergeCell ref="J120:K120"/>
    <mergeCell ref="J121:K121"/>
    <mergeCell ref="J122:K122"/>
    <mergeCell ref="J87:K87"/>
    <mergeCell ref="J78:K78"/>
    <mergeCell ref="J79:K79"/>
    <mergeCell ref="J80:K80"/>
    <mergeCell ref="J81:K81"/>
    <mergeCell ref="J82:K82"/>
    <mergeCell ref="J113:K113"/>
    <mergeCell ref="J114:K114"/>
    <mergeCell ref="J115:K115"/>
    <mergeCell ref="J116:K116"/>
    <mergeCell ref="J117:K117"/>
    <mergeCell ref="J108:K108"/>
    <mergeCell ref="J109:K109"/>
    <mergeCell ref="J110:K110"/>
    <mergeCell ref="J111:K111"/>
    <mergeCell ref="J112:K112"/>
    <mergeCell ref="J103:K103"/>
    <mergeCell ref="J104:K104"/>
    <mergeCell ref="J105:K105"/>
    <mergeCell ref="J106:K106"/>
    <mergeCell ref="J107:K107"/>
    <mergeCell ref="J98:K98"/>
    <mergeCell ref="J99:K99"/>
    <mergeCell ref="J100:K100"/>
    <mergeCell ref="J101:K101"/>
    <mergeCell ref="J102:K102"/>
    <mergeCell ref="J43:K43"/>
    <mergeCell ref="J44:K44"/>
    <mergeCell ref="J45:K45"/>
    <mergeCell ref="J46:K46"/>
    <mergeCell ref="J47:K47"/>
    <mergeCell ref="J38:K38"/>
    <mergeCell ref="J39:K39"/>
    <mergeCell ref="J40:K40"/>
    <mergeCell ref="J41:K41"/>
    <mergeCell ref="J42:K42"/>
    <mergeCell ref="J33:K33"/>
    <mergeCell ref="J34:K34"/>
    <mergeCell ref="J35:K35"/>
    <mergeCell ref="J36:K36"/>
    <mergeCell ref="J37:K37"/>
    <mergeCell ref="J73:K73"/>
    <mergeCell ref="J74:K74"/>
    <mergeCell ref="J69:K69"/>
    <mergeCell ref="J70:K70"/>
    <mergeCell ref="J71:K71"/>
    <mergeCell ref="J72:K72"/>
    <mergeCell ref="J63:K63"/>
    <mergeCell ref="J64:K64"/>
    <mergeCell ref="J65:K65"/>
    <mergeCell ref="J66:K66"/>
    <mergeCell ref="J67:K67"/>
    <mergeCell ref="J58:K58"/>
    <mergeCell ref="J59:K59"/>
    <mergeCell ref="J60:K60"/>
    <mergeCell ref="J61:K61"/>
    <mergeCell ref="J62:K62"/>
    <mergeCell ref="J68:K68"/>
    <mergeCell ref="G395:H395"/>
    <mergeCell ref="G396:H396"/>
    <mergeCell ref="G387:H387"/>
    <mergeCell ref="G388:H388"/>
    <mergeCell ref="G389:H389"/>
    <mergeCell ref="J48:K48"/>
    <mergeCell ref="J49:K49"/>
    <mergeCell ref="J50:K50"/>
    <mergeCell ref="J51:K51"/>
    <mergeCell ref="J53:K53"/>
    <mergeCell ref="J54:K54"/>
    <mergeCell ref="J55:K55"/>
    <mergeCell ref="J56:K56"/>
    <mergeCell ref="J57:K57"/>
    <mergeCell ref="J52:K52"/>
    <mergeCell ref="J75:K75"/>
    <mergeCell ref="J76:K76"/>
    <mergeCell ref="J77:K77"/>
    <mergeCell ref="J93:K93"/>
    <mergeCell ref="J94:K94"/>
    <mergeCell ref="J95:K95"/>
    <mergeCell ref="J96:K96"/>
    <mergeCell ref="J97:K97"/>
    <mergeCell ref="J88:K88"/>
    <mergeCell ref="J89:K89"/>
    <mergeCell ref="J90:K90"/>
    <mergeCell ref="J91:K91"/>
    <mergeCell ref="J92:K92"/>
    <mergeCell ref="J83:K83"/>
    <mergeCell ref="J84:K84"/>
    <mergeCell ref="J85:K85"/>
    <mergeCell ref="J86:K86"/>
    <mergeCell ref="J12:K12"/>
    <mergeCell ref="J13:K13"/>
    <mergeCell ref="J14:K14"/>
    <mergeCell ref="J15:K15"/>
    <mergeCell ref="J16:K16"/>
    <mergeCell ref="J17:K17"/>
    <mergeCell ref="G406:H406"/>
    <mergeCell ref="G402:H402"/>
    <mergeCell ref="G403:H403"/>
    <mergeCell ref="G404:H404"/>
    <mergeCell ref="G405:H405"/>
    <mergeCell ref="J28:K28"/>
    <mergeCell ref="J29:K29"/>
    <mergeCell ref="J30:K30"/>
    <mergeCell ref="J31:K31"/>
    <mergeCell ref="J32:K32"/>
    <mergeCell ref="J23:K23"/>
    <mergeCell ref="J24:K24"/>
    <mergeCell ref="J25:K25"/>
    <mergeCell ref="J26:K26"/>
    <mergeCell ref="J27:K27"/>
    <mergeCell ref="J18:K18"/>
    <mergeCell ref="J19:K19"/>
    <mergeCell ref="J20:K20"/>
    <mergeCell ref="J21:K21"/>
    <mergeCell ref="J22:K22"/>
    <mergeCell ref="G397:H397"/>
    <mergeCell ref="G398:H398"/>
    <mergeCell ref="G399:H399"/>
    <mergeCell ref="G392:H392"/>
    <mergeCell ref="G393:H393"/>
    <mergeCell ref="G394:H394"/>
    <mergeCell ref="G390:H390"/>
    <mergeCell ref="G391:H391"/>
    <mergeCell ref="G382:H382"/>
    <mergeCell ref="G383:H383"/>
    <mergeCell ref="G384:H384"/>
    <mergeCell ref="G385:H385"/>
    <mergeCell ref="G386:H386"/>
    <mergeCell ref="G377:H377"/>
    <mergeCell ref="G378:H378"/>
    <mergeCell ref="G379:H379"/>
    <mergeCell ref="G380:H380"/>
    <mergeCell ref="G381:H381"/>
    <mergeCell ref="G372:H372"/>
    <mergeCell ref="G373:H373"/>
    <mergeCell ref="G374:H374"/>
    <mergeCell ref="G375:H375"/>
    <mergeCell ref="G376:H376"/>
    <mergeCell ref="G367:H367"/>
    <mergeCell ref="G368:H368"/>
    <mergeCell ref="G369:H369"/>
    <mergeCell ref="G370:H370"/>
    <mergeCell ref="G371:H371"/>
    <mergeCell ref="G362:H362"/>
    <mergeCell ref="G363:H363"/>
    <mergeCell ref="G364:H364"/>
    <mergeCell ref="G365:H365"/>
    <mergeCell ref="G366:H366"/>
    <mergeCell ref="G357:H357"/>
    <mergeCell ref="G358:H358"/>
    <mergeCell ref="G359:H359"/>
    <mergeCell ref="G360:H360"/>
    <mergeCell ref="G361:H361"/>
    <mergeCell ref="G352:H352"/>
    <mergeCell ref="G353:H353"/>
    <mergeCell ref="G354:H354"/>
    <mergeCell ref="G355:H355"/>
    <mergeCell ref="G356:H356"/>
    <mergeCell ref="G347:H347"/>
    <mergeCell ref="G348:H348"/>
    <mergeCell ref="G349:H349"/>
    <mergeCell ref="G350:H350"/>
    <mergeCell ref="G351:H351"/>
    <mergeCell ref="G342:H342"/>
    <mergeCell ref="G343:H343"/>
    <mergeCell ref="G344:H344"/>
    <mergeCell ref="G345:H345"/>
    <mergeCell ref="G346:H346"/>
    <mergeCell ref="G337:H337"/>
    <mergeCell ref="G338:H338"/>
    <mergeCell ref="G339:H339"/>
    <mergeCell ref="G340:H340"/>
    <mergeCell ref="G341:H341"/>
    <mergeCell ref="G332:H332"/>
    <mergeCell ref="G333:H333"/>
    <mergeCell ref="G334:H334"/>
    <mergeCell ref="G335:H335"/>
    <mergeCell ref="G336:H336"/>
    <mergeCell ref="G327:H327"/>
    <mergeCell ref="G328:H328"/>
    <mergeCell ref="G329:H329"/>
    <mergeCell ref="G330:H330"/>
    <mergeCell ref="G331:H331"/>
    <mergeCell ref="G322:H322"/>
    <mergeCell ref="G323:H323"/>
    <mergeCell ref="G324:H324"/>
    <mergeCell ref="G325:H325"/>
    <mergeCell ref="G326:H326"/>
    <mergeCell ref="G317:H317"/>
    <mergeCell ref="G318:H318"/>
    <mergeCell ref="G319:H319"/>
    <mergeCell ref="G320:H320"/>
    <mergeCell ref="G321:H321"/>
    <mergeCell ref="G312:H312"/>
    <mergeCell ref="G313:H313"/>
    <mergeCell ref="G314:H314"/>
    <mergeCell ref="G315:H315"/>
    <mergeCell ref="G316:H316"/>
    <mergeCell ref="G307:H307"/>
    <mergeCell ref="G308:H308"/>
    <mergeCell ref="G309:H309"/>
    <mergeCell ref="G310:H310"/>
    <mergeCell ref="G311:H311"/>
    <mergeCell ref="G302:H302"/>
    <mergeCell ref="G303:H303"/>
    <mergeCell ref="G304:H304"/>
    <mergeCell ref="G305:H305"/>
    <mergeCell ref="G306:H306"/>
    <mergeCell ref="G297:H297"/>
    <mergeCell ref="G298:H298"/>
    <mergeCell ref="G299:H299"/>
    <mergeCell ref="G300:H300"/>
    <mergeCell ref="G301:H301"/>
    <mergeCell ref="G292:H292"/>
    <mergeCell ref="G293:H293"/>
    <mergeCell ref="G294:H294"/>
    <mergeCell ref="G295:H295"/>
    <mergeCell ref="G296:H296"/>
    <mergeCell ref="G287:H287"/>
    <mergeCell ref="G288:H288"/>
    <mergeCell ref="G289:H289"/>
    <mergeCell ref="G290:H290"/>
    <mergeCell ref="G291:H291"/>
    <mergeCell ref="G282:H282"/>
    <mergeCell ref="G283:H283"/>
    <mergeCell ref="G284:H284"/>
    <mergeCell ref="G285:H285"/>
    <mergeCell ref="G286:H286"/>
    <mergeCell ref="G277:H277"/>
    <mergeCell ref="G278:H278"/>
    <mergeCell ref="G279:H279"/>
    <mergeCell ref="G280:H280"/>
    <mergeCell ref="G281:H281"/>
    <mergeCell ref="G272:H272"/>
    <mergeCell ref="G273:H273"/>
    <mergeCell ref="G274:H274"/>
    <mergeCell ref="G275:H275"/>
    <mergeCell ref="G276:H276"/>
    <mergeCell ref="G267:H267"/>
    <mergeCell ref="G268:H268"/>
    <mergeCell ref="G269:H269"/>
    <mergeCell ref="G270:H270"/>
    <mergeCell ref="G271:H271"/>
    <mergeCell ref="G262:H262"/>
    <mergeCell ref="G263:H263"/>
    <mergeCell ref="G264:H264"/>
    <mergeCell ref="G265:H265"/>
    <mergeCell ref="G266:H266"/>
    <mergeCell ref="G257:H257"/>
    <mergeCell ref="G258:H258"/>
    <mergeCell ref="G259:H259"/>
    <mergeCell ref="G260:H260"/>
    <mergeCell ref="G261:H261"/>
    <mergeCell ref="G252:H252"/>
    <mergeCell ref="G253:H253"/>
    <mergeCell ref="G254:H254"/>
    <mergeCell ref="G255:H255"/>
    <mergeCell ref="G256:H256"/>
    <mergeCell ref="G247:H247"/>
    <mergeCell ref="G248:H248"/>
    <mergeCell ref="G249:H249"/>
    <mergeCell ref="G250:H250"/>
    <mergeCell ref="G251:H251"/>
    <mergeCell ref="G242:H242"/>
    <mergeCell ref="G243:H243"/>
    <mergeCell ref="G244:H244"/>
    <mergeCell ref="G245:H245"/>
    <mergeCell ref="G246:H246"/>
    <mergeCell ref="G237:H237"/>
    <mergeCell ref="G238:H238"/>
    <mergeCell ref="G239:H239"/>
    <mergeCell ref="G240:H240"/>
    <mergeCell ref="G241:H241"/>
    <mergeCell ref="G232:H232"/>
    <mergeCell ref="G233:H233"/>
    <mergeCell ref="G234:H234"/>
    <mergeCell ref="G235:H235"/>
    <mergeCell ref="G236:H236"/>
    <mergeCell ref="G227:H227"/>
    <mergeCell ref="G228:H228"/>
    <mergeCell ref="G229:H229"/>
    <mergeCell ref="G230:H230"/>
    <mergeCell ref="G231:H231"/>
    <mergeCell ref="G222:H222"/>
    <mergeCell ref="G223:H223"/>
    <mergeCell ref="G224:H224"/>
    <mergeCell ref="G225:H225"/>
    <mergeCell ref="G226:H226"/>
    <mergeCell ref="G217:H217"/>
    <mergeCell ref="G218:H218"/>
    <mergeCell ref="G219:H219"/>
    <mergeCell ref="G220:H220"/>
    <mergeCell ref="G221:H221"/>
    <mergeCell ref="G212:H212"/>
    <mergeCell ref="G213:H213"/>
    <mergeCell ref="G214:H214"/>
    <mergeCell ref="G215:H215"/>
    <mergeCell ref="G216:H216"/>
    <mergeCell ref="G207:H207"/>
    <mergeCell ref="G208:H208"/>
    <mergeCell ref="G209:H209"/>
    <mergeCell ref="G210:H210"/>
    <mergeCell ref="G211:H211"/>
    <mergeCell ref="G202:H202"/>
    <mergeCell ref="G203:H203"/>
    <mergeCell ref="G204:H204"/>
    <mergeCell ref="G205:H205"/>
    <mergeCell ref="G206:H206"/>
    <mergeCell ref="G197:H197"/>
    <mergeCell ref="G198:H198"/>
    <mergeCell ref="G199:H199"/>
    <mergeCell ref="G200:H200"/>
    <mergeCell ref="G201:H201"/>
    <mergeCell ref="G192:H192"/>
    <mergeCell ref="G193:H193"/>
    <mergeCell ref="G194:H194"/>
    <mergeCell ref="G195:H195"/>
    <mergeCell ref="G196:H196"/>
    <mergeCell ref="G187:H187"/>
    <mergeCell ref="G188:H188"/>
    <mergeCell ref="G189:H189"/>
    <mergeCell ref="G190:H190"/>
    <mergeCell ref="G191:H191"/>
    <mergeCell ref="G182:H182"/>
    <mergeCell ref="G183:H183"/>
    <mergeCell ref="G184:H184"/>
    <mergeCell ref="G185:H185"/>
    <mergeCell ref="G186:H186"/>
    <mergeCell ref="G177:H177"/>
    <mergeCell ref="G178:H178"/>
    <mergeCell ref="G179:H179"/>
    <mergeCell ref="G180:H180"/>
    <mergeCell ref="G181:H181"/>
    <mergeCell ref="G172:H172"/>
    <mergeCell ref="G173:H173"/>
    <mergeCell ref="G174:H174"/>
    <mergeCell ref="G175:H175"/>
    <mergeCell ref="G176:H176"/>
    <mergeCell ref="G167:H167"/>
    <mergeCell ref="G168:H168"/>
    <mergeCell ref="G169:H169"/>
    <mergeCell ref="G170:H170"/>
    <mergeCell ref="G171:H171"/>
    <mergeCell ref="G162:H162"/>
    <mergeCell ref="G163:H163"/>
    <mergeCell ref="G164:H164"/>
    <mergeCell ref="G165:H165"/>
    <mergeCell ref="G166:H166"/>
    <mergeCell ref="G157:H157"/>
    <mergeCell ref="G158:H158"/>
    <mergeCell ref="G159:H159"/>
    <mergeCell ref="G160:H160"/>
    <mergeCell ref="G161:H161"/>
    <mergeCell ref="G152:H152"/>
    <mergeCell ref="G153:H153"/>
    <mergeCell ref="G154:H154"/>
    <mergeCell ref="G155:H155"/>
    <mergeCell ref="G156:H156"/>
    <mergeCell ref="G147:H147"/>
    <mergeCell ref="G148:H148"/>
    <mergeCell ref="G149:H149"/>
    <mergeCell ref="G150:H150"/>
    <mergeCell ref="G151:H151"/>
    <mergeCell ref="G142:H142"/>
    <mergeCell ref="G143:H143"/>
    <mergeCell ref="G144:H144"/>
    <mergeCell ref="G145:H145"/>
    <mergeCell ref="G146:H146"/>
    <mergeCell ref="G137:H137"/>
    <mergeCell ref="G138:H138"/>
    <mergeCell ref="G139:H139"/>
    <mergeCell ref="G140:H140"/>
    <mergeCell ref="G141:H141"/>
    <mergeCell ref="G132:H132"/>
    <mergeCell ref="G133:H133"/>
    <mergeCell ref="G134:H134"/>
    <mergeCell ref="G135:H135"/>
    <mergeCell ref="G136:H136"/>
    <mergeCell ref="G127:H127"/>
    <mergeCell ref="G128:H128"/>
    <mergeCell ref="G129:H129"/>
    <mergeCell ref="G130:H130"/>
    <mergeCell ref="G131:H131"/>
    <mergeCell ref="G122:H122"/>
    <mergeCell ref="G123:H123"/>
    <mergeCell ref="G124:H124"/>
    <mergeCell ref="G125:H125"/>
    <mergeCell ref="G126:H126"/>
    <mergeCell ref="G117:H117"/>
    <mergeCell ref="G118:H118"/>
    <mergeCell ref="G119:H119"/>
    <mergeCell ref="G120:H120"/>
    <mergeCell ref="G121:H121"/>
    <mergeCell ref="G112:H112"/>
    <mergeCell ref="G113:H113"/>
    <mergeCell ref="G114:H114"/>
    <mergeCell ref="G115:H115"/>
    <mergeCell ref="G116:H116"/>
    <mergeCell ref="G75:H75"/>
    <mergeCell ref="G76:H76"/>
    <mergeCell ref="G107:H107"/>
    <mergeCell ref="G108:H108"/>
    <mergeCell ref="G109:H109"/>
    <mergeCell ref="G110:H110"/>
    <mergeCell ref="G111:H111"/>
    <mergeCell ref="G102:H102"/>
    <mergeCell ref="G103:H103"/>
    <mergeCell ref="G104:H104"/>
    <mergeCell ref="G105:H105"/>
    <mergeCell ref="G106:H106"/>
    <mergeCell ref="G97:H97"/>
    <mergeCell ref="G98:H98"/>
    <mergeCell ref="G99:H99"/>
    <mergeCell ref="G100:H100"/>
    <mergeCell ref="G101:H101"/>
    <mergeCell ref="G92:H92"/>
    <mergeCell ref="G93:H93"/>
    <mergeCell ref="G94:H94"/>
    <mergeCell ref="G95:H95"/>
    <mergeCell ref="G96:H96"/>
    <mergeCell ref="G79:H79"/>
    <mergeCell ref="G80:H80"/>
    <mergeCell ref="G81:H81"/>
    <mergeCell ref="G37:H37"/>
    <mergeCell ref="G38:H38"/>
    <mergeCell ref="G39:H39"/>
    <mergeCell ref="G40:H40"/>
    <mergeCell ref="G41:H41"/>
    <mergeCell ref="G32:H32"/>
    <mergeCell ref="G33:H33"/>
    <mergeCell ref="G34:H34"/>
    <mergeCell ref="G35:H35"/>
    <mergeCell ref="G36:H36"/>
    <mergeCell ref="G67:H67"/>
    <mergeCell ref="G68:H68"/>
    <mergeCell ref="G62:H62"/>
    <mergeCell ref="G63:H63"/>
    <mergeCell ref="G64:H64"/>
    <mergeCell ref="G65:H65"/>
    <mergeCell ref="G66:H66"/>
    <mergeCell ref="G57:H57"/>
    <mergeCell ref="G58:H58"/>
    <mergeCell ref="G59:H59"/>
    <mergeCell ref="G60:H60"/>
    <mergeCell ref="G61:H61"/>
    <mergeCell ref="G52:H52"/>
    <mergeCell ref="G53:H53"/>
    <mergeCell ref="G54:H54"/>
    <mergeCell ref="G55:H55"/>
    <mergeCell ref="G56:H56"/>
    <mergeCell ref="G46:H46"/>
    <mergeCell ref="G43:H43"/>
    <mergeCell ref="G44:H44"/>
    <mergeCell ref="G45:H45"/>
    <mergeCell ref="D400:E400"/>
    <mergeCell ref="D391:E391"/>
    <mergeCell ref="D392:E392"/>
    <mergeCell ref="D393:E393"/>
    <mergeCell ref="D394:E394"/>
    <mergeCell ref="D395:E395"/>
    <mergeCell ref="D386:E386"/>
    <mergeCell ref="D387:E387"/>
    <mergeCell ref="D388:E388"/>
    <mergeCell ref="D389:E389"/>
    <mergeCell ref="G47:H47"/>
    <mergeCell ref="G48:H48"/>
    <mergeCell ref="G49:H49"/>
    <mergeCell ref="G50:H50"/>
    <mergeCell ref="G51:H51"/>
    <mergeCell ref="G69:H69"/>
    <mergeCell ref="G70:H70"/>
    <mergeCell ref="G71:H71"/>
    <mergeCell ref="G87:H87"/>
    <mergeCell ref="G88:H88"/>
    <mergeCell ref="G89:H89"/>
    <mergeCell ref="G90:H90"/>
    <mergeCell ref="G91:H91"/>
    <mergeCell ref="G82:H82"/>
    <mergeCell ref="G83:H83"/>
    <mergeCell ref="G84:H84"/>
    <mergeCell ref="G85:H85"/>
    <mergeCell ref="G86:H86"/>
    <mergeCell ref="D390:E390"/>
    <mergeCell ref="D381:E381"/>
    <mergeCell ref="G77:H77"/>
    <mergeCell ref="G78:H78"/>
    <mergeCell ref="D382:E382"/>
    <mergeCell ref="D383:E383"/>
    <mergeCell ref="D384:E384"/>
    <mergeCell ref="D385:E385"/>
    <mergeCell ref="D376:E376"/>
    <mergeCell ref="D377:E377"/>
    <mergeCell ref="D378:E378"/>
    <mergeCell ref="D379:E379"/>
    <mergeCell ref="D380:E380"/>
    <mergeCell ref="D371:E371"/>
    <mergeCell ref="D372:E372"/>
    <mergeCell ref="D373:E373"/>
    <mergeCell ref="D374:E374"/>
    <mergeCell ref="D375:E375"/>
    <mergeCell ref="D399:E399"/>
    <mergeCell ref="D366:E366"/>
    <mergeCell ref="D367:E367"/>
    <mergeCell ref="D368:E368"/>
    <mergeCell ref="D369:E369"/>
    <mergeCell ref="D370:E370"/>
    <mergeCell ref="D396:E396"/>
    <mergeCell ref="D397:E397"/>
    <mergeCell ref="D361:E361"/>
    <mergeCell ref="D362:E362"/>
    <mergeCell ref="D363:E363"/>
    <mergeCell ref="D364:E364"/>
    <mergeCell ref="D365:E365"/>
    <mergeCell ref="D356:E356"/>
    <mergeCell ref="D357:E357"/>
    <mergeCell ref="D358:E358"/>
    <mergeCell ref="D359:E359"/>
    <mergeCell ref="D360:E360"/>
    <mergeCell ref="D351:E351"/>
    <mergeCell ref="D352:E352"/>
    <mergeCell ref="D353:E353"/>
    <mergeCell ref="D354:E354"/>
    <mergeCell ref="D355:E355"/>
    <mergeCell ref="D346:E346"/>
    <mergeCell ref="D347:E347"/>
    <mergeCell ref="D348:E348"/>
    <mergeCell ref="D349:E349"/>
    <mergeCell ref="D350:E350"/>
    <mergeCell ref="D341:E341"/>
    <mergeCell ref="D342:E342"/>
    <mergeCell ref="D343:E343"/>
    <mergeCell ref="D344:E344"/>
    <mergeCell ref="D345:E345"/>
    <mergeCell ref="D336:E336"/>
    <mergeCell ref="D337:E337"/>
    <mergeCell ref="D338:E338"/>
    <mergeCell ref="D339:E339"/>
    <mergeCell ref="D340:E340"/>
    <mergeCell ref="D331:E331"/>
    <mergeCell ref="D332:E332"/>
    <mergeCell ref="D333:E333"/>
    <mergeCell ref="D334:E334"/>
    <mergeCell ref="D335:E335"/>
    <mergeCell ref="D326:E326"/>
    <mergeCell ref="D327:E327"/>
    <mergeCell ref="D328:E328"/>
    <mergeCell ref="D329:E329"/>
    <mergeCell ref="D330:E330"/>
    <mergeCell ref="D321:E321"/>
    <mergeCell ref="D322:E322"/>
    <mergeCell ref="D323:E323"/>
    <mergeCell ref="D324:E324"/>
    <mergeCell ref="D325:E325"/>
    <mergeCell ref="D316:E316"/>
    <mergeCell ref="D317:E317"/>
    <mergeCell ref="D318:E318"/>
    <mergeCell ref="D319:E319"/>
    <mergeCell ref="D320:E320"/>
    <mergeCell ref="D311:E311"/>
    <mergeCell ref="D312:E312"/>
    <mergeCell ref="D313:E313"/>
    <mergeCell ref="D314:E314"/>
    <mergeCell ref="D315:E315"/>
    <mergeCell ref="D306:E306"/>
    <mergeCell ref="D307:E307"/>
    <mergeCell ref="D308:E308"/>
    <mergeCell ref="D309:E309"/>
    <mergeCell ref="D310:E310"/>
    <mergeCell ref="D301:E301"/>
    <mergeCell ref="D302:E302"/>
    <mergeCell ref="D303:E303"/>
    <mergeCell ref="D304:E304"/>
    <mergeCell ref="D305:E305"/>
    <mergeCell ref="D296:E296"/>
    <mergeCell ref="D297:E297"/>
    <mergeCell ref="D298:E298"/>
    <mergeCell ref="D299:E299"/>
    <mergeCell ref="D300:E300"/>
    <mergeCell ref="D291:E291"/>
    <mergeCell ref="D292:E292"/>
    <mergeCell ref="D293:E293"/>
    <mergeCell ref="D294:E294"/>
    <mergeCell ref="D295:E295"/>
    <mergeCell ref="D286:E286"/>
    <mergeCell ref="D287:E287"/>
    <mergeCell ref="D288:E288"/>
    <mergeCell ref="D289:E289"/>
    <mergeCell ref="D290:E290"/>
    <mergeCell ref="D281:E281"/>
    <mergeCell ref="D282:E282"/>
    <mergeCell ref="D283:E283"/>
    <mergeCell ref="D284:E284"/>
    <mergeCell ref="D285:E285"/>
    <mergeCell ref="D276:E276"/>
    <mergeCell ref="D277:E277"/>
    <mergeCell ref="D278:E278"/>
    <mergeCell ref="D279:E279"/>
    <mergeCell ref="D280:E280"/>
    <mergeCell ref="D271:E271"/>
    <mergeCell ref="D272:E272"/>
    <mergeCell ref="D273:E273"/>
    <mergeCell ref="D274:E274"/>
    <mergeCell ref="D275:E275"/>
    <mergeCell ref="D266:E266"/>
    <mergeCell ref="D267:E267"/>
    <mergeCell ref="D268:E268"/>
    <mergeCell ref="D269:E269"/>
    <mergeCell ref="D270:E270"/>
    <mergeCell ref="D261:E261"/>
    <mergeCell ref="D262:E262"/>
    <mergeCell ref="D263:E263"/>
    <mergeCell ref="D264:E264"/>
    <mergeCell ref="D265:E265"/>
    <mergeCell ref="D256:E256"/>
    <mergeCell ref="D257:E257"/>
    <mergeCell ref="D258:E258"/>
    <mergeCell ref="D259:E259"/>
    <mergeCell ref="D260:E260"/>
    <mergeCell ref="D251:E251"/>
    <mergeCell ref="D252:E252"/>
    <mergeCell ref="D253:E253"/>
    <mergeCell ref="D254:E254"/>
    <mergeCell ref="D255:E255"/>
    <mergeCell ref="D246:E246"/>
    <mergeCell ref="D247:E247"/>
    <mergeCell ref="D248:E248"/>
    <mergeCell ref="D249:E249"/>
    <mergeCell ref="D250:E250"/>
    <mergeCell ref="D241:E241"/>
    <mergeCell ref="D242:E242"/>
    <mergeCell ref="D243:E243"/>
    <mergeCell ref="D244:E244"/>
    <mergeCell ref="D245:E245"/>
    <mergeCell ref="D236:E236"/>
    <mergeCell ref="D237:E237"/>
    <mergeCell ref="D238:E238"/>
    <mergeCell ref="D239:E239"/>
    <mergeCell ref="D240:E240"/>
    <mergeCell ref="D231:E231"/>
    <mergeCell ref="D232:E232"/>
    <mergeCell ref="D233:E233"/>
    <mergeCell ref="D234:E234"/>
    <mergeCell ref="D235:E235"/>
    <mergeCell ref="D226:E226"/>
    <mergeCell ref="D227:E227"/>
    <mergeCell ref="D228:E228"/>
    <mergeCell ref="D229:E229"/>
    <mergeCell ref="D230:E230"/>
    <mergeCell ref="D221:E221"/>
    <mergeCell ref="D222:E222"/>
    <mergeCell ref="D223:E223"/>
    <mergeCell ref="D224:E224"/>
    <mergeCell ref="D225:E225"/>
    <mergeCell ref="D216:E216"/>
    <mergeCell ref="D217:E217"/>
    <mergeCell ref="D218:E218"/>
    <mergeCell ref="D219:E219"/>
    <mergeCell ref="D220:E220"/>
    <mergeCell ref="D211:E211"/>
    <mergeCell ref="D212:E212"/>
    <mergeCell ref="D213:E213"/>
    <mergeCell ref="D214:E214"/>
    <mergeCell ref="D215:E215"/>
    <mergeCell ref="D206:E206"/>
    <mergeCell ref="D207:E207"/>
    <mergeCell ref="D208:E208"/>
    <mergeCell ref="D209:E209"/>
    <mergeCell ref="D210:E210"/>
    <mergeCell ref="D201:E201"/>
    <mergeCell ref="D202:E202"/>
    <mergeCell ref="D203:E203"/>
    <mergeCell ref="D204:E204"/>
    <mergeCell ref="D205:E205"/>
    <mergeCell ref="D196:E196"/>
    <mergeCell ref="D197:E197"/>
    <mergeCell ref="D198:E198"/>
    <mergeCell ref="D199:E199"/>
    <mergeCell ref="D200:E200"/>
    <mergeCell ref="D191:E191"/>
    <mergeCell ref="D192:E192"/>
    <mergeCell ref="D193:E193"/>
    <mergeCell ref="D194:E194"/>
    <mergeCell ref="D195:E195"/>
    <mergeCell ref="D186:E186"/>
    <mergeCell ref="D187:E187"/>
    <mergeCell ref="D188:E188"/>
    <mergeCell ref="D189:E189"/>
    <mergeCell ref="D190:E190"/>
    <mergeCell ref="D181:E181"/>
    <mergeCell ref="D182:E182"/>
    <mergeCell ref="D183:E183"/>
    <mergeCell ref="D184:E184"/>
    <mergeCell ref="D185:E185"/>
    <mergeCell ref="D176:E176"/>
    <mergeCell ref="D177:E177"/>
    <mergeCell ref="D178:E178"/>
    <mergeCell ref="D179:E179"/>
    <mergeCell ref="D180:E180"/>
    <mergeCell ref="D171:E171"/>
    <mergeCell ref="D172:E172"/>
    <mergeCell ref="D173:E173"/>
    <mergeCell ref="D174:E174"/>
    <mergeCell ref="D175:E175"/>
    <mergeCell ref="D166:E166"/>
    <mergeCell ref="D167:E167"/>
    <mergeCell ref="D168:E168"/>
    <mergeCell ref="D169:E169"/>
    <mergeCell ref="D170:E170"/>
    <mergeCell ref="D161:E161"/>
    <mergeCell ref="D162:E162"/>
    <mergeCell ref="D163:E163"/>
    <mergeCell ref="D164:E164"/>
    <mergeCell ref="D165:E165"/>
    <mergeCell ref="D156:E156"/>
    <mergeCell ref="D157:E157"/>
    <mergeCell ref="D158:E158"/>
    <mergeCell ref="D159:E159"/>
    <mergeCell ref="D160:E160"/>
    <mergeCell ref="D122:E122"/>
    <mergeCell ref="D123:E123"/>
    <mergeCell ref="D124:E124"/>
    <mergeCell ref="D125:E125"/>
    <mergeCell ref="D154:E154"/>
    <mergeCell ref="D155:E155"/>
    <mergeCell ref="D146:E146"/>
    <mergeCell ref="D147:E147"/>
    <mergeCell ref="D148:E148"/>
    <mergeCell ref="D149:E149"/>
    <mergeCell ref="D150:E150"/>
    <mergeCell ref="D141:E141"/>
    <mergeCell ref="D142:E142"/>
    <mergeCell ref="D143:E143"/>
    <mergeCell ref="D144:E144"/>
    <mergeCell ref="D145:E145"/>
    <mergeCell ref="D136:E136"/>
    <mergeCell ref="D137:E137"/>
    <mergeCell ref="D138:E138"/>
    <mergeCell ref="D139:E139"/>
    <mergeCell ref="D140:E140"/>
    <mergeCell ref="D80:E80"/>
    <mergeCell ref="D111:E111"/>
    <mergeCell ref="D112:E112"/>
    <mergeCell ref="D113:E113"/>
    <mergeCell ref="D114:E114"/>
    <mergeCell ref="D115:E115"/>
    <mergeCell ref="D106:E106"/>
    <mergeCell ref="D107:E107"/>
    <mergeCell ref="D108:E108"/>
    <mergeCell ref="D109:E109"/>
    <mergeCell ref="D110:E110"/>
    <mergeCell ref="D101:E101"/>
    <mergeCell ref="D102:E102"/>
    <mergeCell ref="D103:E103"/>
    <mergeCell ref="D104:E104"/>
    <mergeCell ref="D105:E105"/>
    <mergeCell ref="D96:E96"/>
    <mergeCell ref="D97:E97"/>
    <mergeCell ref="D98:E98"/>
    <mergeCell ref="D99:E99"/>
    <mergeCell ref="D100:E100"/>
    <mergeCell ref="D91:E91"/>
    <mergeCell ref="D92:E92"/>
    <mergeCell ref="D93:E93"/>
    <mergeCell ref="G72:H72"/>
    <mergeCell ref="G73:H73"/>
    <mergeCell ref="G74:H74"/>
    <mergeCell ref="J10:K10"/>
    <mergeCell ref="D28:E28"/>
    <mergeCell ref="D29:E29"/>
    <mergeCell ref="D30:E30"/>
    <mergeCell ref="G9:H9"/>
    <mergeCell ref="D71:E71"/>
    <mergeCell ref="D72:E72"/>
    <mergeCell ref="D73:E73"/>
    <mergeCell ref="D74:E74"/>
    <mergeCell ref="D75:E75"/>
    <mergeCell ref="D66:E66"/>
    <mergeCell ref="D67:E67"/>
    <mergeCell ref="D68:E68"/>
    <mergeCell ref="D69:E69"/>
    <mergeCell ref="D70:E70"/>
    <mergeCell ref="D61:E61"/>
    <mergeCell ref="D62:E62"/>
    <mergeCell ref="D63:E63"/>
    <mergeCell ref="D64:E64"/>
    <mergeCell ref="D65:E65"/>
    <mergeCell ref="D56:E56"/>
    <mergeCell ref="D57:E57"/>
    <mergeCell ref="D58:E58"/>
    <mergeCell ref="D59:E59"/>
    <mergeCell ref="D60:E60"/>
    <mergeCell ref="G30:H30"/>
    <mergeCell ref="G31:H31"/>
    <mergeCell ref="G22:H22"/>
    <mergeCell ref="G42:H42"/>
    <mergeCell ref="C2:E2"/>
    <mergeCell ref="F3:H3"/>
    <mergeCell ref="I3:K3"/>
    <mergeCell ref="D21:E21"/>
    <mergeCell ref="D22:E22"/>
    <mergeCell ref="D23:E23"/>
    <mergeCell ref="D24:E24"/>
    <mergeCell ref="D25:E25"/>
    <mergeCell ref="D16:E16"/>
    <mergeCell ref="D17:E17"/>
    <mergeCell ref="D18:E18"/>
    <mergeCell ref="D19:E19"/>
    <mergeCell ref="D20:E20"/>
    <mergeCell ref="D3:E3"/>
    <mergeCell ref="D4:E4"/>
    <mergeCell ref="D5:E5"/>
    <mergeCell ref="D6:E6"/>
    <mergeCell ref="D7:E7"/>
    <mergeCell ref="D8:E8"/>
    <mergeCell ref="D9:E9"/>
    <mergeCell ref="G17:H17"/>
    <mergeCell ref="G18:H18"/>
    <mergeCell ref="G19:H19"/>
    <mergeCell ref="G20:H20"/>
    <mergeCell ref="G21:H21"/>
    <mergeCell ref="J4:K4"/>
    <mergeCell ref="J5:K5"/>
    <mergeCell ref="J6:K6"/>
    <mergeCell ref="J7:K7"/>
    <mergeCell ref="J8:K8"/>
    <mergeCell ref="J9:K9"/>
    <mergeCell ref="J11:K11"/>
    <mergeCell ref="D33:E33"/>
    <mergeCell ref="D34:E34"/>
    <mergeCell ref="D35:E35"/>
    <mergeCell ref="D26:E26"/>
    <mergeCell ref="D10:E10"/>
    <mergeCell ref="D11:E11"/>
    <mergeCell ref="D12:E12"/>
    <mergeCell ref="D13:E13"/>
    <mergeCell ref="D14:E14"/>
    <mergeCell ref="D15:E15"/>
    <mergeCell ref="G4:H4"/>
    <mergeCell ref="G5:H5"/>
    <mergeCell ref="G6:H6"/>
    <mergeCell ref="G7:H7"/>
    <mergeCell ref="G10:H10"/>
    <mergeCell ref="G11:H11"/>
    <mergeCell ref="G12:H12"/>
    <mergeCell ref="G13:H13"/>
    <mergeCell ref="G14:H14"/>
    <mergeCell ref="G15:H15"/>
    <mergeCell ref="G16:H16"/>
    <mergeCell ref="G23:H23"/>
    <mergeCell ref="G24:H24"/>
    <mergeCell ref="G25:H25"/>
    <mergeCell ref="G26:H26"/>
    <mergeCell ref="G27:H27"/>
    <mergeCell ref="G28:H28"/>
    <mergeCell ref="G29:H29"/>
    <mergeCell ref="G8:H8"/>
    <mergeCell ref="D31:E31"/>
    <mergeCell ref="D32:E32"/>
    <mergeCell ref="D27:E27"/>
    <mergeCell ref="D120:E120"/>
    <mergeCell ref="D151:E151"/>
    <mergeCell ref="D152:E152"/>
    <mergeCell ref="D153:E153"/>
    <mergeCell ref="D42:E42"/>
    <mergeCell ref="D43:E43"/>
    <mergeCell ref="D44:E44"/>
    <mergeCell ref="D45:E45"/>
    <mergeCell ref="D36:E36"/>
    <mergeCell ref="D37:E37"/>
    <mergeCell ref="D38:E38"/>
    <mergeCell ref="D39:E39"/>
    <mergeCell ref="D40:E40"/>
    <mergeCell ref="D51:E51"/>
    <mergeCell ref="D52:E52"/>
    <mergeCell ref="D53:E53"/>
    <mergeCell ref="D54:E54"/>
    <mergeCell ref="D55:E55"/>
    <mergeCell ref="D46:E46"/>
    <mergeCell ref="D47:E47"/>
    <mergeCell ref="D48:E48"/>
    <mergeCell ref="D49:E49"/>
    <mergeCell ref="D50:E50"/>
    <mergeCell ref="D41:E41"/>
    <mergeCell ref="D94:E94"/>
    <mergeCell ref="D95:E95"/>
    <mergeCell ref="D86:E86"/>
    <mergeCell ref="D87:E87"/>
    <mergeCell ref="D76:E76"/>
    <mergeCell ref="D77:E77"/>
    <mergeCell ref="D78:E78"/>
    <mergeCell ref="D79:E79"/>
    <mergeCell ref="F408:N408"/>
    <mergeCell ref="C408:E408"/>
    <mergeCell ref="J416:K416"/>
    <mergeCell ref="G419:H419"/>
    <mergeCell ref="G418:H418"/>
    <mergeCell ref="G423:H423"/>
    <mergeCell ref="G422:H422"/>
    <mergeCell ref="G417:H417"/>
    <mergeCell ref="G410:H410"/>
    <mergeCell ref="D88:E88"/>
    <mergeCell ref="D89:E89"/>
    <mergeCell ref="D90:E90"/>
    <mergeCell ref="D81:E81"/>
    <mergeCell ref="D82:E82"/>
    <mergeCell ref="D83:E83"/>
    <mergeCell ref="D84:E84"/>
    <mergeCell ref="D85:E85"/>
    <mergeCell ref="D131:E131"/>
    <mergeCell ref="D132:E132"/>
    <mergeCell ref="D133:E133"/>
    <mergeCell ref="D134:E134"/>
    <mergeCell ref="D135:E135"/>
    <mergeCell ref="D126:E126"/>
    <mergeCell ref="D127:E127"/>
    <mergeCell ref="D128:E128"/>
    <mergeCell ref="D129:E129"/>
    <mergeCell ref="D130:E130"/>
    <mergeCell ref="D121:E121"/>
    <mergeCell ref="D116:E116"/>
    <mergeCell ref="D117:E117"/>
    <mergeCell ref="D118:E118"/>
    <mergeCell ref="D119:E119"/>
    <mergeCell ref="W444:X444"/>
    <mergeCell ref="S445:T445"/>
    <mergeCell ref="U445:V445"/>
    <mergeCell ref="S446:T446"/>
    <mergeCell ref="U446:V446"/>
    <mergeCell ref="S447:T447"/>
    <mergeCell ref="U447:V447"/>
    <mergeCell ref="R408:Z408"/>
    <mergeCell ref="D427:E427"/>
    <mergeCell ref="C442:E442"/>
    <mergeCell ref="F442:N442"/>
    <mergeCell ref="D419:E419"/>
    <mergeCell ref="D420:E420"/>
    <mergeCell ref="C425:E425"/>
    <mergeCell ref="D430:E430"/>
    <mergeCell ref="D440:E440"/>
    <mergeCell ref="F425:N425"/>
    <mergeCell ref="F426:H426"/>
    <mergeCell ref="I426:K426"/>
    <mergeCell ref="G430:H430"/>
    <mergeCell ref="J430:K430"/>
    <mergeCell ref="J433:K433"/>
    <mergeCell ref="J436:K436"/>
    <mergeCell ref="G437:H437"/>
    <mergeCell ref="G440:H440"/>
    <mergeCell ref="J440:K440"/>
    <mergeCell ref="Y409:Z409"/>
    <mergeCell ref="Y414:Z414"/>
    <mergeCell ref="Y417:Z417"/>
    <mergeCell ref="I409:K409"/>
    <mergeCell ref="F409:H409"/>
    <mergeCell ref="D409:E409"/>
    <mergeCell ref="D448:E448"/>
    <mergeCell ref="G448:H448"/>
    <mergeCell ref="J448:K448"/>
    <mergeCell ref="D449:E449"/>
    <mergeCell ref="J449:K449"/>
    <mergeCell ref="D450:E450"/>
    <mergeCell ref="J450:K450"/>
    <mergeCell ref="D451:E451"/>
    <mergeCell ref="G451:H451"/>
    <mergeCell ref="J451:K451"/>
    <mergeCell ref="D452:E452"/>
    <mergeCell ref="G452:H452"/>
    <mergeCell ref="J452:K452"/>
    <mergeCell ref="D453:E453"/>
    <mergeCell ref="G453:H453"/>
    <mergeCell ref="J453:K453"/>
    <mergeCell ref="D443:E443"/>
    <mergeCell ref="F443:H443"/>
    <mergeCell ref="I443:K443"/>
    <mergeCell ref="D444:E444"/>
    <mergeCell ref="G444:H444"/>
    <mergeCell ref="J444:K444"/>
    <mergeCell ref="G445:H445"/>
    <mergeCell ref="J445:K445"/>
    <mergeCell ref="D446:E446"/>
    <mergeCell ref="G446:H446"/>
    <mergeCell ref="J446:K446"/>
    <mergeCell ref="D447:E447"/>
    <mergeCell ref="G447:H447"/>
    <mergeCell ref="J447:K447"/>
    <mergeCell ref="D445:E445"/>
    <mergeCell ref="D454:E454"/>
    <mergeCell ref="G454:H454"/>
    <mergeCell ref="J454:K454"/>
    <mergeCell ref="D455:E455"/>
    <mergeCell ref="G455:H455"/>
    <mergeCell ref="J455:K455"/>
    <mergeCell ref="D456:E456"/>
    <mergeCell ref="G456:H456"/>
    <mergeCell ref="J456:K456"/>
    <mergeCell ref="D457:E457"/>
    <mergeCell ref="G457:H457"/>
    <mergeCell ref="J457:K457"/>
    <mergeCell ref="C459:E459"/>
    <mergeCell ref="F459:N459"/>
    <mergeCell ref="D460:E460"/>
    <mergeCell ref="F460:H460"/>
    <mergeCell ref="I460:K460"/>
    <mergeCell ref="D461:E461"/>
    <mergeCell ref="G461:H461"/>
    <mergeCell ref="J461:K461"/>
    <mergeCell ref="D462:E462"/>
    <mergeCell ref="G462:H462"/>
    <mergeCell ref="J462:K462"/>
    <mergeCell ref="D463:E463"/>
    <mergeCell ref="G463:H463"/>
    <mergeCell ref="J463:K463"/>
    <mergeCell ref="D464:E464"/>
    <mergeCell ref="G464:H464"/>
    <mergeCell ref="J464:K464"/>
    <mergeCell ref="D465:E465"/>
    <mergeCell ref="G465:H465"/>
    <mergeCell ref="J465:K465"/>
    <mergeCell ref="D466:E466"/>
    <mergeCell ref="J466:K466"/>
    <mergeCell ref="U478:V478"/>
    <mergeCell ref="W478:X478"/>
    <mergeCell ref="D467:E467"/>
    <mergeCell ref="J467:K467"/>
    <mergeCell ref="D468:E468"/>
    <mergeCell ref="G468:H468"/>
    <mergeCell ref="D469:E469"/>
    <mergeCell ref="G469:H469"/>
    <mergeCell ref="J469:K469"/>
    <mergeCell ref="D470:E470"/>
    <mergeCell ref="G470:H470"/>
    <mergeCell ref="J470:K470"/>
    <mergeCell ref="D471:E471"/>
    <mergeCell ref="G471:H471"/>
    <mergeCell ref="J471:K471"/>
    <mergeCell ref="D472:E472"/>
    <mergeCell ref="G472:H472"/>
    <mergeCell ref="J472:K472"/>
    <mergeCell ref="S470:T470"/>
    <mergeCell ref="U470:V470"/>
    <mergeCell ref="S471:T471"/>
    <mergeCell ref="U471:V471"/>
    <mergeCell ref="R476:Z476"/>
    <mergeCell ref="S477:T477"/>
    <mergeCell ref="U477:V477"/>
    <mergeCell ref="W477:X477"/>
    <mergeCell ref="Y477:Z477"/>
    <mergeCell ref="S478:T478"/>
    <mergeCell ref="D479:E479"/>
    <mergeCell ref="G479:H479"/>
    <mergeCell ref="J479:K479"/>
    <mergeCell ref="D480:E480"/>
    <mergeCell ref="G480:H480"/>
    <mergeCell ref="J480:K480"/>
    <mergeCell ref="D481:E481"/>
    <mergeCell ref="G481:H481"/>
    <mergeCell ref="J481:K481"/>
    <mergeCell ref="D482:E482"/>
    <mergeCell ref="G482:H482"/>
    <mergeCell ref="J482:K482"/>
    <mergeCell ref="D483:E483"/>
    <mergeCell ref="J483:K483"/>
    <mergeCell ref="D484:E484"/>
    <mergeCell ref="J484:K484"/>
    <mergeCell ref="D473:E473"/>
    <mergeCell ref="G473:H473"/>
    <mergeCell ref="J473:K473"/>
    <mergeCell ref="D474:E474"/>
    <mergeCell ref="G474:H474"/>
    <mergeCell ref="J474:K474"/>
    <mergeCell ref="C476:E476"/>
    <mergeCell ref="F476:N476"/>
    <mergeCell ref="D477:E477"/>
    <mergeCell ref="F477:H477"/>
    <mergeCell ref="I477:K477"/>
    <mergeCell ref="D478:E478"/>
    <mergeCell ref="G478:H478"/>
    <mergeCell ref="J478:K478"/>
    <mergeCell ref="R493:Z493"/>
    <mergeCell ref="S494:T494"/>
    <mergeCell ref="U494:V494"/>
    <mergeCell ref="W494:X494"/>
    <mergeCell ref="Y494:Z494"/>
    <mergeCell ref="S495:T495"/>
    <mergeCell ref="U495:V495"/>
    <mergeCell ref="W495:X495"/>
    <mergeCell ref="D485:E485"/>
    <mergeCell ref="G485:H485"/>
    <mergeCell ref="J485:K485"/>
    <mergeCell ref="D486:E486"/>
    <mergeCell ref="G486:H486"/>
    <mergeCell ref="J486:K486"/>
    <mergeCell ref="D487:E487"/>
    <mergeCell ref="G487:H487"/>
    <mergeCell ref="J487:K487"/>
    <mergeCell ref="D488:E488"/>
    <mergeCell ref="G488:H488"/>
    <mergeCell ref="J488:K488"/>
    <mergeCell ref="D489:E489"/>
    <mergeCell ref="G489:H489"/>
    <mergeCell ref="J489:K489"/>
    <mergeCell ref="S486:T486"/>
    <mergeCell ref="U486:V486"/>
    <mergeCell ref="S487:T487"/>
    <mergeCell ref="U487:V487"/>
    <mergeCell ref="S488:T488"/>
    <mergeCell ref="U488:V488"/>
    <mergeCell ref="D496:E496"/>
    <mergeCell ref="G496:H496"/>
    <mergeCell ref="J496:K496"/>
    <mergeCell ref="D497:E497"/>
    <mergeCell ref="G497:H497"/>
    <mergeCell ref="J497:K497"/>
    <mergeCell ref="D498:E498"/>
    <mergeCell ref="G498:H498"/>
    <mergeCell ref="J498:K498"/>
    <mergeCell ref="D499:E499"/>
    <mergeCell ref="G499:H499"/>
    <mergeCell ref="J499:K499"/>
    <mergeCell ref="D500:E500"/>
    <mergeCell ref="J500:K500"/>
    <mergeCell ref="D501:E501"/>
    <mergeCell ref="J501:K501"/>
    <mergeCell ref="D490:E490"/>
    <mergeCell ref="G490:H490"/>
    <mergeCell ref="J490:K490"/>
    <mergeCell ref="D491:E491"/>
    <mergeCell ref="G491:H491"/>
    <mergeCell ref="J491:K491"/>
    <mergeCell ref="C493:E493"/>
    <mergeCell ref="F493:N493"/>
    <mergeCell ref="D494:E494"/>
    <mergeCell ref="F494:H494"/>
    <mergeCell ref="I494:K494"/>
    <mergeCell ref="D495:E495"/>
    <mergeCell ref="G495:H495"/>
    <mergeCell ref="J495:K495"/>
    <mergeCell ref="R510:Z510"/>
    <mergeCell ref="S511:T511"/>
    <mergeCell ref="U511:V511"/>
    <mergeCell ref="W511:X511"/>
    <mergeCell ref="Y511:Z511"/>
    <mergeCell ref="S512:T512"/>
    <mergeCell ref="U512:V512"/>
    <mergeCell ref="W512:X512"/>
    <mergeCell ref="D502:E502"/>
    <mergeCell ref="G502:H502"/>
    <mergeCell ref="J502:K502"/>
    <mergeCell ref="D503:E503"/>
    <mergeCell ref="G503:H503"/>
    <mergeCell ref="J503:K503"/>
    <mergeCell ref="D504:E504"/>
    <mergeCell ref="G504:H504"/>
    <mergeCell ref="J504:K504"/>
    <mergeCell ref="D505:E505"/>
    <mergeCell ref="G505:H505"/>
    <mergeCell ref="J505:K505"/>
    <mergeCell ref="D506:E506"/>
    <mergeCell ref="G506:H506"/>
    <mergeCell ref="J506:K506"/>
    <mergeCell ref="S503:T503"/>
    <mergeCell ref="U503:V503"/>
    <mergeCell ref="S504:T504"/>
    <mergeCell ref="U504:V504"/>
    <mergeCell ref="S505:T505"/>
    <mergeCell ref="U505:V505"/>
    <mergeCell ref="D513:E513"/>
    <mergeCell ref="G513:H513"/>
    <mergeCell ref="J513:K513"/>
    <mergeCell ref="D514:E514"/>
    <mergeCell ref="G514:H514"/>
    <mergeCell ref="J514:K514"/>
    <mergeCell ref="D515:E515"/>
    <mergeCell ref="G515:H515"/>
    <mergeCell ref="J515:K515"/>
    <mergeCell ref="D516:E516"/>
    <mergeCell ref="G516:H516"/>
    <mergeCell ref="J516:K516"/>
    <mergeCell ref="D517:E517"/>
    <mergeCell ref="J517:K517"/>
    <mergeCell ref="D518:E518"/>
    <mergeCell ref="J518:K518"/>
    <mergeCell ref="D507:E507"/>
    <mergeCell ref="G507:H507"/>
    <mergeCell ref="J507:K507"/>
    <mergeCell ref="D508:E508"/>
    <mergeCell ref="G508:H508"/>
    <mergeCell ref="J508:K508"/>
    <mergeCell ref="C510:E510"/>
    <mergeCell ref="F510:N510"/>
    <mergeCell ref="D511:E511"/>
    <mergeCell ref="F511:H511"/>
    <mergeCell ref="I511:K511"/>
    <mergeCell ref="D512:E512"/>
    <mergeCell ref="G512:H512"/>
    <mergeCell ref="J512:K512"/>
    <mergeCell ref="R527:Z527"/>
    <mergeCell ref="S528:T528"/>
    <mergeCell ref="U528:V528"/>
    <mergeCell ref="W528:X528"/>
    <mergeCell ref="Y528:Z528"/>
    <mergeCell ref="S529:T529"/>
    <mergeCell ref="U529:V529"/>
    <mergeCell ref="W529:X529"/>
    <mergeCell ref="D519:E519"/>
    <mergeCell ref="G519:H519"/>
    <mergeCell ref="J519:K519"/>
    <mergeCell ref="D520:E520"/>
    <mergeCell ref="G520:H520"/>
    <mergeCell ref="J520:K520"/>
    <mergeCell ref="D521:E521"/>
    <mergeCell ref="G521:H521"/>
    <mergeCell ref="J521:K521"/>
    <mergeCell ref="D522:E522"/>
    <mergeCell ref="G522:H522"/>
    <mergeCell ref="J522:K522"/>
    <mergeCell ref="D523:E523"/>
    <mergeCell ref="G523:H523"/>
    <mergeCell ref="J523:K523"/>
    <mergeCell ref="S520:T520"/>
    <mergeCell ref="U520:V520"/>
    <mergeCell ref="S521:T521"/>
    <mergeCell ref="U521:V521"/>
    <mergeCell ref="S522:T522"/>
    <mergeCell ref="U522:V522"/>
    <mergeCell ref="D530:E530"/>
    <mergeCell ref="G530:H530"/>
    <mergeCell ref="J530:K530"/>
    <mergeCell ref="D531:E531"/>
    <mergeCell ref="G531:H531"/>
    <mergeCell ref="J531:K531"/>
    <mergeCell ref="D532:E532"/>
    <mergeCell ref="G532:H532"/>
    <mergeCell ref="J532:K532"/>
    <mergeCell ref="D533:E533"/>
    <mergeCell ref="G533:H533"/>
    <mergeCell ref="J533:K533"/>
    <mergeCell ref="D534:E534"/>
    <mergeCell ref="J534:K534"/>
    <mergeCell ref="D535:E535"/>
    <mergeCell ref="J535:K535"/>
    <mergeCell ref="D524:E524"/>
    <mergeCell ref="G524:H524"/>
    <mergeCell ref="J524:K524"/>
    <mergeCell ref="D525:E525"/>
    <mergeCell ref="G525:H525"/>
    <mergeCell ref="J525:K525"/>
    <mergeCell ref="C527:E527"/>
    <mergeCell ref="F527:N527"/>
    <mergeCell ref="D528:E528"/>
    <mergeCell ref="F528:H528"/>
    <mergeCell ref="I528:K528"/>
    <mergeCell ref="D529:E529"/>
    <mergeCell ref="G529:H529"/>
    <mergeCell ref="J529:K529"/>
    <mergeCell ref="R544:Z544"/>
    <mergeCell ref="S545:T545"/>
    <mergeCell ref="U545:V545"/>
    <mergeCell ref="W545:X545"/>
    <mergeCell ref="Y545:Z545"/>
    <mergeCell ref="S546:T546"/>
    <mergeCell ref="U546:V546"/>
    <mergeCell ref="W546:X546"/>
    <mergeCell ref="D536:E536"/>
    <mergeCell ref="G536:H536"/>
    <mergeCell ref="J536:K536"/>
    <mergeCell ref="D537:E537"/>
    <mergeCell ref="G537:H537"/>
    <mergeCell ref="J537:K537"/>
    <mergeCell ref="D538:E538"/>
    <mergeCell ref="G538:H538"/>
    <mergeCell ref="J538:K538"/>
    <mergeCell ref="D539:E539"/>
    <mergeCell ref="G539:H539"/>
    <mergeCell ref="J539:K539"/>
    <mergeCell ref="D540:E540"/>
    <mergeCell ref="G540:H540"/>
    <mergeCell ref="J540:K540"/>
    <mergeCell ref="S537:T537"/>
    <mergeCell ref="U537:V537"/>
    <mergeCell ref="S538:T538"/>
    <mergeCell ref="U538:V538"/>
    <mergeCell ref="S539:T539"/>
    <mergeCell ref="U539:V539"/>
    <mergeCell ref="D547:E547"/>
    <mergeCell ref="G547:H547"/>
    <mergeCell ref="J547:K547"/>
    <mergeCell ref="D548:E548"/>
    <mergeCell ref="G548:H548"/>
    <mergeCell ref="J548:K548"/>
    <mergeCell ref="D549:E549"/>
    <mergeCell ref="G549:H549"/>
    <mergeCell ref="J549:K549"/>
    <mergeCell ref="D550:E550"/>
    <mergeCell ref="G550:H550"/>
    <mergeCell ref="J550:K550"/>
    <mergeCell ref="D551:E551"/>
    <mergeCell ref="J551:K551"/>
    <mergeCell ref="D552:E552"/>
    <mergeCell ref="J552:K552"/>
    <mergeCell ref="D541:E541"/>
    <mergeCell ref="G541:H541"/>
    <mergeCell ref="J541:K541"/>
    <mergeCell ref="D542:E542"/>
    <mergeCell ref="G542:H542"/>
    <mergeCell ref="J542:K542"/>
    <mergeCell ref="C544:E544"/>
    <mergeCell ref="F544:N544"/>
    <mergeCell ref="D545:E545"/>
    <mergeCell ref="F545:H545"/>
    <mergeCell ref="I545:K545"/>
    <mergeCell ref="D546:E546"/>
    <mergeCell ref="G546:H546"/>
    <mergeCell ref="J546:K546"/>
    <mergeCell ref="R561:Z561"/>
    <mergeCell ref="S562:T562"/>
    <mergeCell ref="U562:V562"/>
    <mergeCell ref="W562:X562"/>
    <mergeCell ref="Y562:Z562"/>
    <mergeCell ref="S563:T563"/>
    <mergeCell ref="U563:V563"/>
    <mergeCell ref="W563:X563"/>
    <mergeCell ref="D553:E553"/>
    <mergeCell ref="G553:H553"/>
    <mergeCell ref="J553:K553"/>
    <mergeCell ref="D554:E554"/>
    <mergeCell ref="G554:H554"/>
    <mergeCell ref="J554:K554"/>
    <mergeCell ref="D555:E555"/>
    <mergeCell ref="G555:H555"/>
    <mergeCell ref="J555:K555"/>
    <mergeCell ref="D556:E556"/>
    <mergeCell ref="G556:H556"/>
    <mergeCell ref="J556:K556"/>
    <mergeCell ref="D557:E557"/>
    <mergeCell ref="G557:H557"/>
    <mergeCell ref="J557:K557"/>
    <mergeCell ref="S554:T554"/>
    <mergeCell ref="U554:V554"/>
    <mergeCell ref="S555:T555"/>
    <mergeCell ref="U555:V555"/>
    <mergeCell ref="S556:T556"/>
    <mergeCell ref="U556:V556"/>
    <mergeCell ref="D564:E564"/>
    <mergeCell ref="G564:H564"/>
    <mergeCell ref="J564:K564"/>
    <mergeCell ref="D565:E565"/>
    <mergeCell ref="G565:H565"/>
    <mergeCell ref="J565:K565"/>
    <mergeCell ref="D566:E566"/>
    <mergeCell ref="G566:H566"/>
    <mergeCell ref="J566:K566"/>
    <mergeCell ref="D567:E567"/>
    <mergeCell ref="G567:H567"/>
    <mergeCell ref="J567:K567"/>
    <mergeCell ref="D568:E568"/>
    <mergeCell ref="J568:K568"/>
    <mergeCell ref="D569:E569"/>
    <mergeCell ref="J569:K569"/>
    <mergeCell ref="D558:E558"/>
    <mergeCell ref="G558:H558"/>
    <mergeCell ref="J558:K558"/>
    <mergeCell ref="D559:E559"/>
    <mergeCell ref="G559:H559"/>
    <mergeCell ref="J559:K559"/>
    <mergeCell ref="C561:E561"/>
    <mergeCell ref="F561:N561"/>
    <mergeCell ref="D562:E562"/>
    <mergeCell ref="F562:H562"/>
    <mergeCell ref="I562:K562"/>
    <mergeCell ref="D563:E563"/>
    <mergeCell ref="G563:H563"/>
    <mergeCell ref="J563:K563"/>
    <mergeCell ref="R578:Z578"/>
    <mergeCell ref="S579:T579"/>
    <mergeCell ref="U579:V579"/>
    <mergeCell ref="W579:X579"/>
    <mergeCell ref="Y579:Z579"/>
    <mergeCell ref="S580:T580"/>
    <mergeCell ref="U580:V580"/>
    <mergeCell ref="W580:X580"/>
    <mergeCell ref="D570:E570"/>
    <mergeCell ref="G570:H570"/>
    <mergeCell ref="J570:K570"/>
    <mergeCell ref="D571:E571"/>
    <mergeCell ref="G571:H571"/>
    <mergeCell ref="J571:K571"/>
    <mergeCell ref="D572:E572"/>
    <mergeCell ref="G572:H572"/>
    <mergeCell ref="J572:K572"/>
    <mergeCell ref="D573:E573"/>
    <mergeCell ref="G573:H573"/>
    <mergeCell ref="J573:K573"/>
    <mergeCell ref="D574:E574"/>
    <mergeCell ref="G574:H574"/>
    <mergeCell ref="J574:K574"/>
    <mergeCell ref="S571:T571"/>
    <mergeCell ref="U571:V571"/>
    <mergeCell ref="S572:T572"/>
    <mergeCell ref="U572:V572"/>
    <mergeCell ref="S573:T573"/>
    <mergeCell ref="U573:V573"/>
    <mergeCell ref="D581:E581"/>
    <mergeCell ref="G581:H581"/>
    <mergeCell ref="D582:E582"/>
    <mergeCell ref="G582:H582"/>
    <mergeCell ref="J582:K582"/>
    <mergeCell ref="D583:E583"/>
    <mergeCell ref="G583:H583"/>
    <mergeCell ref="J583:K583"/>
    <mergeCell ref="D584:E584"/>
    <mergeCell ref="G584:H584"/>
    <mergeCell ref="J581:K581"/>
    <mergeCell ref="D585:E585"/>
    <mergeCell ref="J585:K585"/>
    <mergeCell ref="D586:E586"/>
    <mergeCell ref="J586:K586"/>
    <mergeCell ref="D575:E575"/>
    <mergeCell ref="G575:H575"/>
    <mergeCell ref="J575:K575"/>
    <mergeCell ref="D576:E576"/>
    <mergeCell ref="G576:H576"/>
    <mergeCell ref="J576:K576"/>
    <mergeCell ref="C578:E578"/>
    <mergeCell ref="F578:N578"/>
    <mergeCell ref="D579:E579"/>
    <mergeCell ref="F579:H579"/>
    <mergeCell ref="I579:K579"/>
    <mergeCell ref="D580:E580"/>
    <mergeCell ref="G580:H580"/>
    <mergeCell ref="J580:K580"/>
    <mergeCell ref="R595:Z595"/>
    <mergeCell ref="S596:T596"/>
    <mergeCell ref="U596:V596"/>
    <mergeCell ref="W596:X596"/>
    <mergeCell ref="Y596:Z596"/>
    <mergeCell ref="S597:T597"/>
    <mergeCell ref="U597:V597"/>
    <mergeCell ref="W597:X597"/>
    <mergeCell ref="D587:E587"/>
    <mergeCell ref="G587:H587"/>
    <mergeCell ref="J587:K587"/>
    <mergeCell ref="D588:E588"/>
    <mergeCell ref="G588:H588"/>
    <mergeCell ref="J588:K588"/>
    <mergeCell ref="D589:E589"/>
    <mergeCell ref="G589:H589"/>
    <mergeCell ref="J589:K589"/>
    <mergeCell ref="D590:E590"/>
    <mergeCell ref="G590:H590"/>
    <mergeCell ref="J590:K590"/>
    <mergeCell ref="D591:E591"/>
    <mergeCell ref="G591:H591"/>
    <mergeCell ref="J591:K591"/>
    <mergeCell ref="S588:T588"/>
    <mergeCell ref="U588:V588"/>
    <mergeCell ref="S589:T589"/>
    <mergeCell ref="U589:V589"/>
    <mergeCell ref="S590:T590"/>
    <mergeCell ref="U590:V590"/>
    <mergeCell ref="D598:E598"/>
    <mergeCell ref="G598:H598"/>
    <mergeCell ref="J598:K598"/>
    <mergeCell ref="D599:E599"/>
    <mergeCell ref="G599:H599"/>
    <mergeCell ref="J599:K599"/>
    <mergeCell ref="D600:E600"/>
    <mergeCell ref="G600:H600"/>
    <mergeCell ref="J600:K600"/>
    <mergeCell ref="D601:E601"/>
    <mergeCell ref="J601:K601"/>
    <mergeCell ref="D602:E602"/>
    <mergeCell ref="J602:K602"/>
    <mergeCell ref="D603:E603"/>
    <mergeCell ref="J603:K603"/>
    <mergeCell ref="D592:E592"/>
    <mergeCell ref="G592:H592"/>
    <mergeCell ref="J592:K592"/>
    <mergeCell ref="D593:E593"/>
    <mergeCell ref="G593:H593"/>
    <mergeCell ref="J593:K593"/>
    <mergeCell ref="C595:E595"/>
    <mergeCell ref="F595:N595"/>
    <mergeCell ref="D596:E596"/>
    <mergeCell ref="F596:H596"/>
    <mergeCell ref="I596:K596"/>
    <mergeCell ref="D597:E597"/>
    <mergeCell ref="G597:H597"/>
    <mergeCell ref="J597:K597"/>
    <mergeCell ref="R612:Z612"/>
    <mergeCell ref="S613:T613"/>
    <mergeCell ref="U613:V613"/>
    <mergeCell ref="W613:X613"/>
    <mergeCell ref="Y613:Z613"/>
    <mergeCell ref="S614:T614"/>
    <mergeCell ref="U614:V614"/>
    <mergeCell ref="W614:X614"/>
    <mergeCell ref="D604:E604"/>
    <mergeCell ref="J604:K604"/>
    <mergeCell ref="D605:E605"/>
    <mergeCell ref="G605:H605"/>
    <mergeCell ref="J605:K605"/>
    <mergeCell ref="D606:E606"/>
    <mergeCell ref="G606:H606"/>
    <mergeCell ref="J606:K606"/>
    <mergeCell ref="D607:E607"/>
    <mergeCell ref="G607:H607"/>
    <mergeCell ref="J607:K607"/>
    <mergeCell ref="D608:E608"/>
    <mergeCell ref="G608:H608"/>
    <mergeCell ref="J608:K608"/>
    <mergeCell ref="S605:T605"/>
    <mergeCell ref="U605:V605"/>
    <mergeCell ref="S606:T606"/>
    <mergeCell ref="U606:V606"/>
    <mergeCell ref="S607:T607"/>
    <mergeCell ref="U607:V607"/>
    <mergeCell ref="D615:E615"/>
    <mergeCell ref="G615:H615"/>
    <mergeCell ref="D616:E616"/>
    <mergeCell ref="G616:H616"/>
    <mergeCell ref="J616:K616"/>
    <mergeCell ref="D617:E617"/>
    <mergeCell ref="J617:K617"/>
    <mergeCell ref="D618:E618"/>
    <mergeCell ref="G618:H618"/>
    <mergeCell ref="J615:K615"/>
    <mergeCell ref="D619:E619"/>
    <mergeCell ref="J619:K619"/>
    <mergeCell ref="D620:E620"/>
    <mergeCell ref="J620:K620"/>
    <mergeCell ref="D609:E609"/>
    <mergeCell ref="G609:H609"/>
    <mergeCell ref="J609:K609"/>
    <mergeCell ref="D610:E610"/>
    <mergeCell ref="G610:H610"/>
    <mergeCell ref="J610:K610"/>
    <mergeCell ref="C612:E612"/>
    <mergeCell ref="F612:N612"/>
    <mergeCell ref="D613:E613"/>
    <mergeCell ref="F613:H613"/>
    <mergeCell ref="I613:K613"/>
    <mergeCell ref="D614:E614"/>
    <mergeCell ref="G614:H614"/>
    <mergeCell ref="J614:K614"/>
    <mergeCell ref="J618:K618"/>
    <mergeCell ref="R629:Z629"/>
    <mergeCell ref="S630:T630"/>
    <mergeCell ref="U630:V630"/>
    <mergeCell ref="W630:X630"/>
    <mergeCell ref="Y630:Z630"/>
    <mergeCell ref="S631:T631"/>
    <mergeCell ref="U631:V631"/>
    <mergeCell ref="W631:X631"/>
    <mergeCell ref="D621:E621"/>
    <mergeCell ref="G621:H621"/>
    <mergeCell ref="J621:K621"/>
    <mergeCell ref="D622:E622"/>
    <mergeCell ref="G622:H622"/>
    <mergeCell ref="J622:K622"/>
    <mergeCell ref="D623:E623"/>
    <mergeCell ref="G623:H623"/>
    <mergeCell ref="J623:K623"/>
    <mergeCell ref="D624:E624"/>
    <mergeCell ref="G624:H624"/>
    <mergeCell ref="J624:K624"/>
    <mergeCell ref="D625:E625"/>
    <mergeCell ref="G625:H625"/>
    <mergeCell ref="J625:K625"/>
    <mergeCell ref="S622:T622"/>
    <mergeCell ref="U622:V622"/>
    <mergeCell ref="S623:T623"/>
    <mergeCell ref="U623:V623"/>
    <mergeCell ref="S624:T624"/>
    <mergeCell ref="U624:V624"/>
    <mergeCell ref="D632:E632"/>
    <mergeCell ref="G632:H632"/>
    <mergeCell ref="J632:K632"/>
    <mergeCell ref="D633:E633"/>
    <mergeCell ref="G633:H633"/>
    <mergeCell ref="J633:K633"/>
    <mergeCell ref="D634:E634"/>
    <mergeCell ref="G634:H634"/>
    <mergeCell ref="J634:K634"/>
    <mergeCell ref="D635:E635"/>
    <mergeCell ref="G635:H635"/>
    <mergeCell ref="J635:K635"/>
    <mergeCell ref="D636:E636"/>
    <mergeCell ref="J636:K636"/>
    <mergeCell ref="D637:E637"/>
    <mergeCell ref="J637:K637"/>
    <mergeCell ref="D626:E626"/>
    <mergeCell ref="G626:H626"/>
    <mergeCell ref="J626:K626"/>
    <mergeCell ref="D627:E627"/>
    <mergeCell ref="G627:H627"/>
    <mergeCell ref="J627:K627"/>
    <mergeCell ref="C629:E629"/>
    <mergeCell ref="F629:N629"/>
    <mergeCell ref="D630:E630"/>
    <mergeCell ref="F630:H630"/>
    <mergeCell ref="I630:K630"/>
    <mergeCell ref="D631:E631"/>
    <mergeCell ref="G631:H631"/>
    <mergeCell ref="J631:K631"/>
    <mergeCell ref="R646:Z646"/>
    <mergeCell ref="S647:T647"/>
    <mergeCell ref="U647:V647"/>
    <mergeCell ref="W647:X647"/>
    <mergeCell ref="Y647:Z647"/>
    <mergeCell ref="S648:T648"/>
    <mergeCell ref="U648:V648"/>
    <mergeCell ref="W648:X648"/>
    <mergeCell ref="D638:E638"/>
    <mergeCell ref="G638:H638"/>
    <mergeCell ref="J638:K638"/>
    <mergeCell ref="D639:E639"/>
    <mergeCell ref="G639:H639"/>
    <mergeCell ref="J639:K639"/>
    <mergeCell ref="D640:E640"/>
    <mergeCell ref="G640:H640"/>
    <mergeCell ref="J640:K640"/>
    <mergeCell ref="D641:E641"/>
    <mergeCell ref="G641:H641"/>
    <mergeCell ref="J641:K641"/>
    <mergeCell ref="D642:E642"/>
    <mergeCell ref="G642:H642"/>
    <mergeCell ref="J642:K642"/>
    <mergeCell ref="S639:T639"/>
    <mergeCell ref="U639:V639"/>
    <mergeCell ref="S640:T640"/>
    <mergeCell ref="U640:V640"/>
    <mergeCell ref="S641:T641"/>
    <mergeCell ref="U641:V641"/>
    <mergeCell ref="D649:E649"/>
    <mergeCell ref="G649:H649"/>
    <mergeCell ref="J649:K649"/>
    <mergeCell ref="D650:E650"/>
    <mergeCell ref="G650:H650"/>
    <mergeCell ref="J650:K650"/>
    <mergeCell ref="D651:E651"/>
    <mergeCell ref="G651:H651"/>
    <mergeCell ref="J651:K651"/>
    <mergeCell ref="D652:E652"/>
    <mergeCell ref="G652:H652"/>
    <mergeCell ref="J652:K652"/>
    <mergeCell ref="D653:E653"/>
    <mergeCell ref="J653:K653"/>
    <mergeCell ref="D654:E654"/>
    <mergeCell ref="J654:K654"/>
    <mergeCell ref="D643:E643"/>
    <mergeCell ref="G643:H643"/>
    <mergeCell ref="J643:K643"/>
    <mergeCell ref="D644:E644"/>
    <mergeCell ref="G644:H644"/>
    <mergeCell ref="J644:K644"/>
    <mergeCell ref="C646:E646"/>
    <mergeCell ref="F646:N646"/>
    <mergeCell ref="D647:E647"/>
    <mergeCell ref="F647:H647"/>
    <mergeCell ref="I647:K647"/>
    <mergeCell ref="D648:E648"/>
    <mergeCell ref="G648:H648"/>
    <mergeCell ref="J648:K648"/>
    <mergeCell ref="R663:Z663"/>
    <mergeCell ref="S664:T664"/>
    <mergeCell ref="U664:V664"/>
    <mergeCell ref="W664:X664"/>
    <mergeCell ref="Y664:Z664"/>
    <mergeCell ref="S665:T665"/>
    <mergeCell ref="U665:V665"/>
    <mergeCell ref="W665:X665"/>
    <mergeCell ref="D655:E655"/>
    <mergeCell ref="G655:H655"/>
    <mergeCell ref="J655:K655"/>
    <mergeCell ref="D656:E656"/>
    <mergeCell ref="G656:H656"/>
    <mergeCell ref="J656:K656"/>
    <mergeCell ref="D657:E657"/>
    <mergeCell ref="G657:H657"/>
    <mergeCell ref="J657:K657"/>
    <mergeCell ref="D658:E658"/>
    <mergeCell ref="G658:H658"/>
    <mergeCell ref="J658:K658"/>
    <mergeCell ref="D659:E659"/>
    <mergeCell ref="G659:H659"/>
    <mergeCell ref="J659:K659"/>
    <mergeCell ref="S656:T656"/>
    <mergeCell ref="U656:V656"/>
    <mergeCell ref="S657:T657"/>
    <mergeCell ref="U657:V657"/>
    <mergeCell ref="S658:T658"/>
    <mergeCell ref="U658:V658"/>
    <mergeCell ref="D666:E666"/>
    <mergeCell ref="G666:H666"/>
    <mergeCell ref="J666:K666"/>
    <mergeCell ref="D667:E667"/>
    <mergeCell ref="G667:H667"/>
    <mergeCell ref="J667:K667"/>
    <mergeCell ref="D668:E668"/>
    <mergeCell ref="G668:H668"/>
    <mergeCell ref="J668:K668"/>
    <mergeCell ref="D669:E669"/>
    <mergeCell ref="G669:H669"/>
    <mergeCell ref="J669:K669"/>
    <mergeCell ref="D670:E670"/>
    <mergeCell ref="J670:K670"/>
    <mergeCell ref="D671:E671"/>
    <mergeCell ref="J671:K671"/>
    <mergeCell ref="D660:E660"/>
    <mergeCell ref="G660:H660"/>
    <mergeCell ref="J660:K660"/>
    <mergeCell ref="D661:E661"/>
    <mergeCell ref="G661:H661"/>
    <mergeCell ref="J661:K661"/>
    <mergeCell ref="C663:E663"/>
    <mergeCell ref="F663:N663"/>
    <mergeCell ref="D664:E664"/>
    <mergeCell ref="F664:H664"/>
    <mergeCell ref="I664:K664"/>
    <mergeCell ref="D665:E665"/>
    <mergeCell ref="G665:H665"/>
    <mergeCell ref="J665:K665"/>
    <mergeCell ref="R680:Z680"/>
    <mergeCell ref="S681:T681"/>
    <mergeCell ref="U681:V681"/>
    <mergeCell ref="W681:X681"/>
    <mergeCell ref="Y681:Z681"/>
    <mergeCell ref="S682:T682"/>
    <mergeCell ref="U682:V682"/>
    <mergeCell ref="W682:X682"/>
    <mergeCell ref="D672:E672"/>
    <mergeCell ref="G672:H672"/>
    <mergeCell ref="J672:K672"/>
    <mergeCell ref="D673:E673"/>
    <mergeCell ref="G673:H673"/>
    <mergeCell ref="J673:K673"/>
    <mergeCell ref="D674:E674"/>
    <mergeCell ref="G674:H674"/>
    <mergeCell ref="J674:K674"/>
    <mergeCell ref="D675:E675"/>
    <mergeCell ref="G675:H675"/>
    <mergeCell ref="J675:K675"/>
    <mergeCell ref="D676:E676"/>
    <mergeCell ref="G676:H676"/>
    <mergeCell ref="J676:K676"/>
    <mergeCell ref="S673:T673"/>
    <mergeCell ref="U673:V673"/>
    <mergeCell ref="S674:T674"/>
    <mergeCell ref="U674:V674"/>
    <mergeCell ref="S675:T675"/>
    <mergeCell ref="U675:V675"/>
    <mergeCell ref="D683:E683"/>
    <mergeCell ref="G683:H683"/>
    <mergeCell ref="J683:K683"/>
    <mergeCell ref="D684:E684"/>
    <mergeCell ref="G684:H684"/>
    <mergeCell ref="J684:K684"/>
    <mergeCell ref="D685:E685"/>
    <mergeCell ref="G685:H685"/>
    <mergeCell ref="J685:K685"/>
    <mergeCell ref="D686:E686"/>
    <mergeCell ref="G686:H686"/>
    <mergeCell ref="J686:K686"/>
    <mergeCell ref="D687:E687"/>
    <mergeCell ref="J687:K687"/>
    <mergeCell ref="D688:E688"/>
    <mergeCell ref="J688:K688"/>
    <mergeCell ref="D677:E677"/>
    <mergeCell ref="G677:H677"/>
    <mergeCell ref="J677:K677"/>
    <mergeCell ref="D678:E678"/>
    <mergeCell ref="G678:H678"/>
    <mergeCell ref="J678:K678"/>
    <mergeCell ref="C680:E680"/>
    <mergeCell ref="F680:N680"/>
    <mergeCell ref="D681:E681"/>
    <mergeCell ref="F681:H681"/>
    <mergeCell ref="I681:K681"/>
    <mergeCell ref="D682:E682"/>
    <mergeCell ref="G682:H682"/>
    <mergeCell ref="J682:K682"/>
    <mergeCell ref="R697:Z697"/>
    <mergeCell ref="S698:T698"/>
    <mergeCell ref="U698:V698"/>
    <mergeCell ref="W698:X698"/>
    <mergeCell ref="Y698:Z698"/>
    <mergeCell ref="S699:T699"/>
    <mergeCell ref="U699:V699"/>
    <mergeCell ref="W699:X699"/>
    <mergeCell ref="D689:E689"/>
    <mergeCell ref="G689:H689"/>
    <mergeCell ref="J689:K689"/>
    <mergeCell ref="D690:E690"/>
    <mergeCell ref="G690:H690"/>
    <mergeCell ref="J690:K690"/>
    <mergeCell ref="D691:E691"/>
    <mergeCell ref="G691:H691"/>
    <mergeCell ref="J691:K691"/>
    <mergeCell ref="D692:E692"/>
    <mergeCell ref="G692:H692"/>
    <mergeCell ref="J692:K692"/>
    <mergeCell ref="D693:E693"/>
    <mergeCell ref="G693:H693"/>
    <mergeCell ref="J693:K693"/>
    <mergeCell ref="S690:T690"/>
    <mergeCell ref="U690:V690"/>
    <mergeCell ref="S691:T691"/>
    <mergeCell ref="U691:V691"/>
    <mergeCell ref="S692:T692"/>
    <mergeCell ref="U692:V692"/>
    <mergeCell ref="D700:E700"/>
    <mergeCell ref="G700:H700"/>
    <mergeCell ref="J700:K700"/>
    <mergeCell ref="D701:E701"/>
    <mergeCell ref="G701:H701"/>
    <mergeCell ref="J701:K701"/>
    <mergeCell ref="D702:E702"/>
    <mergeCell ref="G702:H702"/>
    <mergeCell ref="J702:K702"/>
    <mergeCell ref="D703:E703"/>
    <mergeCell ref="G703:H703"/>
    <mergeCell ref="J703:K703"/>
    <mergeCell ref="D704:E704"/>
    <mergeCell ref="J704:K704"/>
    <mergeCell ref="D705:E705"/>
    <mergeCell ref="J705:K705"/>
    <mergeCell ref="D694:E694"/>
    <mergeCell ref="G694:H694"/>
    <mergeCell ref="J694:K694"/>
    <mergeCell ref="D695:E695"/>
    <mergeCell ref="G695:H695"/>
    <mergeCell ref="J695:K695"/>
    <mergeCell ref="C697:E697"/>
    <mergeCell ref="F697:N697"/>
    <mergeCell ref="D698:E698"/>
    <mergeCell ref="F698:H698"/>
    <mergeCell ref="I698:K698"/>
    <mergeCell ref="D699:E699"/>
    <mergeCell ref="G699:H699"/>
    <mergeCell ref="J699:K699"/>
    <mergeCell ref="R714:Z714"/>
    <mergeCell ref="S715:T715"/>
    <mergeCell ref="U715:V715"/>
    <mergeCell ref="W715:X715"/>
    <mergeCell ref="Y715:Z715"/>
    <mergeCell ref="S716:T716"/>
    <mergeCell ref="U716:V716"/>
    <mergeCell ref="W716:X716"/>
    <mergeCell ref="D706:E706"/>
    <mergeCell ref="G706:H706"/>
    <mergeCell ref="J706:K706"/>
    <mergeCell ref="D707:E707"/>
    <mergeCell ref="G707:H707"/>
    <mergeCell ref="J707:K707"/>
    <mergeCell ref="D708:E708"/>
    <mergeCell ref="G708:H708"/>
    <mergeCell ref="J708:K708"/>
    <mergeCell ref="D709:E709"/>
    <mergeCell ref="G709:H709"/>
    <mergeCell ref="J709:K709"/>
    <mergeCell ref="D710:E710"/>
    <mergeCell ref="G710:H710"/>
    <mergeCell ref="J710:K710"/>
    <mergeCell ref="S707:T707"/>
    <mergeCell ref="U707:V707"/>
    <mergeCell ref="S708:T708"/>
    <mergeCell ref="U708:V708"/>
    <mergeCell ref="S709:T709"/>
    <mergeCell ref="U709:V709"/>
    <mergeCell ref="D717:E717"/>
    <mergeCell ref="G717:H717"/>
    <mergeCell ref="J717:K717"/>
    <mergeCell ref="D718:E718"/>
    <mergeCell ref="G718:H718"/>
    <mergeCell ref="J718:K718"/>
    <mergeCell ref="D719:E719"/>
    <mergeCell ref="G719:H719"/>
    <mergeCell ref="J719:K719"/>
    <mergeCell ref="D720:E720"/>
    <mergeCell ref="G720:H720"/>
    <mergeCell ref="J720:K720"/>
    <mergeCell ref="D721:E721"/>
    <mergeCell ref="J721:K721"/>
    <mergeCell ref="D722:E722"/>
    <mergeCell ref="J722:K722"/>
    <mergeCell ref="D711:E711"/>
    <mergeCell ref="G711:H711"/>
    <mergeCell ref="J711:K711"/>
    <mergeCell ref="D712:E712"/>
    <mergeCell ref="G712:H712"/>
    <mergeCell ref="J712:K712"/>
    <mergeCell ref="C714:E714"/>
    <mergeCell ref="F714:N714"/>
    <mergeCell ref="D715:E715"/>
    <mergeCell ref="F715:H715"/>
    <mergeCell ref="I715:K715"/>
    <mergeCell ref="D716:E716"/>
    <mergeCell ref="G716:H716"/>
    <mergeCell ref="J716:K716"/>
    <mergeCell ref="R731:Z731"/>
    <mergeCell ref="S732:T732"/>
    <mergeCell ref="U732:V732"/>
    <mergeCell ref="W732:X732"/>
    <mergeCell ref="Y732:Z732"/>
    <mergeCell ref="S733:T733"/>
    <mergeCell ref="U733:V733"/>
    <mergeCell ref="W733:X733"/>
    <mergeCell ref="D723:E723"/>
    <mergeCell ref="G723:H723"/>
    <mergeCell ref="J723:K723"/>
    <mergeCell ref="D724:E724"/>
    <mergeCell ref="G724:H724"/>
    <mergeCell ref="J724:K724"/>
    <mergeCell ref="D725:E725"/>
    <mergeCell ref="G725:H725"/>
    <mergeCell ref="J725:K725"/>
    <mergeCell ref="D726:E726"/>
    <mergeCell ref="G726:H726"/>
    <mergeCell ref="J726:K726"/>
    <mergeCell ref="D727:E727"/>
    <mergeCell ref="G727:H727"/>
    <mergeCell ref="J727:K727"/>
    <mergeCell ref="S724:T724"/>
    <mergeCell ref="U724:V724"/>
    <mergeCell ref="S725:T725"/>
    <mergeCell ref="U725:V725"/>
    <mergeCell ref="S726:T726"/>
    <mergeCell ref="U726:V726"/>
    <mergeCell ref="D734:E734"/>
    <mergeCell ref="G734:H734"/>
    <mergeCell ref="J734:K734"/>
    <mergeCell ref="D735:E735"/>
    <mergeCell ref="G735:H735"/>
    <mergeCell ref="J735:K735"/>
    <mergeCell ref="D736:E736"/>
    <mergeCell ref="G736:H736"/>
    <mergeCell ref="J736:K736"/>
    <mergeCell ref="D737:E737"/>
    <mergeCell ref="G737:H737"/>
    <mergeCell ref="J737:K737"/>
    <mergeCell ref="D738:E738"/>
    <mergeCell ref="J738:K738"/>
    <mergeCell ref="D739:E739"/>
    <mergeCell ref="J739:K739"/>
    <mergeCell ref="D728:E728"/>
    <mergeCell ref="G728:H728"/>
    <mergeCell ref="J728:K728"/>
    <mergeCell ref="D729:E729"/>
    <mergeCell ref="G729:H729"/>
    <mergeCell ref="J729:K729"/>
    <mergeCell ref="C731:E731"/>
    <mergeCell ref="F731:N731"/>
    <mergeCell ref="D732:E732"/>
    <mergeCell ref="F732:H732"/>
    <mergeCell ref="I732:K732"/>
    <mergeCell ref="D733:E733"/>
    <mergeCell ref="G733:H733"/>
    <mergeCell ref="J733:K733"/>
    <mergeCell ref="R748:Z748"/>
    <mergeCell ref="S749:T749"/>
    <mergeCell ref="U749:V749"/>
    <mergeCell ref="W749:X749"/>
    <mergeCell ref="Y749:Z749"/>
    <mergeCell ref="S750:T750"/>
    <mergeCell ref="U750:V750"/>
    <mergeCell ref="W750:X750"/>
    <mergeCell ref="D740:E740"/>
    <mergeCell ref="G740:H740"/>
    <mergeCell ref="J740:K740"/>
    <mergeCell ref="D741:E741"/>
    <mergeCell ref="G741:H741"/>
    <mergeCell ref="J741:K741"/>
    <mergeCell ref="D742:E742"/>
    <mergeCell ref="G742:H742"/>
    <mergeCell ref="J742:K742"/>
    <mergeCell ref="D743:E743"/>
    <mergeCell ref="G743:H743"/>
    <mergeCell ref="J743:K743"/>
    <mergeCell ref="D744:E744"/>
    <mergeCell ref="G744:H744"/>
    <mergeCell ref="J744:K744"/>
    <mergeCell ref="S741:T741"/>
    <mergeCell ref="U741:V741"/>
    <mergeCell ref="S742:T742"/>
    <mergeCell ref="U742:V742"/>
    <mergeCell ref="S743:T743"/>
    <mergeCell ref="U743:V743"/>
    <mergeCell ref="D751:E751"/>
    <mergeCell ref="G751:H751"/>
    <mergeCell ref="J751:K751"/>
    <mergeCell ref="D752:E752"/>
    <mergeCell ref="G752:H752"/>
    <mergeCell ref="J752:K752"/>
    <mergeCell ref="D753:E753"/>
    <mergeCell ref="G753:H753"/>
    <mergeCell ref="J753:K753"/>
    <mergeCell ref="D754:E754"/>
    <mergeCell ref="G754:H754"/>
    <mergeCell ref="J754:K754"/>
    <mergeCell ref="D755:E755"/>
    <mergeCell ref="J755:K755"/>
    <mergeCell ref="D756:E756"/>
    <mergeCell ref="J756:K756"/>
    <mergeCell ref="D745:E745"/>
    <mergeCell ref="G745:H745"/>
    <mergeCell ref="J745:K745"/>
    <mergeCell ref="D746:E746"/>
    <mergeCell ref="G746:H746"/>
    <mergeCell ref="J746:K746"/>
    <mergeCell ref="C748:E748"/>
    <mergeCell ref="F748:N748"/>
    <mergeCell ref="D749:E749"/>
    <mergeCell ref="F749:H749"/>
    <mergeCell ref="I749:K749"/>
    <mergeCell ref="D750:E750"/>
    <mergeCell ref="G750:H750"/>
    <mergeCell ref="J750:K750"/>
    <mergeCell ref="R765:Z765"/>
    <mergeCell ref="S766:T766"/>
    <mergeCell ref="U766:V766"/>
    <mergeCell ref="W766:X766"/>
    <mergeCell ref="Y766:Z766"/>
    <mergeCell ref="S767:T767"/>
    <mergeCell ref="U767:V767"/>
    <mergeCell ref="W767:X767"/>
    <mergeCell ref="D757:E757"/>
    <mergeCell ref="G757:H757"/>
    <mergeCell ref="J757:K757"/>
    <mergeCell ref="D758:E758"/>
    <mergeCell ref="G758:H758"/>
    <mergeCell ref="J758:K758"/>
    <mergeCell ref="D759:E759"/>
    <mergeCell ref="G759:H759"/>
    <mergeCell ref="J759:K759"/>
    <mergeCell ref="D760:E760"/>
    <mergeCell ref="G760:H760"/>
    <mergeCell ref="J760:K760"/>
    <mergeCell ref="D761:E761"/>
    <mergeCell ref="G761:H761"/>
    <mergeCell ref="J761:K761"/>
    <mergeCell ref="S758:T758"/>
    <mergeCell ref="U758:V758"/>
    <mergeCell ref="S759:T759"/>
    <mergeCell ref="U759:V759"/>
    <mergeCell ref="S760:T760"/>
    <mergeCell ref="U760:V760"/>
    <mergeCell ref="D768:E768"/>
    <mergeCell ref="G768:H768"/>
    <mergeCell ref="J768:K768"/>
    <mergeCell ref="D769:E769"/>
    <mergeCell ref="G769:H769"/>
    <mergeCell ref="J769:K769"/>
    <mergeCell ref="D770:E770"/>
    <mergeCell ref="G770:H770"/>
    <mergeCell ref="J770:K770"/>
    <mergeCell ref="D771:E771"/>
    <mergeCell ref="G771:H771"/>
    <mergeCell ref="J771:K771"/>
    <mergeCell ref="D772:E772"/>
    <mergeCell ref="D773:E773"/>
    <mergeCell ref="J773:K773"/>
    <mergeCell ref="D762:E762"/>
    <mergeCell ref="G762:H762"/>
    <mergeCell ref="J762:K762"/>
    <mergeCell ref="D763:E763"/>
    <mergeCell ref="G763:H763"/>
    <mergeCell ref="J763:K763"/>
    <mergeCell ref="C765:E765"/>
    <mergeCell ref="F765:N765"/>
    <mergeCell ref="D766:E766"/>
    <mergeCell ref="F766:H766"/>
    <mergeCell ref="I766:K766"/>
    <mergeCell ref="D767:E767"/>
    <mergeCell ref="G767:H767"/>
    <mergeCell ref="J767:K767"/>
    <mergeCell ref="R782:Z782"/>
    <mergeCell ref="S783:T783"/>
    <mergeCell ref="U783:V783"/>
    <mergeCell ref="W783:X783"/>
    <mergeCell ref="Y783:Z783"/>
    <mergeCell ref="S784:T784"/>
    <mergeCell ref="U784:V784"/>
    <mergeCell ref="W784:X784"/>
    <mergeCell ref="D774:E774"/>
    <mergeCell ref="G777:H777"/>
    <mergeCell ref="J772:K772"/>
    <mergeCell ref="D775:E775"/>
    <mergeCell ref="J775:K775"/>
    <mergeCell ref="D776:E776"/>
    <mergeCell ref="G776:H776"/>
    <mergeCell ref="D777:E777"/>
    <mergeCell ref="J777:K777"/>
    <mergeCell ref="D778:E778"/>
    <mergeCell ref="J778:K778"/>
    <mergeCell ref="S775:T775"/>
    <mergeCell ref="U775:V775"/>
    <mergeCell ref="S776:T776"/>
    <mergeCell ref="U776:V776"/>
    <mergeCell ref="S777:T777"/>
    <mergeCell ref="U777:V777"/>
    <mergeCell ref="G775:H775"/>
    <mergeCell ref="G778:H778"/>
    <mergeCell ref="D785:E785"/>
    <mergeCell ref="G785:H785"/>
    <mergeCell ref="J785:K785"/>
    <mergeCell ref="D786:E786"/>
    <mergeCell ref="G786:H786"/>
    <mergeCell ref="J786:K786"/>
    <mergeCell ref="D787:E787"/>
    <mergeCell ref="G787:H787"/>
    <mergeCell ref="J787:K787"/>
    <mergeCell ref="D788:E788"/>
    <mergeCell ref="G788:H788"/>
    <mergeCell ref="J788:K788"/>
    <mergeCell ref="D789:E789"/>
    <mergeCell ref="J789:K789"/>
    <mergeCell ref="D790:E790"/>
    <mergeCell ref="J790:K790"/>
    <mergeCell ref="D779:E779"/>
    <mergeCell ref="G779:H779"/>
    <mergeCell ref="J779:K779"/>
    <mergeCell ref="D780:E780"/>
    <mergeCell ref="G780:H780"/>
    <mergeCell ref="J780:K780"/>
    <mergeCell ref="C782:E782"/>
    <mergeCell ref="F782:N782"/>
    <mergeCell ref="D783:E783"/>
    <mergeCell ref="F783:H783"/>
    <mergeCell ref="I783:K783"/>
    <mergeCell ref="D784:E784"/>
    <mergeCell ref="G784:H784"/>
    <mergeCell ref="J784:K784"/>
    <mergeCell ref="G789:H789"/>
    <mergeCell ref="G790:H790"/>
    <mergeCell ref="F799:N799"/>
    <mergeCell ref="D800:E800"/>
    <mergeCell ref="F800:H800"/>
    <mergeCell ref="I800:K800"/>
    <mergeCell ref="D801:E801"/>
    <mergeCell ref="G801:H801"/>
    <mergeCell ref="J801:K801"/>
    <mergeCell ref="D791:E791"/>
    <mergeCell ref="G791:H791"/>
    <mergeCell ref="J791:K791"/>
    <mergeCell ref="D792:E792"/>
    <mergeCell ref="G792:H792"/>
    <mergeCell ref="J792:K792"/>
    <mergeCell ref="D793:E793"/>
    <mergeCell ref="G793:H793"/>
    <mergeCell ref="J793:K793"/>
    <mergeCell ref="D794:E794"/>
    <mergeCell ref="G794:H794"/>
    <mergeCell ref="J794:K794"/>
    <mergeCell ref="D795:E795"/>
    <mergeCell ref="G795:H795"/>
    <mergeCell ref="J795:K795"/>
    <mergeCell ref="D797:E797"/>
    <mergeCell ref="G797:H797"/>
    <mergeCell ref="J797:K797"/>
    <mergeCell ref="C799:E799"/>
    <mergeCell ref="J796:K796"/>
    <mergeCell ref="D809:E809"/>
    <mergeCell ref="G809:H809"/>
    <mergeCell ref="J809:K809"/>
    <mergeCell ref="D810:E810"/>
    <mergeCell ref="G810:H810"/>
    <mergeCell ref="J810:K810"/>
    <mergeCell ref="D811:E811"/>
    <mergeCell ref="G811:H811"/>
    <mergeCell ref="J811:K811"/>
    <mergeCell ref="D812:E812"/>
    <mergeCell ref="G812:H812"/>
    <mergeCell ref="J812:K812"/>
    <mergeCell ref="D802:E802"/>
    <mergeCell ref="G802:H802"/>
    <mergeCell ref="J802:K802"/>
    <mergeCell ref="D803:E803"/>
    <mergeCell ref="G803:H803"/>
    <mergeCell ref="J803:K803"/>
    <mergeCell ref="D804:E804"/>
    <mergeCell ref="G804:H804"/>
    <mergeCell ref="J804:K804"/>
    <mergeCell ref="D805:E805"/>
    <mergeCell ref="G805:H805"/>
    <mergeCell ref="J805:K805"/>
    <mergeCell ref="D806:E806"/>
    <mergeCell ref="D807:E807"/>
    <mergeCell ref="J807:K807"/>
    <mergeCell ref="J808:K808"/>
    <mergeCell ref="W409:X409"/>
    <mergeCell ref="W410:X410"/>
    <mergeCell ref="W416:X416"/>
    <mergeCell ref="D813:E813"/>
    <mergeCell ref="G813:H813"/>
    <mergeCell ref="J813:K813"/>
    <mergeCell ref="D814:E814"/>
    <mergeCell ref="G814:H814"/>
    <mergeCell ref="J814:K814"/>
    <mergeCell ref="G420:H420"/>
    <mergeCell ref="G411:H411"/>
    <mergeCell ref="G400:H400"/>
    <mergeCell ref="G401:H401"/>
    <mergeCell ref="J411:K411"/>
    <mergeCell ref="J412:K412"/>
    <mergeCell ref="J413:K413"/>
    <mergeCell ref="J414:K414"/>
    <mergeCell ref="J415:K415"/>
    <mergeCell ref="G412:H412"/>
    <mergeCell ref="G413:H413"/>
    <mergeCell ref="D411:E411"/>
    <mergeCell ref="D412:E412"/>
    <mergeCell ref="D413:E413"/>
    <mergeCell ref="D414:E414"/>
    <mergeCell ref="D808:E808"/>
    <mergeCell ref="G808:H808"/>
    <mergeCell ref="J806:K806"/>
    <mergeCell ref="D796:E796"/>
    <mergeCell ref="G796:H796"/>
    <mergeCell ref="W443:X443"/>
    <mergeCell ref="R425:Z425"/>
    <mergeCell ref="S426:T426"/>
    <mergeCell ref="U426:V426"/>
    <mergeCell ref="W426:X426"/>
    <mergeCell ref="Y426:Z426"/>
    <mergeCell ref="S427:T427"/>
    <mergeCell ref="U427:V427"/>
    <mergeCell ref="W427:X427"/>
    <mergeCell ref="S428:T428"/>
    <mergeCell ref="U428:V428"/>
    <mergeCell ref="S429:T429"/>
    <mergeCell ref="U429:V429"/>
    <mergeCell ref="S430:T430"/>
    <mergeCell ref="U430:V430"/>
    <mergeCell ref="S431:T431"/>
    <mergeCell ref="U431:V431"/>
    <mergeCell ref="Y431:Z431"/>
    <mergeCell ref="G433:H433"/>
    <mergeCell ref="G435:H435"/>
    <mergeCell ref="J435:K435"/>
    <mergeCell ref="S432:T432"/>
    <mergeCell ref="U432:V432"/>
    <mergeCell ref="G432:H432"/>
    <mergeCell ref="S448:T448"/>
    <mergeCell ref="U448:V448"/>
    <mergeCell ref="Y448:Z448"/>
    <mergeCell ref="G449:H449"/>
    <mergeCell ref="S449:T449"/>
    <mergeCell ref="U449:V449"/>
    <mergeCell ref="S450:T450"/>
    <mergeCell ref="U450:V450"/>
    <mergeCell ref="W450:X450"/>
    <mergeCell ref="S451:T451"/>
    <mergeCell ref="U451:V451"/>
    <mergeCell ref="Y451:Z451"/>
    <mergeCell ref="S452:T452"/>
    <mergeCell ref="U452:V452"/>
    <mergeCell ref="S433:T433"/>
    <mergeCell ref="U433:V433"/>
    <mergeCell ref="W433:X433"/>
    <mergeCell ref="S434:T434"/>
    <mergeCell ref="U434:V434"/>
    <mergeCell ref="Y434:Z434"/>
    <mergeCell ref="S435:T435"/>
    <mergeCell ref="U435:V435"/>
    <mergeCell ref="S436:T436"/>
    <mergeCell ref="U436:V436"/>
    <mergeCell ref="S437:T437"/>
    <mergeCell ref="U437:V437"/>
    <mergeCell ref="R442:Z442"/>
    <mergeCell ref="S443:T443"/>
    <mergeCell ref="U443:V443"/>
    <mergeCell ref="Y443:Z443"/>
    <mergeCell ref="S444:T444"/>
    <mergeCell ref="U444:V444"/>
    <mergeCell ref="S453:T453"/>
    <mergeCell ref="U453:V453"/>
    <mergeCell ref="S454:T454"/>
    <mergeCell ref="U454:V454"/>
    <mergeCell ref="G450:H450"/>
    <mergeCell ref="R459:Z459"/>
    <mergeCell ref="S460:T460"/>
    <mergeCell ref="U460:V460"/>
    <mergeCell ref="W460:X460"/>
    <mergeCell ref="Y460:Z460"/>
    <mergeCell ref="S461:T461"/>
    <mergeCell ref="U461:V461"/>
    <mergeCell ref="W461:X461"/>
    <mergeCell ref="S462:T462"/>
    <mergeCell ref="U462:V462"/>
    <mergeCell ref="S463:T463"/>
    <mergeCell ref="U463:V463"/>
    <mergeCell ref="S464:T464"/>
    <mergeCell ref="U464:V464"/>
    <mergeCell ref="S465:T465"/>
    <mergeCell ref="U465:V465"/>
    <mergeCell ref="Y465:Z465"/>
    <mergeCell ref="G466:H466"/>
    <mergeCell ref="S466:T466"/>
    <mergeCell ref="U466:V466"/>
    <mergeCell ref="G467:H467"/>
    <mergeCell ref="S467:T467"/>
    <mergeCell ref="U467:V467"/>
    <mergeCell ref="W467:X467"/>
    <mergeCell ref="S468:T468"/>
    <mergeCell ref="U468:V468"/>
    <mergeCell ref="Y468:Z468"/>
    <mergeCell ref="S469:T469"/>
    <mergeCell ref="U469:V469"/>
    <mergeCell ref="S479:T479"/>
    <mergeCell ref="U479:V479"/>
    <mergeCell ref="S480:T480"/>
    <mergeCell ref="U480:V480"/>
    <mergeCell ref="S481:T481"/>
    <mergeCell ref="U481:V481"/>
    <mergeCell ref="S482:T482"/>
    <mergeCell ref="U482:V482"/>
    <mergeCell ref="Y482:Z482"/>
    <mergeCell ref="G483:H483"/>
    <mergeCell ref="S483:T483"/>
    <mergeCell ref="U483:V483"/>
    <mergeCell ref="G484:H484"/>
    <mergeCell ref="S484:T484"/>
    <mergeCell ref="U484:V484"/>
    <mergeCell ref="W484:X484"/>
    <mergeCell ref="S485:T485"/>
    <mergeCell ref="U485:V485"/>
    <mergeCell ref="Y485:Z485"/>
    <mergeCell ref="S496:T496"/>
    <mergeCell ref="U496:V496"/>
    <mergeCell ref="S497:T497"/>
    <mergeCell ref="U497:V497"/>
    <mergeCell ref="S498:T498"/>
    <mergeCell ref="U498:V498"/>
    <mergeCell ref="S499:T499"/>
    <mergeCell ref="U499:V499"/>
    <mergeCell ref="Y499:Z499"/>
    <mergeCell ref="G500:H500"/>
    <mergeCell ref="S500:T500"/>
    <mergeCell ref="U500:V500"/>
    <mergeCell ref="G501:H501"/>
    <mergeCell ref="S501:T501"/>
    <mergeCell ref="U501:V501"/>
    <mergeCell ref="W501:X501"/>
    <mergeCell ref="S502:T502"/>
    <mergeCell ref="U502:V502"/>
    <mergeCell ref="Y502:Z502"/>
    <mergeCell ref="S513:T513"/>
    <mergeCell ref="U513:V513"/>
    <mergeCell ref="S514:T514"/>
    <mergeCell ref="U514:V514"/>
    <mergeCell ref="S515:T515"/>
    <mergeCell ref="U515:V515"/>
    <mergeCell ref="S516:T516"/>
    <mergeCell ref="U516:V516"/>
    <mergeCell ref="Y516:Z516"/>
    <mergeCell ref="G517:H517"/>
    <mergeCell ref="S517:T517"/>
    <mergeCell ref="U517:V517"/>
    <mergeCell ref="G518:H518"/>
    <mergeCell ref="S518:T518"/>
    <mergeCell ref="U518:V518"/>
    <mergeCell ref="W518:X518"/>
    <mergeCell ref="S519:T519"/>
    <mergeCell ref="U519:V519"/>
    <mergeCell ref="Y519:Z519"/>
    <mergeCell ref="S530:T530"/>
    <mergeCell ref="U530:V530"/>
    <mergeCell ref="S531:T531"/>
    <mergeCell ref="U531:V531"/>
    <mergeCell ref="S532:T532"/>
    <mergeCell ref="U532:V532"/>
    <mergeCell ref="S533:T533"/>
    <mergeCell ref="U533:V533"/>
    <mergeCell ref="Y533:Z533"/>
    <mergeCell ref="G534:H534"/>
    <mergeCell ref="S534:T534"/>
    <mergeCell ref="U534:V534"/>
    <mergeCell ref="G535:H535"/>
    <mergeCell ref="S535:T535"/>
    <mergeCell ref="U535:V535"/>
    <mergeCell ref="W535:X535"/>
    <mergeCell ref="S536:T536"/>
    <mergeCell ref="U536:V536"/>
    <mergeCell ref="Y536:Z536"/>
    <mergeCell ref="S547:T547"/>
    <mergeCell ref="U547:V547"/>
    <mergeCell ref="S548:T548"/>
    <mergeCell ref="U548:V548"/>
    <mergeCell ref="S549:T549"/>
    <mergeCell ref="U549:V549"/>
    <mergeCell ref="S550:T550"/>
    <mergeCell ref="U550:V550"/>
    <mergeCell ref="Y550:Z550"/>
    <mergeCell ref="G551:H551"/>
    <mergeCell ref="S551:T551"/>
    <mergeCell ref="U551:V551"/>
    <mergeCell ref="G552:H552"/>
    <mergeCell ref="S552:T552"/>
    <mergeCell ref="U552:V552"/>
    <mergeCell ref="W552:X552"/>
    <mergeCell ref="S553:T553"/>
    <mergeCell ref="U553:V553"/>
    <mergeCell ref="Y553:Z553"/>
    <mergeCell ref="S564:T564"/>
    <mergeCell ref="U564:V564"/>
    <mergeCell ref="S565:T565"/>
    <mergeCell ref="U565:V565"/>
    <mergeCell ref="S566:T566"/>
    <mergeCell ref="U566:V566"/>
    <mergeCell ref="S567:T567"/>
    <mergeCell ref="U567:V567"/>
    <mergeCell ref="Y567:Z567"/>
    <mergeCell ref="G568:H568"/>
    <mergeCell ref="S568:T568"/>
    <mergeCell ref="U568:V568"/>
    <mergeCell ref="G569:H569"/>
    <mergeCell ref="S569:T569"/>
    <mergeCell ref="U569:V569"/>
    <mergeCell ref="W569:X569"/>
    <mergeCell ref="S570:T570"/>
    <mergeCell ref="U570:V570"/>
    <mergeCell ref="Y570:Z570"/>
    <mergeCell ref="S581:T581"/>
    <mergeCell ref="U581:V581"/>
    <mergeCell ref="S582:T582"/>
    <mergeCell ref="U582:V582"/>
    <mergeCell ref="S583:T583"/>
    <mergeCell ref="U583:V583"/>
    <mergeCell ref="S584:T584"/>
    <mergeCell ref="U584:V584"/>
    <mergeCell ref="Y584:Z584"/>
    <mergeCell ref="G585:H585"/>
    <mergeCell ref="S585:T585"/>
    <mergeCell ref="U585:V585"/>
    <mergeCell ref="G586:H586"/>
    <mergeCell ref="S586:T586"/>
    <mergeCell ref="U586:V586"/>
    <mergeCell ref="W586:X586"/>
    <mergeCell ref="S587:T587"/>
    <mergeCell ref="U587:V587"/>
    <mergeCell ref="Y587:Z587"/>
    <mergeCell ref="J584:K584"/>
    <mergeCell ref="S598:T598"/>
    <mergeCell ref="U598:V598"/>
    <mergeCell ref="S599:T599"/>
    <mergeCell ref="U599:V599"/>
    <mergeCell ref="S600:T600"/>
    <mergeCell ref="U600:V600"/>
    <mergeCell ref="S601:T601"/>
    <mergeCell ref="U601:V601"/>
    <mergeCell ref="Y601:Z601"/>
    <mergeCell ref="S602:T602"/>
    <mergeCell ref="U602:V602"/>
    <mergeCell ref="S603:T603"/>
    <mergeCell ref="U603:V603"/>
    <mergeCell ref="W603:X603"/>
    <mergeCell ref="S604:T604"/>
    <mergeCell ref="U604:V604"/>
    <mergeCell ref="Y604:Z604"/>
    <mergeCell ref="S615:T615"/>
    <mergeCell ref="U615:V615"/>
    <mergeCell ref="S616:T616"/>
    <mergeCell ref="U616:V616"/>
    <mergeCell ref="S617:T617"/>
    <mergeCell ref="U617:V617"/>
    <mergeCell ref="S618:T618"/>
    <mergeCell ref="U618:V618"/>
    <mergeCell ref="Y618:Z618"/>
    <mergeCell ref="G619:H619"/>
    <mergeCell ref="S619:T619"/>
    <mergeCell ref="U619:V619"/>
    <mergeCell ref="G620:H620"/>
    <mergeCell ref="S620:T620"/>
    <mergeCell ref="U620:V620"/>
    <mergeCell ref="W620:X620"/>
    <mergeCell ref="S621:T621"/>
    <mergeCell ref="U621:V621"/>
    <mergeCell ref="Y621:Z621"/>
    <mergeCell ref="S632:T632"/>
    <mergeCell ref="U632:V632"/>
    <mergeCell ref="S633:T633"/>
    <mergeCell ref="U633:V633"/>
    <mergeCell ref="S634:T634"/>
    <mergeCell ref="U634:V634"/>
    <mergeCell ref="S635:T635"/>
    <mergeCell ref="U635:V635"/>
    <mergeCell ref="Y635:Z635"/>
    <mergeCell ref="G636:H636"/>
    <mergeCell ref="S636:T636"/>
    <mergeCell ref="U636:V636"/>
    <mergeCell ref="G637:H637"/>
    <mergeCell ref="S637:T637"/>
    <mergeCell ref="U637:V637"/>
    <mergeCell ref="W637:X637"/>
    <mergeCell ref="S638:T638"/>
    <mergeCell ref="U638:V638"/>
    <mergeCell ref="Y638:Z638"/>
    <mergeCell ref="S649:T649"/>
    <mergeCell ref="U649:V649"/>
    <mergeCell ref="S650:T650"/>
    <mergeCell ref="U650:V650"/>
    <mergeCell ref="S651:T651"/>
    <mergeCell ref="U651:V651"/>
    <mergeCell ref="S652:T652"/>
    <mergeCell ref="U652:V652"/>
    <mergeCell ref="Y652:Z652"/>
    <mergeCell ref="G653:H653"/>
    <mergeCell ref="S653:T653"/>
    <mergeCell ref="U653:V653"/>
    <mergeCell ref="G654:H654"/>
    <mergeCell ref="S654:T654"/>
    <mergeCell ref="U654:V654"/>
    <mergeCell ref="W654:X654"/>
    <mergeCell ref="S655:T655"/>
    <mergeCell ref="U655:V655"/>
    <mergeCell ref="Y655:Z655"/>
    <mergeCell ref="S666:T666"/>
    <mergeCell ref="U666:V666"/>
    <mergeCell ref="S667:T667"/>
    <mergeCell ref="U667:V667"/>
    <mergeCell ref="S668:T668"/>
    <mergeCell ref="U668:V668"/>
    <mergeCell ref="S669:T669"/>
    <mergeCell ref="U669:V669"/>
    <mergeCell ref="Y669:Z669"/>
    <mergeCell ref="G670:H670"/>
    <mergeCell ref="S670:T670"/>
    <mergeCell ref="U670:V670"/>
    <mergeCell ref="G671:H671"/>
    <mergeCell ref="S671:T671"/>
    <mergeCell ref="U671:V671"/>
    <mergeCell ref="W671:X671"/>
    <mergeCell ref="S672:T672"/>
    <mergeCell ref="U672:V672"/>
    <mergeCell ref="Y672:Z672"/>
    <mergeCell ref="S683:T683"/>
    <mergeCell ref="U683:V683"/>
    <mergeCell ref="S684:T684"/>
    <mergeCell ref="U684:V684"/>
    <mergeCell ref="S685:T685"/>
    <mergeCell ref="U685:V685"/>
    <mergeCell ref="S686:T686"/>
    <mergeCell ref="U686:V686"/>
    <mergeCell ref="Y686:Z686"/>
    <mergeCell ref="G687:H687"/>
    <mergeCell ref="S687:T687"/>
    <mergeCell ref="U687:V687"/>
    <mergeCell ref="G688:H688"/>
    <mergeCell ref="S688:T688"/>
    <mergeCell ref="U688:V688"/>
    <mergeCell ref="W688:X688"/>
    <mergeCell ref="S689:T689"/>
    <mergeCell ref="U689:V689"/>
    <mergeCell ref="Y689:Z689"/>
    <mergeCell ref="S700:T700"/>
    <mergeCell ref="U700:V700"/>
    <mergeCell ref="S701:T701"/>
    <mergeCell ref="U701:V701"/>
    <mergeCell ref="S702:T702"/>
    <mergeCell ref="U702:V702"/>
    <mergeCell ref="S703:T703"/>
    <mergeCell ref="U703:V703"/>
    <mergeCell ref="Y703:Z703"/>
    <mergeCell ref="G704:H704"/>
    <mergeCell ref="S704:T704"/>
    <mergeCell ref="U704:V704"/>
    <mergeCell ref="G705:H705"/>
    <mergeCell ref="S705:T705"/>
    <mergeCell ref="U705:V705"/>
    <mergeCell ref="W705:X705"/>
    <mergeCell ref="S706:T706"/>
    <mergeCell ref="U706:V706"/>
    <mergeCell ref="Y706:Z706"/>
    <mergeCell ref="S717:T717"/>
    <mergeCell ref="U717:V717"/>
    <mergeCell ref="S718:T718"/>
    <mergeCell ref="U718:V718"/>
    <mergeCell ref="S719:T719"/>
    <mergeCell ref="U719:V719"/>
    <mergeCell ref="S720:T720"/>
    <mergeCell ref="U720:V720"/>
    <mergeCell ref="Y720:Z720"/>
    <mergeCell ref="G721:H721"/>
    <mergeCell ref="S721:T721"/>
    <mergeCell ref="U721:V721"/>
    <mergeCell ref="G722:H722"/>
    <mergeCell ref="S722:T722"/>
    <mergeCell ref="U722:V722"/>
    <mergeCell ref="W722:X722"/>
    <mergeCell ref="S723:T723"/>
    <mergeCell ref="U723:V723"/>
    <mergeCell ref="Y723:Z723"/>
    <mergeCell ref="S734:T734"/>
    <mergeCell ref="U734:V734"/>
    <mergeCell ref="S735:T735"/>
    <mergeCell ref="U735:V735"/>
    <mergeCell ref="S736:T736"/>
    <mergeCell ref="U736:V736"/>
    <mergeCell ref="S737:T737"/>
    <mergeCell ref="U737:V737"/>
    <mergeCell ref="Y737:Z737"/>
    <mergeCell ref="G738:H738"/>
    <mergeCell ref="S738:T738"/>
    <mergeCell ref="U738:V738"/>
    <mergeCell ref="G739:H739"/>
    <mergeCell ref="S739:T739"/>
    <mergeCell ref="U739:V739"/>
    <mergeCell ref="W739:X739"/>
    <mergeCell ref="S740:T740"/>
    <mergeCell ref="U740:V740"/>
    <mergeCell ref="Y740:Z740"/>
    <mergeCell ref="S751:T751"/>
    <mergeCell ref="U751:V751"/>
    <mergeCell ref="S752:T752"/>
    <mergeCell ref="U752:V752"/>
    <mergeCell ref="S753:T753"/>
    <mergeCell ref="U753:V753"/>
    <mergeCell ref="S754:T754"/>
    <mergeCell ref="U754:V754"/>
    <mergeCell ref="Y754:Z754"/>
    <mergeCell ref="G755:H755"/>
    <mergeCell ref="S755:T755"/>
    <mergeCell ref="U755:V755"/>
    <mergeCell ref="G756:H756"/>
    <mergeCell ref="S756:T756"/>
    <mergeCell ref="U756:V756"/>
    <mergeCell ref="W756:X756"/>
    <mergeCell ref="S757:T757"/>
    <mergeCell ref="U757:V757"/>
    <mergeCell ref="Y757:Z757"/>
    <mergeCell ref="S768:T768"/>
    <mergeCell ref="U768:V768"/>
    <mergeCell ref="S769:T769"/>
    <mergeCell ref="U769:V769"/>
    <mergeCell ref="S770:T770"/>
    <mergeCell ref="U770:V770"/>
    <mergeCell ref="S771:T771"/>
    <mergeCell ref="U771:V771"/>
    <mergeCell ref="Y771:Z771"/>
    <mergeCell ref="G772:H772"/>
    <mergeCell ref="S772:T772"/>
    <mergeCell ref="U772:V772"/>
    <mergeCell ref="G773:H773"/>
    <mergeCell ref="S773:T773"/>
    <mergeCell ref="U773:V773"/>
    <mergeCell ref="W773:X773"/>
    <mergeCell ref="S774:T774"/>
    <mergeCell ref="U774:V774"/>
    <mergeCell ref="Y774:Z774"/>
    <mergeCell ref="G774:H774"/>
    <mergeCell ref="J774:K774"/>
    <mergeCell ref="S785:T785"/>
    <mergeCell ref="U785:V785"/>
    <mergeCell ref="S786:T786"/>
    <mergeCell ref="U786:V786"/>
    <mergeCell ref="S787:T787"/>
    <mergeCell ref="U787:V787"/>
    <mergeCell ref="S788:T788"/>
    <mergeCell ref="U788:V788"/>
    <mergeCell ref="Y788:Z788"/>
    <mergeCell ref="S789:T789"/>
    <mergeCell ref="U789:V789"/>
    <mergeCell ref="S790:T790"/>
    <mergeCell ref="U790:V790"/>
    <mergeCell ref="W790:X790"/>
    <mergeCell ref="S791:T791"/>
    <mergeCell ref="U791:V791"/>
    <mergeCell ref="Y791:Z791"/>
    <mergeCell ref="S792:T792"/>
    <mergeCell ref="U792:V792"/>
    <mergeCell ref="S793:T793"/>
    <mergeCell ref="U793:V793"/>
    <mergeCell ref="S794:T794"/>
    <mergeCell ref="U794:V794"/>
    <mergeCell ref="R799:Z799"/>
    <mergeCell ref="S800:T800"/>
    <mergeCell ref="U800:V800"/>
    <mergeCell ref="W800:X800"/>
    <mergeCell ref="Y800:Z800"/>
    <mergeCell ref="S801:T801"/>
    <mergeCell ref="U801:V801"/>
    <mergeCell ref="W801:X801"/>
    <mergeCell ref="S802:T802"/>
    <mergeCell ref="U802:V802"/>
    <mergeCell ref="S803:T803"/>
    <mergeCell ref="U803:V803"/>
    <mergeCell ref="S811:T811"/>
    <mergeCell ref="U811:V811"/>
    <mergeCell ref="U804:V804"/>
    <mergeCell ref="S805:T805"/>
    <mergeCell ref="U805:V805"/>
    <mergeCell ref="Y805:Z805"/>
    <mergeCell ref="G806:H806"/>
    <mergeCell ref="S806:T806"/>
    <mergeCell ref="U806:V806"/>
    <mergeCell ref="G807:H807"/>
    <mergeCell ref="S807:T807"/>
    <mergeCell ref="U807:V807"/>
    <mergeCell ref="W807:X807"/>
    <mergeCell ref="S808:T808"/>
    <mergeCell ref="U808:V808"/>
    <mergeCell ref="Y808:Z808"/>
    <mergeCell ref="S809:T809"/>
    <mergeCell ref="U809:V809"/>
    <mergeCell ref="S810:T810"/>
    <mergeCell ref="U810:V810"/>
    <mergeCell ref="S804:T804"/>
    <mergeCell ref="C816:E816"/>
    <mergeCell ref="F816:N816"/>
    <mergeCell ref="R816:Z816"/>
    <mergeCell ref="D817:E817"/>
    <mergeCell ref="F817:H817"/>
    <mergeCell ref="I817:K817"/>
    <mergeCell ref="S817:T817"/>
    <mergeCell ref="U817:V817"/>
    <mergeCell ref="W817:X817"/>
    <mergeCell ref="Y817:Z817"/>
    <mergeCell ref="D818:E818"/>
    <mergeCell ref="G818:H818"/>
    <mergeCell ref="J818:K818"/>
    <mergeCell ref="S818:T818"/>
    <mergeCell ref="U818:V818"/>
    <mergeCell ref="W818:X818"/>
    <mergeCell ref="D819:E819"/>
    <mergeCell ref="G819:H819"/>
    <mergeCell ref="J819:K819"/>
    <mergeCell ref="S819:T819"/>
    <mergeCell ref="U819:V819"/>
    <mergeCell ref="D820:E820"/>
    <mergeCell ref="G820:H820"/>
    <mergeCell ref="J820:K820"/>
    <mergeCell ref="S820:T820"/>
    <mergeCell ref="U820:V820"/>
    <mergeCell ref="D821:E821"/>
    <mergeCell ref="G821:H821"/>
    <mergeCell ref="J821:K821"/>
    <mergeCell ref="S821:T821"/>
    <mergeCell ref="U821:V821"/>
    <mergeCell ref="D822:E822"/>
    <mergeCell ref="G822:H822"/>
    <mergeCell ref="J822:K822"/>
    <mergeCell ref="S822:T822"/>
    <mergeCell ref="U822:V822"/>
    <mergeCell ref="Y822:Z822"/>
    <mergeCell ref="D823:E823"/>
    <mergeCell ref="G823:H823"/>
    <mergeCell ref="J823:K823"/>
    <mergeCell ref="S823:T823"/>
    <mergeCell ref="U823:V823"/>
    <mergeCell ref="D824:E824"/>
    <mergeCell ref="G824:H824"/>
    <mergeCell ref="J824:K824"/>
    <mergeCell ref="S824:T824"/>
    <mergeCell ref="U824:V824"/>
    <mergeCell ref="W824:X824"/>
    <mergeCell ref="D825:E825"/>
    <mergeCell ref="G825:H825"/>
    <mergeCell ref="J825:K825"/>
    <mergeCell ref="S825:T825"/>
    <mergeCell ref="U825:V825"/>
    <mergeCell ref="Y825:Z825"/>
    <mergeCell ref="D826:E826"/>
    <mergeCell ref="G826:H826"/>
    <mergeCell ref="J826:K826"/>
    <mergeCell ref="S826:T826"/>
    <mergeCell ref="U826:V826"/>
    <mergeCell ref="D827:E827"/>
    <mergeCell ref="G827:H827"/>
    <mergeCell ref="J827:K827"/>
    <mergeCell ref="S827:T827"/>
    <mergeCell ref="U827:V827"/>
    <mergeCell ref="D828:E828"/>
    <mergeCell ref="G828:H828"/>
    <mergeCell ref="J828:K828"/>
    <mergeCell ref="S828:T828"/>
    <mergeCell ref="U828:V828"/>
    <mergeCell ref="D829:E829"/>
    <mergeCell ref="G829:H829"/>
    <mergeCell ref="J829:K829"/>
    <mergeCell ref="D830:E830"/>
    <mergeCell ref="G830:H830"/>
    <mergeCell ref="J830:K830"/>
    <mergeCell ref="D831:E831"/>
    <mergeCell ref="G831:H831"/>
    <mergeCell ref="J831:K831"/>
    <mergeCell ref="D837:E837"/>
    <mergeCell ref="G837:H837"/>
    <mergeCell ref="J837:K837"/>
    <mergeCell ref="D838:E838"/>
    <mergeCell ref="G838:H838"/>
    <mergeCell ref="J838:K838"/>
    <mergeCell ref="D839:E839"/>
    <mergeCell ref="G839:H839"/>
    <mergeCell ref="J839:K839"/>
    <mergeCell ref="D840:E840"/>
    <mergeCell ref="G840:H840"/>
    <mergeCell ref="J840:K840"/>
    <mergeCell ref="C833:E833"/>
    <mergeCell ref="F833:N833"/>
    <mergeCell ref="R833:Z833"/>
    <mergeCell ref="D834:E834"/>
    <mergeCell ref="F834:H834"/>
    <mergeCell ref="I834:K834"/>
    <mergeCell ref="S834:T834"/>
    <mergeCell ref="U834:V834"/>
    <mergeCell ref="W834:X834"/>
    <mergeCell ref="Y834:Z834"/>
    <mergeCell ref="D835:E835"/>
    <mergeCell ref="G835:H835"/>
    <mergeCell ref="J835:K835"/>
    <mergeCell ref="D836:E836"/>
    <mergeCell ref="G836:H836"/>
    <mergeCell ref="J836:K836"/>
    <mergeCell ref="S835:T835"/>
    <mergeCell ref="U835:V835"/>
    <mergeCell ref="W835:X835"/>
    <mergeCell ref="S836:T836"/>
    <mergeCell ref="D844:E844"/>
    <mergeCell ref="G844:H844"/>
    <mergeCell ref="J844:K844"/>
    <mergeCell ref="D845:E845"/>
    <mergeCell ref="G845:H845"/>
    <mergeCell ref="J845:K845"/>
    <mergeCell ref="D846:E846"/>
    <mergeCell ref="G846:H846"/>
    <mergeCell ref="J846:K846"/>
    <mergeCell ref="D847:E847"/>
    <mergeCell ref="G847:H847"/>
    <mergeCell ref="J847:K847"/>
    <mergeCell ref="D848:E848"/>
    <mergeCell ref="G848:H848"/>
    <mergeCell ref="J848:K848"/>
    <mergeCell ref="D841:E841"/>
    <mergeCell ref="G841:H841"/>
    <mergeCell ref="J841:K841"/>
    <mergeCell ref="D842:E842"/>
    <mergeCell ref="G842:H842"/>
    <mergeCell ref="J842:K842"/>
    <mergeCell ref="D843:E843"/>
    <mergeCell ref="G843:H843"/>
    <mergeCell ref="J843:K843"/>
    <mergeCell ref="C850:E850"/>
    <mergeCell ref="F850:N850"/>
    <mergeCell ref="R850:Z850"/>
    <mergeCell ref="D851:E851"/>
    <mergeCell ref="F851:H851"/>
    <mergeCell ref="I851:K851"/>
    <mergeCell ref="S851:T851"/>
    <mergeCell ref="U851:V851"/>
    <mergeCell ref="W851:X851"/>
    <mergeCell ref="Y851:Z851"/>
    <mergeCell ref="D852:E852"/>
    <mergeCell ref="G852:H852"/>
    <mergeCell ref="J852:K852"/>
    <mergeCell ref="S852:T852"/>
    <mergeCell ref="U852:V852"/>
    <mergeCell ref="W852:X852"/>
    <mergeCell ref="D853:E853"/>
    <mergeCell ref="G853:H853"/>
    <mergeCell ref="J853:K853"/>
    <mergeCell ref="S853:T853"/>
    <mergeCell ref="U853:V853"/>
    <mergeCell ref="D854:E854"/>
    <mergeCell ref="G854:H854"/>
    <mergeCell ref="J854:K854"/>
    <mergeCell ref="S854:T854"/>
    <mergeCell ref="U854:V854"/>
    <mergeCell ref="D855:E855"/>
    <mergeCell ref="G855:H855"/>
    <mergeCell ref="J855:K855"/>
    <mergeCell ref="S855:T855"/>
    <mergeCell ref="U855:V855"/>
    <mergeCell ref="D856:E856"/>
    <mergeCell ref="G856:H856"/>
    <mergeCell ref="J856:K856"/>
    <mergeCell ref="S856:T856"/>
    <mergeCell ref="U856:V856"/>
    <mergeCell ref="Y856:Z856"/>
    <mergeCell ref="D857:E857"/>
    <mergeCell ref="G857:H857"/>
    <mergeCell ref="J857:K857"/>
    <mergeCell ref="S857:T857"/>
    <mergeCell ref="U857:V857"/>
    <mergeCell ref="D858:E858"/>
    <mergeCell ref="G858:H858"/>
    <mergeCell ref="J858:K858"/>
    <mergeCell ref="S858:T858"/>
    <mergeCell ref="U858:V858"/>
    <mergeCell ref="W858:X858"/>
    <mergeCell ref="D859:E859"/>
    <mergeCell ref="G859:H859"/>
    <mergeCell ref="J859:K859"/>
    <mergeCell ref="S859:T859"/>
    <mergeCell ref="U859:V859"/>
    <mergeCell ref="Y859:Z859"/>
    <mergeCell ref="D860:E860"/>
    <mergeCell ref="G860:H860"/>
    <mergeCell ref="J860:K860"/>
    <mergeCell ref="S860:T860"/>
    <mergeCell ref="U860:V860"/>
    <mergeCell ref="D861:E861"/>
    <mergeCell ref="G861:H861"/>
    <mergeCell ref="J861:K861"/>
    <mergeCell ref="S861:T861"/>
    <mergeCell ref="U861:V861"/>
    <mergeCell ref="D862:E862"/>
    <mergeCell ref="G862:H862"/>
    <mergeCell ref="J862:K862"/>
    <mergeCell ref="S862:T862"/>
    <mergeCell ref="U862:V862"/>
    <mergeCell ref="D863:E863"/>
    <mergeCell ref="G863:H863"/>
    <mergeCell ref="J863:K863"/>
    <mergeCell ref="D864:E864"/>
    <mergeCell ref="G864:H864"/>
    <mergeCell ref="J864:K864"/>
    <mergeCell ref="D865:E865"/>
    <mergeCell ref="G865:H865"/>
    <mergeCell ref="J865:K865"/>
    <mergeCell ref="C867:E867"/>
    <mergeCell ref="F867:N867"/>
    <mergeCell ref="R867:Z867"/>
    <mergeCell ref="D868:E868"/>
    <mergeCell ref="F868:H868"/>
    <mergeCell ref="I868:K868"/>
    <mergeCell ref="S868:T868"/>
    <mergeCell ref="U868:V868"/>
    <mergeCell ref="W868:X868"/>
    <mergeCell ref="Y868:Z868"/>
    <mergeCell ref="D869:E869"/>
    <mergeCell ref="G869:H869"/>
    <mergeCell ref="J869:K869"/>
    <mergeCell ref="S869:T869"/>
    <mergeCell ref="U869:V869"/>
    <mergeCell ref="W869:X869"/>
    <mergeCell ref="D870:E870"/>
    <mergeCell ref="G870:H870"/>
    <mergeCell ref="J870:K870"/>
    <mergeCell ref="S870:T870"/>
    <mergeCell ref="U870:V870"/>
    <mergeCell ref="Y876:Z876"/>
    <mergeCell ref="D877:E877"/>
    <mergeCell ref="G877:H877"/>
    <mergeCell ref="J877:K877"/>
    <mergeCell ref="S877:T877"/>
    <mergeCell ref="U877:V877"/>
    <mergeCell ref="D871:E871"/>
    <mergeCell ref="G871:H871"/>
    <mergeCell ref="J871:K871"/>
    <mergeCell ref="S871:T871"/>
    <mergeCell ref="U871:V871"/>
    <mergeCell ref="D872:E872"/>
    <mergeCell ref="G872:H872"/>
    <mergeCell ref="J872:K872"/>
    <mergeCell ref="S872:T872"/>
    <mergeCell ref="U872:V872"/>
    <mergeCell ref="D873:E873"/>
    <mergeCell ref="G873:H873"/>
    <mergeCell ref="J873:K873"/>
    <mergeCell ref="S873:T873"/>
    <mergeCell ref="U873:V873"/>
    <mergeCell ref="Y873:Z873"/>
    <mergeCell ref="D874:E874"/>
    <mergeCell ref="G874:H874"/>
    <mergeCell ref="J874:K874"/>
    <mergeCell ref="S874:T874"/>
    <mergeCell ref="U874:V874"/>
    <mergeCell ref="D881:E881"/>
    <mergeCell ref="G881:H881"/>
    <mergeCell ref="J881:K881"/>
    <mergeCell ref="D882:E882"/>
    <mergeCell ref="G882:H882"/>
    <mergeCell ref="J882:K882"/>
    <mergeCell ref="D875:E875"/>
    <mergeCell ref="G875:H875"/>
    <mergeCell ref="J875:K875"/>
    <mergeCell ref="S875:T875"/>
    <mergeCell ref="U875:V875"/>
    <mergeCell ref="W875:X875"/>
    <mergeCell ref="D876:E876"/>
    <mergeCell ref="G876:H876"/>
    <mergeCell ref="J876:K876"/>
    <mergeCell ref="S876:T876"/>
    <mergeCell ref="U876:V876"/>
    <mergeCell ref="Y827:Z827"/>
    <mergeCell ref="Y861:Z861"/>
    <mergeCell ref="Y878:Z878"/>
    <mergeCell ref="C884:E884"/>
    <mergeCell ref="F884:N884"/>
    <mergeCell ref="R884:Z884"/>
    <mergeCell ref="D885:E885"/>
    <mergeCell ref="F885:H885"/>
    <mergeCell ref="I885:K885"/>
    <mergeCell ref="S885:T885"/>
    <mergeCell ref="U885:V885"/>
    <mergeCell ref="W885:X885"/>
    <mergeCell ref="Y885:Z885"/>
    <mergeCell ref="D886:E886"/>
    <mergeCell ref="G886:H886"/>
    <mergeCell ref="J886:K886"/>
    <mergeCell ref="S886:T886"/>
    <mergeCell ref="U886:V886"/>
    <mergeCell ref="W886:X886"/>
    <mergeCell ref="D878:E878"/>
    <mergeCell ref="G878:H878"/>
    <mergeCell ref="J878:K878"/>
    <mergeCell ref="S878:T878"/>
    <mergeCell ref="U878:V878"/>
    <mergeCell ref="D879:E879"/>
    <mergeCell ref="G879:H879"/>
    <mergeCell ref="J879:K879"/>
    <mergeCell ref="S879:T879"/>
    <mergeCell ref="U879:V879"/>
    <mergeCell ref="D880:E880"/>
    <mergeCell ref="G880:H880"/>
    <mergeCell ref="J880:K880"/>
    <mergeCell ref="D887:E887"/>
    <mergeCell ref="G887:H887"/>
    <mergeCell ref="J887:K887"/>
    <mergeCell ref="S887:T887"/>
    <mergeCell ref="U887:V887"/>
    <mergeCell ref="D888:E888"/>
    <mergeCell ref="G888:H888"/>
    <mergeCell ref="J888:K888"/>
    <mergeCell ref="S888:T888"/>
    <mergeCell ref="U888:V888"/>
    <mergeCell ref="D889:E889"/>
    <mergeCell ref="G889:H889"/>
    <mergeCell ref="J889:K889"/>
    <mergeCell ref="S889:T889"/>
    <mergeCell ref="U889:V889"/>
    <mergeCell ref="D890:E890"/>
    <mergeCell ref="G890:H890"/>
    <mergeCell ref="J890:K890"/>
    <mergeCell ref="S890:T890"/>
    <mergeCell ref="U890:V890"/>
    <mergeCell ref="Y890:Z890"/>
    <mergeCell ref="D891:E891"/>
    <mergeCell ref="G891:H891"/>
    <mergeCell ref="J891:K891"/>
    <mergeCell ref="S891:T891"/>
    <mergeCell ref="U891:V891"/>
    <mergeCell ref="D892:E892"/>
    <mergeCell ref="G892:H892"/>
    <mergeCell ref="J892:K892"/>
    <mergeCell ref="S892:T892"/>
    <mergeCell ref="U892:V892"/>
    <mergeCell ref="W892:X892"/>
    <mergeCell ref="D893:E893"/>
    <mergeCell ref="G893:H893"/>
    <mergeCell ref="J893:K893"/>
    <mergeCell ref="S893:T893"/>
    <mergeCell ref="U893:V893"/>
    <mergeCell ref="Y893:Z893"/>
    <mergeCell ref="D894:E894"/>
    <mergeCell ref="G894:H894"/>
    <mergeCell ref="J894:K894"/>
    <mergeCell ref="S894:T894"/>
    <mergeCell ref="U894:V894"/>
    <mergeCell ref="D895:E895"/>
    <mergeCell ref="G895:H895"/>
    <mergeCell ref="J895:K895"/>
    <mergeCell ref="S895:T895"/>
    <mergeCell ref="U895:V895"/>
    <mergeCell ref="Y895:Z895"/>
    <mergeCell ref="D896:E896"/>
    <mergeCell ref="G896:H896"/>
    <mergeCell ref="J896:K896"/>
    <mergeCell ref="S896:T896"/>
    <mergeCell ref="U896:V896"/>
    <mergeCell ref="D897:E897"/>
    <mergeCell ref="G897:H897"/>
    <mergeCell ref="J897:K897"/>
    <mergeCell ref="D898:E898"/>
    <mergeCell ref="G898:H898"/>
    <mergeCell ref="J898:K898"/>
    <mergeCell ref="D899:E899"/>
    <mergeCell ref="G899:H899"/>
    <mergeCell ref="J899:K899"/>
    <mergeCell ref="C901:E901"/>
    <mergeCell ref="F901:N901"/>
    <mergeCell ref="R901:Z901"/>
    <mergeCell ref="D902:E902"/>
    <mergeCell ref="F902:H902"/>
    <mergeCell ref="I902:K902"/>
    <mergeCell ref="S902:T902"/>
    <mergeCell ref="U902:V902"/>
    <mergeCell ref="W902:X902"/>
    <mergeCell ref="Y902:Z902"/>
    <mergeCell ref="D903:E903"/>
    <mergeCell ref="G903:H903"/>
    <mergeCell ref="J903:K903"/>
    <mergeCell ref="S903:T903"/>
    <mergeCell ref="U903:V903"/>
    <mergeCell ref="W903:X903"/>
    <mergeCell ref="D904:E904"/>
    <mergeCell ref="G904:H904"/>
    <mergeCell ref="J904:K904"/>
    <mergeCell ref="S904:T904"/>
    <mergeCell ref="U904:V904"/>
    <mergeCell ref="D905:E905"/>
    <mergeCell ref="G905:H905"/>
    <mergeCell ref="J905:K905"/>
    <mergeCell ref="S905:T905"/>
    <mergeCell ref="U905:V905"/>
    <mergeCell ref="D906:E906"/>
    <mergeCell ref="G906:H906"/>
    <mergeCell ref="J906:K906"/>
    <mergeCell ref="S906:T906"/>
    <mergeCell ref="U906:V906"/>
    <mergeCell ref="D907:E907"/>
    <mergeCell ref="G907:H907"/>
    <mergeCell ref="J907:K907"/>
    <mergeCell ref="S907:T907"/>
    <mergeCell ref="U907:V907"/>
    <mergeCell ref="Y907:Z907"/>
    <mergeCell ref="D908:E908"/>
    <mergeCell ref="G908:H908"/>
    <mergeCell ref="J908:K908"/>
    <mergeCell ref="S908:T908"/>
    <mergeCell ref="U908:V908"/>
    <mergeCell ref="D909:E909"/>
    <mergeCell ref="G909:H909"/>
    <mergeCell ref="J909:K909"/>
    <mergeCell ref="S909:T909"/>
    <mergeCell ref="U909:V909"/>
    <mergeCell ref="W909:X909"/>
    <mergeCell ref="D910:E910"/>
    <mergeCell ref="G910:H910"/>
    <mergeCell ref="J910:K910"/>
    <mergeCell ref="S910:T910"/>
    <mergeCell ref="U910:V910"/>
    <mergeCell ref="Y910:Z910"/>
    <mergeCell ref="D911:E911"/>
    <mergeCell ref="G911:H911"/>
    <mergeCell ref="J911:K911"/>
    <mergeCell ref="S911:T911"/>
    <mergeCell ref="U911:V911"/>
    <mergeCell ref="D912:E912"/>
    <mergeCell ref="G912:H912"/>
    <mergeCell ref="J912:K912"/>
    <mergeCell ref="S912:T912"/>
    <mergeCell ref="U912:V912"/>
    <mergeCell ref="Y912:Z912"/>
    <mergeCell ref="D913:E913"/>
    <mergeCell ref="G913:H913"/>
    <mergeCell ref="J913:K913"/>
    <mergeCell ref="S913:T913"/>
    <mergeCell ref="U913:V913"/>
    <mergeCell ref="D914:E914"/>
    <mergeCell ref="G914:H914"/>
    <mergeCell ref="J914:K914"/>
    <mergeCell ref="D915:E915"/>
    <mergeCell ref="G915:H915"/>
    <mergeCell ref="J915:K915"/>
    <mergeCell ref="D916:E916"/>
    <mergeCell ref="G916:H916"/>
    <mergeCell ref="J916:K916"/>
    <mergeCell ref="C918:E918"/>
    <mergeCell ref="F918:N918"/>
    <mergeCell ref="R918:Z918"/>
    <mergeCell ref="D919:E919"/>
    <mergeCell ref="F919:H919"/>
    <mergeCell ref="I919:K919"/>
    <mergeCell ref="S919:T919"/>
    <mergeCell ref="U919:V919"/>
    <mergeCell ref="W919:X919"/>
    <mergeCell ref="Y919:Z919"/>
    <mergeCell ref="D920:E920"/>
    <mergeCell ref="G920:H920"/>
    <mergeCell ref="J920:K920"/>
    <mergeCell ref="S920:T920"/>
    <mergeCell ref="U920:V920"/>
    <mergeCell ref="W920:X920"/>
    <mergeCell ref="D921:E921"/>
    <mergeCell ref="G921:H921"/>
    <mergeCell ref="J921:K921"/>
    <mergeCell ref="S921:T921"/>
    <mergeCell ref="U921:V921"/>
    <mergeCell ref="D922:E922"/>
    <mergeCell ref="G922:H922"/>
    <mergeCell ref="J922:K922"/>
    <mergeCell ref="S922:T922"/>
    <mergeCell ref="U922:V922"/>
    <mergeCell ref="D923:E923"/>
    <mergeCell ref="G923:H923"/>
    <mergeCell ref="J923:K923"/>
    <mergeCell ref="S923:T923"/>
    <mergeCell ref="U923:V923"/>
    <mergeCell ref="D924:E924"/>
    <mergeCell ref="G924:H924"/>
    <mergeCell ref="J924:K924"/>
    <mergeCell ref="S924:T924"/>
    <mergeCell ref="U924:V924"/>
    <mergeCell ref="Y924:Z924"/>
    <mergeCell ref="D925:E925"/>
    <mergeCell ref="G925:H925"/>
    <mergeCell ref="J925:K925"/>
    <mergeCell ref="S925:T925"/>
    <mergeCell ref="U925:V925"/>
    <mergeCell ref="D926:E926"/>
    <mergeCell ref="G926:H926"/>
    <mergeCell ref="J926:K926"/>
    <mergeCell ref="S926:T926"/>
    <mergeCell ref="U926:V926"/>
    <mergeCell ref="W926:X926"/>
    <mergeCell ref="D927:E927"/>
    <mergeCell ref="G927:H927"/>
    <mergeCell ref="J927:K927"/>
    <mergeCell ref="S927:T927"/>
    <mergeCell ref="U927:V927"/>
    <mergeCell ref="Y927:Z927"/>
    <mergeCell ref="D928:E928"/>
    <mergeCell ref="G928:H928"/>
    <mergeCell ref="J928:K928"/>
    <mergeCell ref="S928:T928"/>
    <mergeCell ref="U928:V928"/>
    <mergeCell ref="D929:E929"/>
    <mergeCell ref="G929:H929"/>
    <mergeCell ref="J929:K929"/>
    <mergeCell ref="S929:T929"/>
    <mergeCell ref="U929:V929"/>
    <mergeCell ref="Y929:Z929"/>
    <mergeCell ref="D930:E930"/>
    <mergeCell ref="G930:H930"/>
    <mergeCell ref="J930:K930"/>
    <mergeCell ref="S930:T930"/>
    <mergeCell ref="U930:V930"/>
    <mergeCell ref="D931:E931"/>
    <mergeCell ref="G931:H931"/>
    <mergeCell ref="J931:K931"/>
    <mergeCell ref="D932:E932"/>
    <mergeCell ref="G932:H932"/>
    <mergeCell ref="J932:K932"/>
    <mergeCell ref="D933:E933"/>
    <mergeCell ref="G933:H933"/>
    <mergeCell ref="J933:K933"/>
    <mergeCell ref="C935:E935"/>
    <mergeCell ref="F935:N935"/>
    <mergeCell ref="R935:Z935"/>
    <mergeCell ref="D936:E936"/>
    <mergeCell ref="F936:H936"/>
    <mergeCell ref="I936:K936"/>
    <mergeCell ref="S936:T936"/>
    <mergeCell ref="U936:V936"/>
    <mergeCell ref="W936:X936"/>
    <mergeCell ref="Y936:Z936"/>
    <mergeCell ref="D937:E937"/>
    <mergeCell ref="G937:H937"/>
    <mergeCell ref="J937:K937"/>
    <mergeCell ref="S937:T937"/>
    <mergeCell ref="U937:V937"/>
    <mergeCell ref="W937:X937"/>
    <mergeCell ref="D938:E938"/>
    <mergeCell ref="G938:H938"/>
    <mergeCell ref="J938:K938"/>
    <mergeCell ref="S938:T938"/>
    <mergeCell ref="U938:V938"/>
    <mergeCell ref="D939:E939"/>
    <mergeCell ref="G939:H939"/>
    <mergeCell ref="J939:K939"/>
    <mergeCell ref="S939:T939"/>
    <mergeCell ref="U939:V939"/>
    <mergeCell ref="D940:E940"/>
    <mergeCell ref="G940:H940"/>
    <mergeCell ref="J940:K940"/>
    <mergeCell ref="S940:T940"/>
    <mergeCell ref="U940:V940"/>
    <mergeCell ref="D941:E941"/>
    <mergeCell ref="G941:H941"/>
    <mergeCell ref="J941:K941"/>
    <mergeCell ref="S941:T941"/>
    <mergeCell ref="U941:V941"/>
    <mergeCell ref="Y941:Z941"/>
    <mergeCell ref="D942:E942"/>
    <mergeCell ref="G942:H942"/>
    <mergeCell ref="J942:K942"/>
    <mergeCell ref="S942:T942"/>
    <mergeCell ref="U942:V942"/>
    <mergeCell ref="D943:E943"/>
    <mergeCell ref="G943:H943"/>
    <mergeCell ref="J943:K943"/>
    <mergeCell ref="S943:T943"/>
    <mergeCell ref="U943:V943"/>
    <mergeCell ref="W943:X943"/>
    <mergeCell ref="D944:E944"/>
    <mergeCell ref="G944:H944"/>
    <mergeCell ref="J944:K944"/>
    <mergeCell ref="S944:T944"/>
    <mergeCell ref="U944:V944"/>
    <mergeCell ref="Y944:Z944"/>
    <mergeCell ref="D945:E945"/>
    <mergeCell ref="G945:H945"/>
    <mergeCell ref="J945:K945"/>
    <mergeCell ref="S945:T945"/>
    <mergeCell ref="U945:V945"/>
    <mergeCell ref="D946:E946"/>
    <mergeCell ref="G946:H946"/>
    <mergeCell ref="J946:K946"/>
    <mergeCell ref="S946:T946"/>
    <mergeCell ref="U946:V946"/>
    <mergeCell ref="Y946:Z946"/>
    <mergeCell ref="D947:E947"/>
    <mergeCell ref="G947:H947"/>
    <mergeCell ref="J947:K947"/>
    <mergeCell ref="S947:T947"/>
    <mergeCell ref="U947:V947"/>
    <mergeCell ref="D948:E948"/>
    <mergeCell ref="G948:H948"/>
    <mergeCell ref="J948:K948"/>
    <mergeCell ref="D949:E949"/>
    <mergeCell ref="G949:H949"/>
    <mergeCell ref="J949:K949"/>
    <mergeCell ref="D950:E950"/>
    <mergeCell ref="G950:H950"/>
    <mergeCell ref="J950:K950"/>
    <mergeCell ref="C952:E952"/>
    <mergeCell ref="F952:N952"/>
    <mergeCell ref="R952:Z952"/>
    <mergeCell ref="D953:E953"/>
    <mergeCell ref="F953:H953"/>
    <mergeCell ref="I953:K953"/>
    <mergeCell ref="S953:T953"/>
    <mergeCell ref="U953:V953"/>
    <mergeCell ref="W953:X953"/>
    <mergeCell ref="Y953:Z953"/>
    <mergeCell ref="D954:E954"/>
    <mergeCell ref="G954:H954"/>
    <mergeCell ref="J954:K954"/>
    <mergeCell ref="S954:T954"/>
    <mergeCell ref="U954:V954"/>
    <mergeCell ref="W954:X954"/>
    <mergeCell ref="D955:E955"/>
    <mergeCell ref="G955:H955"/>
    <mergeCell ref="J955:K955"/>
    <mergeCell ref="S955:T955"/>
    <mergeCell ref="U955:V955"/>
    <mergeCell ref="D956:E956"/>
    <mergeCell ref="G956:H956"/>
    <mergeCell ref="J956:K956"/>
    <mergeCell ref="S956:T956"/>
    <mergeCell ref="U956:V956"/>
    <mergeCell ref="D957:E957"/>
    <mergeCell ref="G957:H957"/>
    <mergeCell ref="J957:K957"/>
    <mergeCell ref="S957:T957"/>
    <mergeCell ref="U957:V957"/>
    <mergeCell ref="D958:E958"/>
    <mergeCell ref="G958:H958"/>
    <mergeCell ref="J958:K958"/>
    <mergeCell ref="S958:T958"/>
    <mergeCell ref="U958:V958"/>
    <mergeCell ref="Y958:Z958"/>
    <mergeCell ref="D959:E959"/>
    <mergeCell ref="G959:H959"/>
    <mergeCell ref="J959:K959"/>
    <mergeCell ref="S959:T959"/>
    <mergeCell ref="U959:V959"/>
    <mergeCell ref="D960:E960"/>
    <mergeCell ref="G960:H960"/>
    <mergeCell ref="J960:K960"/>
    <mergeCell ref="S960:T960"/>
    <mergeCell ref="U960:V960"/>
    <mergeCell ref="W960:X960"/>
    <mergeCell ref="D961:E961"/>
    <mergeCell ref="G961:H961"/>
    <mergeCell ref="J961:K961"/>
    <mergeCell ref="S961:T961"/>
    <mergeCell ref="U961:V961"/>
    <mergeCell ref="Y961:Z961"/>
    <mergeCell ref="D962:E962"/>
    <mergeCell ref="G962:H962"/>
    <mergeCell ref="J962:K962"/>
    <mergeCell ref="S962:T962"/>
    <mergeCell ref="U962:V962"/>
    <mergeCell ref="D963:E963"/>
    <mergeCell ref="G963:H963"/>
    <mergeCell ref="J963:K963"/>
    <mergeCell ref="S963:T963"/>
    <mergeCell ref="U963:V963"/>
    <mergeCell ref="Y963:Z963"/>
    <mergeCell ref="D964:E964"/>
    <mergeCell ref="G964:H964"/>
    <mergeCell ref="J964:K964"/>
    <mergeCell ref="S964:T964"/>
    <mergeCell ref="U964:V964"/>
    <mergeCell ref="D965:E965"/>
    <mergeCell ref="G965:H965"/>
    <mergeCell ref="J965:K965"/>
    <mergeCell ref="D966:E966"/>
    <mergeCell ref="G966:H966"/>
    <mergeCell ref="J966:K966"/>
    <mergeCell ref="D967:E967"/>
    <mergeCell ref="G967:H967"/>
    <mergeCell ref="J967:K967"/>
    <mergeCell ref="C969:E969"/>
    <mergeCell ref="F969:N969"/>
    <mergeCell ref="R969:Z969"/>
    <mergeCell ref="D970:E970"/>
    <mergeCell ref="F970:H970"/>
    <mergeCell ref="I970:K970"/>
    <mergeCell ref="S970:T970"/>
    <mergeCell ref="U970:V970"/>
    <mergeCell ref="W970:X970"/>
    <mergeCell ref="Y970:Z970"/>
    <mergeCell ref="D971:E971"/>
    <mergeCell ref="G971:H971"/>
    <mergeCell ref="J971:K971"/>
    <mergeCell ref="S971:T971"/>
    <mergeCell ref="U971:V971"/>
    <mergeCell ref="W971:X971"/>
    <mergeCell ref="D972:E972"/>
    <mergeCell ref="G972:H972"/>
    <mergeCell ref="J972:K972"/>
    <mergeCell ref="S972:T972"/>
    <mergeCell ref="U972:V972"/>
    <mergeCell ref="D973:E973"/>
    <mergeCell ref="G973:H973"/>
    <mergeCell ref="J973:K973"/>
    <mergeCell ref="S973:T973"/>
    <mergeCell ref="U973:V973"/>
    <mergeCell ref="D974:E974"/>
    <mergeCell ref="G974:H974"/>
    <mergeCell ref="J974:K974"/>
    <mergeCell ref="S974:T974"/>
    <mergeCell ref="U974:V974"/>
    <mergeCell ref="D975:E975"/>
    <mergeCell ref="G975:H975"/>
    <mergeCell ref="J975:K975"/>
    <mergeCell ref="S975:T975"/>
    <mergeCell ref="U975:V975"/>
    <mergeCell ref="Y975:Z975"/>
    <mergeCell ref="D976:E976"/>
    <mergeCell ref="G976:H976"/>
    <mergeCell ref="J976:K976"/>
    <mergeCell ref="S976:T976"/>
    <mergeCell ref="U976:V976"/>
    <mergeCell ref="D977:E977"/>
    <mergeCell ref="G977:H977"/>
    <mergeCell ref="J977:K977"/>
    <mergeCell ref="S977:T977"/>
    <mergeCell ref="U977:V977"/>
    <mergeCell ref="W977:X977"/>
    <mergeCell ref="D978:E978"/>
    <mergeCell ref="G978:H978"/>
    <mergeCell ref="J978:K978"/>
    <mergeCell ref="S978:T978"/>
    <mergeCell ref="U978:V978"/>
    <mergeCell ref="Y978:Z978"/>
    <mergeCell ref="D979:E979"/>
    <mergeCell ref="G979:H979"/>
    <mergeCell ref="J979:K979"/>
    <mergeCell ref="S979:T979"/>
    <mergeCell ref="U979:V979"/>
    <mergeCell ref="D980:E980"/>
    <mergeCell ref="G980:H980"/>
    <mergeCell ref="J980:K980"/>
    <mergeCell ref="S980:T980"/>
    <mergeCell ref="U980:V980"/>
    <mergeCell ref="G990:H990"/>
    <mergeCell ref="J990:K990"/>
    <mergeCell ref="C986:E986"/>
    <mergeCell ref="F986:N986"/>
    <mergeCell ref="R986:Z986"/>
    <mergeCell ref="D987:E987"/>
    <mergeCell ref="F987:H987"/>
    <mergeCell ref="I987:K987"/>
    <mergeCell ref="Y980:Z980"/>
    <mergeCell ref="D981:E981"/>
    <mergeCell ref="G981:H981"/>
    <mergeCell ref="J981:K981"/>
    <mergeCell ref="S981:T981"/>
    <mergeCell ref="U981:V981"/>
    <mergeCell ref="D982:E982"/>
    <mergeCell ref="G982:H982"/>
    <mergeCell ref="J982:K982"/>
    <mergeCell ref="W987:X987"/>
    <mergeCell ref="Y987:Z987"/>
    <mergeCell ref="W988:X988"/>
    <mergeCell ref="D983:E983"/>
    <mergeCell ref="G983:H983"/>
    <mergeCell ref="J983:K983"/>
    <mergeCell ref="D984:E984"/>
    <mergeCell ref="G984:H984"/>
    <mergeCell ref="J984:K984"/>
    <mergeCell ref="D990:E990"/>
    <mergeCell ref="S990:T990"/>
    <mergeCell ref="U990:V990"/>
    <mergeCell ref="D991:E991"/>
    <mergeCell ref="G991:H991"/>
    <mergeCell ref="J991:K991"/>
    <mergeCell ref="S991:T991"/>
    <mergeCell ref="U991:V991"/>
    <mergeCell ref="S987:T987"/>
    <mergeCell ref="U987:V987"/>
    <mergeCell ref="D988:E988"/>
    <mergeCell ref="G988:H988"/>
    <mergeCell ref="J988:K988"/>
    <mergeCell ref="S988:T988"/>
    <mergeCell ref="U988:V988"/>
    <mergeCell ref="D989:E989"/>
    <mergeCell ref="G989:H989"/>
    <mergeCell ref="J989:K989"/>
    <mergeCell ref="S989:T989"/>
    <mergeCell ref="U989:V989"/>
    <mergeCell ref="D992:E992"/>
    <mergeCell ref="G992:H992"/>
    <mergeCell ref="J992:K992"/>
    <mergeCell ref="S992:T992"/>
    <mergeCell ref="U992:V992"/>
    <mergeCell ref="D993:E993"/>
    <mergeCell ref="G993:H993"/>
    <mergeCell ref="J993:K993"/>
    <mergeCell ref="S993:T993"/>
    <mergeCell ref="U993:V993"/>
    <mergeCell ref="D994:E994"/>
    <mergeCell ref="G994:H994"/>
    <mergeCell ref="J994:K994"/>
    <mergeCell ref="S994:T994"/>
    <mergeCell ref="U994:V994"/>
    <mergeCell ref="D995:E995"/>
    <mergeCell ref="G995:H995"/>
    <mergeCell ref="J995:K995"/>
    <mergeCell ref="S995:T995"/>
    <mergeCell ref="U995:V995"/>
    <mergeCell ref="D999:E999"/>
    <mergeCell ref="G999:H999"/>
    <mergeCell ref="J999:K999"/>
    <mergeCell ref="D1000:E1000"/>
    <mergeCell ref="G1000:H1000"/>
    <mergeCell ref="J1000:K1000"/>
    <mergeCell ref="D1001:E1001"/>
    <mergeCell ref="G1001:H1001"/>
    <mergeCell ref="J1001:K1001"/>
    <mergeCell ref="G1005:H1005"/>
    <mergeCell ref="J1005:K1005"/>
    <mergeCell ref="S1005:T1005"/>
    <mergeCell ref="U1005:V1005"/>
    <mergeCell ref="W1005:X1005"/>
    <mergeCell ref="Y995:Z995"/>
    <mergeCell ref="D996:E996"/>
    <mergeCell ref="G996:H996"/>
    <mergeCell ref="J996:K996"/>
    <mergeCell ref="S996:T996"/>
    <mergeCell ref="U996:V996"/>
    <mergeCell ref="D997:E997"/>
    <mergeCell ref="G997:H997"/>
    <mergeCell ref="J997:K997"/>
    <mergeCell ref="S997:T997"/>
    <mergeCell ref="U997:V997"/>
    <mergeCell ref="D998:E998"/>
    <mergeCell ref="G998:H998"/>
    <mergeCell ref="J998:K998"/>
    <mergeCell ref="S998:T998"/>
    <mergeCell ref="U998:V998"/>
    <mergeCell ref="D1009:E1009"/>
    <mergeCell ref="G1009:H1009"/>
    <mergeCell ref="D1006:E1006"/>
    <mergeCell ref="G1006:H1006"/>
    <mergeCell ref="G1012:H1012"/>
    <mergeCell ref="J1012:K1012"/>
    <mergeCell ref="S1012:T1012"/>
    <mergeCell ref="U1012:V1012"/>
    <mergeCell ref="D1007:E1007"/>
    <mergeCell ref="S1007:T1007"/>
    <mergeCell ref="U1007:V1007"/>
    <mergeCell ref="D1008:E1008"/>
    <mergeCell ref="G1008:H1008"/>
    <mergeCell ref="J1008:K1008"/>
    <mergeCell ref="S1008:T1008"/>
    <mergeCell ref="U1008:V1008"/>
    <mergeCell ref="Y1004:Z1004"/>
    <mergeCell ref="D1005:E1005"/>
    <mergeCell ref="J1006:K1006"/>
    <mergeCell ref="S1006:T1006"/>
    <mergeCell ref="U1006:V1006"/>
    <mergeCell ref="G1007:H1007"/>
    <mergeCell ref="J1007:K1007"/>
    <mergeCell ref="Y1009:Z1009"/>
    <mergeCell ref="W1011:X1011"/>
    <mergeCell ref="Y992:Z992"/>
    <mergeCell ref="W994:X994"/>
    <mergeCell ref="Y997:Z997"/>
    <mergeCell ref="D1004:E1004"/>
    <mergeCell ref="C1003:E1003"/>
    <mergeCell ref="F1003:N1003"/>
    <mergeCell ref="R1003:Z1003"/>
    <mergeCell ref="F1004:H1004"/>
    <mergeCell ref="I1004:K1004"/>
    <mergeCell ref="S1004:T1004"/>
    <mergeCell ref="U1004:V1004"/>
    <mergeCell ref="W1004:X1004"/>
    <mergeCell ref="Y1014:Z1014"/>
    <mergeCell ref="C1020:E1020"/>
    <mergeCell ref="F1020:N1020"/>
    <mergeCell ref="R1020:Z1020"/>
    <mergeCell ref="J1009:K1009"/>
    <mergeCell ref="S1009:T1009"/>
    <mergeCell ref="U1009:V1009"/>
    <mergeCell ref="D1010:E1010"/>
    <mergeCell ref="G1010:H1010"/>
    <mergeCell ref="J1010:K1010"/>
    <mergeCell ref="S1010:T1010"/>
    <mergeCell ref="U1010:V1010"/>
    <mergeCell ref="D1011:E1011"/>
    <mergeCell ref="G1011:H1011"/>
    <mergeCell ref="J1011:K1011"/>
    <mergeCell ref="S1011:T1011"/>
    <mergeCell ref="U1011:V1011"/>
    <mergeCell ref="D1012:E1012"/>
    <mergeCell ref="D1016:E1016"/>
    <mergeCell ref="G1016:H1016"/>
    <mergeCell ref="J1016:K1016"/>
    <mergeCell ref="D1017:E1017"/>
    <mergeCell ref="G1017:H1017"/>
    <mergeCell ref="J1017:K1017"/>
    <mergeCell ref="D1018:E1018"/>
    <mergeCell ref="G1018:H1018"/>
    <mergeCell ref="J1018:K1018"/>
    <mergeCell ref="Y1012:Z1012"/>
    <mergeCell ref="D1013:E1013"/>
    <mergeCell ref="G1013:H1013"/>
    <mergeCell ref="J1013:K1013"/>
    <mergeCell ref="S1013:T1013"/>
    <mergeCell ref="F1021:H1021"/>
    <mergeCell ref="I1021:K1021"/>
    <mergeCell ref="S1021:T1021"/>
    <mergeCell ref="U1021:V1021"/>
    <mergeCell ref="W1021:X1021"/>
    <mergeCell ref="Y1021:Z1021"/>
    <mergeCell ref="U1013:V1013"/>
    <mergeCell ref="D1014:E1014"/>
    <mergeCell ref="G1014:H1014"/>
    <mergeCell ref="J1014:K1014"/>
    <mergeCell ref="S1014:T1014"/>
    <mergeCell ref="U1014:V1014"/>
    <mergeCell ref="D1015:E1015"/>
    <mergeCell ref="G1015:H1015"/>
    <mergeCell ref="J1015:K1015"/>
    <mergeCell ref="S1015:T1015"/>
    <mergeCell ref="U1015:V1015"/>
    <mergeCell ref="D1022:E1022"/>
    <mergeCell ref="G1022:H1022"/>
    <mergeCell ref="J1022:K1022"/>
    <mergeCell ref="S1022:T1022"/>
    <mergeCell ref="U1022:V1022"/>
    <mergeCell ref="W1022:X1022"/>
    <mergeCell ref="D1023:E1023"/>
    <mergeCell ref="G1023:H1023"/>
    <mergeCell ref="J1023:K1023"/>
    <mergeCell ref="S1023:T1023"/>
    <mergeCell ref="U1023:V1023"/>
    <mergeCell ref="D1021:E1021"/>
    <mergeCell ref="D1024:E1024"/>
    <mergeCell ref="G1024:H1024"/>
    <mergeCell ref="J1024:K1024"/>
    <mergeCell ref="S1024:T1024"/>
    <mergeCell ref="U1024:V1024"/>
    <mergeCell ref="D1025:E1025"/>
    <mergeCell ref="G1025:H1025"/>
    <mergeCell ref="J1025:K1025"/>
    <mergeCell ref="S1025:T1025"/>
    <mergeCell ref="U1025:V1025"/>
    <mergeCell ref="D1026:E1026"/>
    <mergeCell ref="G1026:H1026"/>
    <mergeCell ref="J1026:K1026"/>
    <mergeCell ref="S1026:T1026"/>
    <mergeCell ref="U1026:V1026"/>
    <mergeCell ref="Y1026:Z1026"/>
    <mergeCell ref="D1027:E1027"/>
    <mergeCell ref="G1027:H1027"/>
    <mergeCell ref="J1027:K1027"/>
    <mergeCell ref="S1027:T1027"/>
    <mergeCell ref="U1027:V1027"/>
    <mergeCell ref="D1028:E1028"/>
    <mergeCell ref="G1028:H1028"/>
    <mergeCell ref="J1028:K1028"/>
    <mergeCell ref="S1028:T1028"/>
    <mergeCell ref="U1028:V1028"/>
    <mergeCell ref="W1028:X1028"/>
    <mergeCell ref="D1029:E1029"/>
    <mergeCell ref="G1029:H1029"/>
    <mergeCell ref="J1029:K1029"/>
    <mergeCell ref="S1029:T1029"/>
    <mergeCell ref="U1029:V1029"/>
    <mergeCell ref="Y1029:Z1029"/>
    <mergeCell ref="D1030:E1030"/>
    <mergeCell ref="G1030:H1030"/>
    <mergeCell ref="J1030:K1030"/>
    <mergeCell ref="S1030:T1030"/>
    <mergeCell ref="U1030:V1030"/>
    <mergeCell ref="D1031:E1031"/>
    <mergeCell ref="G1031:H1031"/>
    <mergeCell ref="J1031:K1031"/>
    <mergeCell ref="S1031:T1031"/>
    <mergeCell ref="U1031:V1031"/>
    <mergeCell ref="Y1031:Z1031"/>
    <mergeCell ref="D1032:E1032"/>
    <mergeCell ref="G1032:H1032"/>
    <mergeCell ref="J1032:K1032"/>
    <mergeCell ref="S1032:T1032"/>
    <mergeCell ref="U1032:V1032"/>
    <mergeCell ref="D1033:E1033"/>
    <mergeCell ref="G1033:H1033"/>
    <mergeCell ref="J1033:K1033"/>
    <mergeCell ref="D1034:E1034"/>
    <mergeCell ref="G1034:H1034"/>
    <mergeCell ref="J1034:K1034"/>
    <mergeCell ref="D1035:E1035"/>
    <mergeCell ref="G1035:H1035"/>
    <mergeCell ref="J1035:K1035"/>
    <mergeCell ref="C1037:E1037"/>
    <mergeCell ref="F1037:N1037"/>
    <mergeCell ref="R1037:Z1037"/>
    <mergeCell ref="D1038:E1038"/>
    <mergeCell ref="F1038:H1038"/>
    <mergeCell ref="I1038:K1038"/>
    <mergeCell ref="S1038:T1038"/>
    <mergeCell ref="U1038:V1038"/>
    <mergeCell ref="W1038:X1038"/>
    <mergeCell ref="Y1038:Z1038"/>
    <mergeCell ref="D1039:E1039"/>
    <mergeCell ref="G1039:H1039"/>
    <mergeCell ref="J1039:K1039"/>
    <mergeCell ref="S1039:T1039"/>
    <mergeCell ref="U1039:V1039"/>
    <mergeCell ref="W1039:X1039"/>
    <mergeCell ref="D1040:E1040"/>
    <mergeCell ref="G1040:H1040"/>
    <mergeCell ref="J1040:K1040"/>
    <mergeCell ref="S1040:T1040"/>
    <mergeCell ref="U1040:V1040"/>
    <mergeCell ref="D1041:E1041"/>
    <mergeCell ref="G1041:H1041"/>
    <mergeCell ref="J1041:K1041"/>
    <mergeCell ref="S1041:T1041"/>
    <mergeCell ref="U1041:V1041"/>
    <mergeCell ref="D1042:E1042"/>
    <mergeCell ref="G1042:H1042"/>
    <mergeCell ref="J1042:K1042"/>
    <mergeCell ref="S1042:T1042"/>
    <mergeCell ref="U1042:V1042"/>
    <mergeCell ref="D1043:E1043"/>
    <mergeCell ref="G1043:H1043"/>
    <mergeCell ref="J1043:K1043"/>
    <mergeCell ref="S1043:T1043"/>
    <mergeCell ref="U1043:V1043"/>
    <mergeCell ref="Y1043:Z1043"/>
    <mergeCell ref="D1044:E1044"/>
    <mergeCell ref="G1044:H1044"/>
    <mergeCell ref="J1044:K1044"/>
    <mergeCell ref="S1044:T1044"/>
    <mergeCell ref="U1044:V1044"/>
    <mergeCell ref="D1045:E1045"/>
    <mergeCell ref="G1045:H1045"/>
    <mergeCell ref="J1045:K1045"/>
    <mergeCell ref="S1045:T1045"/>
    <mergeCell ref="U1045:V1045"/>
    <mergeCell ref="W1045:X1045"/>
    <mergeCell ref="D1046:E1046"/>
    <mergeCell ref="G1046:H1046"/>
    <mergeCell ref="J1046:K1046"/>
    <mergeCell ref="S1046:T1046"/>
    <mergeCell ref="U1046:V1046"/>
    <mergeCell ref="Y1046:Z1046"/>
    <mergeCell ref="D1047:E1047"/>
    <mergeCell ref="G1047:H1047"/>
    <mergeCell ref="J1047:K1047"/>
    <mergeCell ref="S1047:T1047"/>
    <mergeCell ref="U1047:V1047"/>
    <mergeCell ref="D1048:E1048"/>
    <mergeCell ref="G1048:H1048"/>
    <mergeCell ref="J1048:K1048"/>
    <mergeCell ref="S1048:T1048"/>
    <mergeCell ref="U1048:V1048"/>
    <mergeCell ref="Y1048:Z1048"/>
    <mergeCell ref="D1049:E1049"/>
    <mergeCell ref="G1049:H1049"/>
    <mergeCell ref="J1049:K1049"/>
    <mergeCell ref="S1049:T1049"/>
    <mergeCell ref="U1049:V1049"/>
    <mergeCell ref="D1050:E1050"/>
    <mergeCell ref="G1050:H1050"/>
    <mergeCell ref="J1050:K1050"/>
    <mergeCell ref="D1051:E1051"/>
    <mergeCell ref="G1051:H1051"/>
    <mergeCell ref="J1051:K1051"/>
    <mergeCell ref="D1052:E1052"/>
    <mergeCell ref="G1052:H1052"/>
    <mergeCell ref="J1052:K1052"/>
    <mergeCell ref="C1054:E1054"/>
    <mergeCell ref="F1054:N1054"/>
    <mergeCell ref="R1054:Z1054"/>
    <mergeCell ref="D1055:E1055"/>
    <mergeCell ref="F1055:H1055"/>
    <mergeCell ref="I1055:K1055"/>
    <mergeCell ref="S1055:T1055"/>
    <mergeCell ref="U1055:V1055"/>
    <mergeCell ref="W1055:X1055"/>
    <mergeCell ref="Y1055:Z1055"/>
    <mergeCell ref="D1056:E1056"/>
    <mergeCell ref="G1056:H1056"/>
    <mergeCell ref="J1056:K1056"/>
    <mergeCell ref="S1056:T1056"/>
    <mergeCell ref="U1056:V1056"/>
    <mergeCell ref="W1056:X1056"/>
    <mergeCell ref="D1057:E1057"/>
    <mergeCell ref="G1057:H1057"/>
    <mergeCell ref="J1057:K1057"/>
    <mergeCell ref="S1057:T1057"/>
    <mergeCell ref="U1057:V1057"/>
    <mergeCell ref="D1058:E1058"/>
    <mergeCell ref="G1058:H1058"/>
    <mergeCell ref="J1058:K1058"/>
    <mergeCell ref="S1058:T1058"/>
    <mergeCell ref="U1058:V1058"/>
    <mergeCell ref="D1059:E1059"/>
    <mergeCell ref="G1059:H1059"/>
    <mergeCell ref="J1059:K1059"/>
    <mergeCell ref="S1059:T1059"/>
    <mergeCell ref="U1059:V1059"/>
    <mergeCell ref="D1060:E1060"/>
    <mergeCell ref="G1060:H1060"/>
    <mergeCell ref="J1060:K1060"/>
    <mergeCell ref="S1060:T1060"/>
    <mergeCell ref="U1060:V1060"/>
    <mergeCell ref="Y1060:Z1060"/>
    <mergeCell ref="D1061:E1061"/>
    <mergeCell ref="G1061:H1061"/>
    <mergeCell ref="J1061:K1061"/>
    <mergeCell ref="S1061:T1061"/>
    <mergeCell ref="U1061:V1061"/>
    <mergeCell ref="D1062:E1062"/>
    <mergeCell ref="G1062:H1062"/>
    <mergeCell ref="J1062:K1062"/>
    <mergeCell ref="S1062:T1062"/>
    <mergeCell ref="U1062:V1062"/>
    <mergeCell ref="W1062:X1062"/>
    <mergeCell ref="D1063:E1063"/>
    <mergeCell ref="G1063:H1063"/>
    <mergeCell ref="J1063:K1063"/>
    <mergeCell ref="S1063:T1063"/>
    <mergeCell ref="U1063:V1063"/>
    <mergeCell ref="Y1063:Z1063"/>
    <mergeCell ref="D1064:E1064"/>
    <mergeCell ref="G1064:H1064"/>
    <mergeCell ref="J1064:K1064"/>
    <mergeCell ref="S1064:T1064"/>
    <mergeCell ref="U1064:V1064"/>
    <mergeCell ref="D1065:E1065"/>
    <mergeCell ref="G1065:H1065"/>
    <mergeCell ref="J1065:K1065"/>
    <mergeCell ref="S1065:T1065"/>
    <mergeCell ref="U1065:V1065"/>
    <mergeCell ref="Y1065:Z1065"/>
    <mergeCell ref="D1066:E1066"/>
    <mergeCell ref="G1066:H1066"/>
    <mergeCell ref="J1066:K1066"/>
    <mergeCell ref="S1066:T1066"/>
    <mergeCell ref="U1066:V1066"/>
    <mergeCell ref="D1067:E1067"/>
    <mergeCell ref="G1067:H1067"/>
    <mergeCell ref="J1067:K1067"/>
    <mergeCell ref="D1068:E1068"/>
    <mergeCell ref="G1068:H1068"/>
    <mergeCell ref="J1068:K1068"/>
    <mergeCell ref="D1069:E1069"/>
    <mergeCell ref="G1069:H1069"/>
    <mergeCell ref="J1069:K1069"/>
    <mergeCell ref="C1071:E1071"/>
    <mergeCell ref="F1071:N1071"/>
    <mergeCell ref="R1071:Z1071"/>
    <mergeCell ref="D1072:E1072"/>
    <mergeCell ref="F1072:H1072"/>
    <mergeCell ref="I1072:K1072"/>
    <mergeCell ref="S1072:T1072"/>
    <mergeCell ref="U1072:V1072"/>
    <mergeCell ref="W1072:X1072"/>
    <mergeCell ref="Y1072:Z1072"/>
    <mergeCell ref="D1073:E1073"/>
    <mergeCell ref="G1073:H1073"/>
    <mergeCell ref="J1073:K1073"/>
    <mergeCell ref="S1073:T1073"/>
    <mergeCell ref="U1073:V1073"/>
    <mergeCell ref="W1073:X1073"/>
    <mergeCell ref="D1074:E1074"/>
    <mergeCell ref="G1074:H1074"/>
    <mergeCell ref="J1074:K1074"/>
    <mergeCell ref="S1074:T1074"/>
    <mergeCell ref="U1074:V1074"/>
    <mergeCell ref="D1075:E1075"/>
    <mergeCell ref="G1075:H1075"/>
    <mergeCell ref="J1075:K1075"/>
    <mergeCell ref="S1075:T1075"/>
    <mergeCell ref="U1075:V1075"/>
    <mergeCell ref="D1076:E1076"/>
    <mergeCell ref="G1076:H1076"/>
    <mergeCell ref="J1076:K1076"/>
    <mergeCell ref="S1076:T1076"/>
    <mergeCell ref="U1076:V1076"/>
    <mergeCell ref="D1077:E1077"/>
    <mergeCell ref="G1077:H1077"/>
    <mergeCell ref="J1077:K1077"/>
    <mergeCell ref="S1077:T1077"/>
    <mergeCell ref="U1077:V1077"/>
    <mergeCell ref="Y1077:Z1077"/>
    <mergeCell ref="D1078:E1078"/>
    <mergeCell ref="G1078:H1078"/>
    <mergeCell ref="J1078:K1078"/>
    <mergeCell ref="S1078:T1078"/>
    <mergeCell ref="U1078:V1078"/>
    <mergeCell ref="D1079:E1079"/>
    <mergeCell ref="G1079:H1079"/>
    <mergeCell ref="J1079:K1079"/>
    <mergeCell ref="S1079:T1079"/>
    <mergeCell ref="U1079:V1079"/>
    <mergeCell ref="W1079:X1079"/>
    <mergeCell ref="D1080:E1080"/>
    <mergeCell ref="G1080:H1080"/>
    <mergeCell ref="J1080:K1080"/>
    <mergeCell ref="S1080:T1080"/>
    <mergeCell ref="U1080:V1080"/>
    <mergeCell ref="Y1080:Z1080"/>
    <mergeCell ref="D1081:E1081"/>
    <mergeCell ref="G1081:H1081"/>
    <mergeCell ref="J1081:K1081"/>
    <mergeCell ref="S1081:T1081"/>
    <mergeCell ref="U1081:V1081"/>
    <mergeCell ref="D1082:E1082"/>
    <mergeCell ref="G1082:H1082"/>
    <mergeCell ref="J1082:K1082"/>
    <mergeCell ref="S1082:T1082"/>
    <mergeCell ref="U1082:V1082"/>
    <mergeCell ref="Y1082:Z1082"/>
    <mergeCell ref="D1083:E1083"/>
    <mergeCell ref="G1083:H1083"/>
    <mergeCell ref="J1083:K1083"/>
    <mergeCell ref="S1083:T1083"/>
    <mergeCell ref="U1083:V1083"/>
    <mergeCell ref="D1084:E1084"/>
    <mergeCell ref="G1084:H1084"/>
    <mergeCell ref="J1084:K1084"/>
    <mergeCell ref="D1085:E1085"/>
    <mergeCell ref="G1085:H1085"/>
    <mergeCell ref="J1085:K1085"/>
    <mergeCell ref="D1086:E1086"/>
    <mergeCell ref="G1086:H1086"/>
    <mergeCell ref="J1086:K1086"/>
    <mergeCell ref="C1088:E1088"/>
    <mergeCell ref="F1088:N1088"/>
    <mergeCell ref="R1088:Z1088"/>
    <mergeCell ref="D1089:E1089"/>
    <mergeCell ref="F1089:H1089"/>
    <mergeCell ref="I1089:K1089"/>
    <mergeCell ref="S1089:T1089"/>
    <mergeCell ref="U1089:V1089"/>
    <mergeCell ref="W1089:X1089"/>
    <mergeCell ref="Y1089:Z1089"/>
    <mergeCell ref="D1090:E1090"/>
    <mergeCell ref="G1090:H1090"/>
    <mergeCell ref="J1090:K1090"/>
    <mergeCell ref="S1090:T1090"/>
    <mergeCell ref="U1090:V1090"/>
    <mergeCell ref="W1090:X1090"/>
    <mergeCell ref="D1091:E1091"/>
    <mergeCell ref="G1091:H1091"/>
    <mergeCell ref="J1091:K1091"/>
    <mergeCell ref="S1091:T1091"/>
    <mergeCell ref="U1091:V1091"/>
    <mergeCell ref="D1092:E1092"/>
    <mergeCell ref="G1092:H1092"/>
    <mergeCell ref="J1092:K1092"/>
    <mergeCell ref="S1092:T1092"/>
    <mergeCell ref="U1092:V1092"/>
    <mergeCell ref="D1093:E1093"/>
    <mergeCell ref="G1093:H1093"/>
    <mergeCell ref="J1093:K1093"/>
    <mergeCell ref="S1093:T1093"/>
    <mergeCell ref="U1093:V1093"/>
    <mergeCell ref="D1094:E1094"/>
    <mergeCell ref="G1094:H1094"/>
    <mergeCell ref="J1094:K1094"/>
    <mergeCell ref="S1094:T1094"/>
    <mergeCell ref="U1094:V1094"/>
    <mergeCell ref="Y1094:Z1094"/>
    <mergeCell ref="D1095:E1095"/>
    <mergeCell ref="G1095:H1095"/>
    <mergeCell ref="J1095:K1095"/>
    <mergeCell ref="S1095:T1095"/>
    <mergeCell ref="U1095:V1095"/>
    <mergeCell ref="D1096:E1096"/>
    <mergeCell ref="G1096:H1096"/>
    <mergeCell ref="J1096:K1096"/>
    <mergeCell ref="S1096:T1096"/>
    <mergeCell ref="U1096:V1096"/>
    <mergeCell ref="W1096:X1096"/>
    <mergeCell ref="D1097:E1097"/>
    <mergeCell ref="G1097:H1097"/>
    <mergeCell ref="J1097:K1097"/>
    <mergeCell ref="S1097:T1097"/>
    <mergeCell ref="U1097:V1097"/>
    <mergeCell ref="Y1097:Z1097"/>
    <mergeCell ref="D1098:E1098"/>
    <mergeCell ref="G1098:H1098"/>
    <mergeCell ref="J1098:K1098"/>
    <mergeCell ref="S1098:T1098"/>
    <mergeCell ref="U1098:V1098"/>
    <mergeCell ref="D1099:E1099"/>
    <mergeCell ref="G1099:H1099"/>
    <mergeCell ref="J1099:K1099"/>
    <mergeCell ref="S1099:T1099"/>
    <mergeCell ref="U1099:V1099"/>
    <mergeCell ref="Y1099:Z1099"/>
    <mergeCell ref="D1100:E1100"/>
    <mergeCell ref="G1100:H1100"/>
    <mergeCell ref="J1100:K1100"/>
    <mergeCell ref="S1100:T1100"/>
    <mergeCell ref="U1100:V1100"/>
    <mergeCell ref="D1101:E1101"/>
    <mergeCell ref="G1101:H1101"/>
    <mergeCell ref="J1101:K1101"/>
    <mergeCell ref="D1102:E1102"/>
    <mergeCell ref="G1102:H1102"/>
    <mergeCell ref="J1102:K1102"/>
    <mergeCell ref="D1103:E1103"/>
    <mergeCell ref="G1103:H1103"/>
    <mergeCell ref="J1103:K1103"/>
    <mergeCell ref="C1105:E1105"/>
    <mergeCell ref="F1105:N1105"/>
    <mergeCell ref="R1105:Z1105"/>
    <mergeCell ref="D1106:E1106"/>
    <mergeCell ref="F1106:H1106"/>
    <mergeCell ref="I1106:K1106"/>
    <mergeCell ref="S1106:T1106"/>
    <mergeCell ref="U1106:V1106"/>
    <mergeCell ref="W1106:X1106"/>
    <mergeCell ref="Y1106:Z1106"/>
    <mergeCell ref="D1107:E1107"/>
    <mergeCell ref="G1107:H1107"/>
    <mergeCell ref="J1107:K1107"/>
    <mergeCell ref="S1107:T1107"/>
    <mergeCell ref="U1107:V1107"/>
    <mergeCell ref="W1107:X1107"/>
    <mergeCell ref="D1108:E1108"/>
    <mergeCell ref="G1108:H1108"/>
    <mergeCell ref="J1108:K1108"/>
    <mergeCell ref="S1108:T1108"/>
    <mergeCell ref="U1108:V1108"/>
    <mergeCell ref="D1109:E1109"/>
    <mergeCell ref="G1109:H1109"/>
    <mergeCell ref="J1109:K1109"/>
    <mergeCell ref="S1109:T1109"/>
    <mergeCell ref="U1109:V1109"/>
    <mergeCell ref="D1110:E1110"/>
    <mergeCell ref="G1110:H1110"/>
    <mergeCell ref="J1110:K1110"/>
    <mergeCell ref="S1110:T1110"/>
    <mergeCell ref="U1110:V1110"/>
    <mergeCell ref="D1111:E1111"/>
    <mergeCell ref="G1111:H1111"/>
    <mergeCell ref="J1111:K1111"/>
    <mergeCell ref="S1111:T1111"/>
    <mergeCell ref="U1111:V1111"/>
    <mergeCell ref="Y1111:Z1111"/>
    <mergeCell ref="D1112:E1112"/>
    <mergeCell ref="G1112:H1112"/>
    <mergeCell ref="J1112:K1112"/>
    <mergeCell ref="S1112:T1112"/>
    <mergeCell ref="U1112:V1112"/>
    <mergeCell ref="D1113:E1113"/>
    <mergeCell ref="G1113:H1113"/>
    <mergeCell ref="J1113:K1113"/>
    <mergeCell ref="S1113:T1113"/>
    <mergeCell ref="U1113:V1113"/>
    <mergeCell ref="W1113:X1113"/>
    <mergeCell ref="D1114:E1114"/>
    <mergeCell ref="G1114:H1114"/>
    <mergeCell ref="J1114:K1114"/>
    <mergeCell ref="S1114:T1114"/>
    <mergeCell ref="U1114:V1114"/>
    <mergeCell ref="Y1114:Z1114"/>
    <mergeCell ref="D1115:E1115"/>
    <mergeCell ref="G1115:H1115"/>
    <mergeCell ref="J1115:K1115"/>
    <mergeCell ref="S1115:T1115"/>
    <mergeCell ref="U1115:V1115"/>
    <mergeCell ref="D1116:E1116"/>
    <mergeCell ref="G1116:H1116"/>
    <mergeCell ref="J1116:K1116"/>
    <mergeCell ref="S1116:T1116"/>
    <mergeCell ref="U1116:V1116"/>
    <mergeCell ref="Y1116:Z1116"/>
    <mergeCell ref="D1117:E1117"/>
    <mergeCell ref="G1117:H1117"/>
    <mergeCell ref="J1117:K1117"/>
    <mergeCell ref="S1117:T1117"/>
    <mergeCell ref="U1117:V1117"/>
    <mergeCell ref="D1118:E1118"/>
    <mergeCell ref="G1118:H1118"/>
    <mergeCell ref="J1118:K1118"/>
    <mergeCell ref="D1119:E1119"/>
    <mergeCell ref="G1119:H1119"/>
    <mergeCell ref="J1119:K1119"/>
    <mergeCell ref="D1120:E1120"/>
    <mergeCell ref="G1120:H1120"/>
    <mergeCell ref="J1120:K1120"/>
    <mergeCell ref="C1122:E1122"/>
    <mergeCell ref="F1122:N1122"/>
    <mergeCell ref="R1122:Z1122"/>
    <mergeCell ref="D1123:E1123"/>
    <mergeCell ref="F1123:H1123"/>
    <mergeCell ref="I1123:K1123"/>
    <mergeCell ref="S1123:T1123"/>
    <mergeCell ref="U1123:V1123"/>
    <mergeCell ref="W1123:X1123"/>
    <mergeCell ref="Y1123:Z1123"/>
    <mergeCell ref="D1124:E1124"/>
    <mergeCell ref="G1124:H1124"/>
    <mergeCell ref="J1124:K1124"/>
    <mergeCell ref="S1124:T1124"/>
    <mergeCell ref="U1124:V1124"/>
    <mergeCell ref="W1124:X1124"/>
    <mergeCell ref="D1125:E1125"/>
    <mergeCell ref="G1125:H1125"/>
    <mergeCell ref="J1125:K1125"/>
    <mergeCell ref="S1125:T1125"/>
    <mergeCell ref="U1125:V1125"/>
    <mergeCell ref="D1126:E1126"/>
    <mergeCell ref="G1126:H1126"/>
    <mergeCell ref="J1126:K1126"/>
    <mergeCell ref="S1126:T1126"/>
    <mergeCell ref="U1126:V1126"/>
    <mergeCell ref="D1127:E1127"/>
    <mergeCell ref="G1127:H1127"/>
    <mergeCell ref="J1127:K1127"/>
    <mergeCell ref="S1127:T1127"/>
    <mergeCell ref="U1127:V1127"/>
    <mergeCell ref="D1128:E1128"/>
    <mergeCell ref="G1128:H1128"/>
    <mergeCell ref="J1128:K1128"/>
    <mergeCell ref="S1128:T1128"/>
    <mergeCell ref="U1128:V1128"/>
    <mergeCell ref="Y1128:Z1128"/>
    <mergeCell ref="D1129:E1129"/>
    <mergeCell ref="G1129:H1129"/>
    <mergeCell ref="J1129:K1129"/>
    <mergeCell ref="S1129:T1129"/>
    <mergeCell ref="U1129:V1129"/>
    <mergeCell ref="D1130:E1130"/>
    <mergeCell ref="G1130:H1130"/>
    <mergeCell ref="J1130:K1130"/>
    <mergeCell ref="S1130:T1130"/>
    <mergeCell ref="U1130:V1130"/>
    <mergeCell ref="W1130:X1130"/>
    <mergeCell ref="D1131:E1131"/>
    <mergeCell ref="G1131:H1131"/>
    <mergeCell ref="J1131:K1131"/>
    <mergeCell ref="S1131:T1131"/>
    <mergeCell ref="U1131:V1131"/>
    <mergeCell ref="Y1131:Z1131"/>
    <mergeCell ref="D1132:E1132"/>
    <mergeCell ref="G1132:H1132"/>
    <mergeCell ref="J1132:K1132"/>
    <mergeCell ref="S1132:T1132"/>
    <mergeCell ref="U1132:V1132"/>
    <mergeCell ref="D1133:E1133"/>
    <mergeCell ref="G1133:H1133"/>
    <mergeCell ref="J1133:K1133"/>
    <mergeCell ref="S1133:T1133"/>
    <mergeCell ref="U1133:V1133"/>
    <mergeCell ref="Y1133:Z1133"/>
    <mergeCell ref="D1134:E1134"/>
    <mergeCell ref="G1134:H1134"/>
    <mergeCell ref="J1134:K1134"/>
    <mergeCell ref="S1134:T1134"/>
    <mergeCell ref="U1134:V1134"/>
    <mergeCell ref="D1135:E1135"/>
    <mergeCell ref="G1135:H1135"/>
    <mergeCell ref="J1135:K1135"/>
    <mergeCell ref="D1136:E1136"/>
    <mergeCell ref="G1136:H1136"/>
    <mergeCell ref="J1136:K1136"/>
    <mergeCell ref="D1137:E1137"/>
    <mergeCell ref="G1137:H1137"/>
    <mergeCell ref="J1137:K1137"/>
    <mergeCell ref="C1139:E1139"/>
    <mergeCell ref="F1139:N1139"/>
    <mergeCell ref="R1139:Z1139"/>
    <mergeCell ref="D1140:E1140"/>
    <mergeCell ref="F1140:H1140"/>
    <mergeCell ref="I1140:K1140"/>
    <mergeCell ref="S1140:T1140"/>
    <mergeCell ref="U1140:V1140"/>
    <mergeCell ref="W1140:X1140"/>
    <mergeCell ref="Y1140:Z1140"/>
    <mergeCell ref="D1141:E1141"/>
    <mergeCell ref="G1141:H1141"/>
    <mergeCell ref="J1141:K1141"/>
    <mergeCell ref="S1141:T1141"/>
    <mergeCell ref="U1141:V1141"/>
    <mergeCell ref="W1141:X1141"/>
    <mergeCell ref="D1142:E1142"/>
    <mergeCell ref="G1142:H1142"/>
    <mergeCell ref="J1142:K1142"/>
    <mergeCell ref="S1142:T1142"/>
    <mergeCell ref="U1142:V1142"/>
    <mergeCell ref="D1143:E1143"/>
    <mergeCell ref="G1143:H1143"/>
    <mergeCell ref="J1143:K1143"/>
    <mergeCell ref="S1143:T1143"/>
    <mergeCell ref="U1143:V1143"/>
    <mergeCell ref="D1144:E1144"/>
    <mergeCell ref="G1144:H1144"/>
    <mergeCell ref="J1144:K1144"/>
    <mergeCell ref="S1144:T1144"/>
    <mergeCell ref="U1144:V1144"/>
    <mergeCell ref="D1145:E1145"/>
    <mergeCell ref="G1145:H1145"/>
    <mergeCell ref="J1145:K1145"/>
    <mergeCell ref="S1145:T1145"/>
    <mergeCell ref="U1145:V1145"/>
    <mergeCell ref="Y1145:Z1145"/>
    <mergeCell ref="D1146:E1146"/>
    <mergeCell ref="G1146:H1146"/>
    <mergeCell ref="J1146:K1146"/>
    <mergeCell ref="S1146:T1146"/>
    <mergeCell ref="U1146:V1146"/>
    <mergeCell ref="D1147:E1147"/>
    <mergeCell ref="G1147:H1147"/>
    <mergeCell ref="J1147:K1147"/>
    <mergeCell ref="S1147:T1147"/>
    <mergeCell ref="U1147:V1147"/>
    <mergeCell ref="W1147:X1147"/>
    <mergeCell ref="D1148:E1148"/>
    <mergeCell ref="G1148:H1148"/>
    <mergeCell ref="J1148:K1148"/>
    <mergeCell ref="S1148:T1148"/>
    <mergeCell ref="U1148:V1148"/>
    <mergeCell ref="Y1148:Z1148"/>
    <mergeCell ref="D1149:E1149"/>
    <mergeCell ref="G1149:H1149"/>
    <mergeCell ref="J1149:K1149"/>
    <mergeCell ref="S1149:T1149"/>
    <mergeCell ref="U1149:V1149"/>
    <mergeCell ref="D1150:E1150"/>
    <mergeCell ref="G1150:H1150"/>
    <mergeCell ref="J1150:K1150"/>
    <mergeCell ref="S1150:T1150"/>
    <mergeCell ref="U1150:V1150"/>
    <mergeCell ref="Y1150:Z1150"/>
    <mergeCell ref="D1151:E1151"/>
    <mergeCell ref="G1151:H1151"/>
    <mergeCell ref="J1151:K1151"/>
    <mergeCell ref="S1151:T1151"/>
    <mergeCell ref="U1151:V1151"/>
    <mergeCell ref="D1152:E1152"/>
    <mergeCell ref="G1152:H1152"/>
    <mergeCell ref="J1152:K1152"/>
    <mergeCell ref="D1153:E1153"/>
    <mergeCell ref="G1153:H1153"/>
    <mergeCell ref="J1153:K1153"/>
    <mergeCell ref="D1154:E1154"/>
    <mergeCell ref="G1154:H1154"/>
    <mergeCell ref="J1154:K1154"/>
    <mergeCell ref="C1156:E1156"/>
    <mergeCell ref="F1156:N1156"/>
    <mergeCell ref="R1156:Z1156"/>
    <mergeCell ref="D1157:E1157"/>
    <mergeCell ref="F1157:H1157"/>
    <mergeCell ref="I1157:K1157"/>
    <mergeCell ref="S1157:T1157"/>
    <mergeCell ref="U1157:V1157"/>
    <mergeCell ref="W1157:X1157"/>
    <mergeCell ref="Y1157:Z1157"/>
    <mergeCell ref="D1158:E1158"/>
    <mergeCell ref="G1158:H1158"/>
    <mergeCell ref="J1158:K1158"/>
    <mergeCell ref="S1158:T1158"/>
    <mergeCell ref="U1158:V1158"/>
    <mergeCell ref="W1158:X1158"/>
    <mergeCell ref="D1159:E1159"/>
    <mergeCell ref="G1159:H1159"/>
    <mergeCell ref="J1159:K1159"/>
    <mergeCell ref="S1159:T1159"/>
    <mergeCell ref="U1159:V1159"/>
    <mergeCell ref="D1160:E1160"/>
    <mergeCell ref="G1160:H1160"/>
    <mergeCell ref="J1160:K1160"/>
    <mergeCell ref="S1160:T1160"/>
    <mergeCell ref="U1160:V1160"/>
    <mergeCell ref="D1161:E1161"/>
    <mergeCell ref="G1161:H1161"/>
    <mergeCell ref="J1161:K1161"/>
    <mergeCell ref="S1161:T1161"/>
    <mergeCell ref="U1161:V1161"/>
    <mergeCell ref="D1162:E1162"/>
    <mergeCell ref="G1162:H1162"/>
    <mergeCell ref="J1162:K1162"/>
    <mergeCell ref="S1162:T1162"/>
    <mergeCell ref="U1162:V1162"/>
    <mergeCell ref="Y1162:Z1162"/>
    <mergeCell ref="D1163:E1163"/>
    <mergeCell ref="G1163:H1163"/>
    <mergeCell ref="J1163:K1163"/>
    <mergeCell ref="S1163:T1163"/>
    <mergeCell ref="U1163:V1163"/>
    <mergeCell ref="D1164:E1164"/>
    <mergeCell ref="G1164:H1164"/>
    <mergeCell ref="J1164:K1164"/>
    <mergeCell ref="S1164:T1164"/>
    <mergeCell ref="U1164:V1164"/>
    <mergeCell ref="W1164:X1164"/>
    <mergeCell ref="D1165:E1165"/>
    <mergeCell ref="G1165:H1165"/>
    <mergeCell ref="J1165:K1165"/>
    <mergeCell ref="S1165:T1165"/>
    <mergeCell ref="U1165:V1165"/>
    <mergeCell ref="Y1165:Z1165"/>
    <mergeCell ref="D1166:E1166"/>
    <mergeCell ref="G1166:H1166"/>
    <mergeCell ref="J1166:K1166"/>
    <mergeCell ref="S1166:T1166"/>
    <mergeCell ref="U1166:V1166"/>
    <mergeCell ref="D1167:E1167"/>
    <mergeCell ref="G1167:H1167"/>
    <mergeCell ref="J1167:K1167"/>
    <mergeCell ref="S1167:T1167"/>
    <mergeCell ref="U1167:V1167"/>
    <mergeCell ref="Y1167:Z1167"/>
    <mergeCell ref="D1168:E1168"/>
    <mergeCell ref="G1168:H1168"/>
    <mergeCell ref="J1168:K1168"/>
    <mergeCell ref="S1168:T1168"/>
    <mergeCell ref="U1168:V1168"/>
    <mergeCell ref="D1169:E1169"/>
    <mergeCell ref="G1169:H1169"/>
    <mergeCell ref="J1169:K1169"/>
    <mergeCell ref="D1170:E1170"/>
    <mergeCell ref="G1170:H1170"/>
    <mergeCell ref="J1170:K1170"/>
    <mergeCell ref="D1171:E1171"/>
    <mergeCell ref="G1171:H1171"/>
    <mergeCell ref="J1171:K1171"/>
    <mergeCell ref="C1173:E1173"/>
    <mergeCell ref="F1173:N1173"/>
    <mergeCell ref="R1173:Z1173"/>
    <mergeCell ref="D1174:E1174"/>
    <mergeCell ref="F1174:H1174"/>
    <mergeCell ref="I1174:K1174"/>
    <mergeCell ref="S1174:T1174"/>
    <mergeCell ref="U1174:V1174"/>
    <mergeCell ref="W1174:X1174"/>
    <mergeCell ref="Y1174:Z1174"/>
    <mergeCell ref="D1175:E1175"/>
    <mergeCell ref="G1175:H1175"/>
    <mergeCell ref="J1175:K1175"/>
    <mergeCell ref="S1175:T1175"/>
    <mergeCell ref="U1175:V1175"/>
    <mergeCell ref="W1175:X1175"/>
    <mergeCell ref="D1176:E1176"/>
    <mergeCell ref="G1176:H1176"/>
    <mergeCell ref="J1176:K1176"/>
    <mergeCell ref="S1176:T1176"/>
    <mergeCell ref="U1176:V1176"/>
    <mergeCell ref="D1177:E1177"/>
    <mergeCell ref="G1177:H1177"/>
    <mergeCell ref="J1177:K1177"/>
    <mergeCell ref="S1177:T1177"/>
    <mergeCell ref="U1177:V1177"/>
    <mergeCell ref="D1178:E1178"/>
    <mergeCell ref="G1178:H1178"/>
    <mergeCell ref="J1178:K1178"/>
    <mergeCell ref="S1178:T1178"/>
    <mergeCell ref="U1178:V1178"/>
    <mergeCell ref="D1179:E1179"/>
    <mergeCell ref="G1179:H1179"/>
    <mergeCell ref="J1179:K1179"/>
    <mergeCell ref="S1179:T1179"/>
    <mergeCell ref="U1179:V1179"/>
    <mergeCell ref="Y1179:Z1179"/>
    <mergeCell ref="D1180:E1180"/>
    <mergeCell ref="G1180:H1180"/>
    <mergeCell ref="J1180:K1180"/>
    <mergeCell ref="S1180:T1180"/>
    <mergeCell ref="U1180:V1180"/>
    <mergeCell ref="D1181:E1181"/>
    <mergeCell ref="G1181:H1181"/>
    <mergeCell ref="J1181:K1181"/>
    <mergeCell ref="S1181:T1181"/>
    <mergeCell ref="U1181:V1181"/>
    <mergeCell ref="W1181:X1181"/>
    <mergeCell ref="D1182:E1182"/>
    <mergeCell ref="G1182:H1182"/>
    <mergeCell ref="J1182:K1182"/>
    <mergeCell ref="S1182:T1182"/>
    <mergeCell ref="U1182:V1182"/>
    <mergeCell ref="Y1182:Z1182"/>
    <mergeCell ref="D1183:E1183"/>
    <mergeCell ref="G1183:H1183"/>
    <mergeCell ref="J1183:K1183"/>
    <mergeCell ref="S1183:T1183"/>
    <mergeCell ref="U1183:V1183"/>
    <mergeCell ref="D1184:E1184"/>
    <mergeCell ref="G1184:H1184"/>
    <mergeCell ref="J1184:K1184"/>
    <mergeCell ref="S1184:T1184"/>
    <mergeCell ref="U1184:V1184"/>
    <mergeCell ref="Y1184:Z1184"/>
    <mergeCell ref="D1185:E1185"/>
    <mergeCell ref="G1185:H1185"/>
    <mergeCell ref="J1185:K1185"/>
    <mergeCell ref="S1185:T1185"/>
    <mergeCell ref="U1185:V1185"/>
    <mergeCell ref="D1186:E1186"/>
    <mergeCell ref="G1186:H1186"/>
    <mergeCell ref="J1186:K1186"/>
    <mergeCell ref="D1187:E1187"/>
    <mergeCell ref="G1187:H1187"/>
    <mergeCell ref="J1187:K1187"/>
    <mergeCell ref="D1188:E1188"/>
    <mergeCell ref="G1188:H1188"/>
    <mergeCell ref="J1188:K1188"/>
    <mergeCell ref="C1190:E1190"/>
    <mergeCell ref="F1190:N1190"/>
    <mergeCell ref="R1190:Z1190"/>
    <mergeCell ref="D1191:E1191"/>
    <mergeCell ref="F1191:H1191"/>
    <mergeCell ref="I1191:K1191"/>
    <mergeCell ref="S1191:T1191"/>
    <mergeCell ref="U1191:V1191"/>
    <mergeCell ref="W1191:X1191"/>
    <mergeCell ref="Y1191:Z1191"/>
    <mergeCell ref="D1192:E1192"/>
    <mergeCell ref="G1192:H1192"/>
    <mergeCell ref="J1192:K1192"/>
    <mergeCell ref="S1192:T1192"/>
    <mergeCell ref="U1192:V1192"/>
    <mergeCell ref="W1192:X1192"/>
    <mergeCell ref="D1193:E1193"/>
    <mergeCell ref="G1193:H1193"/>
    <mergeCell ref="J1193:K1193"/>
    <mergeCell ref="S1193:T1193"/>
    <mergeCell ref="U1193:V1193"/>
    <mergeCell ref="D1194:E1194"/>
    <mergeCell ref="G1194:H1194"/>
    <mergeCell ref="J1194:K1194"/>
    <mergeCell ref="S1194:T1194"/>
    <mergeCell ref="U1194:V1194"/>
    <mergeCell ref="D1195:E1195"/>
    <mergeCell ref="G1195:H1195"/>
    <mergeCell ref="J1195:K1195"/>
    <mergeCell ref="S1195:T1195"/>
    <mergeCell ref="U1195:V1195"/>
    <mergeCell ref="D1196:E1196"/>
    <mergeCell ref="G1196:H1196"/>
    <mergeCell ref="J1196:K1196"/>
    <mergeCell ref="S1196:T1196"/>
    <mergeCell ref="U1196:V1196"/>
    <mergeCell ref="Y1196:Z1196"/>
    <mergeCell ref="D1197:E1197"/>
    <mergeCell ref="G1197:H1197"/>
    <mergeCell ref="J1197:K1197"/>
    <mergeCell ref="S1197:T1197"/>
    <mergeCell ref="U1197:V1197"/>
    <mergeCell ref="D1198:E1198"/>
    <mergeCell ref="G1198:H1198"/>
    <mergeCell ref="J1198:K1198"/>
    <mergeCell ref="S1198:T1198"/>
    <mergeCell ref="U1198:V1198"/>
    <mergeCell ref="W1198:X1198"/>
    <mergeCell ref="D1199:E1199"/>
    <mergeCell ref="G1199:H1199"/>
    <mergeCell ref="J1199:K1199"/>
    <mergeCell ref="S1199:T1199"/>
    <mergeCell ref="U1199:V1199"/>
    <mergeCell ref="Y1199:Z1199"/>
    <mergeCell ref="D1200:E1200"/>
    <mergeCell ref="G1200:H1200"/>
    <mergeCell ref="J1200:K1200"/>
    <mergeCell ref="S1200:T1200"/>
    <mergeCell ref="U1200:V1200"/>
    <mergeCell ref="D1201:E1201"/>
    <mergeCell ref="G1201:H1201"/>
    <mergeCell ref="J1201:K1201"/>
    <mergeCell ref="S1201:T1201"/>
    <mergeCell ref="U1201:V1201"/>
    <mergeCell ref="Y1201:Z1201"/>
    <mergeCell ref="D1202:E1202"/>
    <mergeCell ref="G1202:H1202"/>
    <mergeCell ref="J1202:K1202"/>
    <mergeCell ref="S1202:T1202"/>
    <mergeCell ref="U1202:V1202"/>
    <mergeCell ref="D1203:E1203"/>
    <mergeCell ref="G1203:H1203"/>
    <mergeCell ref="J1203:K1203"/>
    <mergeCell ref="D1204:E1204"/>
    <mergeCell ref="G1204:H1204"/>
    <mergeCell ref="J1204:K1204"/>
    <mergeCell ref="D1205:E1205"/>
    <mergeCell ref="G1205:H1205"/>
    <mergeCell ref="J1205:K1205"/>
    <mergeCell ref="C1207:E1207"/>
    <mergeCell ref="F1207:N1207"/>
    <mergeCell ref="R1207:Z1207"/>
    <mergeCell ref="D1208:E1208"/>
    <mergeCell ref="F1208:H1208"/>
    <mergeCell ref="I1208:K1208"/>
    <mergeCell ref="S1208:T1208"/>
    <mergeCell ref="U1208:V1208"/>
    <mergeCell ref="W1208:X1208"/>
    <mergeCell ref="Y1208:Z1208"/>
    <mergeCell ref="D1209:E1209"/>
    <mergeCell ref="G1209:H1209"/>
    <mergeCell ref="J1209:K1209"/>
    <mergeCell ref="S1209:T1209"/>
    <mergeCell ref="U1209:V1209"/>
    <mergeCell ref="W1209:X1209"/>
    <mergeCell ref="D1210:E1210"/>
    <mergeCell ref="G1210:H1210"/>
    <mergeCell ref="J1210:K1210"/>
    <mergeCell ref="S1210:T1210"/>
    <mergeCell ref="U1210:V1210"/>
    <mergeCell ref="D1211:E1211"/>
    <mergeCell ref="G1211:H1211"/>
    <mergeCell ref="J1211:K1211"/>
    <mergeCell ref="S1211:T1211"/>
    <mergeCell ref="U1211:V1211"/>
    <mergeCell ref="D1212:E1212"/>
    <mergeCell ref="G1212:H1212"/>
    <mergeCell ref="J1212:K1212"/>
    <mergeCell ref="S1212:T1212"/>
    <mergeCell ref="U1212:V1212"/>
    <mergeCell ref="D1213:E1213"/>
    <mergeCell ref="G1213:H1213"/>
    <mergeCell ref="J1213:K1213"/>
    <mergeCell ref="S1213:T1213"/>
    <mergeCell ref="U1213:V1213"/>
    <mergeCell ref="Y1213:Z1213"/>
    <mergeCell ref="D1214:E1214"/>
    <mergeCell ref="G1214:H1214"/>
    <mergeCell ref="J1214:K1214"/>
    <mergeCell ref="S1214:T1214"/>
    <mergeCell ref="U1214:V1214"/>
    <mergeCell ref="D1215:E1215"/>
    <mergeCell ref="G1215:H1215"/>
    <mergeCell ref="J1215:K1215"/>
    <mergeCell ref="S1215:T1215"/>
    <mergeCell ref="U1215:V1215"/>
    <mergeCell ref="W1215:X1215"/>
    <mergeCell ref="D1216:E1216"/>
    <mergeCell ref="G1216:H1216"/>
    <mergeCell ref="J1216:K1216"/>
    <mergeCell ref="S1216:T1216"/>
    <mergeCell ref="U1216:V1216"/>
    <mergeCell ref="Y1216:Z1216"/>
    <mergeCell ref="D1217:E1217"/>
    <mergeCell ref="G1217:H1217"/>
    <mergeCell ref="J1217:K1217"/>
    <mergeCell ref="S1217:T1217"/>
    <mergeCell ref="U1217:V1217"/>
    <mergeCell ref="D1218:E1218"/>
    <mergeCell ref="G1218:H1218"/>
    <mergeCell ref="J1218:K1218"/>
    <mergeCell ref="S1218:T1218"/>
    <mergeCell ref="U1218:V1218"/>
    <mergeCell ref="Y1218:Z1218"/>
    <mergeCell ref="D1219:E1219"/>
    <mergeCell ref="G1219:H1219"/>
    <mergeCell ref="J1219:K1219"/>
    <mergeCell ref="S1219:T1219"/>
    <mergeCell ref="U1219:V1219"/>
    <mergeCell ref="D1220:E1220"/>
    <mergeCell ref="G1220:H1220"/>
    <mergeCell ref="J1220:K1220"/>
    <mergeCell ref="D1221:E1221"/>
    <mergeCell ref="G1221:H1221"/>
    <mergeCell ref="J1221:K1221"/>
    <mergeCell ref="D1222:E1222"/>
    <mergeCell ref="G1222:H1222"/>
    <mergeCell ref="J1222:K1222"/>
    <mergeCell ref="C1224:E1224"/>
    <mergeCell ref="F1224:N1224"/>
    <mergeCell ref="R1224:Z1224"/>
    <mergeCell ref="D1225:E1225"/>
    <mergeCell ref="F1225:H1225"/>
    <mergeCell ref="I1225:K1225"/>
    <mergeCell ref="S1225:T1225"/>
    <mergeCell ref="U1225:V1225"/>
    <mergeCell ref="W1225:X1225"/>
    <mergeCell ref="Y1225:Z1225"/>
    <mergeCell ref="D1226:E1226"/>
    <mergeCell ref="G1226:H1226"/>
    <mergeCell ref="J1226:K1226"/>
    <mergeCell ref="S1226:T1226"/>
    <mergeCell ref="U1226:V1226"/>
    <mergeCell ref="W1226:X1226"/>
    <mergeCell ref="D1227:E1227"/>
    <mergeCell ref="G1227:H1227"/>
    <mergeCell ref="J1227:K1227"/>
    <mergeCell ref="S1227:T1227"/>
    <mergeCell ref="U1227:V1227"/>
    <mergeCell ref="D1228:E1228"/>
    <mergeCell ref="G1228:H1228"/>
    <mergeCell ref="J1228:K1228"/>
    <mergeCell ref="S1228:T1228"/>
    <mergeCell ref="U1228:V1228"/>
    <mergeCell ref="D1229:E1229"/>
    <mergeCell ref="G1229:H1229"/>
    <mergeCell ref="J1229:K1229"/>
    <mergeCell ref="S1229:T1229"/>
    <mergeCell ref="U1229:V1229"/>
    <mergeCell ref="D1230:E1230"/>
    <mergeCell ref="G1230:H1230"/>
    <mergeCell ref="J1230:K1230"/>
    <mergeCell ref="S1230:T1230"/>
    <mergeCell ref="U1230:V1230"/>
    <mergeCell ref="Y1230:Z1230"/>
    <mergeCell ref="D1231:E1231"/>
    <mergeCell ref="G1231:H1231"/>
    <mergeCell ref="J1231:K1231"/>
    <mergeCell ref="S1231:T1231"/>
    <mergeCell ref="U1231:V1231"/>
    <mergeCell ref="D1232:E1232"/>
    <mergeCell ref="G1232:H1232"/>
    <mergeCell ref="J1232:K1232"/>
    <mergeCell ref="S1232:T1232"/>
    <mergeCell ref="U1232:V1232"/>
    <mergeCell ref="W1232:X1232"/>
    <mergeCell ref="D1233:E1233"/>
    <mergeCell ref="G1233:H1233"/>
    <mergeCell ref="J1233:K1233"/>
    <mergeCell ref="S1233:T1233"/>
    <mergeCell ref="U1233:V1233"/>
    <mergeCell ref="Y1233:Z1233"/>
    <mergeCell ref="D1234:E1234"/>
    <mergeCell ref="G1234:H1234"/>
    <mergeCell ref="J1234:K1234"/>
    <mergeCell ref="S1234:T1234"/>
    <mergeCell ref="U1234:V1234"/>
    <mergeCell ref="D1235:E1235"/>
    <mergeCell ref="G1235:H1235"/>
    <mergeCell ref="J1235:K1235"/>
    <mergeCell ref="S1235:T1235"/>
    <mergeCell ref="U1235:V1235"/>
    <mergeCell ref="Y1235:Z1235"/>
    <mergeCell ref="D1236:E1236"/>
    <mergeCell ref="G1236:H1236"/>
    <mergeCell ref="J1236:K1236"/>
    <mergeCell ref="S1236:T1236"/>
    <mergeCell ref="U1236:V1236"/>
    <mergeCell ref="D1237:E1237"/>
    <mergeCell ref="G1237:H1237"/>
    <mergeCell ref="J1237:K1237"/>
    <mergeCell ref="D1238:E1238"/>
    <mergeCell ref="G1238:H1238"/>
    <mergeCell ref="J1238:K1238"/>
    <mergeCell ref="D1239:E1239"/>
    <mergeCell ref="G1239:H1239"/>
    <mergeCell ref="J1239:K1239"/>
    <mergeCell ref="C1241:E1241"/>
    <mergeCell ref="F1241:N1241"/>
    <mergeCell ref="R1241:Z1241"/>
    <mergeCell ref="D1242:E1242"/>
    <mergeCell ref="F1242:H1242"/>
    <mergeCell ref="I1242:K1242"/>
    <mergeCell ref="S1242:T1242"/>
    <mergeCell ref="U1242:V1242"/>
    <mergeCell ref="W1242:X1242"/>
    <mergeCell ref="Y1242:Z1242"/>
    <mergeCell ref="D1243:E1243"/>
    <mergeCell ref="G1243:H1243"/>
    <mergeCell ref="J1243:K1243"/>
    <mergeCell ref="S1243:T1243"/>
    <mergeCell ref="U1243:V1243"/>
    <mergeCell ref="W1243:X1243"/>
    <mergeCell ref="D1244:E1244"/>
    <mergeCell ref="G1244:H1244"/>
    <mergeCell ref="J1244:K1244"/>
    <mergeCell ref="S1244:T1244"/>
    <mergeCell ref="U1244:V1244"/>
    <mergeCell ref="D1245:E1245"/>
    <mergeCell ref="G1245:H1245"/>
    <mergeCell ref="J1245:K1245"/>
    <mergeCell ref="S1245:T1245"/>
    <mergeCell ref="U1245:V1245"/>
    <mergeCell ref="D1246:E1246"/>
    <mergeCell ref="G1246:H1246"/>
    <mergeCell ref="J1246:K1246"/>
    <mergeCell ref="S1246:T1246"/>
    <mergeCell ref="U1246:V1246"/>
    <mergeCell ref="D1247:E1247"/>
    <mergeCell ref="G1247:H1247"/>
    <mergeCell ref="J1247:K1247"/>
    <mergeCell ref="S1247:T1247"/>
    <mergeCell ref="U1247:V1247"/>
    <mergeCell ref="Y1247:Z1247"/>
    <mergeCell ref="D1248:E1248"/>
    <mergeCell ref="G1248:H1248"/>
    <mergeCell ref="J1248:K1248"/>
    <mergeCell ref="S1248:T1248"/>
    <mergeCell ref="U1248:V1248"/>
    <mergeCell ref="D1249:E1249"/>
    <mergeCell ref="G1249:H1249"/>
    <mergeCell ref="J1249:K1249"/>
    <mergeCell ref="S1249:T1249"/>
    <mergeCell ref="U1249:V1249"/>
    <mergeCell ref="W1249:X1249"/>
    <mergeCell ref="D1250:E1250"/>
    <mergeCell ref="G1250:H1250"/>
    <mergeCell ref="J1250:K1250"/>
    <mergeCell ref="S1250:T1250"/>
    <mergeCell ref="U1250:V1250"/>
    <mergeCell ref="Y1250:Z1250"/>
    <mergeCell ref="D1251:E1251"/>
    <mergeCell ref="G1251:H1251"/>
    <mergeCell ref="J1251:K1251"/>
    <mergeCell ref="S1251:T1251"/>
    <mergeCell ref="U1251:V1251"/>
    <mergeCell ref="D1252:E1252"/>
    <mergeCell ref="G1252:H1252"/>
    <mergeCell ref="J1252:K1252"/>
    <mergeCell ref="S1252:T1252"/>
    <mergeCell ref="U1252:V1252"/>
    <mergeCell ref="Y1252:Z1252"/>
    <mergeCell ref="D1253:E1253"/>
    <mergeCell ref="G1253:H1253"/>
    <mergeCell ref="J1253:K1253"/>
    <mergeCell ref="S1253:T1253"/>
    <mergeCell ref="U1253:V1253"/>
    <mergeCell ref="D1254:E1254"/>
    <mergeCell ref="G1254:H1254"/>
    <mergeCell ref="J1254:K1254"/>
    <mergeCell ref="D1255:E1255"/>
    <mergeCell ref="G1255:H1255"/>
    <mergeCell ref="J1255:K1255"/>
    <mergeCell ref="D1256:E1256"/>
    <mergeCell ref="G1256:H1256"/>
    <mergeCell ref="J1256:K1256"/>
    <mergeCell ref="C1258:E1258"/>
    <mergeCell ref="F1258:N1258"/>
    <mergeCell ref="R1258:Z1258"/>
    <mergeCell ref="D1259:E1259"/>
    <mergeCell ref="F1259:H1259"/>
    <mergeCell ref="I1259:K1259"/>
    <mergeCell ref="S1259:T1259"/>
    <mergeCell ref="U1259:V1259"/>
    <mergeCell ref="W1259:X1259"/>
    <mergeCell ref="Y1259:Z1259"/>
    <mergeCell ref="D1260:E1260"/>
    <mergeCell ref="G1260:H1260"/>
    <mergeCell ref="J1260:K1260"/>
    <mergeCell ref="S1260:T1260"/>
    <mergeCell ref="U1260:V1260"/>
    <mergeCell ref="W1260:X1260"/>
    <mergeCell ref="D1261:E1261"/>
    <mergeCell ref="G1261:H1261"/>
    <mergeCell ref="J1261:K1261"/>
    <mergeCell ref="S1261:T1261"/>
    <mergeCell ref="U1261:V1261"/>
    <mergeCell ref="D1262:E1262"/>
    <mergeCell ref="G1262:H1262"/>
    <mergeCell ref="J1262:K1262"/>
    <mergeCell ref="S1262:T1262"/>
    <mergeCell ref="U1262:V1262"/>
    <mergeCell ref="D1263:E1263"/>
    <mergeCell ref="G1263:H1263"/>
    <mergeCell ref="J1263:K1263"/>
    <mergeCell ref="S1263:T1263"/>
    <mergeCell ref="U1263:V1263"/>
    <mergeCell ref="D1264:E1264"/>
    <mergeCell ref="G1264:H1264"/>
    <mergeCell ref="J1264:K1264"/>
    <mergeCell ref="S1264:T1264"/>
    <mergeCell ref="U1264:V1264"/>
    <mergeCell ref="Y1264:Z1264"/>
    <mergeCell ref="D1265:E1265"/>
    <mergeCell ref="G1265:H1265"/>
    <mergeCell ref="J1265:K1265"/>
    <mergeCell ref="S1265:T1265"/>
    <mergeCell ref="U1265:V1265"/>
    <mergeCell ref="D1266:E1266"/>
    <mergeCell ref="G1266:H1266"/>
    <mergeCell ref="J1266:K1266"/>
    <mergeCell ref="S1266:T1266"/>
    <mergeCell ref="U1266:V1266"/>
    <mergeCell ref="W1266:X1266"/>
    <mergeCell ref="D1267:E1267"/>
    <mergeCell ref="G1267:H1267"/>
    <mergeCell ref="J1267:K1267"/>
    <mergeCell ref="S1267:T1267"/>
    <mergeCell ref="U1267:V1267"/>
    <mergeCell ref="Y1267:Z1267"/>
    <mergeCell ref="D1268:E1268"/>
    <mergeCell ref="G1268:H1268"/>
    <mergeCell ref="J1268:K1268"/>
    <mergeCell ref="S1268:T1268"/>
    <mergeCell ref="U1268:V1268"/>
    <mergeCell ref="D1269:E1269"/>
    <mergeCell ref="G1269:H1269"/>
    <mergeCell ref="J1269:K1269"/>
    <mergeCell ref="S1269:T1269"/>
    <mergeCell ref="U1269:V1269"/>
    <mergeCell ref="Y1269:Z1269"/>
    <mergeCell ref="D1270:E1270"/>
    <mergeCell ref="G1270:H1270"/>
    <mergeCell ref="J1270:K1270"/>
    <mergeCell ref="S1270:T1270"/>
    <mergeCell ref="U1270:V1270"/>
    <mergeCell ref="D1271:E1271"/>
    <mergeCell ref="G1271:H1271"/>
    <mergeCell ref="J1271:K1271"/>
    <mergeCell ref="D1272:E1272"/>
    <mergeCell ref="G1272:H1272"/>
    <mergeCell ref="J1272:K1272"/>
    <mergeCell ref="D1273:E1273"/>
    <mergeCell ref="G1273:H1273"/>
    <mergeCell ref="J1273:K1273"/>
    <mergeCell ref="C1275:E1275"/>
    <mergeCell ref="F1275:N1275"/>
    <mergeCell ref="R1275:Z1275"/>
    <mergeCell ref="D1276:E1276"/>
    <mergeCell ref="F1276:H1276"/>
    <mergeCell ref="I1276:K1276"/>
    <mergeCell ref="S1276:T1276"/>
    <mergeCell ref="U1276:V1276"/>
    <mergeCell ref="W1276:X1276"/>
    <mergeCell ref="Y1276:Z1276"/>
    <mergeCell ref="D1277:E1277"/>
    <mergeCell ref="G1277:H1277"/>
    <mergeCell ref="J1277:K1277"/>
    <mergeCell ref="S1277:T1277"/>
    <mergeCell ref="U1277:V1277"/>
    <mergeCell ref="W1277:X1277"/>
    <mergeCell ref="D1278:E1278"/>
    <mergeCell ref="G1278:H1278"/>
    <mergeCell ref="J1278:K1278"/>
    <mergeCell ref="S1278:T1278"/>
    <mergeCell ref="U1278:V1278"/>
    <mergeCell ref="D1279:E1279"/>
    <mergeCell ref="G1279:H1279"/>
    <mergeCell ref="J1279:K1279"/>
    <mergeCell ref="S1279:T1279"/>
    <mergeCell ref="U1279:V1279"/>
    <mergeCell ref="D1280:E1280"/>
    <mergeCell ref="G1280:H1280"/>
    <mergeCell ref="J1280:K1280"/>
    <mergeCell ref="S1280:T1280"/>
    <mergeCell ref="U1280:V1280"/>
    <mergeCell ref="D1281:E1281"/>
    <mergeCell ref="G1281:H1281"/>
    <mergeCell ref="J1281:K1281"/>
    <mergeCell ref="S1281:T1281"/>
    <mergeCell ref="U1281:V1281"/>
    <mergeCell ref="Y1281:Z1281"/>
    <mergeCell ref="D1282:E1282"/>
    <mergeCell ref="G1282:H1282"/>
    <mergeCell ref="J1282:K1282"/>
    <mergeCell ref="S1282:T1282"/>
    <mergeCell ref="U1282:V1282"/>
    <mergeCell ref="D1283:E1283"/>
    <mergeCell ref="G1283:H1283"/>
    <mergeCell ref="J1283:K1283"/>
    <mergeCell ref="S1283:T1283"/>
    <mergeCell ref="U1283:V1283"/>
    <mergeCell ref="W1283:X1283"/>
    <mergeCell ref="D1284:E1284"/>
    <mergeCell ref="G1284:H1284"/>
    <mergeCell ref="J1284:K1284"/>
    <mergeCell ref="S1284:T1284"/>
    <mergeCell ref="U1284:V1284"/>
    <mergeCell ref="Y1284:Z1284"/>
    <mergeCell ref="D1285:E1285"/>
    <mergeCell ref="G1285:H1285"/>
    <mergeCell ref="J1285:K1285"/>
    <mergeCell ref="S1285:T1285"/>
    <mergeCell ref="U1285:V1285"/>
    <mergeCell ref="D1286:E1286"/>
    <mergeCell ref="G1286:H1286"/>
    <mergeCell ref="J1286:K1286"/>
    <mergeCell ref="S1286:T1286"/>
    <mergeCell ref="U1286:V1286"/>
    <mergeCell ref="Y1286:Z1286"/>
    <mergeCell ref="D1287:E1287"/>
    <mergeCell ref="G1287:H1287"/>
    <mergeCell ref="J1287:K1287"/>
    <mergeCell ref="S1287:T1287"/>
    <mergeCell ref="U1287:V1287"/>
    <mergeCell ref="D1288:E1288"/>
    <mergeCell ref="G1288:H1288"/>
    <mergeCell ref="J1288:K1288"/>
    <mergeCell ref="D1289:E1289"/>
    <mergeCell ref="G1289:H1289"/>
    <mergeCell ref="J1289:K1289"/>
    <mergeCell ref="D1290:E1290"/>
    <mergeCell ref="G1290:H1290"/>
    <mergeCell ref="J1290:K1290"/>
    <mergeCell ref="C1292:E1292"/>
    <mergeCell ref="F1292:N1292"/>
    <mergeCell ref="R1292:Z1292"/>
    <mergeCell ref="D1293:E1293"/>
    <mergeCell ref="F1293:H1293"/>
    <mergeCell ref="I1293:K1293"/>
    <mergeCell ref="S1293:T1293"/>
    <mergeCell ref="U1293:V1293"/>
    <mergeCell ref="W1293:X1293"/>
    <mergeCell ref="Y1293:Z1293"/>
    <mergeCell ref="D1294:E1294"/>
    <mergeCell ref="G1294:H1294"/>
    <mergeCell ref="J1294:K1294"/>
    <mergeCell ref="S1294:T1294"/>
    <mergeCell ref="U1294:V1294"/>
    <mergeCell ref="W1294:X1294"/>
    <mergeCell ref="D1295:E1295"/>
    <mergeCell ref="G1295:H1295"/>
    <mergeCell ref="J1295:K1295"/>
    <mergeCell ref="S1295:T1295"/>
    <mergeCell ref="U1295:V1295"/>
    <mergeCell ref="D1296:E1296"/>
    <mergeCell ref="G1296:H1296"/>
    <mergeCell ref="J1296:K1296"/>
    <mergeCell ref="S1296:T1296"/>
    <mergeCell ref="U1296:V1296"/>
    <mergeCell ref="D1297:E1297"/>
    <mergeCell ref="G1297:H1297"/>
    <mergeCell ref="J1297:K1297"/>
    <mergeCell ref="S1297:T1297"/>
    <mergeCell ref="U1297:V1297"/>
    <mergeCell ref="D1298:E1298"/>
    <mergeCell ref="G1298:H1298"/>
    <mergeCell ref="J1298:K1298"/>
    <mergeCell ref="S1298:T1298"/>
    <mergeCell ref="U1298:V1298"/>
    <mergeCell ref="Y1298:Z1298"/>
    <mergeCell ref="D1299:E1299"/>
    <mergeCell ref="G1299:H1299"/>
    <mergeCell ref="J1299:K1299"/>
    <mergeCell ref="S1299:T1299"/>
    <mergeCell ref="U1299:V1299"/>
    <mergeCell ref="D1300:E1300"/>
    <mergeCell ref="G1300:H1300"/>
    <mergeCell ref="J1300:K1300"/>
    <mergeCell ref="S1300:T1300"/>
    <mergeCell ref="U1300:V1300"/>
    <mergeCell ref="W1300:X1300"/>
    <mergeCell ref="D1301:E1301"/>
    <mergeCell ref="G1301:H1301"/>
    <mergeCell ref="J1301:K1301"/>
    <mergeCell ref="S1301:T1301"/>
    <mergeCell ref="U1301:V1301"/>
    <mergeCell ref="Y1301:Z1301"/>
    <mergeCell ref="D1302:E1302"/>
    <mergeCell ref="G1302:H1302"/>
    <mergeCell ref="J1302:K1302"/>
    <mergeCell ref="S1302:T1302"/>
    <mergeCell ref="U1302:V1302"/>
    <mergeCell ref="D1303:E1303"/>
    <mergeCell ref="G1303:H1303"/>
    <mergeCell ref="J1303:K1303"/>
    <mergeCell ref="S1303:T1303"/>
    <mergeCell ref="U1303:V1303"/>
    <mergeCell ref="Y1303:Z1303"/>
    <mergeCell ref="D1304:E1304"/>
    <mergeCell ref="G1304:H1304"/>
    <mergeCell ref="J1304:K1304"/>
    <mergeCell ref="S1304:T1304"/>
    <mergeCell ref="U1304:V1304"/>
    <mergeCell ref="D1305:E1305"/>
    <mergeCell ref="G1305:H1305"/>
    <mergeCell ref="J1305:K1305"/>
    <mergeCell ref="D1306:E1306"/>
    <mergeCell ref="G1306:H1306"/>
    <mergeCell ref="J1306:K1306"/>
    <mergeCell ref="D1307:E1307"/>
    <mergeCell ref="G1307:H1307"/>
    <mergeCell ref="J1307:K1307"/>
    <mergeCell ref="C1309:E1309"/>
    <mergeCell ref="F1309:N1309"/>
    <mergeCell ref="R1309:Z1309"/>
    <mergeCell ref="D1310:E1310"/>
    <mergeCell ref="F1310:H1310"/>
    <mergeCell ref="I1310:K1310"/>
    <mergeCell ref="S1310:T1310"/>
    <mergeCell ref="U1310:V1310"/>
    <mergeCell ref="W1310:X1310"/>
    <mergeCell ref="Y1310:Z1310"/>
    <mergeCell ref="D1311:E1311"/>
    <mergeCell ref="G1311:H1311"/>
    <mergeCell ref="J1311:K1311"/>
    <mergeCell ref="S1311:T1311"/>
    <mergeCell ref="U1311:V1311"/>
    <mergeCell ref="W1311:X1311"/>
    <mergeCell ref="D1312:E1312"/>
    <mergeCell ref="G1312:H1312"/>
    <mergeCell ref="J1312:K1312"/>
    <mergeCell ref="S1312:T1312"/>
    <mergeCell ref="U1312:V1312"/>
    <mergeCell ref="D1313:E1313"/>
    <mergeCell ref="G1313:H1313"/>
    <mergeCell ref="J1313:K1313"/>
    <mergeCell ref="S1313:T1313"/>
    <mergeCell ref="U1313:V1313"/>
    <mergeCell ref="D1314:E1314"/>
    <mergeCell ref="G1314:H1314"/>
    <mergeCell ref="J1314:K1314"/>
    <mergeCell ref="S1314:T1314"/>
    <mergeCell ref="U1314:V1314"/>
    <mergeCell ref="D1315:E1315"/>
    <mergeCell ref="G1315:H1315"/>
    <mergeCell ref="J1315:K1315"/>
    <mergeCell ref="S1315:T1315"/>
    <mergeCell ref="U1315:V1315"/>
    <mergeCell ref="Y1315:Z1315"/>
    <mergeCell ref="D1316:E1316"/>
    <mergeCell ref="G1316:H1316"/>
    <mergeCell ref="J1316:K1316"/>
    <mergeCell ref="S1316:T1316"/>
    <mergeCell ref="U1316:V1316"/>
    <mergeCell ref="D1317:E1317"/>
    <mergeCell ref="G1317:H1317"/>
    <mergeCell ref="J1317:K1317"/>
    <mergeCell ref="S1317:T1317"/>
    <mergeCell ref="U1317:V1317"/>
    <mergeCell ref="W1317:X1317"/>
    <mergeCell ref="D1318:E1318"/>
    <mergeCell ref="G1318:H1318"/>
    <mergeCell ref="J1318:K1318"/>
    <mergeCell ref="S1318:T1318"/>
    <mergeCell ref="U1318:V1318"/>
    <mergeCell ref="Y1318:Z1318"/>
    <mergeCell ref="D1319:E1319"/>
    <mergeCell ref="G1319:H1319"/>
    <mergeCell ref="J1319:K1319"/>
    <mergeCell ref="S1319:T1319"/>
    <mergeCell ref="U1319:V1319"/>
    <mergeCell ref="D1320:E1320"/>
    <mergeCell ref="G1320:H1320"/>
    <mergeCell ref="J1320:K1320"/>
    <mergeCell ref="S1320:T1320"/>
    <mergeCell ref="U1320:V1320"/>
    <mergeCell ref="Y1320:Z1320"/>
    <mergeCell ref="D1321:E1321"/>
    <mergeCell ref="G1321:H1321"/>
    <mergeCell ref="J1321:K1321"/>
    <mergeCell ref="S1321:T1321"/>
    <mergeCell ref="U1321:V1321"/>
    <mergeCell ref="D1322:E1322"/>
    <mergeCell ref="G1322:H1322"/>
    <mergeCell ref="J1322:K1322"/>
    <mergeCell ref="D1323:E1323"/>
    <mergeCell ref="G1323:H1323"/>
    <mergeCell ref="J1323:K1323"/>
    <mergeCell ref="D1324:E1324"/>
    <mergeCell ref="G1324:H1324"/>
    <mergeCell ref="J1324:K1324"/>
    <mergeCell ref="C1326:E1326"/>
    <mergeCell ref="F1326:N1326"/>
    <mergeCell ref="R1326:Z1326"/>
    <mergeCell ref="D1327:E1327"/>
    <mergeCell ref="F1327:H1327"/>
    <mergeCell ref="I1327:K1327"/>
    <mergeCell ref="S1327:T1327"/>
    <mergeCell ref="U1327:V1327"/>
    <mergeCell ref="W1327:X1327"/>
    <mergeCell ref="Y1327:Z1327"/>
    <mergeCell ref="D1328:E1328"/>
    <mergeCell ref="G1328:H1328"/>
    <mergeCell ref="J1328:K1328"/>
    <mergeCell ref="S1328:T1328"/>
    <mergeCell ref="U1328:V1328"/>
    <mergeCell ref="W1328:X1328"/>
    <mergeCell ref="D1329:E1329"/>
    <mergeCell ref="G1329:H1329"/>
    <mergeCell ref="J1329:K1329"/>
    <mergeCell ref="S1329:T1329"/>
    <mergeCell ref="U1329:V1329"/>
    <mergeCell ref="D1330:E1330"/>
    <mergeCell ref="G1330:H1330"/>
    <mergeCell ref="J1330:K1330"/>
    <mergeCell ref="S1330:T1330"/>
    <mergeCell ref="U1330:V1330"/>
    <mergeCell ref="D1331:E1331"/>
    <mergeCell ref="G1331:H1331"/>
    <mergeCell ref="J1331:K1331"/>
    <mergeCell ref="S1331:T1331"/>
    <mergeCell ref="U1331:V1331"/>
    <mergeCell ref="D1332:E1332"/>
    <mergeCell ref="G1332:H1332"/>
    <mergeCell ref="J1332:K1332"/>
    <mergeCell ref="S1332:T1332"/>
    <mergeCell ref="U1332:V1332"/>
    <mergeCell ref="Y1332:Z1332"/>
    <mergeCell ref="D1333:E1333"/>
    <mergeCell ref="G1333:H1333"/>
    <mergeCell ref="J1333:K1333"/>
    <mergeCell ref="S1333:T1333"/>
    <mergeCell ref="U1333:V1333"/>
    <mergeCell ref="D1334:E1334"/>
    <mergeCell ref="G1334:H1334"/>
    <mergeCell ref="J1334:K1334"/>
    <mergeCell ref="S1334:T1334"/>
    <mergeCell ref="U1334:V1334"/>
    <mergeCell ref="W1334:X1334"/>
    <mergeCell ref="D1335:E1335"/>
    <mergeCell ref="G1335:H1335"/>
    <mergeCell ref="J1335:K1335"/>
    <mergeCell ref="S1335:T1335"/>
    <mergeCell ref="U1335:V1335"/>
    <mergeCell ref="Y1335:Z1335"/>
    <mergeCell ref="D1336:E1336"/>
    <mergeCell ref="G1336:H1336"/>
    <mergeCell ref="J1336:K1336"/>
    <mergeCell ref="S1336:T1336"/>
    <mergeCell ref="U1336:V1336"/>
    <mergeCell ref="D1337:E1337"/>
    <mergeCell ref="G1337:H1337"/>
    <mergeCell ref="J1337:K1337"/>
    <mergeCell ref="S1337:T1337"/>
    <mergeCell ref="U1337:V1337"/>
    <mergeCell ref="Y1337:Z1337"/>
    <mergeCell ref="D1338:E1338"/>
    <mergeCell ref="G1338:H1338"/>
    <mergeCell ref="J1338:K1338"/>
    <mergeCell ref="S1338:T1338"/>
    <mergeCell ref="U1338:V1338"/>
    <mergeCell ref="D1339:E1339"/>
    <mergeCell ref="G1339:H1339"/>
    <mergeCell ref="J1339:K1339"/>
    <mergeCell ref="D1340:E1340"/>
    <mergeCell ref="G1340:H1340"/>
    <mergeCell ref="J1340:K1340"/>
    <mergeCell ref="D1341:E1341"/>
    <mergeCell ref="G1341:H1341"/>
    <mergeCell ref="J1341:K1341"/>
    <mergeCell ref="C1343:E1343"/>
    <mergeCell ref="F1343:N1343"/>
    <mergeCell ref="R1343:Z1343"/>
    <mergeCell ref="D1344:E1344"/>
    <mergeCell ref="F1344:H1344"/>
    <mergeCell ref="I1344:K1344"/>
    <mergeCell ref="S1344:T1344"/>
    <mergeCell ref="U1344:V1344"/>
    <mergeCell ref="W1344:X1344"/>
    <mergeCell ref="Y1344:Z1344"/>
    <mergeCell ref="D1345:E1345"/>
    <mergeCell ref="G1345:H1345"/>
    <mergeCell ref="J1345:K1345"/>
    <mergeCell ref="S1345:T1345"/>
    <mergeCell ref="U1345:V1345"/>
    <mergeCell ref="W1345:X1345"/>
    <mergeCell ref="D1346:E1346"/>
    <mergeCell ref="G1346:H1346"/>
    <mergeCell ref="J1346:K1346"/>
    <mergeCell ref="S1346:T1346"/>
    <mergeCell ref="U1346:V1346"/>
    <mergeCell ref="D1347:E1347"/>
    <mergeCell ref="G1347:H1347"/>
    <mergeCell ref="J1347:K1347"/>
    <mergeCell ref="S1347:T1347"/>
    <mergeCell ref="U1347:V1347"/>
    <mergeCell ref="D1348:E1348"/>
    <mergeCell ref="G1348:H1348"/>
    <mergeCell ref="J1348:K1348"/>
    <mergeCell ref="S1348:T1348"/>
    <mergeCell ref="U1348:V1348"/>
    <mergeCell ref="D1349:E1349"/>
    <mergeCell ref="G1349:H1349"/>
    <mergeCell ref="J1349:K1349"/>
    <mergeCell ref="S1349:T1349"/>
    <mergeCell ref="U1349:V1349"/>
    <mergeCell ref="Y1349:Z1349"/>
    <mergeCell ref="D1350:E1350"/>
    <mergeCell ref="G1350:H1350"/>
    <mergeCell ref="J1350:K1350"/>
    <mergeCell ref="S1350:T1350"/>
    <mergeCell ref="U1350:V1350"/>
    <mergeCell ref="D1351:E1351"/>
    <mergeCell ref="G1351:H1351"/>
    <mergeCell ref="J1351:K1351"/>
    <mergeCell ref="S1351:T1351"/>
    <mergeCell ref="U1351:V1351"/>
    <mergeCell ref="W1351:X1351"/>
    <mergeCell ref="D1352:E1352"/>
    <mergeCell ref="G1352:H1352"/>
    <mergeCell ref="J1352:K1352"/>
    <mergeCell ref="S1352:T1352"/>
    <mergeCell ref="U1352:V1352"/>
    <mergeCell ref="Y1352:Z1352"/>
    <mergeCell ref="D1353:E1353"/>
    <mergeCell ref="G1353:H1353"/>
    <mergeCell ref="J1353:K1353"/>
    <mergeCell ref="S1353:T1353"/>
    <mergeCell ref="U1353:V1353"/>
    <mergeCell ref="D1354:E1354"/>
    <mergeCell ref="G1354:H1354"/>
    <mergeCell ref="J1354:K1354"/>
    <mergeCell ref="S1354:T1354"/>
    <mergeCell ref="U1354:V1354"/>
    <mergeCell ref="Y1354:Z1354"/>
    <mergeCell ref="D1355:E1355"/>
    <mergeCell ref="G1355:H1355"/>
    <mergeCell ref="J1355:K1355"/>
    <mergeCell ref="S1355:T1355"/>
    <mergeCell ref="U1355:V1355"/>
    <mergeCell ref="D1356:E1356"/>
    <mergeCell ref="G1356:H1356"/>
    <mergeCell ref="J1356:K1356"/>
    <mergeCell ref="D1357:E1357"/>
    <mergeCell ref="G1357:H1357"/>
    <mergeCell ref="J1357:K1357"/>
    <mergeCell ref="D1358:E1358"/>
    <mergeCell ref="G1358:H1358"/>
    <mergeCell ref="J1358:K1358"/>
    <mergeCell ref="C1360:E1360"/>
    <mergeCell ref="F1360:N1360"/>
    <mergeCell ref="R1360:Z1360"/>
    <mergeCell ref="D1361:E1361"/>
    <mergeCell ref="F1361:H1361"/>
    <mergeCell ref="I1361:K1361"/>
    <mergeCell ref="S1361:T1361"/>
    <mergeCell ref="U1361:V1361"/>
    <mergeCell ref="W1361:X1361"/>
    <mergeCell ref="Y1361:Z1361"/>
    <mergeCell ref="D1362:E1362"/>
    <mergeCell ref="G1362:H1362"/>
    <mergeCell ref="J1362:K1362"/>
    <mergeCell ref="S1362:T1362"/>
    <mergeCell ref="U1362:V1362"/>
    <mergeCell ref="W1362:X1362"/>
    <mergeCell ref="D1363:E1363"/>
    <mergeCell ref="G1363:H1363"/>
    <mergeCell ref="J1363:K1363"/>
    <mergeCell ref="S1363:T1363"/>
    <mergeCell ref="U1363:V1363"/>
    <mergeCell ref="D1364:E1364"/>
    <mergeCell ref="G1364:H1364"/>
    <mergeCell ref="J1364:K1364"/>
    <mergeCell ref="S1364:T1364"/>
    <mergeCell ref="U1364:V1364"/>
    <mergeCell ref="D1365:E1365"/>
    <mergeCell ref="G1365:H1365"/>
    <mergeCell ref="J1365:K1365"/>
    <mergeCell ref="S1365:T1365"/>
    <mergeCell ref="U1365:V1365"/>
    <mergeCell ref="D1366:E1366"/>
    <mergeCell ref="G1366:H1366"/>
    <mergeCell ref="J1366:K1366"/>
    <mergeCell ref="S1366:T1366"/>
    <mergeCell ref="U1366:V1366"/>
    <mergeCell ref="Y1366:Z1366"/>
    <mergeCell ref="D1367:E1367"/>
    <mergeCell ref="G1367:H1367"/>
    <mergeCell ref="J1367:K1367"/>
    <mergeCell ref="S1367:T1367"/>
    <mergeCell ref="U1367:V1367"/>
    <mergeCell ref="D1368:E1368"/>
    <mergeCell ref="G1368:H1368"/>
    <mergeCell ref="J1368:K1368"/>
    <mergeCell ref="S1368:T1368"/>
    <mergeCell ref="U1368:V1368"/>
    <mergeCell ref="W1368:X1368"/>
    <mergeCell ref="D1369:E1369"/>
    <mergeCell ref="G1369:H1369"/>
    <mergeCell ref="J1369:K1369"/>
    <mergeCell ref="S1369:T1369"/>
    <mergeCell ref="U1369:V1369"/>
    <mergeCell ref="Y1369:Z1369"/>
    <mergeCell ref="D1370:E1370"/>
    <mergeCell ref="G1370:H1370"/>
    <mergeCell ref="J1370:K1370"/>
    <mergeCell ref="S1370:T1370"/>
    <mergeCell ref="U1370:V1370"/>
    <mergeCell ref="D1371:E1371"/>
    <mergeCell ref="G1371:H1371"/>
    <mergeCell ref="J1371:K1371"/>
    <mergeCell ref="S1371:T1371"/>
    <mergeCell ref="U1371:V1371"/>
    <mergeCell ref="Y1371:Z1371"/>
    <mergeCell ref="D1372:E1372"/>
    <mergeCell ref="G1372:H1372"/>
    <mergeCell ref="J1372:K1372"/>
    <mergeCell ref="S1372:T1372"/>
    <mergeCell ref="U1372:V1372"/>
    <mergeCell ref="D1373:E1373"/>
    <mergeCell ref="G1373:H1373"/>
    <mergeCell ref="J1373:K1373"/>
    <mergeCell ref="D1374:E1374"/>
    <mergeCell ref="G1374:H1374"/>
    <mergeCell ref="J1374:K1374"/>
    <mergeCell ref="D1375:E1375"/>
    <mergeCell ref="G1375:H1375"/>
    <mergeCell ref="J1375:K1375"/>
    <mergeCell ref="C1377:E1377"/>
    <mergeCell ref="F1377:N1377"/>
    <mergeCell ref="R1377:Z1377"/>
    <mergeCell ref="D1378:E1378"/>
    <mergeCell ref="F1378:H1378"/>
    <mergeCell ref="I1378:K1378"/>
    <mergeCell ref="S1378:T1378"/>
    <mergeCell ref="U1378:V1378"/>
    <mergeCell ref="W1378:X1378"/>
    <mergeCell ref="Y1378:Z1378"/>
    <mergeCell ref="D1379:E1379"/>
    <mergeCell ref="G1379:H1379"/>
    <mergeCell ref="J1379:K1379"/>
    <mergeCell ref="S1379:T1379"/>
    <mergeCell ref="U1379:V1379"/>
    <mergeCell ref="W1379:X1379"/>
    <mergeCell ref="D1380:E1380"/>
    <mergeCell ref="G1380:H1380"/>
    <mergeCell ref="J1380:K1380"/>
    <mergeCell ref="S1380:T1380"/>
    <mergeCell ref="U1380:V1380"/>
    <mergeCell ref="D1381:E1381"/>
    <mergeCell ref="G1381:H1381"/>
    <mergeCell ref="J1381:K1381"/>
    <mergeCell ref="S1381:T1381"/>
    <mergeCell ref="U1381:V1381"/>
    <mergeCell ref="D1382:E1382"/>
    <mergeCell ref="G1382:H1382"/>
    <mergeCell ref="J1382:K1382"/>
    <mergeCell ref="S1382:T1382"/>
    <mergeCell ref="U1382:V1382"/>
    <mergeCell ref="D1383:E1383"/>
    <mergeCell ref="G1383:H1383"/>
    <mergeCell ref="J1383:K1383"/>
    <mergeCell ref="S1383:T1383"/>
    <mergeCell ref="U1383:V1383"/>
    <mergeCell ref="Y1383:Z1383"/>
    <mergeCell ref="D1384:E1384"/>
    <mergeCell ref="G1384:H1384"/>
    <mergeCell ref="J1384:K1384"/>
    <mergeCell ref="S1384:T1384"/>
    <mergeCell ref="U1384:V1384"/>
    <mergeCell ref="D1385:E1385"/>
    <mergeCell ref="G1385:H1385"/>
    <mergeCell ref="J1385:K1385"/>
    <mergeCell ref="S1385:T1385"/>
    <mergeCell ref="U1385:V1385"/>
    <mergeCell ref="W1385:X1385"/>
    <mergeCell ref="D1386:E1386"/>
    <mergeCell ref="G1386:H1386"/>
    <mergeCell ref="J1386:K1386"/>
    <mergeCell ref="S1386:T1386"/>
    <mergeCell ref="U1386:V1386"/>
    <mergeCell ref="Y1386:Z1386"/>
    <mergeCell ref="D1387:E1387"/>
    <mergeCell ref="G1387:H1387"/>
    <mergeCell ref="J1387:K1387"/>
    <mergeCell ref="S1387:T1387"/>
    <mergeCell ref="U1387:V1387"/>
    <mergeCell ref="D1388:E1388"/>
    <mergeCell ref="G1388:H1388"/>
    <mergeCell ref="J1388:K1388"/>
    <mergeCell ref="S1388:T1388"/>
    <mergeCell ref="U1388:V1388"/>
    <mergeCell ref="Y1388:Z1388"/>
    <mergeCell ref="D1389:E1389"/>
    <mergeCell ref="G1389:H1389"/>
    <mergeCell ref="J1389:K1389"/>
    <mergeCell ref="S1389:T1389"/>
    <mergeCell ref="U1389:V1389"/>
    <mergeCell ref="D1390:E1390"/>
    <mergeCell ref="G1390:H1390"/>
    <mergeCell ref="J1390:K1390"/>
    <mergeCell ref="D1391:E1391"/>
    <mergeCell ref="G1391:H1391"/>
    <mergeCell ref="J1391:K1391"/>
    <mergeCell ref="D1392:E1392"/>
    <mergeCell ref="G1392:H1392"/>
    <mergeCell ref="J1392:K1392"/>
    <mergeCell ref="C1394:E1394"/>
    <mergeCell ref="F1394:N1394"/>
    <mergeCell ref="R1394:Z1394"/>
    <mergeCell ref="D1395:E1395"/>
    <mergeCell ref="F1395:H1395"/>
    <mergeCell ref="I1395:K1395"/>
    <mergeCell ref="S1395:T1395"/>
    <mergeCell ref="U1395:V1395"/>
    <mergeCell ref="W1395:X1395"/>
    <mergeCell ref="Y1395:Z1395"/>
    <mergeCell ref="D1396:E1396"/>
    <mergeCell ref="G1396:H1396"/>
    <mergeCell ref="J1396:K1396"/>
    <mergeCell ref="S1396:T1396"/>
    <mergeCell ref="U1396:V1396"/>
    <mergeCell ref="W1396:X1396"/>
    <mergeCell ref="D1397:E1397"/>
    <mergeCell ref="G1397:H1397"/>
    <mergeCell ref="J1397:K1397"/>
    <mergeCell ref="S1397:T1397"/>
    <mergeCell ref="U1397:V1397"/>
    <mergeCell ref="D1398:E1398"/>
    <mergeCell ref="G1398:H1398"/>
    <mergeCell ref="J1398:K1398"/>
    <mergeCell ref="S1398:T1398"/>
    <mergeCell ref="U1398:V1398"/>
    <mergeCell ref="D1399:E1399"/>
    <mergeCell ref="G1399:H1399"/>
    <mergeCell ref="J1399:K1399"/>
    <mergeCell ref="S1399:T1399"/>
    <mergeCell ref="U1399:V1399"/>
    <mergeCell ref="D1400:E1400"/>
    <mergeCell ref="G1400:H1400"/>
    <mergeCell ref="J1400:K1400"/>
    <mergeCell ref="S1400:T1400"/>
    <mergeCell ref="U1400:V1400"/>
    <mergeCell ref="Y1400:Z1400"/>
    <mergeCell ref="D1401:E1401"/>
    <mergeCell ref="G1401:H1401"/>
    <mergeCell ref="J1401:K1401"/>
    <mergeCell ref="S1401:T1401"/>
    <mergeCell ref="U1401:V1401"/>
    <mergeCell ref="D1402:E1402"/>
    <mergeCell ref="G1402:H1402"/>
    <mergeCell ref="J1402:K1402"/>
    <mergeCell ref="S1402:T1402"/>
    <mergeCell ref="U1402:V1402"/>
    <mergeCell ref="W1402:X1402"/>
    <mergeCell ref="D1403:E1403"/>
    <mergeCell ref="G1403:H1403"/>
    <mergeCell ref="J1403:K1403"/>
    <mergeCell ref="S1403:T1403"/>
    <mergeCell ref="U1403:V1403"/>
    <mergeCell ref="Y1403:Z1403"/>
    <mergeCell ref="D1404:E1404"/>
    <mergeCell ref="G1404:H1404"/>
    <mergeCell ref="J1404:K1404"/>
    <mergeCell ref="S1404:T1404"/>
    <mergeCell ref="U1404:V1404"/>
    <mergeCell ref="D1405:E1405"/>
    <mergeCell ref="G1405:H1405"/>
    <mergeCell ref="J1405:K1405"/>
    <mergeCell ref="S1405:T1405"/>
    <mergeCell ref="U1405:V1405"/>
    <mergeCell ref="Y1405:Z1405"/>
    <mergeCell ref="D1406:E1406"/>
    <mergeCell ref="G1406:H1406"/>
    <mergeCell ref="J1406:K1406"/>
    <mergeCell ref="S1406:T1406"/>
    <mergeCell ref="U1406:V1406"/>
    <mergeCell ref="D1407:E1407"/>
    <mergeCell ref="G1407:H1407"/>
    <mergeCell ref="J1407:K1407"/>
    <mergeCell ref="D1408:E1408"/>
    <mergeCell ref="G1408:H1408"/>
    <mergeCell ref="J1408:K1408"/>
    <mergeCell ref="D1409:E1409"/>
    <mergeCell ref="G1409:H1409"/>
    <mergeCell ref="J1409:K1409"/>
    <mergeCell ref="C1411:E1411"/>
    <mergeCell ref="F1411:N1411"/>
    <mergeCell ref="R1411:Z1411"/>
    <mergeCell ref="D1412:E1412"/>
    <mergeCell ref="F1412:H1412"/>
    <mergeCell ref="I1412:K1412"/>
    <mergeCell ref="S1412:T1412"/>
    <mergeCell ref="U1412:V1412"/>
    <mergeCell ref="W1412:X1412"/>
    <mergeCell ref="Y1412:Z1412"/>
    <mergeCell ref="D1413:E1413"/>
    <mergeCell ref="G1413:H1413"/>
    <mergeCell ref="J1413:K1413"/>
    <mergeCell ref="S1413:T1413"/>
    <mergeCell ref="U1413:V1413"/>
    <mergeCell ref="W1413:X1413"/>
    <mergeCell ref="D1414:E1414"/>
    <mergeCell ref="G1414:H1414"/>
    <mergeCell ref="J1414:K1414"/>
    <mergeCell ref="S1414:T1414"/>
    <mergeCell ref="U1414:V1414"/>
    <mergeCell ref="D1415:E1415"/>
    <mergeCell ref="G1415:H1415"/>
    <mergeCell ref="J1415:K1415"/>
    <mergeCell ref="S1415:T1415"/>
    <mergeCell ref="U1415:V1415"/>
    <mergeCell ref="D1416:E1416"/>
    <mergeCell ref="G1416:H1416"/>
    <mergeCell ref="J1416:K1416"/>
    <mergeCell ref="S1416:T1416"/>
    <mergeCell ref="U1416:V1416"/>
    <mergeCell ref="D1417:E1417"/>
    <mergeCell ref="G1417:H1417"/>
    <mergeCell ref="J1417:K1417"/>
    <mergeCell ref="S1417:T1417"/>
    <mergeCell ref="U1417:V1417"/>
    <mergeCell ref="Y1417:Z1417"/>
    <mergeCell ref="D1418:E1418"/>
    <mergeCell ref="G1418:H1418"/>
    <mergeCell ref="J1418:K1418"/>
    <mergeCell ref="S1418:T1418"/>
    <mergeCell ref="U1418:V1418"/>
    <mergeCell ref="D1419:E1419"/>
    <mergeCell ref="G1419:H1419"/>
    <mergeCell ref="J1419:K1419"/>
    <mergeCell ref="S1419:T1419"/>
    <mergeCell ref="U1419:V1419"/>
    <mergeCell ref="W1419:X1419"/>
    <mergeCell ref="D1420:E1420"/>
    <mergeCell ref="G1420:H1420"/>
    <mergeCell ref="J1420:K1420"/>
    <mergeCell ref="S1420:T1420"/>
    <mergeCell ref="U1420:V1420"/>
    <mergeCell ref="Y1420:Z1420"/>
    <mergeCell ref="D1421:E1421"/>
    <mergeCell ref="G1421:H1421"/>
    <mergeCell ref="J1421:K1421"/>
    <mergeCell ref="S1421:T1421"/>
    <mergeCell ref="U1421:V1421"/>
    <mergeCell ref="D1422:E1422"/>
    <mergeCell ref="G1422:H1422"/>
    <mergeCell ref="J1422:K1422"/>
    <mergeCell ref="S1422:T1422"/>
    <mergeCell ref="U1422:V1422"/>
    <mergeCell ref="Y1422:Z1422"/>
    <mergeCell ref="D1423:E1423"/>
    <mergeCell ref="G1423:H1423"/>
    <mergeCell ref="J1423:K1423"/>
    <mergeCell ref="S1423:T1423"/>
    <mergeCell ref="U1423:V1423"/>
    <mergeCell ref="D1424:E1424"/>
    <mergeCell ref="G1424:H1424"/>
    <mergeCell ref="J1424:K1424"/>
    <mergeCell ref="D1425:E1425"/>
    <mergeCell ref="G1425:H1425"/>
    <mergeCell ref="J1425:K1425"/>
    <mergeCell ref="D1426:E1426"/>
    <mergeCell ref="G1426:H1426"/>
    <mergeCell ref="J1426:K1426"/>
    <mergeCell ref="C1428:E1428"/>
    <mergeCell ref="F1428:N1428"/>
    <mergeCell ref="R1428:Z1428"/>
    <mergeCell ref="D1429:E1429"/>
    <mergeCell ref="F1429:H1429"/>
    <mergeCell ref="I1429:K1429"/>
    <mergeCell ref="S1429:T1429"/>
    <mergeCell ref="U1429:V1429"/>
    <mergeCell ref="W1429:X1429"/>
    <mergeCell ref="Y1429:Z1429"/>
    <mergeCell ref="D1430:E1430"/>
    <mergeCell ref="G1430:H1430"/>
    <mergeCell ref="J1430:K1430"/>
    <mergeCell ref="S1430:T1430"/>
    <mergeCell ref="U1430:V1430"/>
    <mergeCell ref="W1430:X1430"/>
    <mergeCell ref="D1431:E1431"/>
    <mergeCell ref="G1431:H1431"/>
    <mergeCell ref="J1431:K1431"/>
    <mergeCell ref="S1431:T1431"/>
    <mergeCell ref="U1431:V1431"/>
    <mergeCell ref="D1432:E1432"/>
    <mergeCell ref="G1432:H1432"/>
    <mergeCell ref="J1432:K1432"/>
    <mergeCell ref="S1432:T1432"/>
    <mergeCell ref="U1432:V1432"/>
    <mergeCell ref="D1433:E1433"/>
    <mergeCell ref="G1433:H1433"/>
    <mergeCell ref="J1433:K1433"/>
    <mergeCell ref="S1433:T1433"/>
    <mergeCell ref="U1433:V1433"/>
    <mergeCell ref="D1434:E1434"/>
    <mergeCell ref="G1434:H1434"/>
    <mergeCell ref="J1434:K1434"/>
    <mergeCell ref="S1434:T1434"/>
    <mergeCell ref="U1434:V1434"/>
    <mergeCell ref="Y1434:Z1434"/>
    <mergeCell ref="D1435:E1435"/>
    <mergeCell ref="G1435:H1435"/>
    <mergeCell ref="J1435:K1435"/>
    <mergeCell ref="S1435:T1435"/>
    <mergeCell ref="U1435:V1435"/>
    <mergeCell ref="D1436:E1436"/>
    <mergeCell ref="G1436:H1436"/>
    <mergeCell ref="J1436:K1436"/>
    <mergeCell ref="S1436:T1436"/>
    <mergeCell ref="U1436:V1436"/>
    <mergeCell ref="W1436:X1436"/>
    <mergeCell ref="D1437:E1437"/>
    <mergeCell ref="G1437:H1437"/>
    <mergeCell ref="J1437:K1437"/>
    <mergeCell ref="S1437:T1437"/>
    <mergeCell ref="U1437:V1437"/>
    <mergeCell ref="Y1437:Z1437"/>
    <mergeCell ref="D1438:E1438"/>
    <mergeCell ref="G1438:H1438"/>
    <mergeCell ref="J1438:K1438"/>
    <mergeCell ref="S1438:T1438"/>
    <mergeCell ref="U1438:V1438"/>
    <mergeCell ref="D1439:E1439"/>
    <mergeCell ref="G1439:H1439"/>
    <mergeCell ref="J1439:K1439"/>
    <mergeCell ref="S1439:T1439"/>
    <mergeCell ref="U1439:V1439"/>
    <mergeCell ref="Y1439:Z1439"/>
    <mergeCell ref="D1440:E1440"/>
    <mergeCell ref="G1440:H1440"/>
    <mergeCell ref="J1440:K1440"/>
    <mergeCell ref="S1440:T1440"/>
    <mergeCell ref="U1440:V1440"/>
    <mergeCell ref="D1441:E1441"/>
    <mergeCell ref="G1441:H1441"/>
    <mergeCell ref="J1441:K1441"/>
    <mergeCell ref="D1442:E1442"/>
    <mergeCell ref="G1442:H1442"/>
    <mergeCell ref="J1442:K1442"/>
    <mergeCell ref="D1443:E1443"/>
    <mergeCell ref="G1443:H1443"/>
    <mergeCell ref="J1443:K1443"/>
    <mergeCell ref="C1445:E1445"/>
    <mergeCell ref="F1445:N1445"/>
    <mergeCell ref="R1445:Z1445"/>
    <mergeCell ref="D1446:E1446"/>
    <mergeCell ref="F1446:H1446"/>
    <mergeCell ref="I1446:K1446"/>
    <mergeCell ref="S1446:T1446"/>
    <mergeCell ref="U1446:V1446"/>
    <mergeCell ref="W1446:X1446"/>
    <mergeCell ref="Y1446:Z1446"/>
    <mergeCell ref="D1447:E1447"/>
    <mergeCell ref="G1447:H1447"/>
    <mergeCell ref="J1447:K1447"/>
    <mergeCell ref="S1447:T1447"/>
    <mergeCell ref="U1447:V1447"/>
    <mergeCell ref="W1447:X1447"/>
    <mergeCell ref="D1448:E1448"/>
    <mergeCell ref="G1448:H1448"/>
    <mergeCell ref="J1448:K1448"/>
    <mergeCell ref="S1448:T1448"/>
    <mergeCell ref="U1448:V1448"/>
    <mergeCell ref="D1449:E1449"/>
    <mergeCell ref="G1449:H1449"/>
    <mergeCell ref="J1449:K1449"/>
    <mergeCell ref="S1449:T1449"/>
    <mergeCell ref="U1449:V1449"/>
    <mergeCell ref="D1450:E1450"/>
    <mergeCell ref="G1450:H1450"/>
    <mergeCell ref="J1450:K1450"/>
    <mergeCell ref="S1450:T1450"/>
    <mergeCell ref="U1450:V1450"/>
    <mergeCell ref="D1451:E1451"/>
    <mergeCell ref="G1451:H1451"/>
    <mergeCell ref="J1451:K1451"/>
    <mergeCell ref="S1451:T1451"/>
    <mergeCell ref="U1451:V1451"/>
    <mergeCell ref="Y1451:Z1451"/>
    <mergeCell ref="D1452:E1452"/>
    <mergeCell ref="G1452:H1452"/>
    <mergeCell ref="J1452:K1452"/>
    <mergeCell ref="S1452:T1452"/>
    <mergeCell ref="U1452:V1452"/>
    <mergeCell ref="D1453:E1453"/>
    <mergeCell ref="G1453:H1453"/>
    <mergeCell ref="J1453:K1453"/>
    <mergeCell ref="S1453:T1453"/>
    <mergeCell ref="U1453:V1453"/>
    <mergeCell ref="W1453:X1453"/>
    <mergeCell ref="D1454:E1454"/>
    <mergeCell ref="G1454:H1454"/>
    <mergeCell ref="J1454:K1454"/>
    <mergeCell ref="S1454:T1454"/>
    <mergeCell ref="U1454:V1454"/>
    <mergeCell ref="Y1454:Z1454"/>
    <mergeCell ref="D1455:E1455"/>
    <mergeCell ref="G1455:H1455"/>
    <mergeCell ref="J1455:K1455"/>
    <mergeCell ref="S1455:T1455"/>
    <mergeCell ref="U1455:V1455"/>
    <mergeCell ref="D1456:E1456"/>
    <mergeCell ref="G1456:H1456"/>
    <mergeCell ref="J1456:K1456"/>
    <mergeCell ref="S1456:T1456"/>
    <mergeCell ref="U1456:V1456"/>
    <mergeCell ref="Y1456:Z1456"/>
    <mergeCell ref="D1457:E1457"/>
    <mergeCell ref="G1457:H1457"/>
    <mergeCell ref="J1457:K1457"/>
    <mergeCell ref="S1457:T1457"/>
    <mergeCell ref="U1457:V1457"/>
    <mergeCell ref="D1458:E1458"/>
    <mergeCell ref="G1458:H1458"/>
    <mergeCell ref="J1458:K1458"/>
    <mergeCell ref="D1459:E1459"/>
    <mergeCell ref="G1459:H1459"/>
    <mergeCell ref="J1459:K1459"/>
    <mergeCell ref="D1460:E1460"/>
    <mergeCell ref="G1460:H1460"/>
    <mergeCell ref="J1460:K1460"/>
    <mergeCell ref="C1462:E1462"/>
    <mergeCell ref="F1462:N1462"/>
    <mergeCell ref="R1462:Z1462"/>
    <mergeCell ref="D1463:E1463"/>
    <mergeCell ref="F1463:H1463"/>
    <mergeCell ref="I1463:K1463"/>
    <mergeCell ref="S1463:T1463"/>
    <mergeCell ref="U1463:V1463"/>
    <mergeCell ref="W1463:X1463"/>
    <mergeCell ref="Y1463:Z1463"/>
    <mergeCell ref="D1464:E1464"/>
    <mergeCell ref="G1464:H1464"/>
    <mergeCell ref="J1464:K1464"/>
    <mergeCell ref="S1464:T1464"/>
    <mergeCell ref="U1464:V1464"/>
    <mergeCell ref="W1464:X1464"/>
    <mergeCell ref="D1465:E1465"/>
    <mergeCell ref="G1465:H1465"/>
    <mergeCell ref="J1465:K1465"/>
    <mergeCell ref="S1465:T1465"/>
    <mergeCell ref="U1465:V1465"/>
    <mergeCell ref="D1466:E1466"/>
    <mergeCell ref="G1466:H1466"/>
    <mergeCell ref="J1466:K1466"/>
    <mergeCell ref="S1466:T1466"/>
    <mergeCell ref="U1466:V1466"/>
    <mergeCell ref="D1467:E1467"/>
    <mergeCell ref="G1467:H1467"/>
    <mergeCell ref="J1467:K1467"/>
    <mergeCell ref="S1467:T1467"/>
    <mergeCell ref="U1467:V1467"/>
    <mergeCell ref="D1468:E1468"/>
    <mergeCell ref="G1468:H1468"/>
    <mergeCell ref="J1468:K1468"/>
    <mergeCell ref="S1468:T1468"/>
    <mergeCell ref="U1468:V1468"/>
    <mergeCell ref="Y1468:Z1468"/>
    <mergeCell ref="D1469:E1469"/>
    <mergeCell ref="G1469:H1469"/>
    <mergeCell ref="J1469:K1469"/>
    <mergeCell ref="S1469:T1469"/>
    <mergeCell ref="U1469:V1469"/>
    <mergeCell ref="D1470:E1470"/>
    <mergeCell ref="G1470:H1470"/>
    <mergeCell ref="J1470:K1470"/>
    <mergeCell ref="S1470:T1470"/>
    <mergeCell ref="U1470:V1470"/>
    <mergeCell ref="W1470:X1470"/>
    <mergeCell ref="D1471:E1471"/>
    <mergeCell ref="G1471:H1471"/>
    <mergeCell ref="J1471:K1471"/>
    <mergeCell ref="S1471:T1471"/>
    <mergeCell ref="U1471:V1471"/>
    <mergeCell ref="Y1471:Z1471"/>
    <mergeCell ref="D1472:E1472"/>
    <mergeCell ref="G1472:H1472"/>
    <mergeCell ref="J1472:K1472"/>
    <mergeCell ref="S1472:T1472"/>
    <mergeCell ref="U1472:V1472"/>
    <mergeCell ref="D1473:E1473"/>
    <mergeCell ref="G1473:H1473"/>
    <mergeCell ref="J1473:K1473"/>
    <mergeCell ref="S1473:T1473"/>
    <mergeCell ref="U1473:V1473"/>
    <mergeCell ref="Y1473:Z1473"/>
    <mergeCell ref="D1474:E1474"/>
    <mergeCell ref="G1474:H1474"/>
    <mergeCell ref="J1474:K1474"/>
    <mergeCell ref="S1474:T1474"/>
    <mergeCell ref="U1474:V1474"/>
    <mergeCell ref="D1475:E1475"/>
    <mergeCell ref="G1475:H1475"/>
    <mergeCell ref="J1475:K1475"/>
    <mergeCell ref="D1476:E1476"/>
    <mergeCell ref="G1476:H1476"/>
    <mergeCell ref="J1476:K1476"/>
    <mergeCell ref="D1477:E1477"/>
    <mergeCell ref="G1477:H1477"/>
    <mergeCell ref="J1477:K1477"/>
    <mergeCell ref="C1479:E1479"/>
    <mergeCell ref="F1479:N1479"/>
    <mergeCell ref="R1479:Z1479"/>
    <mergeCell ref="D1480:E1480"/>
    <mergeCell ref="F1480:H1480"/>
    <mergeCell ref="I1480:K1480"/>
    <mergeCell ref="S1480:T1480"/>
    <mergeCell ref="U1480:V1480"/>
    <mergeCell ref="W1480:X1480"/>
    <mergeCell ref="Y1480:Z1480"/>
    <mergeCell ref="D1481:E1481"/>
    <mergeCell ref="G1481:H1481"/>
    <mergeCell ref="J1481:K1481"/>
    <mergeCell ref="S1481:T1481"/>
    <mergeCell ref="U1481:V1481"/>
    <mergeCell ref="W1481:X1481"/>
    <mergeCell ref="D1482:E1482"/>
    <mergeCell ref="G1482:H1482"/>
    <mergeCell ref="J1482:K1482"/>
    <mergeCell ref="S1482:T1482"/>
    <mergeCell ref="U1482:V1482"/>
    <mergeCell ref="D1483:E1483"/>
    <mergeCell ref="G1483:H1483"/>
    <mergeCell ref="J1483:K1483"/>
    <mergeCell ref="S1483:T1483"/>
    <mergeCell ref="U1483:V1483"/>
    <mergeCell ref="D1484:E1484"/>
    <mergeCell ref="G1484:H1484"/>
    <mergeCell ref="J1484:K1484"/>
    <mergeCell ref="S1484:T1484"/>
    <mergeCell ref="U1484:V1484"/>
    <mergeCell ref="D1485:E1485"/>
    <mergeCell ref="G1485:H1485"/>
    <mergeCell ref="J1485:K1485"/>
    <mergeCell ref="S1485:T1485"/>
    <mergeCell ref="U1485:V1485"/>
    <mergeCell ref="Y1485:Z1485"/>
    <mergeCell ref="D1486:E1486"/>
    <mergeCell ref="G1486:H1486"/>
    <mergeCell ref="J1486:K1486"/>
    <mergeCell ref="S1486:T1486"/>
    <mergeCell ref="U1486:V1486"/>
    <mergeCell ref="D1487:E1487"/>
    <mergeCell ref="G1487:H1487"/>
    <mergeCell ref="J1487:K1487"/>
    <mergeCell ref="S1487:T1487"/>
    <mergeCell ref="U1487:V1487"/>
    <mergeCell ref="W1487:X1487"/>
    <mergeCell ref="D1488:E1488"/>
    <mergeCell ref="G1488:H1488"/>
    <mergeCell ref="J1488:K1488"/>
    <mergeCell ref="S1488:T1488"/>
    <mergeCell ref="U1488:V1488"/>
    <mergeCell ref="Y1488:Z1488"/>
    <mergeCell ref="D1489:E1489"/>
    <mergeCell ref="G1489:H1489"/>
    <mergeCell ref="J1489:K1489"/>
    <mergeCell ref="S1489:T1489"/>
    <mergeCell ref="U1489:V1489"/>
    <mergeCell ref="D1490:E1490"/>
    <mergeCell ref="G1490:H1490"/>
    <mergeCell ref="J1490:K1490"/>
    <mergeCell ref="S1490:T1490"/>
    <mergeCell ref="U1490:V1490"/>
    <mergeCell ref="Y1490:Z1490"/>
    <mergeCell ref="D1491:E1491"/>
    <mergeCell ref="G1491:H1491"/>
    <mergeCell ref="J1491:K1491"/>
    <mergeCell ref="S1491:T1491"/>
    <mergeCell ref="U1491:V1491"/>
    <mergeCell ref="D1492:E1492"/>
    <mergeCell ref="G1492:H1492"/>
    <mergeCell ref="J1492:K1492"/>
    <mergeCell ref="D1493:E1493"/>
    <mergeCell ref="G1493:H1493"/>
    <mergeCell ref="J1493:K1493"/>
    <mergeCell ref="D1494:E1494"/>
    <mergeCell ref="G1494:H1494"/>
    <mergeCell ref="J1494:K1494"/>
    <mergeCell ref="C1496:E1496"/>
    <mergeCell ref="F1496:N1496"/>
    <mergeCell ref="R1496:Z1496"/>
    <mergeCell ref="D1497:E1497"/>
    <mergeCell ref="F1497:H1497"/>
    <mergeCell ref="I1497:K1497"/>
    <mergeCell ref="S1497:T1497"/>
    <mergeCell ref="U1497:V1497"/>
    <mergeCell ref="W1497:X1497"/>
    <mergeCell ref="Y1497:Z1497"/>
    <mergeCell ref="D1498:E1498"/>
    <mergeCell ref="G1498:H1498"/>
    <mergeCell ref="J1498:K1498"/>
    <mergeCell ref="S1498:T1498"/>
    <mergeCell ref="U1498:V1498"/>
    <mergeCell ref="W1498:X1498"/>
    <mergeCell ref="D1499:E1499"/>
    <mergeCell ref="G1499:H1499"/>
    <mergeCell ref="J1499:K1499"/>
    <mergeCell ref="S1499:T1499"/>
    <mergeCell ref="U1499:V1499"/>
    <mergeCell ref="D1500:E1500"/>
    <mergeCell ref="G1500:H1500"/>
    <mergeCell ref="J1500:K1500"/>
    <mergeCell ref="S1500:T1500"/>
    <mergeCell ref="U1500:V1500"/>
    <mergeCell ref="D1501:E1501"/>
    <mergeCell ref="G1501:H1501"/>
    <mergeCell ref="J1501:K1501"/>
    <mergeCell ref="S1501:T1501"/>
    <mergeCell ref="U1501:V1501"/>
    <mergeCell ref="D1502:E1502"/>
    <mergeCell ref="G1502:H1502"/>
    <mergeCell ref="J1502:K1502"/>
    <mergeCell ref="S1502:T1502"/>
    <mergeCell ref="U1502:V1502"/>
    <mergeCell ref="Y1502:Z1502"/>
    <mergeCell ref="D1503:E1503"/>
    <mergeCell ref="G1503:H1503"/>
    <mergeCell ref="J1503:K1503"/>
    <mergeCell ref="S1503:T1503"/>
    <mergeCell ref="U1503:V1503"/>
    <mergeCell ref="D1504:E1504"/>
    <mergeCell ref="G1504:H1504"/>
    <mergeCell ref="J1504:K1504"/>
    <mergeCell ref="S1504:T1504"/>
    <mergeCell ref="U1504:V1504"/>
    <mergeCell ref="W1504:X1504"/>
    <mergeCell ref="D1505:E1505"/>
    <mergeCell ref="G1505:H1505"/>
    <mergeCell ref="J1505:K1505"/>
    <mergeCell ref="S1505:T1505"/>
    <mergeCell ref="U1505:V1505"/>
    <mergeCell ref="Y1505:Z1505"/>
    <mergeCell ref="D1506:E1506"/>
    <mergeCell ref="G1506:H1506"/>
    <mergeCell ref="J1506:K1506"/>
    <mergeCell ref="S1506:T1506"/>
    <mergeCell ref="U1506:V1506"/>
    <mergeCell ref="D1507:E1507"/>
    <mergeCell ref="G1507:H1507"/>
    <mergeCell ref="J1507:K1507"/>
    <mergeCell ref="S1507:T1507"/>
    <mergeCell ref="U1507:V1507"/>
    <mergeCell ref="Y1507:Z1507"/>
    <mergeCell ref="D1508:E1508"/>
    <mergeCell ref="G1508:H1508"/>
    <mergeCell ref="J1508:K1508"/>
    <mergeCell ref="S1508:T1508"/>
    <mergeCell ref="U1508:V1508"/>
    <mergeCell ref="D1509:E1509"/>
    <mergeCell ref="G1509:H1509"/>
    <mergeCell ref="J1509:K1509"/>
    <mergeCell ref="D1510:E1510"/>
    <mergeCell ref="G1510:H1510"/>
    <mergeCell ref="J1510:K1510"/>
    <mergeCell ref="D1511:E1511"/>
    <mergeCell ref="G1511:H1511"/>
    <mergeCell ref="J1511:K1511"/>
    <mergeCell ref="C1513:E1513"/>
    <mergeCell ref="F1513:N1513"/>
    <mergeCell ref="R1513:Z1513"/>
    <mergeCell ref="D1514:E1514"/>
    <mergeCell ref="F1514:H1514"/>
    <mergeCell ref="I1514:K1514"/>
    <mergeCell ref="S1514:T1514"/>
    <mergeCell ref="U1514:V1514"/>
    <mergeCell ref="W1514:X1514"/>
    <mergeCell ref="Y1514:Z1514"/>
    <mergeCell ref="D1515:E1515"/>
    <mergeCell ref="G1515:H1515"/>
    <mergeCell ref="J1515:K1515"/>
    <mergeCell ref="S1515:T1515"/>
    <mergeCell ref="U1515:V1515"/>
    <mergeCell ref="W1515:X1515"/>
    <mergeCell ref="D1516:E1516"/>
    <mergeCell ref="G1516:H1516"/>
    <mergeCell ref="J1516:K1516"/>
    <mergeCell ref="S1516:T1516"/>
    <mergeCell ref="U1516:V1516"/>
    <mergeCell ref="D1517:E1517"/>
    <mergeCell ref="G1517:H1517"/>
    <mergeCell ref="J1517:K1517"/>
    <mergeCell ref="S1517:T1517"/>
    <mergeCell ref="U1517:V1517"/>
    <mergeCell ref="D1518:E1518"/>
    <mergeCell ref="G1518:H1518"/>
    <mergeCell ref="J1518:K1518"/>
    <mergeCell ref="S1518:T1518"/>
    <mergeCell ref="U1518:V1518"/>
    <mergeCell ref="D1519:E1519"/>
    <mergeCell ref="G1519:H1519"/>
    <mergeCell ref="J1519:K1519"/>
    <mergeCell ref="S1519:T1519"/>
    <mergeCell ref="U1519:V1519"/>
    <mergeCell ref="Y1519:Z1519"/>
    <mergeCell ref="D1520:E1520"/>
    <mergeCell ref="G1520:H1520"/>
    <mergeCell ref="J1520:K1520"/>
    <mergeCell ref="S1520:T1520"/>
    <mergeCell ref="U1520:V1520"/>
    <mergeCell ref="D1521:E1521"/>
    <mergeCell ref="G1521:H1521"/>
    <mergeCell ref="J1521:K1521"/>
    <mergeCell ref="S1521:T1521"/>
    <mergeCell ref="U1521:V1521"/>
    <mergeCell ref="W1521:X1521"/>
    <mergeCell ref="D1522:E1522"/>
    <mergeCell ref="G1522:H1522"/>
    <mergeCell ref="J1522:K1522"/>
    <mergeCell ref="S1522:T1522"/>
    <mergeCell ref="U1522:V1522"/>
    <mergeCell ref="Y1522:Z1522"/>
    <mergeCell ref="D1523:E1523"/>
    <mergeCell ref="G1523:H1523"/>
    <mergeCell ref="J1523:K1523"/>
    <mergeCell ref="S1523:T1523"/>
    <mergeCell ref="U1523:V1523"/>
    <mergeCell ref="D1524:E1524"/>
    <mergeCell ref="G1524:H1524"/>
    <mergeCell ref="J1524:K1524"/>
    <mergeCell ref="S1524:T1524"/>
    <mergeCell ref="U1524:V1524"/>
    <mergeCell ref="Y1524:Z1524"/>
    <mergeCell ref="D1525:E1525"/>
    <mergeCell ref="G1525:H1525"/>
    <mergeCell ref="J1525:K1525"/>
    <mergeCell ref="S1525:T1525"/>
    <mergeCell ref="U1525:V1525"/>
    <mergeCell ref="D1526:E1526"/>
    <mergeCell ref="G1526:H1526"/>
    <mergeCell ref="J1526:K1526"/>
    <mergeCell ref="D1527:E1527"/>
    <mergeCell ref="G1527:H1527"/>
    <mergeCell ref="J1527:K1527"/>
    <mergeCell ref="D1528:E1528"/>
    <mergeCell ref="G1528:H1528"/>
    <mergeCell ref="J1528:K1528"/>
    <mergeCell ref="C1530:E1530"/>
    <mergeCell ref="F1530:N1530"/>
    <mergeCell ref="R1530:Z1530"/>
    <mergeCell ref="D1531:E1531"/>
    <mergeCell ref="F1531:H1531"/>
    <mergeCell ref="I1531:K1531"/>
    <mergeCell ref="S1531:T1531"/>
    <mergeCell ref="U1531:V1531"/>
    <mergeCell ref="W1531:X1531"/>
    <mergeCell ref="Y1531:Z1531"/>
    <mergeCell ref="D1532:E1532"/>
    <mergeCell ref="G1532:H1532"/>
    <mergeCell ref="J1532:K1532"/>
    <mergeCell ref="S1532:T1532"/>
    <mergeCell ref="U1532:V1532"/>
    <mergeCell ref="W1532:X1532"/>
    <mergeCell ref="D1533:E1533"/>
    <mergeCell ref="G1533:H1533"/>
    <mergeCell ref="J1533:K1533"/>
    <mergeCell ref="S1533:T1533"/>
    <mergeCell ref="U1533:V1533"/>
    <mergeCell ref="D1534:E1534"/>
    <mergeCell ref="G1534:H1534"/>
    <mergeCell ref="J1534:K1534"/>
    <mergeCell ref="S1534:T1534"/>
    <mergeCell ref="U1534:V1534"/>
    <mergeCell ref="D1535:E1535"/>
    <mergeCell ref="G1535:H1535"/>
    <mergeCell ref="J1535:K1535"/>
    <mergeCell ref="S1535:T1535"/>
    <mergeCell ref="U1535:V1535"/>
    <mergeCell ref="D1536:E1536"/>
    <mergeCell ref="G1536:H1536"/>
    <mergeCell ref="J1536:K1536"/>
    <mergeCell ref="S1536:T1536"/>
    <mergeCell ref="U1536:V1536"/>
    <mergeCell ref="Y1536:Z1536"/>
    <mergeCell ref="D1537:E1537"/>
    <mergeCell ref="G1537:H1537"/>
    <mergeCell ref="J1537:K1537"/>
    <mergeCell ref="S1537:T1537"/>
    <mergeCell ref="U1537:V1537"/>
    <mergeCell ref="D1538:E1538"/>
    <mergeCell ref="G1538:H1538"/>
    <mergeCell ref="J1538:K1538"/>
    <mergeCell ref="S1538:T1538"/>
    <mergeCell ref="U1538:V1538"/>
    <mergeCell ref="W1538:X1538"/>
    <mergeCell ref="D1539:E1539"/>
    <mergeCell ref="G1539:H1539"/>
    <mergeCell ref="J1539:K1539"/>
    <mergeCell ref="S1539:T1539"/>
    <mergeCell ref="U1539:V1539"/>
    <mergeCell ref="Y1539:Z1539"/>
    <mergeCell ref="D1540:E1540"/>
    <mergeCell ref="G1540:H1540"/>
    <mergeCell ref="J1540:K1540"/>
    <mergeCell ref="S1540:T1540"/>
    <mergeCell ref="U1540:V1540"/>
    <mergeCell ref="D1541:E1541"/>
    <mergeCell ref="G1541:H1541"/>
    <mergeCell ref="J1541:K1541"/>
    <mergeCell ref="S1541:T1541"/>
    <mergeCell ref="U1541:V1541"/>
    <mergeCell ref="Y1541:Z1541"/>
    <mergeCell ref="D1542:E1542"/>
    <mergeCell ref="G1542:H1542"/>
    <mergeCell ref="J1542:K1542"/>
    <mergeCell ref="S1542:T1542"/>
    <mergeCell ref="U1542:V1542"/>
    <mergeCell ref="D1543:E1543"/>
    <mergeCell ref="G1543:H1543"/>
    <mergeCell ref="J1543:K1543"/>
    <mergeCell ref="D1544:E1544"/>
    <mergeCell ref="G1544:H1544"/>
    <mergeCell ref="J1544:K1544"/>
    <mergeCell ref="D1545:E1545"/>
    <mergeCell ref="G1545:H1545"/>
    <mergeCell ref="J1545:K1545"/>
    <mergeCell ref="C1547:E1547"/>
    <mergeCell ref="F1547:N1547"/>
    <mergeCell ref="R1547:Z1547"/>
    <mergeCell ref="D1548:E1548"/>
    <mergeCell ref="F1548:H1548"/>
    <mergeCell ref="I1548:K1548"/>
    <mergeCell ref="S1548:T1548"/>
    <mergeCell ref="U1548:V1548"/>
    <mergeCell ref="W1548:X1548"/>
    <mergeCell ref="Y1548:Z1548"/>
    <mergeCell ref="D1549:E1549"/>
    <mergeCell ref="G1549:H1549"/>
    <mergeCell ref="J1549:K1549"/>
    <mergeCell ref="S1549:T1549"/>
    <mergeCell ref="U1549:V1549"/>
    <mergeCell ref="W1549:X1549"/>
    <mergeCell ref="D1550:E1550"/>
    <mergeCell ref="G1550:H1550"/>
    <mergeCell ref="J1550:K1550"/>
    <mergeCell ref="S1550:T1550"/>
    <mergeCell ref="U1550:V1550"/>
    <mergeCell ref="D1551:E1551"/>
    <mergeCell ref="G1551:H1551"/>
    <mergeCell ref="J1551:K1551"/>
    <mergeCell ref="S1551:T1551"/>
    <mergeCell ref="U1551:V1551"/>
    <mergeCell ref="D1552:E1552"/>
    <mergeCell ref="G1552:H1552"/>
    <mergeCell ref="J1552:K1552"/>
    <mergeCell ref="S1552:T1552"/>
    <mergeCell ref="U1552:V1552"/>
    <mergeCell ref="D1553:E1553"/>
    <mergeCell ref="G1553:H1553"/>
    <mergeCell ref="J1553:K1553"/>
    <mergeCell ref="S1553:T1553"/>
    <mergeCell ref="U1553:V1553"/>
    <mergeCell ref="Y1553:Z1553"/>
    <mergeCell ref="D1554:E1554"/>
    <mergeCell ref="G1554:H1554"/>
    <mergeCell ref="J1554:K1554"/>
    <mergeCell ref="S1554:T1554"/>
    <mergeCell ref="U1554:V1554"/>
    <mergeCell ref="D1555:E1555"/>
    <mergeCell ref="G1555:H1555"/>
    <mergeCell ref="J1555:K1555"/>
    <mergeCell ref="S1555:T1555"/>
    <mergeCell ref="U1555:V1555"/>
    <mergeCell ref="W1555:X1555"/>
    <mergeCell ref="D1556:E1556"/>
    <mergeCell ref="G1556:H1556"/>
    <mergeCell ref="J1556:K1556"/>
    <mergeCell ref="S1556:T1556"/>
    <mergeCell ref="U1556:V1556"/>
    <mergeCell ref="Y1556:Z1556"/>
    <mergeCell ref="D1557:E1557"/>
    <mergeCell ref="G1557:H1557"/>
    <mergeCell ref="J1557:K1557"/>
    <mergeCell ref="S1557:T1557"/>
    <mergeCell ref="U1557:V1557"/>
    <mergeCell ref="D1558:E1558"/>
    <mergeCell ref="G1558:H1558"/>
    <mergeCell ref="J1558:K1558"/>
    <mergeCell ref="S1558:T1558"/>
    <mergeCell ref="U1558:V1558"/>
    <mergeCell ref="Y1558:Z1558"/>
    <mergeCell ref="D1559:E1559"/>
    <mergeCell ref="G1559:H1559"/>
    <mergeCell ref="J1559:K1559"/>
    <mergeCell ref="S1559:T1559"/>
    <mergeCell ref="U1559:V1559"/>
    <mergeCell ref="D1560:E1560"/>
    <mergeCell ref="G1560:H1560"/>
    <mergeCell ref="J1560:K1560"/>
    <mergeCell ref="D1561:E1561"/>
    <mergeCell ref="G1561:H1561"/>
    <mergeCell ref="J1561:K1561"/>
    <mergeCell ref="D1562:E1562"/>
    <mergeCell ref="G1562:H1562"/>
    <mergeCell ref="J1562:K1562"/>
    <mergeCell ref="C1564:E1564"/>
    <mergeCell ref="F1564:N1564"/>
    <mergeCell ref="R1564:Z1564"/>
    <mergeCell ref="D1565:E1565"/>
    <mergeCell ref="F1565:H1565"/>
    <mergeCell ref="I1565:K1565"/>
    <mergeCell ref="S1565:T1565"/>
    <mergeCell ref="U1565:V1565"/>
    <mergeCell ref="W1565:X1565"/>
    <mergeCell ref="Y1565:Z1565"/>
    <mergeCell ref="D1566:E1566"/>
    <mergeCell ref="G1566:H1566"/>
    <mergeCell ref="J1566:K1566"/>
    <mergeCell ref="S1566:T1566"/>
    <mergeCell ref="U1566:V1566"/>
    <mergeCell ref="W1566:X1566"/>
    <mergeCell ref="D1567:E1567"/>
    <mergeCell ref="G1567:H1567"/>
    <mergeCell ref="J1567:K1567"/>
    <mergeCell ref="S1567:T1567"/>
    <mergeCell ref="U1567:V1567"/>
    <mergeCell ref="D1568:E1568"/>
    <mergeCell ref="G1568:H1568"/>
    <mergeCell ref="J1568:K1568"/>
    <mergeCell ref="S1568:T1568"/>
    <mergeCell ref="U1568:V1568"/>
    <mergeCell ref="D1569:E1569"/>
    <mergeCell ref="G1569:H1569"/>
    <mergeCell ref="J1569:K1569"/>
    <mergeCell ref="S1569:T1569"/>
    <mergeCell ref="U1569:V1569"/>
    <mergeCell ref="D1570:E1570"/>
    <mergeCell ref="G1570:H1570"/>
    <mergeCell ref="J1570:K1570"/>
    <mergeCell ref="S1570:T1570"/>
    <mergeCell ref="U1570:V1570"/>
    <mergeCell ref="Y1570:Z1570"/>
    <mergeCell ref="D1571:E1571"/>
    <mergeCell ref="G1571:H1571"/>
    <mergeCell ref="J1571:K1571"/>
    <mergeCell ref="S1571:T1571"/>
    <mergeCell ref="U1571:V1571"/>
    <mergeCell ref="D1572:E1572"/>
    <mergeCell ref="G1572:H1572"/>
    <mergeCell ref="J1572:K1572"/>
    <mergeCell ref="S1572:T1572"/>
    <mergeCell ref="U1572:V1572"/>
    <mergeCell ref="W1572:X1572"/>
    <mergeCell ref="D1573:E1573"/>
    <mergeCell ref="G1573:H1573"/>
    <mergeCell ref="J1573:K1573"/>
    <mergeCell ref="S1573:T1573"/>
    <mergeCell ref="U1573:V1573"/>
    <mergeCell ref="Y1573:Z1573"/>
    <mergeCell ref="D1574:E1574"/>
    <mergeCell ref="G1574:H1574"/>
    <mergeCell ref="J1574:K1574"/>
    <mergeCell ref="S1574:T1574"/>
    <mergeCell ref="U1574:V1574"/>
    <mergeCell ref="D1575:E1575"/>
    <mergeCell ref="G1575:H1575"/>
    <mergeCell ref="J1575:K1575"/>
    <mergeCell ref="S1575:T1575"/>
    <mergeCell ref="U1575:V1575"/>
    <mergeCell ref="Y1575:Z1575"/>
    <mergeCell ref="D1576:E1576"/>
    <mergeCell ref="G1576:H1576"/>
    <mergeCell ref="J1576:K1576"/>
    <mergeCell ref="S1576:T1576"/>
    <mergeCell ref="U1576:V1576"/>
    <mergeCell ref="D1577:E1577"/>
    <mergeCell ref="G1577:H1577"/>
    <mergeCell ref="J1577:K1577"/>
    <mergeCell ref="D1578:E1578"/>
    <mergeCell ref="G1578:H1578"/>
    <mergeCell ref="J1578:K1578"/>
    <mergeCell ref="D1579:E1579"/>
    <mergeCell ref="G1579:H1579"/>
    <mergeCell ref="J1579:K1579"/>
    <mergeCell ref="C1581:E1581"/>
    <mergeCell ref="F1581:N1581"/>
    <mergeCell ref="R1581:Z1581"/>
    <mergeCell ref="D1582:E1582"/>
    <mergeCell ref="F1582:H1582"/>
    <mergeCell ref="I1582:K1582"/>
    <mergeCell ref="S1582:T1582"/>
    <mergeCell ref="U1582:V1582"/>
    <mergeCell ref="W1582:X1582"/>
    <mergeCell ref="Y1582:Z1582"/>
    <mergeCell ref="D1583:E1583"/>
    <mergeCell ref="G1583:H1583"/>
    <mergeCell ref="J1583:K1583"/>
    <mergeCell ref="S1583:T1583"/>
    <mergeCell ref="U1583:V1583"/>
    <mergeCell ref="W1583:X1583"/>
    <mergeCell ref="D1584:E1584"/>
    <mergeCell ref="G1584:H1584"/>
    <mergeCell ref="J1584:K1584"/>
    <mergeCell ref="S1584:T1584"/>
    <mergeCell ref="U1584:V1584"/>
    <mergeCell ref="D1585:E1585"/>
    <mergeCell ref="G1585:H1585"/>
    <mergeCell ref="J1585:K1585"/>
    <mergeCell ref="S1585:T1585"/>
    <mergeCell ref="U1585:V1585"/>
    <mergeCell ref="D1586:E1586"/>
    <mergeCell ref="G1586:H1586"/>
    <mergeCell ref="J1586:K1586"/>
    <mergeCell ref="S1586:T1586"/>
    <mergeCell ref="U1586:V1586"/>
    <mergeCell ref="D1587:E1587"/>
    <mergeCell ref="G1587:H1587"/>
    <mergeCell ref="J1587:K1587"/>
    <mergeCell ref="S1587:T1587"/>
    <mergeCell ref="U1587:V1587"/>
    <mergeCell ref="Y1587:Z1587"/>
    <mergeCell ref="D1588:E1588"/>
    <mergeCell ref="G1588:H1588"/>
    <mergeCell ref="J1588:K1588"/>
    <mergeCell ref="S1588:T1588"/>
    <mergeCell ref="U1588:V1588"/>
    <mergeCell ref="D1589:E1589"/>
    <mergeCell ref="G1589:H1589"/>
    <mergeCell ref="J1589:K1589"/>
    <mergeCell ref="S1589:T1589"/>
    <mergeCell ref="U1589:V1589"/>
    <mergeCell ref="W1589:X1589"/>
    <mergeCell ref="D1590:E1590"/>
    <mergeCell ref="G1590:H1590"/>
    <mergeCell ref="J1590:K1590"/>
    <mergeCell ref="S1590:T1590"/>
    <mergeCell ref="U1590:V1590"/>
    <mergeCell ref="Y1590:Z1590"/>
    <mergeCell ref="D1591:E1591"/>
    <mergeCell ref="G1591:H1591"/>
    <mergeCell ref="J1591:K1591"/>
    <mergeCell ref="S1591:T1591"/>
    <mergeCell ref="U1591:V1591"/>
    <mergeCell ref="D1592:E1592"/>
    <mergeCell ref="G1592:H1592"/>
    <mergeCell ref="J1592:K1592"/>
    <mergeCell ref="S1592:T1592"/>
    <mergeCell ref="U1592:V1592"/>
    <mergeCell ref="Y1592:Z1592"/>
    <mergeCell ref="D1593:E1593"/>
    <mergeCell ref="G1593:H1593"/>
    <mergeCell ref="J1593:K1593"/>
    <mergeCell ref="S1593:T1593"/>
    <mergeCell ref="U1593:V1593"/>
    <mergeCell ref="D1594:E1594"/>
    <mergeCell ref="G1594:H1594"/>
    <mergeCell ref="J1594:K1594"/>
    <mergeCell ref="D1595:E1595"/>
    <mergeCell ref="G1595:H1595"/>
    <mergeCell ref="J1595:K1595"/>
    <mergeCell ref="D1596:E1596"/>
    <mergeCell ref="G1596:H1596"/>
    <mergeCell ref="J1596:K1596"/>
    <mergeCell ref="C1598:E1598"/>
    <mergeCell ref="F1598:N1598"/>
    <mergeCell ref="R1598:Z1598"/>
    <mergeCell ref="D1599:E1599"/>
    <mergeCell ref="F1599:H1599"/>
    <mergeCell ref="I1599:K1599"/>
    <mergeCell ref="S1599:T1599"/>
    <mergeCell ref="U1599:V1599"/>
    <mergeCell ref="W1599:X1599"/>
    <mergeCell ref="Y1599:Z1599"/>
    <mergeCell ref="D1600:E1600"/>
    <mergeCell ref="G1600:H1600"/>
    <mergeCell ref="J1600:K1600"/>
    <mergeCell ref="S1600:T1600"/>
    <mergeCell ref="U1600:V1600"/>
    <mergeCell ref="W1600:X1600"/>
    <mergeCell ref="D1601:E1601"/>
    <mergeCell ref="G1601:H1601"/>
    <mergeCell ref="J1601:K1601"/>
    <mergeCell ref="S1601:T1601"/>
    <mergeCell ref="U1601:V1601"/>
    <mergeCell ref="D1602:E1602"/>
    <mergeCell ref="G1602:H1602"/>
    <mergeCell ref="J1602:K1602"/>
    <mergeCell ref="S1602:T1602"/>
    <mergeCell ref="U1602:V1602"/>
    <mergeCell ref="D1603:E1603"/>
    <mergeCell ref="G1603:H1603"/>
    <mergeCell ref="J1603:K1603"/>
    <mergeCell ref="S1603:T1603"/>
    <mergeCell ref="U1603:V1603"/>
    <mergeCell ref="D1604:E1604"/>
    <mergeCell ref="G1604:H1604"/>
    <mergeCell ref="J1604:K1604"/>
    <mergeCell ref="S1604:T1604"/>
    <mergeCell ref="U1604:V1604"/>
    <mergeCell ref="Y1604:Z1604"/>
    <mergeCell ref="D1605:E1605"/>
    <mergeCell ref="G1605:H1605"/>
    <mergeCell ref="J1605:K1605"/>
    <mergeCell ref="S1605:T1605"/>
    <mergeCell ref="U1605:V1605"/>
    <mergeCell ref="D1606:E1606"/>
    <mergeCell ref="G1606:H1606"/>
    <mergeCell ref="J1606:K1606"/>
    <mergeCell ref="S1606:T1606"/>
    <mergeCell ref="U1606:V1606"/>
    <mergeCell ref="W1606:X1606"/>
    <mergeCell ref="D1607:E1607"/>
    <mergeCell ref="G1607:H1607"/>
    <mergeCell ref="J1607:K1607"/>
    <mergeCell ref="S1607:T1607"/>
    <mergeCell ref="U1607:V1607"/>
    <mergeCell ref="Y1607:Z1607"/>
    <mergeCell ref="D1608:E1608"/>
    <mergeCell ref="G1608:H1608"/>
    <mergeCell ref="J1608:K1608"/>
    <mergeCell ref="S1608:T1608"/>
    <mergeCell ref="U1608:V1608"/>
    <mergeCell ref="D1609:E1609"/>
    <mergeCell ref="G1609:H1609"/>
    <mergeCell ref="J1609:K1609"/>
    <mergeCell ref="S1609:T1609"/>
    <mergeCell ref="U1609:V1609"/>
    <mergeCell ref="Y1609:Z1609"/>
    <mergeCell ref="D1610:E1610"/>
    <mergeCell ref="G1610:H1610"/>
    <mergeCell ref="J1610:K1610"/>
    <mergeCell ref="S1610:T1610"/>
    <mergeCell ref="U1610:V1610"/>
    <mergeCell ref="D1611:E1611"/>
    <mergeCell ref="G1611:H1611"/>
    <mergeCell ref="J1611:K1611"/>
    <mergeCell ref="D1612:E1612"/>
    <mergeCell ref="G1612:H1612"/>
    <mergeCell ref="J1612:K1612"/>
    <mergeCell ref="D1613:E1613"/>
    <mergeCell ref="G1613:H1613"/>
    <mergeCell ref="J1613:K1613"/>
    <mergeCell ref="C1615:E1615"/>
    <mergeCell ref="F1615:N1615"/>
    <mergeCell ref="R1615:Z1615"/>
    <mergeCell ref="D1616:E1616"/>
    <mergeCell ref="F1616:H1616"/>
    <mergeCell ref="I1616:K1616"/>
    <mergeCell ref="S1616:T1616"/>
    <mergeCell ref="U1616:V1616"/>
    <mergeCell ref="W1616:X1616"/>
    <mergeCell ref="Y1616:Z1616"/>
    <mergeCell ref="D1617:E1617"/>
    <mergeCell ref="G1617:H1617"/>
    <mergeCell ref="J1617:K1617"/>
    <mergeCell ref="S1617:T1617"/>
    <mergeCell ref="U1617:V1617"/>
    <mergeCell ref="W1617:X1617"/>
    <mergeCell ref="D1618:E1618"/>
    <mergeCell ref="G1618:H1618"/>
    <mergeCell ref="J1618:K1618"/>
    <mergeCell ref="S1618:T1618"/>
    <mergeCell ref="U1618:V1618"/>
    <mergeCell ref="D1619:E1619"/>
    <mergeCell ref="G1619:H1619"/>
    <mergeCell ref="J1619:K1619"/>
    <mergeCell ref="S1619:T1619"/>
    <mergeCell ref="U1619:V1619"/>
    <mergeCell ref="D1620:E1620"/>
    <mergeCell ref="G1620:H1620"/>
    <mergeCell ref="J1620:K1620"/>
    <mergeCell ref="S1620:T1620"/>
    <mergeCell ref="U1620:V1620"/>
    <mergeCell ref="D1621:E1621"/>
    <mergeCell ref="G1621:H1621"/>
    <mergeCell ref="J1621:K1621"/>
    <mergeCell ref="S1621:T1621"/>
    <mergeCell ref="U1621:V1621"/>
    <mergeCell ref="Y1621:Z1621"/>
    <mergeCell ref="D1622:E1622"/>
    <mergeCell ref="G1622:H1622"/>
    <mergeCell ref="J1622:K1622"/>
    <mergeCell ref="S1622:T1622"/>
    <mergeCell ref="U1622:V1622"/>
    <mergeCell ref="D1623:E1623"/>
    <mergeCell ref="G1623:H1623"/>
    <mergeCell ref="J1623:K1623"/>
    <mergeCell ref="S1623:T1623"/>
    <mergeCell ref="U1623:V1623"/>
    <mergeCell ref="W1623:X1623"/>
    <mergeCell ref="D1624:E1624"/>
    <mergeCell ref="G1624:H1624"/>
    <mergeCell ref="J1624:K1624"/>
    <mergeCell ref="S1624:T1624"/>
    <mergeCell ref="U1624:V1624"/>
    <mergeCell ref="Y1624:Z1624"/>
    <mergeCell ref="D1625:E1625"/>
    <mergeCell ref="G1625:H1625"/>
    <mergeCell ref="J1625:K1625"/>
    <mergeCell ref="S1625:T1625"/>
    <mergeCell ref="U1625:V1625"/>
    <mergeCell ref="D1626:E1626"/>
    <mergeCell ref="G1626:H1626"/>
    <mergeCell ref="J1626:K1626"/>
    <mergeCell ref="S1626:T1626"/>
    <mergeCell ref="U1626:V1626"/>
    <mergeCell ref="Y1626:Z1626"/>
    <mergeCell ref="D1627:E1627"/>
    <mergeCell ref="G1627:H1627"/>
    <mergeCell ref="J1627:K1627"/>
    <mergeCell ref="S1627:T1627"/>
    <mergeCell ref="U1627:V1627"/>
    <mergeCell ref="D1628:E1628"/>
    <mergeCell ref="G1628:H1628"/>
    <mergeCell ref="J1628:K1628"/>
    <mergeCell ref="D1629:E1629"/>
    <mergeCell ref="G1629:H1629"/>
    <mergeCell ref="J1629:K1629"/>
    <mergeCell ref="D1630:E1630"/>
    <mergeCell ref="G1630:H1630"/>
    <mergeCell ref="J1630:K1630"/>
    <mergeCell ref="C1632:E1632"/>
    <mergeCell ref="F1632:N1632"/>
    <mergeCell ref="R1632:Z1632"/>
    <mergeCell ref="D1633:E1633"/>
    <mergeCell ref="F1633:H1633"/>
    <mergeCell ref="I1633:K1633"/>
    <mergeCell ref="S1633:T1633"/>
    <mergeCell ref="U1633:V1633"/>
    <mergeCell ref="W1633:X1633"/>
    <mergeCell ref="Y1633:Z1633"/>
    <mergeCell ref="D1634:E1634"/>
    <mergeCell ref="G1634:H1634"/>
    <mergeCell ref="J1634:K1634"/>
    <mergeCell ref="S1634:T1634"/>
    <mergeCell ref="U1634:V1634"/>
    <mergeCell ref="W1634:X1634"/>
    <mergeCell ref="D1635:E1635"/>
    <mergeCell ref="G1635:H1635"/>
    <mergeCell ref="J1635:K1635"/>
    <mergeCell ref="S1635:T1635"/>
    <mergeCell ref="U1635:V1635"/>
    <mergeCell ref="D1636:E1636"/>
    <mergeCell ref="G1636:H1636"/>
    <mergeCell ref="J1636:K1636"/>
    <mergeCell ref="S1636:T1636"/>
    <mergeCell ref="U1636:V1636"/>
    <mergeCell ref="D1637:E1637"/>
    <mergeCell ref="G1637:H1637"/>
    <mergeCell ref="J1637:K1637"/>
    <mergeCell ref="S1637:T1637"/>
    <mergeCell ref="U1637:V1637"/>
    <mergeCell ref="D1638:E1638"/>
    <mergeCell ref="G1638:H1638"/>
    <mergeCell ref="J1638:K1638"/>
    <mergeCell ref="S1638:T1638"/>
    <mergeCell ref="U1638:V1638"/>
    <mergeCell ref="Y1638:Z1638"/>
    <mergeCell ref="D1639:E1639"/>
    <mergeCell ref="G1639:H1639"/>
    <mergeCell ref="J1639:K1639"/>
    <mergeCell ref="S1639:T1639"/>
    <mergeCell ref="U1639:V1639"/>
    <mergeCell ref="D1640:E1640"/>
    <mergeCell ref="G1640:H1640"/>
    <mergeCell ref="J1640:K1640"/>
    <mergeCell ref="S1640:T1640"/>
    <mergeCell ref="U1640:V1640"/>
    <mergeCell ref="W1640:X1640"/>
    <mergeCell ref="D1641:E1641"/>
    <mergeCell ref="G1641:H1641"/>
    <mergeCell ref="J1641:K1641"/>
    <mergeCell ref="S1641:T1641"/>
    <mergeCell ref="U1641:V1641"/>
    <mergeCell ref="Y1641:Z1641"/>
    <mergeCell ref="D1642:E1642"/>
    <mergeCell ref="G1642:H1642"/>
    <mergeCell ref="J1642:K1642"/>
    <mergeCell ref="S1642:T1642"/>
    <mergeCell ref="U1642:V1642"/>
    <mergeCell ref="D1643:E1643"/>
    <mergeCell ref="G1643:H1643"/>
    <mergeCell ref="J1643:K1643"/>
    <mergeCell ref="S1643:T1643"/>
    <mergeCell ref="U1643:V1643"/>
    <mergeCell ref="Y1643:Z1643"/>
    <mergeCell ref="D1644:E1644"/>
    <mergeCell ref="G1644:H1644"/>
    <mergeCell ref="J1644:K1644"/>
    <mergeCell ref="S1644:T1644"/>
    <mergeCell ref="U1644:V1644"/>
    <mergeCell ref="D1645:E1645"/>
    <mergeCell ref="G1645:H1645"/>
    <mergeCell ref="J1645:K1645"/>
    <mergeCell ref="D1646:E1646"/>
    <mergeCell ref="G1646:H1646"/>
    <mergeCell ref="J1646:K1646"/>
    <mergeCell ref="D1647:E1647"/>
    <mergeCell ref="G1647:H1647"/>
    <mergeCell ref="J1647:K1647"/>
    <mergeCell ref="C1649:E1649"/>
    <mergeCell ref="F1649:N1649"/>
    <mergeCell ref="R1649:Z1649"/>
    <mergeCell ref="D1650:E1650"/>
    <mergeCell ref="F1650:H1650"/>
    <mergeCell ref="I1650:K1650"/>
    <mergeCell ref="S1650:T1650"/>
    <mergeCell ref="U1650:V1650"/>
    <mergeCell ref="W1650:X1650"/>
    <mergeCell ref="Y1650:Z1650"/>
    <mergeCell ref="D1651:E1651"/>
    <mergeCell ref="G1651:H1651"/>
    <mergeCell ref="J1651:K1651"/>
    <mergeCell ref="S1651:T1651"/>
    <mergeCell ref="U1651:V1651"/>
    <mergeCell ref="W1651:X1651"/>
    <mergeCell ref="D1652:E1652"/>
    <mergeCell ref="G1652:H1652"/>
    <mergeCell ref="J1652:K1652"/>
    <mergeCell ref="S1652:T1652"/>
    <mergeCell ref="U1652:V1652"/>
    <mergeCell ref="D1653:E1653"/>
    <mergeCell ref="G1653:H1653"/>
    <mergeCell ref="J1653:K1653"/>
    <mergeCell ref="S1653:T1653"/>
    <mergeCell ref="U1653:V1653"/>
    <mergeCell ref="D1654:E1654"/>
    <mergeCell ref="G1654:H1654"/>
    <mergeCell ref="J1654:K1654"/>
    <mergeCell ref="S1654:T1654"/>
    <mergeCell ref="U1654:V1654"/>
    <mergeCell ref="D1655:E1655"/>
    <mergeCell ref="G1655:H1655"/>
    <mergeCell ref="J1655:K1655"/>
    <mergeCell ref="S1655:T1655"/>
    <mergeCell ref="U1655:V1655"/>
    <mergeCell ref="Y1655:Z1655"/>
    <mergeCell ref="D1656:E1656"/>
    <mergeCell ref="G1656:H1656"/>
    <mergeCell ref="J1656:K1656"/>
    <mergeCell ref="S1656:T1656"/>
    <mergeCell ref="U1656:V1656"/>
    <mergeCell ref="D1657:E1657"/>
    <mergeCell ref="G1657:H1657"/>
    <mergeCell ref="J1657:K1657"/>
    <mergeCell ref="S1657:T1657"/>
    <mergeCell ref="U1657:V1657"/>
    <mergeCell ref="W1657:X1657"/>
    <mergeCell ref="D1658:E1658"/>
    <mergeCell ref="G1658:H1658"/>
    <mergeCell ref="J1658:K1658"/>
    <mergeCell ref="S1658:T1658"/>
    <mergeCell ref="U1658:V1658"/>
    <mergeCell ref="Y1658:Z1658"/>
    <mergeCell ref="D1659:E1659"/>
    <mergeCell ref="G1659:H1659"/>
    <mergeCell ref="J1659:K1659"/>
    <mergeCell ref="S1659:T1659"/>
    <mergeCell ref="U1659:V1659"/>
    <mergeCell ref="D1660:E1660"/>
    <mergeCell ref="G1660:H1660"/>
    <mergeCell ref="J1660:K1660"/>
    <mergeCell ref="S1660:T1660"/>
    <mergeCell ref="U1660:V1660"/>
    <mergeCell ref="Y1660:Z1660"/>
    <mergeCell ref="D1661:E1661"/>
    <mergeCell ref="G1661:H1661"/>
    <mergeCell ref="J1661:K1661"/>
    <mergeCell ref="S1661:T1661"/>
    <mergeCell ref="U1661:V1661"/>
    <mergeCell ref="D1662:E1662"/>
    <mergeCell ref="G1662:H1662"/>
    <mergeCell ref="J1662:K1662"/>
    <mergeCell ref="D1663:E1663"/>
    <mergeCell ref="G1663:H1663"/>
    <mergeCell ref="J1663:K1663"/>
    <mergeCell ref="D1664:E1664"/>
    <mergeCell ref="G1664:H1664"/>
    <mergeCell ref="J1664:K1664"/>
    <mergeCell ref="C1666:E1666"/>
    <mergeCell ref="F1666:N1666"/>
    <mergeCell ref="R1666:Z1666"/>
    <mergeCell ref="D1667:E1667"/>
    <mergeCell ref="F1667:H1667"/>
    <mergeCell ref="I1667:K1667"/>
    <mergeCell ref="S1667:T1667"/>
    <mergeCell ref="U1667:V1667"/>
    <mergeCell ref="W1667:X1667"/>
    <mergeCell ref="Y1667:Z1667"/>
    <mergeCell ref="D1668:E1668"/>
    <mergeCell ref="G1668:H1668"/>
    <mergeCell ref="J1668:K1668"/>
    <mergeCell ref="S1668:T1668"/>
    <mergeCell ref="U1668:V1668"/>
    <mergeCell ref="W1668:X1668"/>
    <mergeCell ref="D1669:E1669"/>
    <mergeCell ref="G1669:H1669"/>
    <mergeCell ref="J1669:K1669"/>
    <mergeCell ref="S1669:T1669"/>
    <mergeCell ref="U1669:V1669"/>
    <mergeCell ref="D1670:E1670"/>
    <mergeCell ref="G1670:H1670"/>
    <mergeCell ref="J1670:K1670"/>
    <mergeCell ref="S1670:T1670"/>
    <mergeCell ref="U1670:V1670"/>
    <mergeCell ref="D1671:E1671"/>
    <mergeCell ref="G1671:H1671"/>
    <mergeCell ref="J1671:K1671"/>
    <mergeCell ref="S1671:T1671"/>
    <mergeCell ref="U1671:V1671"/>
    <mergeCell ref="D1672:E1672"/>
    <mergeCell ref="G1672:H1672"/>
    <mergeCell ref="J1672:K1672"/>
    <mergeCell ref="S1672:T1672"/>
    <mergeCell ref="U1672:V1672"/>
    <mergeCell ref="Y1672:Z1672"/>
    <mergeCell ref="D1673:E1673"/>
    <mergeCell ref="G1673:H1673"/>
    <mergeCell ref="J1673:K1673"/>
    <mergeCell ref="S1673:T1673"/>
    <mergeCell ref="U1673:V1673"/>
    <mergeCell ref="D1674:E1674"/>
    <mergeCell ref="G1674:H1674"/>
    <mergeCell ref="J1674:K1674"/>
    <mergeCell ref="S1674:T1674"/>
    <mergeCell ref="U1674:V1674"/>
    <mergeCell ref="W1674:X1674"/>
    <mergeCell ref="D1675:E1675"/>
    <mergeCell ref="G1675:H1675"/>
    <mergeCell ref="J1675:K1675"/>
    <mergeCell ref="S1675:T1675"/>
    <mergeCell ref="U1675:V1675"/>
    <mergeCell ref="Y1675:Z1675"/>
    <mergeCell ref="D1676:E1676"/>
    <mergeCell ref="G1676:H1676"/>
    <mergeCell ref="J1676:K1676"/>
    <mergeCell ref="S1676:T1676"/>
    <mergeCell ref="U1676:V1676"/>
    <mergeCell ref="D1677:E1677"/>
    <mergeCell ref="G1677:H1677"/>
    <mergeCell ref="J1677:K1677"/>
    <mergeCell ref="S1677:T1677"/>
    <mergeCell ref="U1677:V1677"/>
    <mergeCell ref="Y1677:Z1677"/>
    <mergeCell ref="D1678:E1678"/>
    <mergeCell ref="G1678:H1678"/>
    <mergeCell ref="J1678:K1678"/>
    <mergeCell ref="S1678:T1678"/>
    <mergeCell ref="U1678:V1678"/>
    <mergeCell ref="D1679:E1679"/>
    <mergeCell ref="G1679:H1679"/>
    <mergeCell ref="J1679:K1679"/>
    <mergeCell ref="D1680:E1680"/>
    <mergeCell ref="G1680:H1680"/>
    <mergeCell ref="J1680:K1680"/>
    <mergeCell ref="D1681:E1681"/>
    <mergeCell ref="G1681:H1681"/>
    <mergeCell ref="J1681:K1681"/>
    <mergeCell ref="C1683:E1683"/>
    <mergeCell ref="F1683:N1683"/>
    <mergeCell ref="R1683:Z1683"/>
    <mergeCell ref="D1684:E1684"/>
    <mergeCell ref="F1684:H1684"/>
    <mergeCell ref="I1684:K1684"/>
    <mergeCell ref="S1684:T1684"/>
    <mergeCell ref="U1684:V1684"/>
    <mergeCell ref="W1684:X1684"/>
    <mergeCell ref="Y1684:Z1684"/>
    <mergeCell ref="D1685:E1685"/>
    <mergeCell ref="G1685:H1685"/>
    <mergeCell ref="J1685:K1685"/>
    <mergeCell ref="S1685:T1685"/>
    <mergeCell ref="U1685:V1685"/>
    <mergeCell ref="W1685:X1685"/>
    <mergeCell ref="D1686:E1686"/>
    <mergeCell ref="G1686:H1686"/>
    <mergeCell ref="J1686:K1686"/>
    <mergeCell ref="S1686:T1686"/>
    <mergeCell ref="U1686:V1686"/>
    <mergeCell ref="D1687:E1687"/>
    <mergeCell ref="G1687:H1687"/>
    <mergeCell ref="J1687:K1687"/>
    <mergeCell ref="S1687:T1687"/>
    <mergeCell ref="U1687:V1687"/>
    <mergeCell ref="D1688:E1688"/>
    <mergeCell ref="G1688:H1688"/>
    <mergeCell ref="J1688:K1688"/>
    <mergeCell ref="S1688:T1688"/>
    <mergeCell ref="U1688:V1688"/>
    <mergeCell ref="D1689:E1689"/>
    <mergeCell ref="G1689:H1689"/>
    <mergeCell ref="J1689:K1689"/>
    <mergeCell ref="S1689:T1689"/>
    <mergeCell ref="U1689:V1689"/>
    <mergeCell ref="Y1689:Z1689"/>
    <mergeCell ref="D1690:E1690"/>
    <mergeCell ref="G1690:H1690"/>
    <mergeCell ref="J1690:K1690"/>
    <mergeCell ref="S1690:T1690"/>
    <mergeCell ref="U1690:V1690"/>
    <mergeCell ref="D1691:E1691"/>
    <mergeCell ref="G1691:H1691"/>
    <mergeCell ref="J1691:K1691"/>
    <mergeCell ref="S1691:T1691"/>
    <mergeCell ref="U1691:V1691"/>
    <mergeCell ref="W1691:X1691"/>
    <mergeCell ref="D1692:E1692"/>
    <mergeCell ref="G1692:H1692"/>
    <mergeCell ref="J1692:K1692"/>
    <mergeCell ref="S1692:T1692"/>
    <mergeCell ref="U1692:V1692"/>
    <mergeCell ref="Y1692:Z1692"/>
    <mergeCell ref="D1693:E1693"/>
    <mergeCell ref="G1693:H1693"/>
    <mergeCell ref="J1693:K1693"/>
    <mergeCell ref="S1693:T1693"/>
    <mergeCell ref="U1693:V1693"/>
    <mergeCell ref="D1694:E1694"/>
    <mergeCell ref="G1694:H1694"/>
    <mergeCell ref="J1694:K1694"/>
    <mergeCell ref="S1694:T1694"/>
    <mergeCell ref="U1694:V1694"/>
    <mergeCell ref="Y1694:Z1694"/>
    <mergeCell ref="D1695:E1695"/>
    <mergeCell ref="G1695:H1695"/>
    <mergeCell ref="J1695:K1695"/>
    <mergeCell ref="S1695:T1695"/>
    <mergeCell ref="U1695:V1695"/>
    <mergeCell ref="D1696:E1696"/>
    <mergeCell ref="G1696:H1696"/>
    <mergeCell ref="J1696:K1696"/>
    <mergeCell ref="D1697:E1697"/>
    <mergeCell ref="G1697:H1697"/>
    <mergeCell ref="J1697:K1697"/>
    <mergeCell ref="D1698:E1698"/>
    <mergeCell ref="G1698:H1698"/>
    <mergeCell ref="J1698:K1698"/>
    <mergeCell ref="C1700:E1700"/>
    <mergeCell ref="F1700:N1700"/>
    <mergeCell ref="R1700:Z1700"/>
    <mergeCell ref="D1701:E1701"/>
    <mergeCell ref="F1701:H1701"/>
    <mergeCell ref="I1701:K1701"/>
    <mergeCell ref="S1701:T1701"/>
    <mergeCell ref="U1701:V1701"/>
    <mergeCell ref="W1701:X1701"/>
    <mergeCell ref="Y1701:Z1701"/>
    <mergeCell ref="D1702:E1702"/>
    <mergeCell ref="G1702:H1702"/>
    <mergeCell ref="J1702:K1702"/>
    <mergeCell ref="S1702:T1702"/>
    <mergeCell ref="U1702:V1702"/>
    <mergeCell ref="W1702:X1702"/>
    <mergeCell ref="D1703:E1703"/>
    <mergeCell ref="G1703:H1703"/>
    <mergeCell ref="J1703:K1703"/>
    <mergeCell ref="S1703:T1703"/>
    <mergeCell ref="U1703:V1703"/>
    <mergeCell ref="D1704:E1704"/>
    <mergeCell ref="G1704:H1704"/>
    <mergeCell ref="J1704:K1704"/>
    <mergeCell ref="S1704:T1704"/>
    <mergeCell ref="U1704:V1704"/>
    <mergeCell ref="D1705:E1705"/>
    <mergeCell ref="G1705:H1705"/>
    <mergeCell ref="J1705:K1705"/>
    <mergeCell ref="S1705:T1705"/>
    <mergeCell ref="U1705:V1705"/>
    <mergeCell ref="D1706:E1706"/>
    <mergeCell ref="G1706:H1706"/>
    <mergeCell ref="J1706:K1706"/>
    <mergeCell ref="S1706:T1706"/>
    <mergeCell ref="U1706:V1706"/>
    <mergeCell ref="Y1706:Z1706"/>
    <mergeCell ref="D1707:E1707"/>
    <mergeCell ref="G1707:H1707"/>
    <mergeCell ref="J1707:K1707"/>
    <mergeCell ref="S1707:T1707"/>
    <mergeCell ref="U1707:V1707"/>
    <mergeCell ref="D1708:E1708"/>
    <mergeCell ref="G1708:H1708"/>
    <mergeCell ref="J1708:K1708"/>
    <mergeCell ref="S1708:T1708"/>
    <mergeCell ref="U1708:V1708"/>
    <mergeCell ref="W1708:X1708"/>
    <mergeCell ref="D1709:E1709"/>
    <mergeCell ref="G1709:H1709"/>
    <mergeCell ref="J1709:K1709"/>
    <mergeCell ref="S1709:T1709"/>
    <mergeCell ref="U1709:V1709"/>
    <mergeCell ref="Y1709:Z1709"/>
    <mergeCell ref="D1710:E1710"/>
    <mergeCell ref="G1710:H1710"/>
    <mergeCell ref="J1710:K1710"/>
    <mergeCell ref="S1710:T1710"/>
    <mergeCell ref="U1710:V1710"/>
    <mergeCell ref="D1711:E1711"/>
    <mergeCell ref="G1711:H1711"/>
    <mergeCell ref="J1711:K1711"/>
    <mergeCell ref="S1711:T1711"/>
    <mergeCell ref="U1711:V1711"/>
    <mergeCell ref="Y1711:Z1711"/>
    <mergeCell ref="D1712:E1712"/>
    <mergeCell ref="G1712:H1712"/>
    <mergeCell ref="J1712:K1712"/>
    <mergeCell ref="S1712:T1712"/>
    <mergeCell ref="U1712:V1712"/>
    <mergeCell ref="D1713:E1713"/>
    <mergeCell ref="G1713:H1713"/>
    <mergeCell ref="J1713:K1713"/>
    <mergeCell ref="D1714:E1714"/>
    <mergeCell ref="G1714:H1714"/>
    <mergeCell ref="J1714:K1714"/>
    <mergeCell ref="D1715:E1715"/>
    <mergeCell ref="G1715:H1715"/>
    <mergeCell ref="J1715:K1715"/>
    <mergeCell ref="C1717:E1717"/>
    <mergeCell ref="F1717:N1717"/>
    <mergeCell ref="R1717:Z1717"/>
    <mergeCell ref="D1718:E1718"/>
    <mergeCell ref="F1718:H1718"/>
    <mergeCell ref="I1718:K1718"/>
    <mergeCell ref="S1718:T1718"/>
    <mergeCell ref="U1718:V1718"/>
    <mergeCell ref="W1718:X1718"/>
    <mergeCell ref="Y1718:Z1718"/>
    <mergeCell ref="D1719:E1719"/>
    <mergeCell ref="G1719:H1719"/>
    <mergeCell ref="J1719:K1719"/>
    <mergeCell ref="S1719:T1719"/>
    <mergeCell ref="U1719:V1719"/>
    <mergeCell ref="W1719:X1719"/>
    <mergeCell ref="D1720:E1720"/>
    <mergeCell ref="G1720:H1720"/>
    <mergeCell ref="J1720:K1720"/>
    <mergeCell ref="S1720:T1720"/>
    <mergeCell ref="U1720:V1720"/>
    <mergeCell ref="D1721:E1721"/>
    <mergeCell ref="G1721:H1721"/>
    <mergeCell ref="J1721:K1721"/>
    <mergeCell ref="S1721:T1721"/>
    <mergeCell ref="U1721:V1721"/>
    <mergeCell ref="D1722:E1722"/>
    <mergeCell ref="G1722:H1722"/>
    <mergeCell ref="J1722:K1722"/>
    <mergeCell ref="S1722:T1722"/>
    <mergeCell ref="U1722:V1722"/>
    <mergeCell ref="D1723:E1723"/>
    <mergeCell ref="G1723:H1723"/>
    <mergeCell ref="J1723:K1723"/>
    <mergeCell ref="S1723:T1723"/>
    <mergeCell ref="U1723:V1723"/>
    <mergeCell ref="Y1723:Z1723"/>
    <mergeCell ref="D1724:E1724"/>
    <mergeCell ref="G1724:H1724"/>
    <mergeCell ref="J1724:K1724"/>
    <mergeCell ref="S1724:T1724"/>
    <mergeCell ref="U1724:V1724"/>
    <mergeCell ref="D1725:E1725"/>
    <mergeCell ref="G1725:H1725"/>
    <mergeCell ref="J1725:K1725"/>
    <mergeCell ref="S1725:T1725"/>
    <mergeCell ref="U1725:V1725"/>
    <mergeCell ref="W1725:X1725"/>
    <mergeCell ref="D1726:E1726"/>
    <mergeCell ref="G1726:H1726"/>
    <mergeCell ref="J1726:K1726"/>
    <mergeCell ref="S1726:T1726"/>
    <mergeCell ref="U1726:V1726"/>
    <mergeCell ref="Y1726:Z1726"/>
    <mergeCell ref="D1727:E1727"/>
    <mergeCell ref="G1727:H1727"/>
    <mergeCell ref="J1727:K1727"/>
    <mergeCell ref="S1727:T1727"/>
    <mergeCell ref="U1727:V1727"/>
    <mergeCell ref="D1728:E1728"/>
    <mergeCell ref="G1728:H1728"/>
    <mergeCell ref="J1728:K1728"/>
    <mergeCell ref="S1728:T1728"/>
    <mergeCell ref="U1728:V1728"/>
    <mergeCell ref="Y1728:Z1728"/>
    <mergeCell ref="D1729:E1729"/>
    <mergeCell ref="G1729:H1729"/>
    <mergeCell ref="J1729:K1729"/>
    <mergeCell ref="S1729:T1729"/>
    <mergeCell ref="U1729:V1729"/>
    <mergeCell ref="D1730:E1730"/>
    <mergeCell ref="G1730:H1730"/>
    <mergeCell ref="J1730:K1730"/>
    <mergeCell ref="D1731:E1731"/>
    <mergeCell ref="G1731:H1731"/>
    <mergeCell ref="J1731:K1731"/>
    <mergeCell ref="D1732:E1732"/>
    <mergeCell ref="G1732:H1732"/>
    <mergeCell ref="J1732:K1732"/>
    <mergeCell ref="C1734:E1734"/>
    <mergeCell ref="F1734:N1734"/>
    <mergeCell ref="R1734:Z1734"/>
    <mergeCell ref="D1735:E1735"/>
    <mergeCell ref="F1735:H1735"/>
    <mergeCell ref="I1735:K1735"/>
    <mergeCell ref="S1735:T1735"/>
    <mergeCell ref="U1735:V1735"/>
    <mergeCell ref="W1735:X1735"/>
    <mergeCell ref="Y1735:Z1735"/>
    <mergeCell ref="D1736:E1736"/>
    <mergeCell ref="G1736:H1736"/>
    <mergeCell ref="J1736:K1736"/>
    <mergeCell ref="S1736:T1736"/>
    <mergeCell ref="U1736:V1736"/>
    <mergeCell ref="W1736:X1736"/>
    <mergeCell ref="D1737:E1737"/>
    <mergeCell ref="G1737:H1737"/>
    <mergeCell ref="J1737:K1737"/>
    <mergeCell ref="S1737:T1737"/>
    <mergeCell ref="U1737:V1737"/>
    <mergeCell ref="D1738:E1738"/>
    <mergeCell ref="G1738:H1738"/>
    <mergeCell ref="J1738:K1738"/>
    <mergeCell ref="S1738:T1738"/>
    <mergeCell ref="U1738:V1738"/>
    <mergeCell ref="D1739:E1739"/>
    <mergeCell ref="G1739:H1739"/>
    <mergeCell ref="J1739:K1739"/>
    <mergeCell ref="S1739:T1739"/>
    <mergeCell ref="U1739:V1739"/>
    <mergeCell ref="D1740:E1740"/>
    <mergeCell ref="G1740:H1740"/>
    <mergeCell ref="J1740:K1740"/>
    <mergeCell ref="S1740:T1740"/>
    <mergeCell ref="U1740:V1740"/>
    <mergeCell ref="Y1740:Z1740"/>
    <mergeCell ref="D1741:E1741"/>
    <mergeCell ref="G1741:H1741"/>
    <mergeCell ref="J1741:K1741"/>
    <mergeCell ref="S1741:T1741"/>
    <mergeCell ref="U1741:V1741"/>
    <mergeCell ref="D1742:E1742"/>
    <mergeCell ref="G1742:H1742"/>
    <mergeCell ref="J1742:K1742"/>
    <mergeCell ref="S1742:T1742"/>
    <mergeCell ref="U1742:V1742"/>
    <mergeCell ref="W1742:X1742"/>
    <mergeCell ref="D1743:E1743"/>
    <mergeCell ref="G1743:H1743"/>
    <mergeCell ref="J1743:K1743"/>
    <mergeCell ref="S1743:T1743"/>
    <mergeCell ref="U1743:V1743"/>
    <mergeCell ref="Y1743:Z1743"/>
    <mergeCell ref="D1744:E1744"/>
    <mergeCell ref="G1744:H1744"/>
    <mergeCell ref="J1744:K1744"/>
    <mergeCell ref="S1744:T1744"/>
    <mergeCell ref="U1744:V1744"/>
    <mergeCell ref="D1745:E1745"/>
    <mergeCell ref="G1745:H1745"/>
    <mergeCell ref="J1745:K1745"/>
    <mergeCell ref="S1745:T1745"/>
    <mergeCell ref="U1745:V1745"/>
    <mergeCell ref="Y1745:Z1745"/>
    <mergeCell ref="D1746:E1746"/>
    <mergeCell ref="G1746:H1746"/>
    <mergeCell ref="J1746:K1746"/>
    <mergeCell ref="S1746:T1746"/>
    <mergeCell ref="U1746:V1746"/>
    <mergeCell ref="D1747:E1747"/>
    <mergeCell ref="G1747:H1747"/>
    <mergeCell ref="J1747:K1747"/>
    <mergeCell ref="D1748:E1748"/>
    <mergeCell ref="G1748:H1748"/>
    <mergeCell ref="J1748:K1748"/>
    <mergeCell ref="D1749:E1749"/>
    <mergeCell ref="G1749:H1749"/>
    <mergeCell ref="J1749:K1749"/>
    <mergeCell ref="C1751:E1751"/>
    <mergeCell ref="F1751:N1751"/>
    <mergeCell ref="R1751:Z1751"/>
    <mergeCell ref="D1752:E1752"/>
    <mergeCell ref="F1752:H1752"/>
    <mergeCell ref="I1752:K1752"/>
    <mergeCell ref="S1752:T1752"/>
    <mergeCell ref="U1752:V1752"/>
    <mergeCell ref="W1752:X1752"/>
    <mergeCell ref="Y1752:Z1752"/>
    <mergeCell ref="D1753:E1753"/>
    <mergeCell ref="G1753:H1753"/>
    <mergeCell ref="J1753:K1753"/>
    <mergeCell ref="S1753:T1753"/>
    <mergeCell ref="U1753:V1753"/>
    <mergeCell ref="W1753:X1753"/>
    <mergeCell ref="D1754:E1754"/>
    <mergeCell ref="G1754:H1754"/>
    <mergeCell ref="J1754:K1754"/>
    <mergeCell ref="S1754:T1754"/>
    <mergeCell ref="U1754:V1754"/>
    <mergeCell ref="D1755:E1755"/>
    <mergeCell ref="G1755:H1755"/>
    <mergeCell ref="J1755:K1755"/>
    <mergeCell ref="S1755:T1755"/>
    <mergeCell ref="U1755:V1755"/>
    <mergeCell ref="D1756:E1756"/>
    <mergeCell ref="G1756:H1756"/>
    <mergeCell ref="J1756:K1756"/>
    <mergeCell ref="S1756:T1756"/>
    <mergeCell ref="U1756:V1756"/>
    <mergeCell ref="D1757:E1757"/>
    <mergeCell ref="G1757:H1757"/>
    <mergeCell ref="J1757:K1757"/>
    <mergeCell ref="S1757:T1757"/>
    <mergeCell ref="U1757:V1757"/>
    <mergeCell ref="Y1757:Z1757"/>
    <mergeCell ref="D1758:E1758"/>
    <mergeCell ref="G1758:H1758"/>
    <mergeCell ref="J1758:K1758"/>
    <mergeCell ref="S1758:T1758"/>
    <mergeCell ref="U1758:V1758"/>
    <mergeCell ref="D1759:E1759"/>
    <mergeCell ref="G1759:H1759"/>
    <mergeCell ref="J1759:K1759"/>
    <mergeCell ref="S1759:T1759"/>
    <mergeCell ref="U1759:V1759"/>
    <mergeCell ref="W1759:X1759"/>
    <mergeCell ref="D1760:E1760"/>
    <mergeCell ref="G1760:H1760"/>
    <mergeCell ref="J1760:K1760"/>
    <mergeCell ref="S1760:T1760"/>
    <mergeCell ref="U1760:V1760"/>
    <mergeCell ref="Y1760:Z1760"/>
    <mergeCell ref="D1761:E1761"/>
    <mergeCell ref="G1761:H1761"/>
    <mergeCell ref="J1761:K1761"/>
    <mergeCell ref="S1761:T1761"/>
    <mergeCell ref="U1761:V1761"/>
    <mergeCell ref="D1762:E1762"/>
    <mergeCell ref="G1762:H1762"/>
    <mergeCell ref="J1762:K1762"/>
    <mergeCell ref="S1762:T1762"/>
    <mergeCell ref="U1762:V1762"/>
    <mergeCell ref="Y1762:Z1762"/>
    <mergeCell ref="D1763:E1763"/>
    <mergeCell ref="G1763:H1763"/>
    <mergeCell ref="J1763:K1763"/>
    <mergeCell ref="S1763:T1763"/>
    <mergeCell ref="U1763:V1763"/>
    <mergeCell ref="D1764:E1764"/>
    <mergeCell ref="G1764:H1764"/>
    <mergeCell ref="J1764:K1764"/>
    <mergeCell ref="D1765:E1765"/>
    <mergeCell ref="G1765:H1765"/>
    <mergeCell ref="J1765:K1765"/>
    <mergeCell ref="D1766:E1766"/>
    <mergeCell ref="G1766:H1766"/>
    <mergeCell ref="J1766:K1766"/>
    <mergeCell ref="C1768:E1768"/>
    <mergeCell ref="F1768:N1768"/>
    <mergeCell ref="R1768:Z1768"/>
    <mergeCell ref="D1769:E1769"/>
    <mergeCell ref="F1769:H1769"/>
    <mergeCell ref="I1769:K1769"/>
    <mergeCell ref="S1769:T1769"/>
    <mergeCell ref="U1769:V1769"/>
    <mergeCell ref="W1769:X1769"/>
    <mergeCell ref="Y1769:Z1769"/>
    <mergeCell ref="D1770:E1770"/>
    <mergeCell ref="G1770:H1770"/>
    <mergeCell ref="J1770:K1770"/>
    <mergeCell ref="S1770:T1770"/>
    <mergeCell ref="U1770:V1770"/>
    <mergeCell ref="W1770:X1770"/>
    <mergeCell ref="D1771:E1771"/>
    <mergeCell ref="G1771:H1771"/>
    <mergeCell ref="J1771:K1771"/>
    <mergeCell ref="S1771:T1771"/>
    <mergeCell ref="U1771:V1771"/>
    <mergeCell ref="D1772:E1772"/>
    <mergeCell ref="G1772:H1772"/>
    <mergeCell ref="J1772:K1772"/>
    <mergeCell ref="S1772:T1772"/>
    <mergeCell ref="U1772:V1772"/>
    <mergeCell ref="D1773:E1773"/>
    <mergeCell ref="G1773:H1773"/>
    <mergeCell ref="J1773:K1773"/>
    <mergeCell ref="S1773:T1773"/>
    <mergeCell ref="U1773:V1773"/>
    <mergeCell ref="D1774:E1774"/>
    <mergeCell ref="G1774:H1774"/>
    <mergeCell ref="J1774:K1774"/>
    <mergeCell ref="S1774:T1774"/>
    <mergeCell ref="U1774:V1774"/>
    <mergeCell ref="Y1774:Z1774"/>
    <mergeCell ref="D1775:E1775"/>
    <mergeCell ref="G1775:H1775"/>
    <mergeCell ref="J1775:K1775"/>
    <mergeCell ref="S1775:T1775"/>
    <mergeCell ref="U1775:V1775"/>
    <mergeCell ref="D1776:E1776"/>
    <mergeCell ref="G1776:H1776"/>
    <mergeCell ref="J1776:K1776"/>
    <mergeCell ref="S1776:T1776"/>
    <mergeCell ref="U1776:V1776"/>
    <mergeCell ref="W1776:X1776"/>
    <mergeCell ref="D1777:E1777"/>
    <mergeCell ref="G1777:H1777"/>
    <mergeCell ref="J1777:K1777"/>
    <mergeCell ref="S1777:T1777"/>
    <mergeCell ref="U1777:V1777"/>
    <mergeCell ref="Y1777:Z1777"/>
    <mergeCell ref="D1778:E1778"/>
    <mergeCell ref="G1778:H1778"/>
    <mergeCell ref="J1778:K1778"/>
    <mergeCell ref="S1778:T1778"/>
    <mergeCell ref="U1778:V1778"/>
    <mergeCell ref="D1779:E1779"/>
    <mergeCell ref="G1779:H1779"/>
    <mergeCell ref="J1779:K1779"/>
    <mergeCell ref="S1779:T1779"/>
    <mergeCell ref="U1779:V1779"/>
    <mergeCell ref="Y1779:Z1779"/>
    <mergeCell ref="D1780:E1780"/>
    <mergeCell ref="G1780:H1780"/>
    <mergeCell ref="J1780:K1780"/>
    <mergeCell ref="S1780:T1780"/>
    <mergeCell ref="U1780:V1780"/>
    <mergeCell ref="D1781:E1781"/>
    <mergeCell ref="G1781:H1781"/>
    <mergeCell ref="J1781:K1781"/>
    <mergeCell ref="D1782:E1782"/>
    <mergeCell ref="G1782:H1782"/>
    <mergeCell ref="J1782:K1782"/>
    <mergeCell ref="D1783:E1783"/>
    <mergeCell ref="G1783:H1783"/>
    <mergeCell ref="J1783:K1783"/>
    <mergeCell ref="C1785:E1785"/>
    <mergeCell ref="F1785:N1785"/>
    <mergeCell ref="R1785:Z1785"/>
    <mergeCell ref="D1786:E1786"/>
    <mergeCell ref="F1786:H1786"/>
    <mergeCell ref="I1786:K1786"/>
    <mergeCell ref="S1786:T1786"/>
    <mergeCell ref="U1786:V1786"/>
    <mergeCell ref="W1786:X1786"/>
    <mergeCell ref="Y1786:Z1786"/>
    <mergeCell ref="D1787:E1787"/>
    <mergeCell ref="G1787:H1787"/>
    <mergeCell ref="J1787:K1787"/>
    <mergeCell ref="S1787:T1787"/>
    <mergeCell ref="U1787:V1787"/>
    <mergeCell ref="W1787:X1787"/>
    <mergeCell ref="D1788:E1788"/>
    <mergeCell ref="G1788:H1788"/>
    <mergeCell ref="J1788:K1788"/>
    <mergeCell ref="S1788:T1788"/>
    <mergeCell ref="U1788:V1788"/>
    <mergeCell ref="D1789:E1789"/>
    <mergeCell ref="G1789:H1789"/>
    <mergeCell ref="J1789:K1789"/>
    <mergeCell ref="S1789:T1789"/>
    <mergeCell ref="U1789:V1789"/>
    <mergeCell ref="D1790:E1790"/>
    <mergeCell ref="G1790:H1790"/>
    <mergeCell ref="J1790:K1790"/>
    <mergeCell ref="S1790:T1790"/>
    <mergeCell ref="U1790:V1790"/>
    <mergeCell ref="D1791:E1791"/>
    <mergeCell ref="G1791:H1791"/>
    <mergeCell ref="J1791:K1791"/>
    <mergeCell ref="S1791:T1791"/>
    <mergeCell ref="U1791:V1791"/>
    <mergeCell ref="Y1791:Z1791"/>
    <mergeCell ref="D1792:E1792"/>
    <mergeCell ref="G1792:H1792"/>
    <mergeCell ref="J1792:K1792"/>
    <mergeCell ref="S1792:T1792"/>
    <mergeCell ref="U1792:V1792"/>
    <mergeCell ref="D1793:E1793"/>
    <mergeCell ref="G1793:H1793"/>
    <mergeCell ref="J1793:K1793"/>
    <mergeCell ref="S1793:T1793"/>
    <mergeCell ref="U1793:V1793"/>
    <mergeCell ref="W1793:X1793"/>
    <mergeCell ref="D1794:E1794"/>
    <mergeCell ref="G1794:H1794"/>
    <mergeCell ref="J1794:K1794"/>
    <mergeCell ref="S1794:T1794"/>
    <mergeCell ref="U1794:V1794"/>
    <mergeCell ref="Y1794:Z1794"/>
    <mergeCell ref="D1795:E1795"/>
    <mergeCell ref="G1795:H1795"/>
    <mergeCell ref="J1795:K1795"/>
    <mergeCell ref="S1795:T1795"/>
    <mergeCell ref="U1795:V1795"/>
    <mergeCell ref="D1796:E1796"/>
    <mergeCell ref="G1796:H1796"/>
    <mergeCell ref="J1796:K1796"/>
    <mergeCell ref="S1796:T1796"/>
    <mergeCell ref="U1796:V1796"/>
    <mergeCell ref="Y1796:Z1796"/>
    <mergeCell ref="D1797:E1797"/>
    <mergeCell ref="G1797:H1797"/>
    <mergeCell ref="J1797:K1797"/>
    <mergeCell ref="S1797:T1797"/>
    <mergeCell ref="U1797:V1797"/>
    <mergeCell ref="D1798:E1798"/>
    <mergeCell ref="G1798:H1798"/>
    <mergeCell ref="J1798:K1798"/>
    <mergeCell ref="D1799:E1799"/>
    <mergeCell ref="G1799:H1799"/>
    <mergeCell ref="J1799:K1799"/>
    <mergeCell ref="D1800:E1800"/>
    <mergeCell ref="G1800:H1800"/>
    <mergeCell ref="J1800:K1800"/>
    <mergeCell ref="C1802:E1802"/>
    <mergeCell ref="F1802:N1802"/>
    <mergeCell ref="R1802:Z1802"/>
    <mergeCell ref="D1803:E1803"/>
    <mergeCell ref="F1803:H1803"/>
    <mergeCell ref="I1803:K1803"/>
    <mergeCell ref="S1803:T1803"/>
    <mergeCell ref="U1803:V1803"/>
    <mergeCell ref="W1803:X1803"/>
    <mergeCell ref="Y1803:Z1803"/>
    <mergeCell ref="D1804:E1804"/>
    <mergeCell ref="G1804:H1804"/>
    <mergeCell ref="J1804:K1804"/>
    <mergeCell ref="S1804:T1804"/>
    <mergeCell ref="U1804:V1804"/>
    <mergeCell ref="W1804:X1804"/>
    <mergeCell ref="D1805:E1805"/>
    <mergeCell ref="G1805:H1805"/>
    <mergeCell ref="J1805:K1805"/>
    <mergeCell ref="S1805:T1805"/>
    <mergeCell ref="U1805:V1805"/>
    <mergeCell ref="D1806:E1806"/>
    <mergeCell ref="G1806:H1806"/>
    <mergeCell ref="J1806:K1806"/>
    <mergeCell ref="S1806:T1806"/>
    <mergeCell ref="U1806:V1806"/>
    <mergeCell ref="D1807:E1807"/>
    <mergeCell ref="G1807:H1807"/>
    <mergeCell ref="J1807:K1807"/>
    <mergeCell ref="S1807:T1807"/>
    <mergeCell ref="U1807:V1807"/>
    <mergeCell ref="D1808:E1808"/>
    <mergeCell ref="G1808:H1808"/>
    <mergeCell ref="J1808:K1808"/>
    <mergeCell ref="S1808:T1808"/>
    <mergeCell ref="U1808:V1808"/>
    <mergeCell ref="Y1808:Z1808"/>
    <mergeCell ref="D1809:E1809"/>
    <mergeCell ref="G1809:H1809"/>
    <mergeCell ref="J1809:K1809"/>
    <mergeCell ref="S1809:T1809"/>
    <mergeCell ref="U1809:V1809"/>
    <mergeCell ref="D1810:E1810"/>
    <mergeCell ref="G1810:H1810"/>
    <mergeCell ref="J1810:K1810"/>
    <mergeCell ref="S1810:T1810"/>
    <mergeCell ref="U1810:V1810"/>
    <mergeCell ref="W1810:X1810"/>
    <mergeCell ref="D1811:E1811"/>
    <mergeCell ref="G1811:H1811"/>
    <mergeCell ref="J1811:K1811"/>
    <mergeCell ref="S1811:T1811"/>
    <mergeCell ref="U1811:V1811"/>
    <mergeCell ref="Y1811:Z1811"/>
    <mergeCell ref="D1812:E1812"/>
    <mergeCell ref="G1812:H1812"/>
    <mergeCell ref="J1812:K1812"/>
    <mergeCell ref="S1812:T1812"/>
    <mergeCell ref="U1812:V1812"/>
    <mergeCell ref="D1813:E1813"/>
    <mergeCell ref="G1813:H1813"/>
    <mergeCell ref="J1813:K1813"/>
    <mergeCell ref="S1813:T1813"/>
    <mergeCell ref="U1813:V1813"/>
    <mergeCell ref="Y1813:Z1813"/>
    <mergeCell ref="D1814:E1814"/>
    <mergeCell ref="G1814:H1814"/>
    <mergeCell ref="J1814:K1814"/>
    <mergeCell ref="S1814:T1814"/>
    <mergeCell ref="U1814:V1814"/>
    <mergeCell ref="D1815:E1815"/>
    <mergeCell ref="G1815:H1815"/>
    <mergeCell ref="J1815:K1815"/>
    <mergeCell ref="D1816:E1816"/>
    <mergeCell ref="G1816:H1816"/>
    <mergeCell ref="J1816:K1816"/>
    <mergeCell ref="D1817:E1817"/>
    <mergeCell ref="G1817:H1817"/>
    <mergeCell ref="J1817:K1817"/>
    <mergeCell ref="C1819:E1819"/>
    <mergeCell ref="F1819:N1819"/>
    <mergeCell ref="R1819:Z1819"/>
    <mergeCell ref="D1820:E1820"/>
    <mergeCell ref="F1820:H1820"/>
    <mergeCell ref="I1820:K1820"/>
    <mergeCell ref="S1820:T1820"/>
    <mergeCell ref="U1820:V1820"/>
    <mergeCell ref="W1820:X1820"/>
    <mergeCell ref="Y1820:Z1820"/>
    <mergeCell ref="D1821:E1821"/>
    <mergeCell ref="G1821:H1821"/>
    <mergeCell ref="J1821:K1821"/>
    <mergeCell ref="S1821:T1821"/>
    <mergeCell ref="U1821:V1821"/>
    <mergeCell ref="W1821:X1821"/>
    <mergeCell ref="D1822:E1822"/>
    <mergeCell ref="G1822:H1822"/>
    <mergeCell ref="J1822:K1822"/>
    <mergeCell ref="S1822:T1822"/>
    <mergeCell ref="U1822:V1822"/>
    <mergeCell ref="D1823:E1823"/>
    <mergeCell ref="G1823:H1823"/>
    <mergeCell ref="J1823:K1823"/>
    <mergeCell ref="S1823:T1823"/>
    <mergeCell ref="U1823:V1823"/>
    <mergeCell ref="D1824:E1824"/>
    <mergeCell ref="G1824:H1824"/>
    <mergeCell ref="J1824:K1824"/>
    <mergeCell ref="S1824:T1824"/>
    <mergeCell ref="U1824:V1824"/>
    <mergeCell ref="D1825:E1825"/>
    <mergeCell ref="G1825:H1825"/>
    <mergeCell ref="J1825:K1825"/>
    <mergeCell ref="S1825:T1825"/>
    <mergeCell ref="U1825:V1825"/>
    <mergeCell ref="Y1825:Z1825"/>
    <mergeCell ref="D1826:E1826"/>
    <mergeCell ref="G1826:H1826"/>
    <mergeCell ref="J1826:K1826"/>
    <mergeCell ref="S1826:T1826"/>
    <mergeCell ref="U1826:V1826"/>
    <mergeCell ref="D1827:E1827"/>
    <mergeCell ref="G1827:H1827"/>
    <mergeCell ref="J1827:K1827"/>
    <mergeCell ref="S1827:T1827"/>
    <mergeCell ref="U1827:V1827"/>
    <mergeCell ref="W1827:X1827"/>
    <mergeCell ref="D1828:E1828"/>
    <mergeCell ref="G1828:H1828"/>
    <mergeCell ref="J1828:K1828"/>
    <mergeCell ref="S1828:T1828"/>
    <mergeCell ref="U1828:V1828"/>
    <mergeCell ref="Y1828:Z1828"/>
    <mergeCell ref="D1833:E1833"/>
    <mergeCell ref="G1833:H1833"/>
    <mergeCell ref="J1833:K1833"/>
    <mergeCell ref="D1834:E1834"/>
    <mergeCell ref="G1834:H1834"/>
    <mergeCell ref="J1834:K1834"/>
    <mergeCell ref="D1829:E1829"/>
    <mergeCell ref="G1829:H1829"/>
    <mergeCell ref="J1829:K1829"/>
    <mergeCell ref="S1829:T1829"/>
    <mergeCell ref="U1829:V1829"/>
    <mergeCell ref="D1830:E1830"/>
    <mergeCell ref="G1830:H1830"/>
    <mergeCell ref="J1830:K1830"/>
    <mergeCell ref="S1830:T1830"/>
    <mergeCell ref="U1830:V1830"/>
    <mergeCell ref="Y1830:Z1830"/>
    <mergeCell ref="D1831:E1831"/>
    <mergeCell ref="G1831:H1831"/>
    <mergeCell ref="J1831:K1831"/>
    <mergeCell ref="S1831:T1831"/>
    <mergeCell ref="U1831:V1831"/>
    <mergeCell ref="D1832:E1832"/>
    <mergeCell ref="G1832:H1832"/>
    <mergeCell ref="J1832:K1832"/>
  </mergeCells>
  <phoneticPr fontId="2" type="noConversion"/>
  <conditionalFormatting sqref="O12:O14">
    <cfRule type="cellIs" dxfId="902" priority="2113" operator="lessThan">
      <formula>0</formula>
    </cfRule>
    <cfRule type="cellIs" dxfId="901" priority="2114" operator="greaterThan">
      <formula>0</formula>
    </cfRule>
    <cfRule type="colorScale" priority="2115">
      <colorScale>
        <cfvo type="formula" val="&quot;&lt;0&quot;"/>
        <cfvo type="formula" val="&quot;&gt;0&quot;"/>
        <color rgb="FFFF0000"/>
        <color rgb="FF00B050"/>
      </colorScale>
    </cfRule>
  </conditionalFormatting>
  <conditionalFormatting sqref="O18:O20">
    <cfRule type="cellIs" dxfId="900" priority="2111" operator="greaterThan">
      <formula>0</formula>
    </cfRule>
    <cfRule type="colorScale" priority="2112">
      <colorScale>
        <cfvo type="formula" val="&quot;&lt;0&quot;"/>
        <cfvo type="formula" val="&quot;&gt;0&quot;"/>
        <color rgb="FFFF0000"/>
        <color rgb="FF00B050"/>
      </colorScale>
    </cfRule>
    <cfRule type="cellIs" dxfId="899" priority="2110" operator="lessThan">
      <formula>0</formula>
    </cfRule>
  </conditionalFormatting>
  <conditionalFormatting sqref="O26:O28">
    <cfRule type="colorScale" priority="2106">
      <colorScale>
        <cfvo type="formula" val="&quot;&lt;0&quot;"/>
        <cfvo type="formula" val="&quot;&gt;0&quot;"/>
        <color rgb="FFFF0000"/>
        <color rgb="FF00B050"/>
      </colorScale>
    </cfRule>
    <cfRule type="cellIs" dxfId="898" priority="2105" operator="greaterThan">
      <formula>0</formula>
    </cfRule>
    <cfRule type="cellIs" dxfId="897" priority="2104" operator="lessThan">
      <formula>0</formula>
    </cfRule>
  </conditionalFormatting>
  <conditionalFormatting sqref="O36:O38">
    <cfRule type="cellIs" dxfId="896" priority="2099" operator="greaterThan">
      <formula>0</formula>
    </cfRule>
    <cfRule type="colorScale" priority="2100">
      <colorScale>
        <cfvo type="formula" val="&quot;&lt;0&quot;"/>
        <cfvo type="formula" val="&quot;&gt;0&quot;"/>
        <color rgb="FFFF0000"/>
        <color rgb="FF00B050"/>
      </colorScale>
    </cfRule>
    <cfRule type="cellIs" dxfId="895" priority="2098" operator="lessThan">
      <formula>0</formula>
    </cfRule>
  </conditionalFormatting>
  <conditionalFormatting sqref="O46:O48">
    <cfRule type="colorScale" priority="2094">
      <colorScale>
        <cfvo type="formula" val="&quot;&lt;0&quot;"/>
        <cfvo type="formula" val="&quot;&gt;0&quot;"/>
        <color rgb="FFFF0000"/>
        <color rgb="FF00B050"/>
      </colorScale>
    </cfRule>
    <cfRule type="cellIs" dxfId="894" priority="2093" operator="greaterThan">
      <formula>0</formula>
    </cfRule>
    <cfRule type="cellIs" dxfId="893" priority="2092" operator="lessThan">
      <formula>0</formula>
    </cfRule>
  </conditionalFormatting>
  <conditionalFormatting sqref="O53:O55">
    <cfRule type="colorScale" priority="2088">
      <colorScale>
        <cfvo type="formula" val="&quot;&lt;0&quot;"/>
        <cfvo type="formula" val="&quot;&gt;0&quot;"/>
        <color rgb="FFFF0000"/>
        <color rgb="FF00B050"/>
      </colorScale>
    </cfRule>
    <cfRule type="cellIs" dxfId="892" priority="2086" operator="lessThan">
      <formula>0</formula>
    </cfRule>
    <cfRule type="cellIs" dxfId="891" priority="2087" operator="greaterThan">
      <formula>0</formula>
    </cfRule>
  </conditionalFormatting>
  <conditionalFormatting sqref="O64:O66">
    <cfRule type="colorScale" priority="2082">
      <colorScale>
        <cfvo type="formula" val="&quot;&lt;0&quot;"/>
        <cfvo type="formula" val="&quot;&gt;0&quot;"/>
        <color rgb="FFFF0000"/>
        <color rgb="FF00B050"/>
      </colorScale>
    </cfRule>
    <cfRule type="cellIs" dxfId="890" priority="2081" operator="greaterThan">
      <formula>0</formula>
    </cfRule>
    <cfRule type="cellIs" dxfId="889" priority="2080" operator="lessThan">
      <formula>0</formula>
    </cfRule>
  </conditionalFormatting>
  <conditionalFormatting sqref="O72:O74">
    <cfRule type="colorScale" priority="2076">
      <colorScale>
        <cfvo type="formula" val="&quot;&lt;0&quot;"/>
        <cfvo type="formula" val="&quot;&gt;0&quot;"/>
        <color rgb="FFFF0000"/>
        <color rgb="FF00B050"/>
      </colorScale>
    </cfRule>
    <cfRule type="cellIs" dxfId="888" priority="2075" operator="greaterThan">
      <formula>0</formula>
    </cfRule>
    <cfRule type="cellIs" dxfId="887" priority="2074" operator="lessThan">
      <formula>0</formula>
    </cfRule>
  </conditionalFormatting>
  <conditionalFormatting sqref="O80:O82">
    <cfRule type="cellIs" dxfId="886" priority="2023" operator="lessThan">
      <formula>0</formula>
    </cfRule>
    <cfRule type="cellIs" dxfId="885" priority="2024" operator="greaterThan">
      <formula>0</formula>
    </cfRule>
    <cfRule type="colorScale" priority="2025">
      <colorScale>
        <cfvo type="formula" val="&quot;&lt;0&quot;"/>
        <cfvo type="formula" val="&quot;&gt;0&quot;"/>
        <color rgb="FFFF0000"/>
        <color rgb="FF00B050"/>
      </colorScale>
    </cfRule>
  </conditionalFormatting>
  <conditionalFormatting sqref="O89:O91">
    <cfRule type="colorScale" priority="2064">
      <colorScale>
        <cfvo type="formula" val="&quot;&lt;0&quot;"/>
        <cfvo type="formula" val="&quot;&gt;0&quot;"/>
        <color rgb="FFFF0000"/>
        <color rgb="FF00B050"/>
      </colorScale>
    </cfRule>
    <cfRule type="cellIs" dxfId="884" priority="2062" operator="lessThan">
      <formula>0</formula>
    </cfRule>
    <cfRule type="cellIs" dxfId="883" priority="2063" operator="greaterThan">
      <formula>0</formula>
    </cfRule>
  </conditionalFormatting>
  <conditionalFormatting sqref="O98:O100">
    <cfRule type="colorScale" priority="2058">
      <colorScale>
        <cfvo type="formula" val="&quot;&lt;0&quot;"/>
        <cfvo type="formula" val="&quot;&gt;0&quot;"/>
        <color rgb="FFFF0000"/>
        <color rgb="FF00B050"/>
      </colorScale>
    </cfRule>
    <cfRule type="cellIs" dxfId="882" priority="2056" operator="lessThan">
      <formula>0</formula>
    </cfRule>
    <cfRule type="cellIs" dxfId="881" priority="2057" operator="greaterThan">
      <formula>0</formula>
    </cfRule>
  </conditionalFormatting>
  <conditionalFormatting sqref="O108:O110">
    <cfRule type="cellIs" dxfId="880" priority="2035" operator="lessThan">
      <formula>0</formula>
    </cfRule>
    <cfRule type="cellIs" dxfId="879" priority="2036" operator="greaterThan">
      <formula>0</formula>
    </cfRule>
    <cfRule type="colorScale" priority="2037">
      <colorScale>
        <cfvo type="formula" val="&quot;&lt;0&quot;"/>
        <cfvo type="formula" val="&quot;&gt;0&quot;"/>
        <color rgb="FFFF0000"/>
        <color rgb="FF00B050"/>
      </colorScale>
    </cfRule>
  </conditionalFormatting>
  <conditionalFormatting sqref="O117:O119">
    <cfRule type="colorScale" priority="1983">
      <colorScale>
        <cfvo type="formula" val="&quot;&lt;0&quot;"/>
        <cfvo type="formula" val="&quot;&gt;0&quot;"/>
        <color rgb="FFFF0000"/>
        <color rgb="FF00B050"/>
      </colorScale>
    </cfRule>
    <cfRule type="cellIs" dxfId="878" priority="1981" operator="lessThan">
      <formula>0</formula>
    </cfRule>
    <cfRule type="cellIs" dxfId="877" priority="1982" operator="greaterThan">
      <formula>0</formula>
    </cfRule>
  </conditionalFormatting>
  <conditionalFormatting sqref="O123:O124 O126 X12:X14 X123:X124 X126 P414:Q414 P417:Q417 P420:Q420">
    <cfRule type="colorScale" priority="2121">
      <colorScale>
        <cfvo type="formula" val="&quot;&lt;0&quot;"/>
        <cfvo type="formula" val="&quot;&gt;0&quot;"/>
        <color rgb="FFFF0000"/>
        <color rgb="FF00B050"/>
      </colorScale>
    </cfRule>
  </conditionalFormatting>
  <conditionalFormatting sqref="O125 X125">
    <cfRule type="colorScale" priority="1974">
      <colorScale>
        <cfvo type="formula" val="&quot;&lt;0&quot;"/>
        <cfvo type="formula" val="&quot;&gt;0&quot;"/>
        <color rgb="FFFF0000"/>
        <color rgb="FF00B050"/>
      </colorScale>
    </cfRule>
  </conditionalFormatting>
  <conditionalFormatting sqref="O132:O133 O135 X132:X133 X135">
    <cfRule type="colorScale" priority="1968">
      <colorScale>
        <cfvo type="formula" val="&quot;&lt;0&quot;"/>
        <cfvo type="formula" val="&quot;&gt;0&quot;"/>
        <color rgb="FFFF0000"/>
        <color rgb="FF00B050"/>
      </colorScale>
    </cfRule>
  </conditionalFormatting>
  <conditionalFormatting sqref="O132:O142 P414:Q414 P417:Q417 P420:Q420">
    <cfRule type="cellIs" dxfId="876" priority="1949" operator="greaterThan">
      <formula>0</formula>
    </cfRule>
    <cfRule type="cellIs" dxfId="875" priority="1948" operator="lessThan">
      <formula>0</formula>
    </cfRule>
  </conditionalFormatting>
  <conditionalFormatting sqref="O134 X134">
    <cfRule type="colorScale" priority="1965">
      <colorScale>
        <cfvo type="formula" val="&quot;&lt;0&quot;"/>
        <cfvo type="formula" val="&quot;&gt;0&quot;"/>
        <color rgb="FFFF0000"/>
        <color rgb="FF00B050"/>
      </colorScale>
    </cfRule>
  </conditionalFormatting>
  <conditionalFormatting sqref="O139:O140 O142">
    <cfRule type="colorScale" priority="1950">
      <colorScale>
        <cfvo type="formula" val="&quot;&lt;0&quot;"/>
        <cfvo type="formula" val="&quot;&gt;0&quot;"/>
        <color rgb="FFFF0000"/>
        <color rgb="FF00B050"/>
      </colorScale>
    </cfRule>
  </conditionalFormatting>
  <conditionalFormatting sqref="O141">
    <cfRule type="colorScale" priority="1947">
      <colorScale>
        <cfvo type="formula" val="&quot;&lt;0&quot;"/>
        <cfvo type="formula" val="&quot;&gt;0&quot;"/>
        <color rgb="FFFF0000"/>
        <color rgb="FF00B050"/>
      </colorScale>
    </cfRule>
    <cfRule type="cellIs" dxfId="874" priority="1946" operator="greaterThan">
      <formula>0</formula>
    </cfRule>
    <cfRule type="cellIs" dxfId="873" priority="1945" operator="lessThan">
      <formula>0</formula>
    </cfRule>
  </conditionalFormatting>
  <conditionalFormatting sqref="O148:O149 O151 X148:X149 X151">
    <cfRule type="colorScale" priority="1944">
      <colorScale>
        <cfvo type="formula" val="&quot;&lt;0&quot;"/>
        <cfvo type="formula" val="&quot;&gt;0&quot;"/>
        <color rgb="FFFF0000"/>
        <color rgb="FF00B050"/>
      </colorScale>
    </cfRule>
  </conditionalFormatting>
  <conditionalFormatting sqref="O148:O151">
    <cfRule type="cellIs" dxfId="872" priority="1939" operator="lessThan">
      <formula>0</formula>
    </cfRule>
    <cfRule type="cellIs" dxfId="871" priority="1940" operator="greaterThan">
      <formula>0</formula>
    </cfRule>
  </conditionalFormatting>
  <conditionalFormatting sqref="O150 X150">
    <cfRule type="colorScale" priority="1941">
      <colorScale>
        <cfvo type="formula" val="&quot;&lt;0&quot;"/>
        <cfvo type="formula" val="&quot;&gt;0&quot;"/>
        <color rgb="FFFF0000"/>
        <color rgb="FF00B050"/>
      </colorScale>
    </cfRule>
  </conditionalFormatting>
  <conditionalFormatting sqref="O158:O159 O161 X158:X159 X161">
    <cfRule type="colorScale" priority="1938">
      <colorScale>
        <cfvo type="formula" val="&quot;&lt;0&quot;"/>
        <cfvo type="formula" val="&quot;&gt;0&quot;"/>
        <color rgb="FFFF0000"/>
        <color rgb="FF00B050"/>
      </colorScale>
    </cfRule>
  </conditionalFormatting>
  <conditionalFormatting sqref="O158:O161">
    <cfRule type="cellIs" dxfId="870" priority="1934" operator="greaterThan">
      <formula>0</formula>
    </cfRule>
    <cfRule type="cellIs" dxfId="869" priority="1933" operator="lessThan">
      <formula>0</formula>
    </cfRule>
  </conditionalFormatting>
  <conditionalFormatting sqref="O160 X160">
    <cfRule type="colorScale" priority="1935">
      <colorScale>
        <cfvo type="formula" val="&quot;&lt;0&quot;"/>
        <cfvo type="formula" val="&quot;&gt;0&quot;"/>
        <color rgb="FFFF0000"/>
        <color rgb="FF00B050"/>
      </colorScale>
    </cfRule>
  </conditionalFormatting>
  <conditionalFormatting sqref="O169:O170 O172 X169:X170 X172">
    <cfRule type="colorScale" priority="1932">
      <colorScale>
        <cfvo type="formula" val="&quot;&lt;0&quot;"/>
        <cfvo type="formula" val="&quot;&gt;0&quot;"/>
        <color rgb="FFFF0000"/>
        <color rgb="FF00B050"/>
      </colorScale>
    </cfRule>
  </conditionalFormatting>
  <conditionalFormatting sqref="O169:O172">
    <cfRule type="cellIs" dxfId="868" priority="1927" operator="lessThan">
      <formula>0</formula>
    </cfRule>
    <cfRule type="cellIs" dxfId="867" priority="1928" operator="greaterThan">
      <formula>0</formula>
    </cfRule>
  </conditionalFormatting>
  <conditionalFormatting sqref="O171 X171">
    <cfRule type="colorScale" priority="1929">
      <colorScale>
        <cfvo type="formula" val="&quot;&lt;0&quot;"/>
        <cfvo type="formula" val="&quot;&gt;0&quot;"/>
        <color rgb="FFFF0000"/>
        <color rgb="FF00B050"/>
      </colorScale>
    </cfRule>
  </conditionalFormatting>
  <conditionalFormatting sqref="O180:O181 O183 X180:X181 X183">
    <cfRule type="colorScale" priority="1920">
      <colorScale>
        <cfvo type="formula" val="&quot;&lt;0&quot;"/>
        <cfvo type="formula" val="&quot;&gt;0&quot;"/>
        <color rgb="FFFF0000"/>
        <color rgb="FF00B050"/>
      </colorScale>
    </cfRule>
  </conditionalFormatting>
  <conditionalFormatting sqref="O180:O183 X182">
    <cfRule type="cellIs" dxfId="866" priority="1915" operator="lessThan">
      <formula>0</formula>
    </cfRule>
    <cfRule type="cellIs" dxfId="865" priority="1916" operator="greaterThan">
      <formula>0</formula>
    </cfRule>
  </conditionalFormatting>
  <conditionalFormatting sqref="O182 X182">
    <cfRule type="colorScale" priority="1917">
      <colorScale>
        <cfvo type="formula" val="&quot;&lt;0&quot;"/>
        <cfvo type="formula" val="&quot;&gt;0&quot;"/>
        <color rgb="FFFF0000"/>
        <color rgb="FF00B050"/>
      </colorScale>
    </cfRule>
  </conditionalFormatting>
  <conditionalFormatting sqref="O189:O190 O192 X189:X190 X192">
    <cfRule type="colorScale" priority="1914">
      <colorScale>
        <cfvo type="formula" val="&quot;&lt;0&quot;"/>
        <cfvo type="formula" val="&quot;&gt;0&quot;"/>
        <color rgb="FFFF0000"/>
        <color rgb="FF00B050"/>
      </colorScale>
    </cfRule>
  </conditionalFormatting>
  <conditionalFormatting sqref="O189:O192 X189:X192">
    <cfRule type="cellIs" dxfId="864" priority="1910" operator="greaterThan">
      <formula>0</formula>
    </cfRule>
    <cfRule type="cellIs" dxfId="863" priority="1909" operator="lessThan">
      <formula>0</formula>
    </cfRule>
  </conditionalFormatting>
  <conditionalFormatting sqref="O191 X191">
    <cfRule type="colorScale" priority="1911">
      <colorScale>
        <cfvo type="formula" val="&quot;&lt;0&quot;"/>
        <cfvo type="formula" val="&quot;&gt;0&quot;"/>
        <color rgb="FFFF0000"/>
        <color rgb="FF00B050"/>
      </colorScale>
    </cfRule>
  </conditionalFormatting>
  <conditionalFormatting sqref="O199:O200 O202 X199:X200 X202">
    <cfRule type="colorScale" priority="1908">
      <colorScale>
        <cfvo type="formula" val="&quot;&lt;0&quot;"/>
        <cfvo type="formula" val="&quot;&gt;0&quot;"/>
        <color rgb="FFFF0000"/>
        <color rgb="FF00B050"/>
      </colorScale>
    </cfRule>
  </conditionalFormatting>
  <conditionalFormatting sqref="O199:O202 X199:X202">
    <cfRule type="cellIs" dxfId="862" priority="1904" operator="greaterThan">
      <formula>0</formula>
    </cfRule>
    <cfRule type="cellIs" dxfId="861" priority="1903" operator="lessThan">
      <formula>0</formula>
    </cfRule>
  </conditionalFormatting>
  <conditionalFormatting sqref="O210:O211 O213 X210:X211 X213">
    <cfRule type="colorScale" priority="1902">
      <colorScale>
        <cfvo type="formula" val="&quot;&lt;0&quot;"/>
        <cfvo type="formula" val="&quot;&gt;0&quot;"/>
        <color rgb="FFFF0000"/>
        <color rgb="FF00B050"/>
      </colorScale>
    </cfRule>
  </conditionalFormatting>
  <conditionalFormatting sqref="O210:O213 X210:X213">
    <cfRule type="cellIs" dxfId="860" priority="1898" operator="greaterThan">
      <formula>0</formula>
    </cfRule>
    <cfRule type="cellIs" dxfId="859" priority="1897" operator="lessThan">
      <formula>0</formula>
    </cfRule>
  </conditionalFormatting>
  <conditionalFormatting sqref="O222:O223 O225 X222:X223 X225">
    <cfRule type="colorScale" priority="1896">
      <colorScale>
        <cfvo type="formula" val="&quot;&lt;0&quot;"/>
        <cfvo type="formula" val="&quot;&gt;0&quot;"/>
        <color rgb="FFFF0000"/>
        <color rgb="FF00B050"/>
      </colorScale>
    </cfRule>
  </conditionalFormatting>
  <conditionalFormatting sqref="O222:O225 X222:X225">
    <cfRule type="cellIs" dxfId="858" priority="1892" operator="greaterThan">
      <formula>0</formula>
    </cfRule>
    <cfRule type="cellIs" dxfId="857" priority="1891" operator="lessThan">
      <formula>0</formula>
    </cfRule>
  </conditionalFormatting>
  <conditionalFormatting sqref="O224 X224">
    <cfRule type="colorScale" priority="1893">
      <colorScale>
        <cfvo type="formula" val="&quot;&lt;0&quot;"/>
        <cfvo type="formula" val="&quot;&gt;0&quot;"/>
        <color rgb="FFFF0000"/>
        <color rgb="FF00B050"/>
      </colorScale>
    </cfRule>
  </conditionalFormatting>
  <conditionalFormatting sqref="O230:O231 O233 X230:X231 X233">
    <cfRule type="colorScale" priority="1890">
      <colorScale>
        <cfvo type="formula" val="&quot;&lt;0&quot;"/>
        <cfvo type="formula" val="&quot;&gt;0&quot;"/>
        <color rgb="FFFF0000"/>
        <color rgb="FF00B050"/>
      </colorScale>
    </cfRule>
  </conditionalFormatting>
  <conditionalFormatting sqref="O230:O233 X230:X233">
    <cfRule type="cellIs" dxfId="856" priority="1885" operator="lessThan">
      <formula>0</formula>
    </cfRule>
    <cfRule type="cellIs" dxfId="855" priority="1886" operator="greaterThan">
      <formula>0</formula>
    </cfRule>
  </conditionalFormatting>
  <conditionalFormatting sqref="O242:O243 O245 X242:X243 X245">
    <cfRule type="colorScale" priority="1884">
      <colorScale>
        <cfvo type="formula" val="&quot;&lt;0&quot;"/>
        <cfvo type="formula" val="&quot;&gt;0&quot;"/>
        <color rgb="FFFF0000"/>
        <color rgb="FF00B050"/>
      </colorScale>
    </cfRule>
  </conditionalFormatting>
  <conditionalFormatting sqref="O242:O245 X242:X245">
    <cfRule type="cellIs" dxfId="854" priority="1880" operator="greaterThan">
      <formula>0</formula>
    </cfRule>
    <cfRule type="cellIs" dxfId="853" priority="1879" operator="lessThan">
      <formula>0</formula>
    </cfRule>
  </conditionalFormatting>
  <conditionalFormatting sqref="O254:O255 O257 X254:X255 X257">
    <cfRule type="colorScale" priority="1878">
      <colorScale>
        <cfvo type="formula" val="&quot;&lt;0&quot;"/>
        <cfvo type="formula" val="&quot;&gt;0&quot;"/>
        <color rgb="FFFF0000"/>
        <color rgb="FF00B050"/>
      </colorScale>
    </cfRule>
  </conditionalFormatting>
  <conditionalFormatting sqref="O254:O257 X254:X257">
    <cfRule type="cellIs" dxfId="852" priority="1874" operator="greaterThan">
      <formula>0</formula>
    </cfRule>
    <cfRule type="cellIs" dxfId="851" priority="1873" operator="lessThan">
      <formula>0</formula>
    </cfRule>
  </conditionalFormatting>
  <conditionalFormatting sqref="O256 X256">
    <cfRule type="colorScale" priority="1875">
      <colorScale>
        <cfvo type="formula" val="&quot;&lt;0&quot;"/>
        <cfvo type="formula" val="&quot;&gt;0&quot;"/>
        <color rgb="FFFF0000"/>
        <color rgb="FF00B050"/>
      </colorScale>
    </cfRule>
  </conditionalFormatting>
  <conditionalFormatting sqref="O263:O264 O266 X263:X264 X266">
    <cfRule type="colorScale" priority="1872">
      <colorScale>
        <cfvo type="formula" val="&quot;&lt;0&quot;"/>
        <cfvo type="formula" val="&quot;&gt;0&quot;"/>
        <color rgb="FFFF0000"/>
        <color rgb="FF00B050"/>
      </colorScale>
    </cfRule>
  </conditionalFormatting>
  <conditionalFormatting sqref="O263:O266 X263:X266">
    <cfRule type="cellIs" dxfId="850" priority="1868" operator="greaterThan">
      <formula>0</formula>
    </cfRule>
    <cfRule type="cellIs" dxfId="849" priority="1867" operator="lessThan">
      <formula>0</formula>
    </cfRule>
  </conditionalFormatting>
  <conditionalFormatting sqref="O274:O275 O277 X274:X275 X277">
    <cfRule type="colorScale" priority="1866">
      <colorScale>
        <cfvo type="formula" val="&quot;&lt;0&quot;"/>
        <cfvo type="formula" val="&quot;&gt;0&quot;"/>
        <color rgb="FFFF0000"/>
        <color rgb="FF00B050"/>
      </colorScale>
    </cfRule>
  </conditionalFormatting>
  <conditionalFormatting sqref="O274:O277 X274:X277">
    <cfRule type="cellIs" dxfId="848" priority="1862" operator="greaterThan">
      <formula>0</formula>
    </cfRule>
    <cfRule type="cellIs" dxfId="847" priority="1861" operator="lessThan">
      <formula>0</formula>
    </cfRule>
  </conditionalFormatting>
  <conditionalFormatting sqref="O286:O287 O289 X286:X287 X289">
    <cfRule type="colorScale" priority="1860">
      <colorScale>
        <cfvo type="formula" val="&quot;&lt;0&quot;"/>
        <cfvo type="formula" val="&quot;&gt;0&quot;"/>
        <color rgb="FFFF0000"/>
        <color rgb="FF00B050"/>
      </colorScale>
    </cfRule>
  </conditionalFormatting>
  <conditionalFormatting sqref="O286:O289 X286:X289">
    <cfRule type="cellIs" dxfId="846" priority="1856" operator="greaterThan">
      <formula>0</formula>
    </cfRule>
    <cfRule type="cellIs" dxfId="845" priority="1855" operator="lessThan">
      <formula>0</formula>
    </cfRule>
  </conditionalFormatting>
  <conditionalFormatting sqref="O298:O299 O301 X298:X299 X301">
    <cfRule type="colorScale" priority="1854">
      <colorScale>
        <cfvo type="formula" val="&quot;&lt;0&quot;"/>
        <cfvo type="formula" val="&quot;&gt;0&quot;"/>
        <color rgb="FFFF0000"/>
        <color rgb="FF00B050"/>
      </colorScale>
    </cfRule>
  </conditionalFormatting>
  <conditionalFormatting sqref="O298:O301 X298:X301">
    <cfRule type="cellIs" dxfId="844" priority="1850" operator="greaterThan">
      <formula>0</formula>
    </cfRule>
    <cfRule type="cellIs" dxfId="843" priority="1849" operator="lessThan">
      <formula>0</formula>
    </cfRule>
  </conditionalFormatting>
  <conditionalFormatting sqref="O300 X300">
    <cfRule type="colorScale" priority="1851">
      <colorScale>
        <cfvo type="formula" val="&quot;&lt;0&quot;"/>
        <cfvo type="formula" val="&quot;&gt;0&quot;"/>
        <color rgb="FFFF0000"/>
        <color rgb="FF00B050"/>
      </colorScale>
    </cfRule>
  </conditionalFormatting>
  <conditionalFormatting sqref="O309:O310 O312 X309:X310 X312">
    <cfRule type="colorScale" priority="1848">
      <colorScale>
        <cfvo type="formula" val="&quot;&lt;0&quot;"/>
        <cfvo type="formula" val="&quot;&gt;0&quot;"/>
        <color rgb="FFFF0000"/>
        <color rgb="FF00B050"/>
      </colorScale>
    </cfRule>
  </conditionalFormatting>
  <conditionalFormatting sqref="O309:O312 X309:X312">
    <cfRule type="cellIs" dxfId="842" priority="1844" operator="greaterThan">
      <formula>0</formula>
    </cfRule>
    <cfRule type="cellIs" dxfId="841" priority="1843" operator="lessThan">
      <formula>0</formula>
    </cfRule>
  </conditionalFormatting>
  <conditionalFormatting sqref="O317:O318 O320 X317:X318 X320">
    <cfRule type="colorScale" priority="1836">
      <colorScale>
        <cfvo type="formula" val="&quot;&lt;0&quot;"/>
        <cfvo type="formula" val="&quot;&gt;0&quot;"/>
        <color rgb="FFFF0000"/>
        <color rgb="FF00B050"/>
      </colorScale>
    </cfRule>
  </conditionalFormatting>
  <conditionalFormatting sqref="O317:O320 X317:X320">
    <cfRule type="cellIs" dxfId="840" priority="1832" operator="greaterThan">
      <formula>0</formula>
    </cfRule>
    <cfRule type="cellIs" dxfId="839" priority="1831" operator="lessThan">
      <formula>0</formula>
    </cfRule>
  </conditionalFormatting>
  <conditionalFormatting sqref="O326:O327 O329 X326:X327 X329">
    <cfRule type="colorScale" priority="1830">
      <colorScale>
        <cfvo type="formula" val="&quot;&lt;0&quot;"/>
        <cfvo type="formula" val="&quot;&gt;0&quot;"/>
        <color rgb="FFFF0000"/>
        <color rgb="FF00B050"/>
      </colorScale>
    </cfRule>
  </conditionalFormatting>
  <conditionalFormatting sqref="O326:O329 X326:X329">
    <cfRule type="cellIs" dxfId="838" priority="1825" operator="lessThan">
      <formula>0</formula>
    </cfRule>
    <cfRule type="cellIs" dxfId="837" priority="1826" operator="greaterThan">
      <formula>0</formula>
    </cfRule>
  </conditionalFormatting>
  <conditionalFormatting sqref="O328 X328">
    <cfRule type="colorScale" priority="1827">
      <colorScale>
        <cfvo type="formula" val="&quot;&lt;0&quot;"/>
        <cfvo type="formula" val="&quot;&gt;0&quot;"/>
        <color rgb="FFFF0000"/>
        <color rgb="FF00B050"/>
      </colorScale>
    </cfRule>
  </conditionalFormatting>
  <conditionalFormatting sqref="O334:O335 O337 X334:X335 X337">
    <cfRule type="colorScale" priority="1824">
      <colorScale>
        <cfvo type="formula" val="&quot;&lt;0&quot;"/>
        <cfvo type="formula" val="&quot;&gt;0&quot;"/>
        <color rgb="FFFF0000"/>
        <color rgb="FF00B050"/>
      </colorScale>
    </cfRule>
  </conditionalFormatting>
  <conditionalFormatting sqref="O334:O337 X334:X337">
    <cfRule type="cellIs" dxfId="836" priority="1820" operator="greaterThan">
      <formula>0</formula>
    </cfRule>
    <cfRule type="cellIs" dxfId="835" priority="1819" operator="lessThan">
      <formula>0</formula>
    </cfRule>
  </conditionalFormatting>
  <conditionalFormatting sqref="O341:O342 O344 X341:X342 X344">
    <cfRule type="colorScale" priority="1818">
      <colorScale>
        <cfvo type="formula" val="&quot;&lt;0&quot;"/>
        <cfvo type="formula" val="&quot;&gt;0&quot;"/>
        <color rgb="FFFF0000"/>
        <color rgb="FF00B050"/>
      </colorScale>
    </cfRule>
  </conditionalFormatting>
  <conditionalFormatting sqref="O341:O344 X341:X344">
    <cfRule type="cellIs" dxfId="834" priority="1813" operator="lessThan">
      <formula>0</formula>
    </cfRule>
    <cfRule type="cellIs" dxfId="833" priority="1814" operator="greaterThan">
      <formula>0</formula>
    </cfRule>
  </conditionalFormatting>
  <conditionalFormatting sqref="O348:O349 O351 X348:X349 X351">
    <cfRule type="colorScale" priority="1812">
      <colorScale>
        <cfvo type="formula" val="&quot;&lt;0&quot;"/>
        <cfvo type="formula" val="&quot;&gt;0&quot;"/>
        <color rgb="FFFF0000"/>
        <color rgb="FF00B050"/>
      </colorScale>
    </cfRule>
  </conditionalFormatting>
  <conditionalFormatting sqref="O348:O351 X348:X351">
    <cfRule type="cellIs" dxfId="832" priority="1808" operator="greaterThan">
      <formula>0</formula>
    </cfRule>
    <cfRule type="cellIs" dxfId="831" priority="1807" operator="lessThan">
      <formula>0</formula>
    </cfRule>
  </conditionalFormatting>
  <conditionalFormatting sqref="O350 X350">
    <cfRule type="colorScale" priority="1809">
      <colorScale>
        <cfvo type="formula" val="&quot;&lt;0&quot;"/>
        <cfvo type="formula" val="&quot;&gt;0&quot;"/>
        <color rgb="FFFF0000"/>
        <color rgb="FF00B050"/>
      </colorScale>
    </cfRule>
  </conditionalFormatting>
  <conditionalFormatting sqref="O356:O357 O359 X356:X357 X359">
    <cfRule type="colorScale" priority="1806">
      <colorScale>
        <cfvo type="formula" val="&quot;&lt;0&quot;"/>
        <cfvo type="formula" val="&quot;&gt;0&quot;"/>
        <color rgb="FFFF0000"/>
        <color rgb="FF00B050"/>
      </colorScale>
    </cfRule>
  </conditionalFormatting>
  <conditionalFormatting sqref="O356:O359 X356:X359">
    <cfRule type="cellIs" dxfId="830" priority="1801" operator="lessThan">
      <formula>0</formula>
    </cfRule>
    <cfRule type="cellIs" dxfId="829" priority="1802" operator="greaterThan">
      <formula>0</formula>
    </cfRule>
  </conditionalFormatting>
  <conditionalFormatting sqref="O363:O364 O366 X363:X364 X366">
    <cfRule type="colorScale" priority="1800">
      <colorScale>
        <cfvo type="formula" val="&quot;&lt;0&quot;"/>
        <cfvo type="formula" val="&quot;&gt;0&quot;"/>
        <color rgb="FFFF0000"/>
        <color rgb="FF00B050"/>
      </colorScale>
    </cfRule>
  </conditionalFormatting>
  <conditionalFormatting sqref="O363:O366 X363:X366">
    <cfRule type="cellIs" dxfId="828" priority="1795" operator="lessThan">
      <formula>0</formula>
    </cfRule>
    <cfRule type="cellIs" dxfId="827" priority="1796" operator="greaterThan">
      <formula>0</formula>
    </cfRule>
  </conditionalFormatting>
  <conditionalFormatting sqref="O372:O373 O375 X372:X373 X375">
    <cfRule type="colorScale" priority="1794">
      <colorScale>
        <cfvo type="formula" val="&quot;&lt;0&quot;"/>
        <cfvo type="formula" val="&quot;&gt;0&quot;"/>
        <color rgb="FFFF0000"/>
        <color rgb="FF00B050"/>
      </colorScale>
    </cfRule>
  </conditionalFormatting>
  <conditionalFormatting sqref="O372:O375 X372:X375">
    <cfRule type="cellIs" dxfId="826" priority="1790" operator="greaterThan">
      <formula>0</formula>
    </cfRule>
    <cfRule type="cellIs" dxfId="825" priority="1789" operator="lessThan">
      <formula>0</formula>
    </cfRule>
  </conditionalFormatting>
  <conditionalFormatting sqref="O374 X374">
    <cfRule type="colorScale" priority="1791">
      <colorScale>
        <cfvo type="formula" val="&quot;&lt;0&quot;"/>
        <cfvo type="formula" val="&quot;&gt;0&quot;"/>
        <color rgb="FFFF0000"/>
        <color rgb="FF00B050"/>
      </colorScale>
    </cfRule>
  </conditionalFormatting>
  <conditionalFormatting sqref="O381:O382 O384 X381:X382 X384">
    <cfRule type="colorScale" priority="1788">
      <colorScale>
        <cfvo type="formula" val="&quot;&lt;0&quot;"/>
        <cfvo type="formula" val="&quot;&gt;0&quot;"/>
        <color rgb="FFFF0000"/>
        <color rgb="FF00B050"/>
      </colorScale>
    </cfRule>
  </conditionalFormatting>
  <conditionalFormatting sqref="O381:O384 X381:X384">
    <cfRule type="cellIs" dxfId="824" priority="1784" operator="greaterThan">
      <formula>0</formula>
    </cfRule>
    <cfRule type="cellIs" dxfId="823" priority="1783" operator="lessThan">
      <formula>0</formula>
    </cfRule>
  </conditionalFormatting>
  <conditionalFormatting sqref="O383 X383">
    <cfRule type="colorScale" priority="1785">
      <colorScale>
        <cfvo type="formula" val="&quot;&lt;0&quot;"/>
        <cfvo type="formula" val="&quot;&gt;0&quot;"/>
        <color rgb="FFFF0000"/>
        <color rgb="FF00B050"/>
      </colorScale>
    </cfRule>
  </conditionalFormatting>
  <conditionalFormatting sqref="O392:O393 O395 X392:X393 X395">
    <cfRule type="colorScale" priority="1782">
      <colorScale>
        <cfvo type="formula" val="&quot;&lt;0&quot;"/>
        <cfvo type="formula" val="&quot;&gt;0&quot;"/>
        <color rgb="FFFF0000"/>
        <color rgb="FF00B050"/>
      </colorScale>
    </cfRule>
  </conditionalFormatting>
  <conditionalFormatting sqref="O392:O395 X392:X395">
    <cfRule type="cellIs" dxfId="822" priority="1778" operator="greaterThan">
      <formula>0</formula>
    </cfRule>
    <cfRule type="cellIs" dxfId="821" priority="1777" operator="lessThan">
      <formula>0</formula>
    </cfRule>
  </conditionalFormatting>
  <conditionalFormatting sqref="O394 X394">
    <cfRule type="colorScale" priority="1779">
      <colorScale>
        <cfvo type="formula" val="&quot;&lt;0&quot;"/>
        <cfvo type="formula" val="&quot;&gt;0&quot;"/>
        <color rgb="FFFF0000"/>
        <color rgb="FF00B050"/>
      </colorScale>
    </cfRule>
  </conditionalFormatting>
  <conditionalFormatting sqref="O402:O403 O406 X402:X403 X406">
    <cfRule type="colorScale" priority="1776">
      <colorScale>
        <cfvo type="formula" val="&quot;&lt;0&quot;"/>
        <cfvo type="formula" val="&quot;&gt;0&quot;"/>
        <color rgb="FFFF0000"/>
        <color rgb="FF00B050"/>
      </colorScale>
    </cfRule>
  </conditionalFormatting>
  <conditionalFormatting sqref="O402:O406 X402:X406 O123:O126">
    <cfRule type="cellIs" dxfId="820" priority="1972" operator="lessThan">
      <formula>0</formula>
    </cfRule>
    <cfRule type="cellIs" dxfId="819" priority="1973" operator="greaterThan">
      <formula>0</formula>
    </cfRule>
  </conditionalFormatting>
  <conditionalFormatting sqref="P427">
    <cfRule type="colorScale" priority="1086">
      <colorScale>
        <cfvo type="formula" val="&quot;&lt;0&quot;"/>
        <cfvo type="formula" val="&quot;&gt;0&quot;"/>
        <color rgb="FFFF0000"/>
        <color rgb="FF00B050"/>
      </colorScale>
    </cfRule>
  </conditionalFormatting>
  <conditionalFormatting sqref="P430">
    <cfRule type="colorScale" priority="1116">
      <colorScale>
        <cfvo type="formula" val="&quot;&lt;0&quot;"/>
        <cfvo type="formula" val="&quot;&gt;0&quot;"/>
        <color rgb="FFFF0000"/>
        <color rgb="FF00B050"/>
      </colorScale>
    </cfRule>
  </conditionalFormatting>
  <conditionalFormatting sqref="P433">
    <cfRule type="colorScale" priority="1110">
      <colorScale>
        <cfvo type="formula" val="&quot;&lt;0&quot;"/>
        <cfvo type="formula" val="&quot;&gt;0&quot;"/>
        <color rgb="FFFF0000"/>
        <color rgb="FF00B050"/>
      </colorScale>
    </cfRule>
  </conditionalFormatting>
  <conditionalFormatting sqref="P436">
    <cfRule type="colorScale" priority="1104">
      <colorScale>
        <cfvo type="formula" val="&quot;&lt;0&quot;"/>
        <cfvo type="formula" val="&quot;&gt;0&quot;"/>
        <color rgb="FFFF0000"/>
        <color rgb="FF00B050"/>
      </colorScale>
    </cfRule>
  </conditionalFormatting>
  <conditionalFormatting sqref="P439">
    <cfRule type="colorScale" priority="1095">
      <colorScale>
        <cfvo type="formula" val="&quot;&lt;0&quot;"/>
        <cfvo type="formula" val="&quot;&gt;0&quot;"/>
        <color rgb="FFFF0000"/>
        <color rgb="FF00B050"/>
      </colorScale>
    </cfRule>
  </conditionalFormatting>
  <conditionalFormatting sqref="P853">
    <cfRule type="cellIs" dxfId="818" priority="2" operator="greaterThan">
      <formula>0</formula>
    </cfRule>
    <cfRule type="colorScale" priority="1">
      <colorScale>
        <cfvo type="formula" val="&quot;&lt;0&quot;"/>
        <cfvo type="formula" val="&quot;&gt;0&quot;"/>
        <color rgb="FFFF0000"/>
        <color rgb="FF00B050"/>
      </colorScale>
    </cfRule>
  </conditionalFormatting>
  <conditionalFormatting sqref="P411:Q411">
    <cfRule type="colorScale" priority="1757">
      <colorScale>
        <cfvo type="formula" val="&quot;&lt;0&quot;"/>
        <cfvo type="formula" val="&quot;&gt;0&quot;"/>
        <color rgb="FFFF0000"/>
        <color rgb="FF00B050"/>
      </colorScale>
    </cfRule>
    <cfRule type="cellIs" dxfId="817" priority="1755" operator="lessThan">
      <formula>0</formula>
    </cfRule>
    <cfRule type="cellIs" dxfId="816" priority="1756" operator="greaterThan">
      <formula>0</formula>
    </cfRule>
  </conditionalFormatting>
  <conditionalFormatting sqref="P423:Q423">
    <cfRule type="colorScale" priority="1760">
      <colorScale>
        <cfvo type="formula" val="&quot;&lt;0&quot;"/>
        <cfvo type="formula" val="&quot;&gt;0&quot;"/>
        <color rgb="FFFF0000"/>
        <color rgb="FF00B050"/>
      </colorScale>
    </cfRule>
    <cfRule type="cellIs" dxfId="815" priority="1759" operator="greaterThan">
      <formula>0</formula>
    </cfRule>
    <cfRule type="cellIs" dxfId="814" priority="1758" operator="lessThan">
      <formula>0</formula>
    </cfRule>
  </conditionalFormatting>
  <conditionalFormatting sqref="P427:Q428">
    <cfRule type="cellIs" dxfId="813" priority="1081" operator="lessThan">
      <formula>0</formula>
    </cfRule>
    <cfRule type="cellIs" dxfId="812" priority="1082" operator="greaterThan">
      <formula>0</formula>
    </cfRule>
  </conditionalFormatting>
  <conditionalFormatting sqref="P428:Q428">
    <cfRule type="colorScale" priority="1089">
      <colorScale>
        <cfvo type="formula" val="&quot;&lt;0&quot;"/>
        <cfvo type="formula" val="&quot;&gt;0&quot;"/>
        <color rgb="FFFF0000"/>
        <color rgb="FF00B050"/>
      </colorScale>
    </cfRule>
  </conditionalFormatting>
  <conditionalFormatting sqref="P430:Q431">
    <cfRule type="cellIs" dxfId="811" priority="1111" operator="lessThan">
      <formula>0</formula>
    </cfRule>
    <cfRule type="cellIs" dxfId="810" priority="1112" operator="greaterThan">
      <formula>0</formula>
    </cfRule>
  </conditionalFormatting>
  <conditionalFormatting sqref="P431:Q431 P434:Q434 P437:Q437">
    <cfRule type="colorScale" priority="1452">
      <colorScale>
        <cfvo type="formula" val="&quot;&lt;0&quot;"/>
        <cfvo type="formula" val="&quot;&gt;0&quot;"/>
        <color rgb="FFFF0000"/>
        <color rgb="FF00B050"/>
      </colorScale>
    </cfRule>
  </conditionalFormatting>
  <conditionalFormatting sqref="P433:Q434">
    <cfRule type="cellIs" dxfId="809" priority="1106" operator="greaterThan">
      <formula>0</formula>
    </cfRule>
    <cfRule type="cellIs" dxfId="808" priority="1105" operator="lessThan">
      <formula>0</formula>
    </cfRule>
  </conditionalFormatting>
  <conditionalFormatting sqref="P436:Q437">
    <cfRule type="cellIs" dxfId="807" priority="1100" operator="greaterThan">
      <formula>0</formula>
    </cfRule>
    <cfRule type="cellIs" dxfId="806" priority="1099" operator="lessThan">
      <formula>0</formula>
    </cfRule>
  </conditionalFormatting>
  <conditionalFormatting sqref="P439:Q440">
    <cfRule type="cellIs" dxfId="805" priority="1090" operator="lessThan">
      <formula>0</formula>
    </cfRule>
    <cfRule type="cellIs" dxfId="804" priority="1091" operator="greaterThan">
      <formula>0</formula>
    </cfRule>
  </conditionalFormatting>
  <conditionalFormatting sqref="P440:Q440">
    <cfRule type="colorScale" priority="1098">
      <colorScale>
        <cfvo type="formula" val="&quot;&lt;0&quot;"/>
        <cfvo type="formula" val="&quot;&gt;0&quot;"/>
        <color rgb="FFFF0000"/>
        <color rgb="FF00B050"/>
      </colorScale>
    </cfRule>
  </conditionalFormatting>
  <conditionalFormatting sqref="P445:Q445">
    <cfRule type="cellIs" dxfId="803" priority="1383" operator="lessThan">
      <formula>0</formula>
    </cfRule>
  </conditionalFormatting>
  <conditionalFormatting sqref="P448:Q448 P451:Q451 P454:Q454">
    <cfRule type="cellIs" dxfId="802" priority="1386" operator="lessThan">
      <formula>0</formula>
    </cfRule>
    <cfRule type="colorScale" priority="1388">
      <colorScale>
        <cfvo type="formula" val="&quot;&lt;0&quot;"/>
        <cfvo type="formula" val="&quot;&gt;0&quot;"/>
        <color rgb="FFFF0000"/>
        <color rgb="FF00B050"/>
      </colorScale>
    </cfRule>
    <cfRule type="cellIs" dxfId="801" priority="1387" operator="greaterThan">
      <formula>0</formula>
    </cfRule>
  </conditionalFormatting>
  <conditionalFormatting sqref="P457:Q457">
    <cfRule type="colorScale" priority="1385">
      <colorScale>
        <cfvo type="formula" val="&quot;&lt;0&quot;"/>
        <cfvo type="formula" val="&quot;&gt;0&quot;"/>
        <color rgb="FFFF0000"/>
        <color rgb="FF00B050"/>
      </colorScale>
    </cfRule>
    <cfRule type="cellIs" dxfId="800" priority="1389" operator="lessThan">
      <formula>0</formula>
    </cfRule>
    <cfRule type="cellIs" dxfId="799" priority="1384" operator="greaterThan">
      <formula>0</formula>
    </cfRule>
  </conditionalFormatting>
  <conditionalFormatting sqref="P462:Q462">
    <cfRule type="colorScale" priority="1366">
      <colorScale>
        <cfvo type="formula" val="&quot;&lt;0&quot;"/>
        <cfvo type="formula" val="&quot;&gt;0&quot;"/>
        <color rgb="FFFF0000"/>
        <color rgb="FF00B050"/>
      </colorScale>
    </cfRule>
    <cfRule type="cellIs" dxfId="798" priority="1367" operator="greaterThan">
      <formula>0</formula>
    </cfRule>
    <cfRule type="cellIs" dxfId="797" priority="1359" operator="lessThan">
      <formula>0</formula>
    </cfRule>
  </conditionalFormatting>
  <conditionalFormatting sqref="P465:Q465 P468:Q468 P471:Q471">
    <cfRule type="cellIs" dxfId="796" priority="1363" operator="greaterThan">
      <formula>0</formula>
    </cfRule>
    <cfRule type="colorScale" priority="1364">
      <colorScale>
        <cfvo type="formula" val="&quot;&lt;0&quot;"/>
        <cfvo type="formula" val="&quot;&gt;0&quot;"/>
        <color rgb="FFFF0000"/>
        <color rgb="FF00B050"/>
      </colorScale>
    </cfRule>
    <cfRule type="cellIs" dxfId="795" priority="1362" operator="lessThan">
      <formula>0</formula>
    </cfRule>
  </conditionalFormatting>
  <conditionalFormatting sqref="P474:Q474">
    <cfRule type="cellIs" dxfId="794" priority="1365" operator="lessThan">
      <formula>0</formula>
    </cfRule>
    <cfRule type="colorScale" priority="1361">
      <colorScale>
        <cfvo type="formula" val="&quot;&lt;0&quot;"/>
        <cfvo type="formula" val="&quot;&gt;0&quot;"/>
        <color rgb="FFFF0000"/>
        <color rgb="FF00B050"/>
      </colorScale>
    </cfRule>
    <cfRule type="cellIs" dxfId="793" priority="1360" operator="greaterThan">
      <formula>0</formula>
    </cfRule>
  </conditionalFormatting>
  <conditionalFormatting sqref="P479:Q479">
    <cfRule type="cellIs" dxfId="792" priority="1347" operator="lessThan">
      <formula>0</formula>
    </cfRule>
    <cfRule type="colorScale" priority="1354">
      <colorScale>
        <cfvo type="formula" val="&quot;&lt;0&quot;"/>
        <cfvo type="formula" val="&quot;&gt;0&quot;"/>
        <color rgb="FFFF0000"/>
        <color rgb="FF00B050"/>
      </colorScale>
    </cfRule>
    <cfRule type="cellIs" dxfId="791" priority="1355" operator="greaterThan">
      <formula>0</formula>
    </cfRule>
  </conditionalFormatting>
  <conditionalFormatting sqref="P482:Q482 P485:Q485 P488:Q488">
    <cfRule type="cellIs" dxfId="790" priority="1351" operator="greaterThan">
      <formula>0</formula>
    </cfRule>
    <cfRule type="colorScale" priority="1352">
      <colorScale>
        <cfvo type="formula" val="&quot;&lt;0&quot;"/>
        <cfvo type="formula" val="&quot;&gt;0&quot;"/>
        <color rgb="FFFF0000"/>
        <color rgb="FF00B050"/>
      </colorScale>
    </cfRule>
    <cfRule type="cellIs" dxfId="789" priority="1350" operator="lessThan">
      <formula>0</formula>
    </cfRule>
  </conditionalFormatting>
  <conditionalFormatting sqref="P491:Q491">
    <cfRule type="cellIs" dxfId="788" priority="1348" operator="greaterThan">
      <formula>0</formula>
    </cfRule>
    <cfRule type="colorScale" priority="1349">
      <colorScale>
        <cfvo type="formula" val="&quot;&lt;0&quot;"/>
        <cfvo type="formula" val="&quot;&gt;0&quot;"/>
        <color rgb="FFFF0000"/>
        <color rgb="FF00B050"/>
      </colorScale>
    </cfRule>
    <cfRule type="cellIs" dxfId="787" priority="1353" operator="lessThan">
      <formula>0</formula>
    </cfRule>
  </conditionalFormatting>
  <conditionalFormatting sqref="P496:Q496">
    <cfRule type="colorScale" priority="1342">
      <colorScale>
        <cfvo type="formula" val="&quot;&lt;0&quot;"/>
        <cfvo type="formula" val="&quot;&gt;0&quot;"/>
        <color rgb="FFFF0000"/>
        <color rgb="FF00B050"/>
      </colorScale>
    </cfRule>
    <cfRule type="cellIs" dxfId="786" priority="1335" operator="lessThan">
      <formula>0</formula>
    </cfRule>
    <cfRule type="cellIs" dxfId="785" priority="1343" operator="greaterThan">
      <formula>0</formula>
    </cfRule>
  </conditionalFormatting>
  <conditionalFormatting sqref="P499:Q499 P502:Q502 P505:Q505">
    <cfRule type="colorScale" priority="1340">
      <colorScale>
        <cfvo type="formula" val="&quot;&lt;0&quot;"/>
        <cfvo type="formula" val="&quot;&gt;0&quot;"/>
        <color rgb="FFFF0000"/>
        <color rgb="FF00B050"/>
      </colorScale>
    </cfRule>
    <cfRule type="cellIs" dxfId="784" priority="1339" operator="greaterThan">
      <formula>0</formula>
    </cfRule>
    <cfRule type="cellIs" dxfId="783" priority="1338" operator="lessThan">
      <formula>0</formula>
    </cfRule>
  </conditionalFormatting>
  <conditionalFormatting sqref="P508:Q508">
    <cfRule type="cellIs" dxfId="782" priority="1336" operator="greaterThan">
      <formula>0</formula>
    </cfRule>
    <cfRule type="cellIs" dxfId="781" priority="1341" operator="lessThan">
      <formula>0</formula>
    </cfRule>
    <cfRule type="colorScale" priority="1337">
      <colorScale>
        <cfvo type="formula" val="&quot;&lt;0&quot;"/>
        <cfvo type="formula" val="&quot;&gt;0&quot;"/>
        <color rgb="FFFF0000"/>
        <color rgb="FF00B050"/>
      </colorScale>
    </cfRule>
  </conditionalFormatting>
  <conditionalFormatting sqref="P513:Q513">
    <cfRule type="cellIs" dxfId="780" priority="1323" operator="lessThan">
      <formula>0</formula>
    </cfRule>
    <cfRule type="colorScale" priority="1330">
      <colorScale>
        <cfvo type="formula" val="&quot;&lt;0&quot;"/>
        <cfvo type="formula" val="&quot;&gt;0&quot;"/>
        <color rgb="FFFF0000"/>
        <color rgb="FF00B050"/>
      </colorScale>
    </cfRule>
    <cfRule type="cellIs" dxfId="779" priority="1331" operator="greaterThan">
      <formula>0</formula>
    </cfRule>
  </conditionalFormatting>
  <conditionalFormatting sqref="P516:Q516 P519:Q519 P522:Q522">
    <cfRule type="cellIs" dxfId="778" priority="1326" operator="lessThan">
      <formula>0</formula>
    </cfRule>
    <cfRule type="cellIs" dxfId="777" priority="1327" operator="greaterThan">
      <formula>0</formula>
    </cfRule>
    <cfRule type="colorScale" priority="1328">
      <colorScale>
        <cfvo type="formula" val="&quot;&lt;0&quot;"/>
        <cfvo type="formula" val="&quot;&gt;0&quot;"/>
        <color rgb="FFFF0000"/>
        <color rgb="FF00B050"/>
      </colorScale>
    </cfRule>
  </conditionalFormatting>
  <conditionalFormatting sqref="P525:Q525">
    <cfRule type="cellIs" dxfId="776" priority="1329" operator="lessThan">
      <formula>0</formula>
    </cfRule>
    <cfRule type="colorScale" priority="1325">
      <colorScale>
        <cfvo type="formula" val="&quot;&lt;0&quot;"/>
        <cfvo type="formula" val="&quot;&gt;0&quot;"/>
        <color rgb="FFFF0000"/>
        <color rgb="FF00B050"/>
      </colorScale>
    </cfRule>
    <cfRule type="cellIs" dxfId="775" priority="1324" operator="greaterThan">
      <formula>0</formula>
    </cfRule>
  </conditionalFormatting>
  <conditionalFormatting sqref="P530:Q530">
    <cfRule type="colorScale" priority="1318">
      <colorScale>
        <cfvo type="formula" val="&quot;&lt;0&quot;"/>
        <cfvo type="formula" val="&quot;&gt;0&quot;"/>
        <color rgb="FFFF0000"/>
        <color rgb="FF00B050"/>
      </colorScale>
    </cfRule>
    <cfRule type="cellIs" dxfId="774" priority="1319" operator="greaterThan">
      <formula>0</formula>
    </cfRule>
    <cfRule type="cellIs" dxfId="773" priority="1311" operator="lessThan">
      <formula>0</formula>
    </cfRule>
  </conditionalFormatting>
  <conditionalFormatting sqref="P533:Q533 P536:Q536 P539:Q539">
    <cfRule type="colorScale" priority="1316">
      <colorScale>
        <cfvo type="formula" val="&quot;&lt;0&quot;"/>
        <cfvo type="formula" val="&quot;&gt;0&quot;"/>
        <color rgb="FFFF0000"/>
        <color rgb="FF00B050"/>
      </colorScale>
    </cfRule>
    <cfRule type="cellIs" dxfId="772" priority="1315" operator="greaterThan">
      <formula>0</formula>
    </cfRule>
    <cfRule type="cellIs" dxfId="771" priority="1314" operator="lessThan">
      <formula>0</formula>
    </cfRule>
  </conditionalFormatting>
  <conditionalFormatting sqref="P542:Q542">
    <cfRule type="colorScale" priority="1313">
      <colorScale>
        <cfvo type="formula" val="&quot;&lt;0&quot;"/>
        <cfvo type="formula" val="&quot;&gt;0&quot;"/>
        <color rgb="FFFF0000"/>
        <color rgb="FF00B050"/>
      </colorScale>
    </cfRule>
    <cfRule type="cellIs" dxfId="770" priority="1312" operator="greaterThan">
      <formula>0</formula>
    </cfRule>
    <cfRule type="cellIs" dxfId="769" priority="1317" operator="lessThan">
      <formula>0</formula>
    </cfRule>
  </conditionalFormatting>
  <conditionalFormatting sqref="P547:Q547">
    <cfRule type="cellIs" dxfId="768" priority="1299" operator="lessThan">
      <formula>0</formula>
    </cfRule>
    <cfRule type="colorScale" priority="1306">
      <colorScale>
        <cfvo type="formula" val="&quot;&lt;0&quot;"/>
        <cfvo type="formula" val="&quot;&gt;0&quot;"/>
        <color rgb="FFFF0000"/>
        <color rgb="FF00B050"/>
      </colorScale>
    </cfRule>
    <cfRule type="cellIs" dxfId="767" priority="1307" operator="greaterThan">
      <formula>0</formula>
    </cfRule>
  </conditionalFormatting>
  <conditionalFormatting sqref="P550:Q550 P553:Q553 P556:Q556">
    <cfRule type="cellIs" dxfId="766" priority="1302" operator="lessThan">
      <formula>0</formula>
    </cfRule>
    <cfRule type="cellIs" dxfId="765" priority="1303" operator="greaterThan">
      <formula>0</formula>
    </cfRule>
    <cfRule type="colorScale" priority="1304">
      <colorScale>
        <cfvo type="formula" val="&quot;&lt;0&quot;"/>
        <cfvo type="formula" val="&quot;&gt;0&quot;"/>
        <color rgb="FFFF0000"/>
        <color rgb="FF00B050"/>
      </colorScale>
    </cfRule>
  </conditionalFormatting>
  <conditionalFormatting sqref="P559:Q559">
    <cfRule type="colorScale" priority="1301">
      <colorScale>
        <cfvo type="formula" val="&quot;&lt;0&quot;"/>
        <cfvo type="formula" val="&quot;&gt;0&quot;"/>
        <color rgb="FFFF0000"/>
        <color rgb="FF00B050"/>
      </colorScale>
    </cfRule>
    <cfRule type="cellIs" dxfId="764" priority="1305" operator="lessThan">
      <formula>0</formula>
    </cfRule>
    <cfRule type="cellIs" dxfId="763" priority="1300" operator="greaterThan">
      <formula>0</formula>
    </cfRule>
  </conditionalFormatting>
  <conditionalFormatting sqref="P564:Q564">
    <cfRule type="cellIs" dxfId="762" priority="1287" operator="lessThan">
      <formula>0</formula>
    </cfRule>
    <cfRule type="colorScale" priority="1294">
      <colorScale>
        <cfvo type="formula" val="&quot;&lt;0&quot;"/>
        <cfvo type="formula" val="&quot;&gt;0&quot;"/>
        <color rgb="FFFF0000"/>
        <color rgb="FF00B050"/>
      </colorScale>
    </cfRule>
    <cfRule type="cellIs" dxfId="761" priority="1295" operator="greaterThan">
      <formula>0</formula>
    </cfRule>
  </conditionalFormatting>
  <conditionalFormatting sqref="P567:Q567 P570:Q570 P573:Q573">
    <cfRule type="cellIs" dxfId="760" priority="1290" operator="lessThan">
      <formula>0</formula>
    </cfRule>
    <cfRule type="colorScale" priority="1292">
      <colorScale>
        <cfvo type="formula" val="&quot;&lt;0&quot;"/>
        <cfvo type="formula" val="&quot;&gt;0&quot;"/>
        <color rgb="FFFF0000"/>
        <color rgb="FF00B050"/>
      </colorScale>
    </cfRule>
    <cfRule type="cellIs" dxfId="759" priority="1291" operator="greaterThan">
      <formula>0</formula>
    </cfRule>
  </conditionalFormatting>
  <conditionalFormatting sqref="P576:Q576">
    <cfRule type="colorScale" priority="1289">
      <colorScale>
        <cfvo type="formula" val="&quot;&lt;0&quot;"/>
        <cfvo type="formula" val="&quot;&gt;0&quot;"/>
        <color rgb="FFFF0000"/>
        <color rgb="FF00B050"/>
      </colorScale>
    </cfRule>
    <cfRule type="cellIs" dxfId="758" priority="1288" operator="greaterThan">
      <formula>0</formula>
    </cfRule>
    <cfRule type="cellIs" dxfId="757" priority="1293" operator="lessThan">
      <formula>0</formula>
    </cfRule>
  </conditionalFormatting>
  <conditionalFormatting sqref="P581:Q581">
    <cfRule type="cellIs" dxfId="756" priority="1283" operator="greaterThan">
      <formula>0</formula>
    </cfRule>
    <cfRule type="cellIs" dxfId="755" priority="1275" operator="lessThan">
      <formula>0</formula>
    </cfRule>
    <cfRule type="colorScale" priority="1282">
      <colorScale>
        <cfvo type="formula" val="&quot;&lt;0&quot;"/>
        <cfvo type="formula" val="&quot;&gt;0&quot;"/>
        <color rgb="FFFF0000"/>
        <color rgb="FF00B050"/>
      </colorScale>
    </cfRule>
  </conditionalFormatting>
  <conditionalFormatting sqref="P584:Q584 P587:Q587 P590:Q590">
    <cfRule type="cellIs" dxfId="754" priority="1278" operator="lessThan">
      <formula>0</formula>
    </cfRule>
    <cfRule type="cellIs" dxfId="753" priority="1279" operator="greaterThan">
      <formula>0</formula>
    </cfRule>
    <cfRule type="colorScale" priority="1280">
      <colorScale>
        <cfvo type="formula" val="&quot;&lt;0&quot;"/>
        <cfvo type="formula" val="&quot;&gt;0&quot;"/>
        <color rgb="FFFF0000"/>
        <color rgb="FF00B050"/>
      </colorScale>
    </cfRule>
  </conditionalFormatting>
  <conditionalFormatting sqref="P593:Q593">
    <cfRule type="colorScale" priority="1277">
      <colorScale>
        <cfvo type="formula" val="&quot;&lt;0&quot;"/>
        <cfvo type="formula" val="&quot;&gt;0&quot;"/>
        <color rgb="FFFF0000"/>
        <color rgb="FF00B050"/>
      </colorScale>
    </cfRule>
    <cfRule type="cellIs" dxfId="752" priority="1281" operator="lessThan">
      <formula>0</formula>
    </cfRule>
    <cfRule type="cellIs" dxfId="751" priority="1276" operator="greaterThan">
      <formula>0</formula>
    </cfRule>
  </conditionalFormatting>
  <conditionalFormatting sqref="P598:Q598">
    <cfRule type="colorScale" priority="1270">
      <colorScale>
        <cfvo type="formula" val="&quot;&lt;0&quot;"/>
        <cfvo type="formula" val="&quot;&gt;0&quot;"/>
        <color rgb="FFFF0000"/>
        <color rgb="FF00B050"/>
      </colorScale>
    </cfRule>
    <cfRule type="cellIs" dxfId="750" priority="1263" operator="lessThan">
      <formula>0</formula>
    </cfRule>
    <cfRule type="cellIs" dxfId="749" priority="1271" operator="greaterThan">
      <formula>0</formula>
    </cfRule>
  </conditionalFormatting>
  <conditionalFormatting sqref="P601:Q601 P604:Q604 P607:Q607">
    <cfRule type="cellIs" dxfId="748" priority="1267" operator="greaterThan">
      <formula>0</formula>
    </cfRule>
    <cfRule type="cellIs" dxfId="747" priority="1266" operator="lessThan">
      <formula>0</formula>
    </cfRule>
    <cfRule type="colorScale" priority="1268">
      <colorScale>
        <cfvo type="formula" val="&quot;&lt;0&quot;"/>
        <cfvo type="formula" val="&quot;&gt;0&quot;"/>
        <color rgb="FFFF0000"/>
        <color rgb="FF00B050"/>
      </colorScale>
    </cfRule>
  </conditionalFormatting>
  <conditionalFormatting sqref="P610:Q610">
    <cfRule type="colorScale" priority="1265">
      <colorScale>
        <cfvo type="formula" val="&quot;&lt;0&quot;"/>
        <cfvo type="formula" val="&quot;&gt;0&quot;"/>
        <color rgb="FFFF0000"/>
        <color rgb="FF00B050"/>
      </colorScale>
    </cfRule>
    <cfRule type="cellIs" dxfId="746" priority="1269" operator="lessThan">
      <formula>0</formula>
    </cfRule>
    <cfRule type="cellIs" dxfId="745" priority="1264" operator="greaterThan">
      <formula>0</formula>
    </cfRule>
  </conditionalFormatting>
  <conditionalFormatting sqref="P615:Q615">
    <cfRule type="cellIs" dxfId="744" priority="1259" operator="greaterThan">
      <formula>0</formula>
    </cfRule>
    <cfRule type="colorScale" priority="1258">
      <colorScale>
        <cfvo type="formula" val="&quot;&lt;0&quot;"/>
        <cfvo type="formula" val="&quot;&gt;0&quot;"/>
        <color rgb="FFFF0000"/>
        <color rgb="FF00B050"/>
      </colorScale>
    </cfRule>
    <cfRule type="cellIs" dxfId="743" priority="1251" operator="lessThan">
      <formula>0</formula>
    </cfRule>
  </conditionalFormatting>
  <conditionalFormatting sqref="P618:Q618 P621:Q621 P624:Q624">
    <cfRule type="colorScale" priority="1256">
      <colorScale>
        <cfvo type="formula" val="&quot;&lt;0&quot;"/>
        <cfvo type="formula" val="&quot;&gt;0&quot;"/>
        <color rgb="FFFF0000"/>
        <color rgb="FF00B050"/>
      </colorScale>
    </cfRule>
    <cfRule type="cellIs" dxfId="742" priority="1255" operator="greaterThan">
      <formula>0</formula>
    </cfRule>
    <cfRule type="cellIs" dxfId="741" priority="1254" operator="lessThan">
      <formula>0</formula>
    </cfRule>
  </conditionalFormatting>
  <conditionalFormatting sqref="P627:Q627">
    <cfRule type="cellIs" dxfId="740" priority="1257" operator="lessThan">
      <formula>0</formula>
    </cfRule>
    <cfRule type="colorScale" priority="1253">
      <colorScale>
        <cfvo type="formula" val="&quot;&lt;0&quot;"/>
        <cfvo type="formula" val="&quot;&gt;0&quot;"/>
        <color rgb="FFFF0000"/>
        <color rgb="FF00B050"/>
      </colorScale>
    </cfRule>
    <cfRule type="cellIs" dxfId="739" priority="1252" operator="greaterThan">
      <formula>0</formula>
    </cfRule>
  </conditionalFormatting>
  <conditionalFormatting sqref="P632:Q632">
    <cfRule type="cellIs" dxfId="738" priority="1247" operator="greaterThan">
      <formula>0</formula>
    </cfRule>
    <cfRule type="colorScale" priority="1246">
      <colorScale>
        <cfvo type="formula" val="&quot;&lt;0&quot;"/>
        <cfvo type="formula" val="&quot;&gt;0&quot;"/>
        <color rgb="FFFF0000"/>
        <color rgb="FF00B050"/>
      </colorScale>
    </cfRule>
    <cfRule type="cellIs" dxfId="737" priority="1239" operator="lessThan">
      <formula>0</formula>
    </cfRule>
  </conditionalFormatting>
  <conditionalFormatting sqref="P635:Q635 P638:Q638 P641:Q641">
    <cfRule type="cellIs" dxfId="736" priority="1242" operator="lessThan">
      <formula>0</formula>
    </cfRule>
    <cfRule type="cellIs" dxfId="735" priority="1243" operator="greaterThan">
      <formula>0</formula>
    </cfRule>
    <cfRule type="colorScale" priority="1244">
      <colorScale>
        <cfvo type="formula" val="&quot;&lt;0&quot;"/>
        <cfvo type="formula" val="&quot;&gt;0&quot;"/>
        <color rgb="FFFF0000"/>
        <color rgb="FF00B050"/>
      </colorScale>
    </cfRule>
  </conditionalFormatting>
  <conditionalFormatting sqref="P644:Q644">
    <cfRule type="cellIs" dxfId="734" priority="1245" operator="lessThan">
      <formula>0</formula>
    </cfRule>
    <cfRule type="cellIs" dxfId="733" priority="1240" operator="greaterThan">
      <formula>0</formula>
    </cfRule>
    <cfRule type="colorScale" priority="1241">
      <colorScale>
        <cfvo type="formula" val="&quot;&lt;0&quot;"/>
        <cfvo type="formula" val="&quot;&gt;0&quot;"/>
        <color rgb="FFFF0000"/>
        <color rgb="FF00B050"/>
      </colorScale>
    </cfRule>
  </conditionalFormatting>
  <conditionalFormatting sqref="P649:Q649">
    <cfRule type="cellIs" dxfId="732" priority="1227" operator="lessThan">
      <formula>0</formula>
    </cfRule>
    <cfRule type="cellIs" dxfId="731" priority="1235" operator="greaterThan">
      <formula>0</formula>
    </cfRule>
    <cfRule type="colorScale" priority="1234">
      <colorScale>
        <cfvo type="formula" val="&quot;&lt;0&quot;"/>
        <cfvo type="formula" val="&quot;&gt;0&quot;"/>
        <color rgb="FFFF0000"/>
        <color rgb="FF00B050"/>
      </colorScale>
    </cfRule>
  </conditionalFormatting>
  <conditionalFormatting sqref="P652:Q652 P655:Q655 P658:Q658">
    <cfRule type="colorScale" priority="1232">
      <colorScale>
        <cfvo type="formula" val="&quot;&lt;0&quot;"/>
        <cfvo type="formula" val="&quot;&gt;0&quot;"/>
        <color rgb="FFFF0000"/>
        <color rgb="FF00B050"/>
      </colorScale>
    </cfRule>
    <cfRule type="cellIs" dxfId="730" priority="1230" operator="lessThan">
      <formula>0</formula>
    </cfRule>
    <cfRule type="cellIs" dxfId="729" priority="1231" operator="greaterThan">
      <formula>0</formula>
    </cfRule>
  </conditionalFormatting>
  <conditionalFormatting sqref="P661:Q661">
    <cfRule type="cellIs" dxfId="728" priority="1228" operator="greaterThan">
      <formula>0</formula>
    </cfRule>
    <cfRule type="colorScale" priority="1229">
      <colorScale>
        <cfvo type="formula" val="&quot;&lt;0&quot;"/>
        <cfvo type="formula" val="&quot;&gt;0&quot;"/>
        <color rgb="FFFF0000"/>
        <color rgb="FF00B050"/>
      </colorScale>
    </cfRule>
    <cfRule type="cellIs" dxfId="727" priority="1233" operator="lessThan">
      <formula>0</formula>
    </cfRule>
  </conditionalFormatting>
  <conditionalFormatting sqref="P666:Q666">
    <cfRule type="colorScale" priority="1222">
      <colorScale>
        <cfvo type="formula" val="&quot;&lt;0&quot;"/>
        <cfvo type="formula" val="&quot;&gt;0&quot;"/>
        <color rgb="FFFF0000"/>
        <color rgb="FF00B050"/>
      </colorScale>
    </cfRule>
    <cfRule type="cellIs" dxfId="726" priority="1215" operator="lessThan">
      <formula>0</formula>
    </cfRule>
    <cfRule type="cellIs" dxfId="725" priority="1223" operator="greaterThan">
      <formula>0</formula>
    </cfRule>
  </conditionalFormatting>
  <conditionalFormatting sqref="P669:Q669 P672:Q672 P675:Q675">
    <cfRule type="cellIs" dxfId="724" priority="1219" operator="greaterThan">
      <formula>0</formula>
    </cfRule>
    <cfRule type="colorScale" priority="1220">
      <colorScale>
        <cfvo type="formula" val="&quot;&lt;0&quot;"/>
        <cfvo type="formula" val="&quot;&gt;0&quot;"/>
        <color rgb="FFFF0000"/>
        <color rgb="FF00B050"/>
      </colorScale>
    </cfRule>
    <cfRule type="cellIs" dxfId="723" priority="1218" operator="lessThan">
      <formula>0</formula>
    </cfRule>
  </conditionalFormatting>
  <conditionalFormatting sqref="P678:Q678">
    <cfRule type="cellIs" dxfId="722" priority="1221" operator="lessThan">
      <formula>0</formula>
    </cfRule>
    <cfRule type="colorScale" priority="1217">
      <colorScale>
        <cfvo type="formula" val="&quot;&lt;0&quot;"/>
        <cfvo type="formula" val="&quot;&gt;0&quot;"/>
        <color rgb="FFFF0000"/>
        <color rgb="FF00B050"/>
      </colorScale>
    </cfRule>
    <cfRule type="cellIs" dxfId="721" priority="1216" operator="greaterThan">
      <formula>0</formula>
    </cfRule>
  </conditionalFormatting>
  <conditionalFormatting sqref="P683:Q683">
    <cfRule type="cellIs" dxfId="720" priority="1203" operator="lessThan">
      <formula>0</formula>
    </cfRule>
    <cfRule type="colorScale" priority="1210">
      <colorScale>
        <cfvo type="formula" val="&quot;&lt;0&quot;"/>
        <cfvo type="formula" val="&quot;&gt;0&quot;"/>
        <color rgb="FFFF0000"/>
        <color rgb="FF00B050"/>
      </colorScale>
    </cfRule>
    <cfRule type="cellIs" dxfId="719" priority="1211" operator="greaterThan">
      <formula>0</formula>
    </cfRule>
  </conditionalFormatting>
  <conditionalFormatting sqref="P686:Q686 P689:Q689 P692:Q692">
    <cfRule type="cellIs" dxfId="718" priority="1207" operator="greaterThan">
      <formula>0</formula>
    </cfRule>
    <cfRule type="cellIs" dxfId="717" priority="1206" operator="lessThan">
      <formula>0</formula>
    </cfRule>
    <cfRule type="colorScale" priority="1208">
      <colorScale>
        <cfvo type="formula" val="&quot;&lt;0&quot;"/>
        <cfvo type="formula" val="&quot;&gt;0&quot;"/>
        <color rgb="FFFF0000"/>
        <color rgb="FF00B050"/>
      </colorScale>
    </cfRule>
  </conditionalFormatting>
  <conditionalFormatting sqref="P695:Q695">
    <cfRule type="cellIs" dxfId="716" priority="1209" operator="lessThan">
      <formula>0</formula>
    </cfRule>
    <cfRule type="cellIs" dxfId="715" priority="1204" operator="greaterThan">
      <formula>0</formula>
    </cfRule>
    <cfRule type="colorScale" priority="1205">
      <colorScale>
        <cfvo type="formula" val="&quot;&lt;0&quot;"/>
        <cfvo type="formula" val="&quot;&gt;0&quot;"/>
        <color rgb="FFFF0000"/>
        <color rgb="FF00B050"/>
      </colorScale>
    </cfRule>
  </conditionalFormatting>
  <conditionalFormatting sqref="P700:Q700">
    <cfRule type="colorScale" priority="1198">
      <colorScale>
        <cfvo type="formula" val="&quot;&lt;0&quot;"/>
        <cfvo type="formula" val="&quot;&gt;0&quot;"/>
        <color rgb="FFFF0000"/>
        <color rgb="FF00B050"/>
      </colorScale>
    </cfRule>
    <cfRule type="cellIs" dxfId="714" priority="1199" operator="greaterThan">
      <formula>0</formula>
    </cfRule>
    <cfRule type="cellIs" dxfId="713" priority="1191" operator="lessThan">
      <formula>0</formula>
    </cfRule>
  </conditionalFormatting>
  <conditionalFormatting sqref="P703:Q703 P706:Q706 P709:Q709">
    <cfRule type="cellIs" dxfId="712" priority="1195" operator="greaterThan">
      <formula>0</formula>
    </cfRule>
    <cfRule type="cellIs" dxfId="711" priority="1194" operator="lessThan">
      <formula>0</formula>
    </cfRule>
    <cfRule type="colorScale" priority="1196">
      <colorScale>
        <cfvo type="formula" val="&quot;&lt;0&quot;"/>
        <cfvo type="formula" val="&quot;&gt;0&quot;"/>
        <color rgb="FFFF0000"/>
        <color rgb="FF00B050"/>
      </colorScale>
    </cfRule>
  </conditionalFormatting>
  <conditionalFormatting sqref="P712:Q712">
    <cfRule type="colorScale" priority="1193">
      <colorScale>
        <cfvo type="formula" val="&quot;&lt;0&quot;"/>
        <cfvo type="formula" val="&quot;&gt;0&quot;"/>
        <color rgb="FFFF0000"/>
        <color rgb="FF00B050"/>
      </colorScale>
    </cfRule>
    <cfRule type="cellIs" dxfId="710" priority="1197" operator="lessThan">
      <formula>0</formula>
    </cfRule>
    <cfRule type="cellIs" dxfId="709" priority="1192" operator="greaterThan">
      <formula>0</formula>
    </cfRule>
  </conditionalFormatting>
  <conditionalFormatting sqref="P717:Q717">
    <cfRule type="cellIs" dxfId="708" priority="1187" operator="greaterThan">
      <formula>0</formula>
    </cfRule>
    <cfRule type="colorScale" priority="1186">
      <colorScale>
        <cfvo type="formula" val="&quot;&lt;0&quot;"/>
        <cfvo type="formula" val="&quot;&gt;0&quot;"/>
        <color rgb="FFFF0000"/>
        <color rgb="FF00B050"/>
      </colorScale>
    </cfRule>
    <cfRule type="cellIs" dxfId="707" priority="1179" operator="lessThan">
      <formula>0</formula>
    </cfRule>
  </conditionalFormatting>
  <conditionalFormatting sqref="P720:Q720 P723:Q723 P726:Q726">
    <cfRule type="cellIs" dxfId="706" priority="1183" operator="greaterThan">
      <formula>0</formula>
    </cfRule>
    <cfRule type="cellIs" dxfId="705" priority="1182" operator="lessThan">
      <formula>0</formula>
    </cfRule>
    <cfRule type="colorScale" priority="1184">
      <colorScale>
        <cfvo type="formula" val="&quot;&lt;0&quot;"/>
        <cfvo type="formula" val="&quot;&gt;0&quot;"/>
        <color rgb="FFFF0000"/>
        <color rgb="FF00B050"/>
      </colorScale>
    </cfRule>
  </conditionalFormatting>
  <conditionalFormatting sqref="P729:Q729">
    <cfRule type="cellIs" dxfId="704" priority="1185" operator="lessThan">
      <formula>0</formula>
    </cfRule>
    <cfRule type="colorScale" priority="1181">
      <colorScale>
        <cfvo type="formula" val="&quot;&lt;0&quot;"/>
        <cfvo type="formula" val="&quot;&gt;0&quot;"/>
        <color rgb="FFFF0000"/>
        <color rgb="FF00B050"/>
      </colorScale>
    </cfRule>
    <cfRule type="cellIs" dxfId="703" priority="1180" operator="greaterThan">
      <formula>0</formula>
    </cfRule>
  </conditionalFormatting>
  <conditionalFormatting sqref="P734:Q734">
    <cfRule type="cellIs" dxfId="702" priority="1167" operator="lessThan">
      <formula>0</formula>
    </cfRule>
    <cfRule type="colorScale" priority="1174">
      <colorScale>
        <cfvo type="formula" val="&quot;&lt;0&quot;"/>
        <cfvo type="formula" val="&quot;&gt;0&quot;"/>
        <color rgb="FFFF0000"/>
        <color rgb="FF00B050"/>
      </colorScale>
    </cfRule>
    <cfRule type="cellIs" dxfId="701" priority="1175" operator="greaterThan">
      <formula>0</formula>
    </cfRule>
  </conditionalFormatting>
  <conditionalFormatting sqref="P737:Q737 P740:Q740 P743:Q743">
    <cfRule type="cellIs" dxfId="700" priority="1171" operator="greaterThan">
      <formula>0</formula>
    </cfRule>
    <cfRule type="colorScale" priority="1172">
      <colorScale>
        <cfvo type="formula" val="&quot;&lt;0&quot;"/>
        <cfvo type="formula" val="&quot;&gt;0&quot;"/>
        <color rgb="FFFF0000"/>
        <color rgb="FF00B050"/>
      </colorScale>
    </cfRule>
    <cfRule type="cellIs" dxfId="699" priority="1170" operator="lessThan">
      <formula>0</formula>
    </cfRule>
  </conditionalFormatting>
  <conditionalFormatting sqref="P746:Q746">
    <cfRule type="cellIs" dxfId="698" priority="1173" operator="lessThan">
      <formula>0</formula>
    </cfRule>
    <cfRule type="colorScale" priority="1169">
      <colorScale>
        <cfvo type="formula" val="&quot;&lt;0&quot;"/>
        <cfvo type="formula" val="&quot;&gt;0&quot;"/>
        <color rgb="FFFF0000"/>
        <color rgb="FF00B050"/>
      </colorScale>
    </cfRule>
    <cfRule type="cellIs" dxfId="697" priority="1168" operator="greaterThan">
      <formula>0</formula>
    </cfRule>
  </conditionalFormatting>
  <conditionalFormatting sqref="P751:Q751">
    <cfRule type="colorScale" priority="1162">
      <colorScale>
        <cfvo type="formula" val="&quot;&lt;0&quot;"/>
        <cfvo type="formula" val="&quot;&gt;0&quot;"/>
        <color rgb="FFFF0000"/>
        <color rgb="FF00B050"/>
      </colorScale>
    </cfRule>
    <cfRule type="cellIs" dxfId="696" priority="1163" operator="greaterThan">
      <formula>0</formula>
    </cfRule>
    <cfRule type="cellIs" dxfId="695" priority="1155" operator="lessThan">
      <formula>0</formula>
    </cfRule>
  </conditionalFormatting>
  <conditionalFormatting sqref="P754:Q754 P757:Q757 P760:Q760">
    <cfRule type="colorScale" priority="1160">
      <colorScale>
        <cfvo type="formula" val="&quot;&lt;0&quot;"/>
        <cfvo type="formula" val="&quot;&gt;0&quot;"/>
        <color rgb="FFFF0000"/>
        <color rgb="FF00B050"/>
      </colorScale>
    </cfRule>
    <cfRule type="cellIs" dxfId="694" priority="1159" operator="greaterThan">
      <formula>0</formula>
    </cfRule>
    <cfRule type="cellIs" dxfId="693" priority="1158" operator="lessThan">
      <formula>0</formula>
    </cfRule>
  </conditionalFormatting>
  <conditionalFormatting sqref="P763:Q763">
    <cfRule type="cellIs" dxfId="692" priority="1161" operator="lessThan">
      <formula>0</formula>
    </cfRule>
    <cfRule type="cellIs" dxfId="691" priority="1156" operator="greaterThan">
      <formula>0</formula>
    </cfRule>
    <cfRule type="colorScale" priority="1157">
      <colorScale>
        <cfvo type="formula" val="&quot;&lt;0&quot;"/>
        <cfvo type="formula" val="&quot;&gt;0&quot;"/>
        <color rgb="FFFF0000"/>
        <color rgb="FF00B050"/>
      </colorScale>
    </cfRule>
  </conditionalFormatting>
  <conditionalFormatting sqref="P768:Q768">
    <cfRule type="colorScale" priority="1150">
      <colorScale>
        <cfvo type="formula" val="&quot;&lt;0&quot;"/>
        <cfvo type="formula" val="&quot;&gt;0&quot;"/>
        <color rgb="FFFF0000"/>
        <color rgb="FF00B050"/>
      </colorScale>
    </cfRule>
    <cfRule type="cellIs" dxfId="690" priority="1143" operator="lessThan">
      <formula>0</formula>
    </cfRule>
    <cfRule type="cellIs" dxfId="689" priority="1151" operator="greaterThan">
      <formula>0</formula>
    </cfRule>
  </conditionalFormatting>
  <conditionalFormatting sqref="P771:Q771 P774:Q774 P777:Q777">
    <cfRule type="cellIs" dxfId="688" priority="1146" operator="lessThan">
      <formula>0</formula>
    </cfRule>
    <cfRule type="cellIs" dxfId="687" priority="1147" operator="greaterThan">
      <formula>0</formula>
    </cfRule>
    <cfRule type="colorScale" priority="1148">
      <colorScale>
        <cfvo type="formula" val="&quot;&lt;0&quot;"/>
        <cfvo type="formula" val="&quot;&gt;0&quot;"/>
        <color rgb="FFFF0000"/>
        <color rgb="FF00B050"/>
      </colorScale>
    </cfRule>
  </conditionalFormatting>
  <conditionalFormatting sqref="P780:Q780">
    <cfRule type="cellIs" dxfId="686" priority="1149" operator="lessThan">
      <formula>0</formula>
    </cfRule>
    <cfRule type="cellIs" dxfId="685" priority="1144" operator="greaterThan">
      <formula>0</formula>
    </cfRule>
    <cfRule type="colorScale" priority="1145">
      <colorScale>
        <cfvo type="formula" val="&quot;&lt;0&quot;"/>
        <cfvo type="formula" val="&quot;&gt;0&quot;"/>
        <color rgb="FFFF0000"/>
        <color rgb="FF00B050"/>
      </colorScale>
    </cfRule>
  </conditionalFormatting>
  <conditionalFormatting sqref="P785:Q785">
    <cfRule type="cellIs" dxfId="684" priority="1131" operator="lessThan">
      <formula>0</formula>
    </cfRule>
    <cfRule type="colorScale" priority="1138">
      <colorScale>
        <cfvo type="formula" val="&quot;&lt;0&quot;"/>
        <cfvo type="formula" val="&quot;&gt;0&quot;"/>
        <color rgb="FFFF0000"/>
        <color rgb="FF00B050"/>
      </colorScale>
    </cfRule>
    <cfRule type="cellIs" dxfId="683" priority="1139" operator="greaterThan">
      <formula>0</formula>
    </cfRule>
  </conditionalFormatting>
  <conditionalFormatting sqref="P788:Q788 P791:Q791 P794:Q794">
    <cfRule type="colorScale" priority="1136">
      <colorScale>
        <cfvo type="formula" val="&quot;&lt;0&quot;"/>
        <cfvo type="formula" val="&quot;&gt;0&quot;"/>
        <color rgb="FFFF0000"/>
        <color rgb="FF00B050"/>
      </colorScale>
    </cfRule>
    <cfRule type="cellIs" dxfId="682" priority="1135" operator="greaterThan">
      <formula>0</formula>
    </cfRule>
    <cfRule type="cellIs" dxfId="681" priority="1134" operator="lessThan">
      <formula>0</formula>
    </cfRule>
  </conditionalFormatting>
  <conditionalFormatting sqref="P797:Q797">
    <cfRule type="cellIs" dxfId="680" priority="1137" operator="lessThan">
      <formula>0</formula>
    </cfRule>
    <cfRule type="colorScale" priority="1133">
      <colorScale>
        <cfvo type="formula" val="&quot;&lt;0&quot;"/>
        <cfvo type="formula" val="&quot;&gt;0&quot;"/>
        <color rgb="FFFF0000"/>
        <color rgb="FF00B050"/>
      </colorScale>
    </cfRule>
    <cfRule type="cellIs" dxfId="679" priority="1132" operator="greaterThan">
      <formula>0</formula>
    </cfRule>
  </conditionalFormatting>
  <conditionalFormatting sqref="P802:Q802">
    <cfRule type="colorScale" priority="1126">
      <colorScale>
        <cfvo type="formula" val="&quot;&lt;0&quot;"/>
        <cfvo type="formula" val="&quot;&gt;0&quot;"/>
        <color rgb="FFFF0000"/>
        <color rgb="FF00B050"/>
      </colorScale>
    </cfRule>
    <cfRule type="cellIs" dxfId="678" priority="1126" operator="lessThan">
      <formula>0</formula>
    </cfRule>
    <cfRule type="cellIs" dxfId="677" priority="1127" operator="greaterThan">
      <formula>0</formula>
    </cfRule>
  </conditionalFormatting>
  <conditionalFormatting sqref="P805:Q805 P808:Q808 P811:Q811">
    <cfRule type="colorScale" priority="1124">
      <colorScale>
        <cfvo type="formula" val="&quot;&lt;0&quot;"/>
        <cfvo type="formula" val="&quot;&gt;0&quot;"/>
        <color rgb="FFFF0000"/>
        <color rgb="FF00B050"/>
      </colorScale>
    </cfRule>
    <cfRule type="cellIs" dxfId="676" priority="1123" operator="lessThan">
      <formula>0</formula>
    </cfRule>
    <cfRule type="cellIs" dxfId="675" priority="1123" operator="greaterThan">
      <formula>0</formula>
    </cfRule>
  </conditionalFormatting>
  <conditionalFormatting sqref="P814:Q814">
    <cfRule type="colorScale" priority="1121">
      <colorScale>
        <cfvo type="formula" val="&quot;&lt;0&quot;"/>
        <cfvo type="formula" val="&quot;&gt;0&quot;"/>
        <color rgb="FFFF0000"/>
        <color rgb="FF00B050"/>
      </colorScale>
    </cfRule>
    <cfRule type="cellIs" dxfId="674" priority="1125" operator="lessThan">
      <formula>0</formula>
    </cfRule>
    <cfRule type="cellIs" dxfId="673" priority="1120" operator="greaterThan">
      <formula>0</formula>
    </cfRule>
  </conditionalFormatting>
  <conditionalFormatting sqref="P819:Q819">
    <cfRule type="cellIs" dxfId="672" priority="19" operator="greaterThan">
      <formula>0</formula>
    </cfRule>
    <cfRule type="cellIs" dxfId="671" priority="18" operator="lessThan">
      <formula>0</formula>
    </cfRule>
  </conditionalFormatting>
  <conditionalFormatting sqref="P822:Q822 P825:Q825 P828:Q828">
    <cfRule type="colorScale" priority="16">
      <colorScale>
        <cfvo type="formula" val="&quot;&lt;0&quot;"/>
        <cfvo type="formula" val="&quot;&gt;0&quot;"/>
        <color rgb="FFFF0000"/>
        <color rgb="FF00B050"/>
      </colorScale>
    </cfRule>
    <cfRule type="cellIs" dxfId="670" priority="15" operator="lessThan">
      <formula>0</formula>
    </cfRule>
  </conditionalFormatting>
  <conditionalFormatting sqref="P831:Q831">
    <cfRule type="cellIs" dxfId="669" priority="13" operator="greaterThan">
      <formula>0</formula>
    </cfRule>
    <cfRule type="cellIs" dxfId="668" priority="17" operator="lessThan">
      <formula>0</formula>
    </cfRule>
    <cfRule type="colorScale" priority="14">
      <colorScale>
        <cfvo type="formula" val="&quot;&lt;0&quot;"/>
        <cfvo type="formula" val="&quot;&gt;0&quot;"/>
        <color rgb="FFFF0000"/>
        <color rgb="FF00B050"/>
      </colorScale>
    </cfRule>
  </conditionalFormatting>
  <conditionalFormatting sqref="P836:Q836">
    <cfRule type="cellIs" dxfId="667" priority="913" operator="lessThan">
      <formula>0</formula>
    </cfRule>
    <cfRule type="cellIs" dxfId="666" priority="913" operator="greaterThan">
      <formula>0</formula>
    </cfRule>
    <cfRule type="colorScale" priority="912">
      <colorScale>
        <cfvo type="formula" val="&quot;&lt;0&quot;"/>
        <cfvo type="formula" val="&quot;&gt;0&quot;"/>
        <color rgb="FFFF0000"/>
        <color rgb="FF00B050"/>
      </colorScale>
    </cfRule>
  </conditionalFormatting>
  <conditionalFormatting sqref="P839:Q839 P842:Q842 P845:Q845">
    <cfRule type="cellIs" dxfId="665" priority="910" operator="lessThan">
      <formula>0</formula>
    </cfRule>
    <cfRule type="colorScale" priority="910">
      <colorScale>
        <cfvo type="formula" val="&quot;&lt;0&quot;"/>
        <cfvo type="formula" val="&quot;&gt;0&quot;"/>
        <color rgb="FFFF0000"/>
        <color rgb="FF00B050"/>
      </colorScale>
    </cfRule>
    <cfRule type="cellIs" dxfId="664" priority="909" operator="greaterThan">
      <formula>0</formula>
    </cfRule>
  </conditionalFormatting>
  <conditionalFormatting sqref="P848:Q848">
    <cfRule type="cellIs" dxfId="663" priority="911" operator="lessThan">
      <formula>0</formula>
    </cfRule>
    <cfRule type="colorScale" priority="908">
      <colorScale>
        <cfvo type="formula" val="&quot;&lt;0&quot;"/>
        <cfvo type="formula" val="&quot;&gt;0&quot;"/>
        <color rgb="FFFF0000"/>
        <color rgb="FF00B050"/>
      </colorScale>
    </cfRule>
    <cfRule type="cellIs" dxfId="662" priority="907" operator="greaterThan">
      <formula>0</formula>
    </cfRule>
  </conditionalFormatting>
  <conditionalFormatting sqref="P856:Q856 P859:Q859 P862:Q862">
    <cfRule type="cellIs" dxfId="661" priority="894" operator="greaterThan">
      <formula>0</formula>
    </cfRule>
    <cfRule type="cellIs" dxfId="660" priority="895" operator="lessThan">
      <formula>0</formula>
    </cfRule>
  </conditionalFormatting>
  <conditionalFormatting sqref="P865:Q865">
    <cfRule type="cellIs" dxfId="659" priority="892" operator="greaterThan">
      <formula>0</formula>
    </cfRule>
    <cfRule type="colorScale" priority="893">
      <colorScale>
        <cfvo type="formula" val="&quot;&lt;0&quot;"/>
        <cfvo type="formula" val="&quot;&gt;0&quot;"/>
        <color rgb="FFFF0000"/>
        <color rgb="FF00B050"/>
      </colorScale>
    </cfRule>
    <cfRule type="cellIs" dxfId="658" priority="896" operator="lessThan">
      <formula>0</formula>
    </cfRule>
  </conditionalFormatting>
  <conditionalFormatting sqref="P870:Q870">
    <cfRule type="colorScale" priority="882">
      <colorScale>
        <cfvo type="formula" val="&quot;&lt;0&quot;"/>
        <cfvo type="formula" val="&quot;&gt;0&quot;"/>
        <color rgb="FFFF0000"/>
        <color rgb="FF00B050"/>
      </colorScale>
    </cfRule>
    <cfRule type="cellIs" dxfId="657" priority="883" operator="lessThan">
      <formula>0</formula>
    </cfRule>
    <cfRule type="cellIs" dxfId="656" priority="883" operator="greaterThan">
      <formula>0</formula>
    </cfRule>
  </conditionalFormatting>
  <conditionalFormatting sqref="P873:Q873 P876:Q876 P879:Q879">
    <cfRule type="cellIs" dxfId="655" priority="880" operator="lessThan">
      <formula>0</formula>
    </cfRule>
    <cfRule type="colorScale" priority="880">
      <colorScale>
        <cfvo type="formula" val="&quot;&lt;0&quot;"/>
        <cfvo type="formula" val="&quot;&gt;0&quot;"/>
        <color rgb="FFFF0000"/>
        <color rgb="FF00B050"/>
      </colorScale>
    </cfRule>
    <cfRule type="cellIs" dxfId="654" priority="879" operator="greaterThan">
      <formula>0</formula>
    </cfRule>
  </conditionalFormatting>
  <conditionalFormatting sqref="P882:Q882">
    <cfRule type="cellIs" dxfId="653" priority="881" operator="lessThan">
      <formula>0</formula>
    </cfRule>
    <cfRule type="colorScale" priority="878">
      <colorScale>
        <cfvo type="formula" val="&quot;&lt;0&quot;"/>
        <cfvo type="formula" val="&quot;&gt;0&quot;"/>
        <color rgb="FFFF0000"/>
        <color rgb="FF00B050"/>
      </colorScale>
    </cfRule>
    <cfRule type="cellIs" dxfId="652" priority="877" operator="greaterThan">
      <formula>0</formula>
    </cfRule>
  </conditionalFormatting>
  <conditionalFormatting sqref="P887:Q887">
    <cfRule type="colorScale" priority="865">
      <colorScale>
        <cfvo type="formula" val="&quot;&lt;0&quot;"/>
        <cfvo type="formula" val="&quot;&gt;0&quot;"/>
        <color rgb="FFFF0000"/>
        <color rgb="FF00B050"/>
      </colorScale>
    </cfRule>
    <cfRule type="cellIs" dxfId="651" priority="868" operator="greaterThan">
      <formula>0</formula>
    </cfRule>
    <cfRule type="cellIs" dxfId="650" priority="866" operator="lessThan">
      <formula>0</formula>
    </cfRule>
  </conditionalFormatting>
  <conditionalFormatting sqref="P890:Q890 P893:Q893 P896:Q896">
    <cfRule type="cellIs" dxfId="649" priority="863" operator="lessThan">
      <formula>0</formula>
    </cfRule>
    <cfRule type="cellIs" dxfId="648" priority="862" operator="greaterThan">
      <formula>0</formula>
    </cfRule>
    <cfRule type="colorScale" priority="2124">
      <colorScale>
        <cfvo type="formula" val="&quot;&lt;0&quot;"/>
        <cfvo type="formula" val="&quot;&gt;0&quot;"/>
        <color rgb="FFFF0000"/>
        <color rgb="FF00B050"/>
      </colorScale>
    </cfRule>
  </conditionalFormatting>
  <conditionalFormatting sqref="P899:Q899">
    <cfRule type="cellIs" dxfId="647" priority="864" operator="lessThan">
      <formula>0</formula>
    </cfRule>
    <cfRule type="colorScale" priority="861">
      <colorScale>
        <cfvo type="formula" val="&quot;&lt;0&quot;"/>
        <cfvo type="formula" val="&quot;&gt;0&quot;"/>
        <color rgb="FFFF0000"/>
        <color rgb="FF00B050"/>
      </colorScale>
    </cfRule>
    <cfRule type="cellIs" dxfId="646" priority="860" operator="greaterThan">
      <formula>0</formula>
    </cfRule>
  </conditionalFormatting>
  <conditionalFormatting sqref="P904:Q904">
    <cfRule type="colorScale" priority="852">
      <colorScale>
        <cfvo type="formula" val="&quot;&lt;0&quot;"/>
        <cfvo type="formula" val="&quot;&gt;0&quot;"/>
        <color rgb="FFFF0000"/>
        <color rgb="FF00B050"/>
      </colorScale>
    </cfRule>
    <cfRule type="cellIs" dxfId="645" priority="853" operator="greaterThan">
      <formula>0</formula>
    </cfRule>
  </conditionalFormatting>
  <conditionalFormatting sqref="P907:Q907 P910:Q910 P913:Q913">
    <cfRule type="cellIs" dxfId="644" priority="849" operator="greaterThan">
      <formula>0</formula>
    </cfRule>
    <cfRule type="colorScale" priority="850">
      <colorScale>
        <cfvo type="formula" val="&quot;&lt;0&quot;"/>
        <cfvo type="formula" val="&quot;&gt;0&quot;"/>
        <color rgb="FFFF0000"/>
        <color rgb="FF00B050"/>
      </colorScale>
    </cfRule>
  </conditionalFormatting>
  <conditionalFormatting sqref="P916:Q916">
    <cfRule type="cellIs" dxfId="643" priority="847" operator="greaterThan">
      <formula>0</formula>
    </cfRule>
    <cfRule type="colorScale" priority="848">
      <colorScale>
        <cfvo type="formula" val="&quot;&lt;0&quot;"/>
        <cfvo type="formula" val="&quot;&gt;0&quot;"/>
        <color rgb="FFFF0000"/>
        <color rgb="FF00B050"/>
      </colorScale>
    </cfRule>
    <cfRule type="cellIs" dxfId="642" priority="851" operator="lessThan">
      <formula>0</formula>
    </cfRule>
  </conditionalFormatting>
  <conditionalFormatting sqref="P921:Q921">
    <cfRule type="cellIs" dxfId="641" priority="838" operator="greaterThan">
      <formula>0</formula>
    </cfRule>
    <cfRule type="colorScale" priority="832">
      <colorScale>
        <cfvo type="formula" val="&quot;&lt;0&quot;"/>
        <cfvo type="formula" val="&quot;&gt;0&quot;"/>
        <color rgb="FFFF0000"/>
        <color rgb="FF00B050"/>
      </colorScale>
    </cfRule>
    <cfRule type="cellIs" dxfId="640" priority="833" operator="lessThan">
      <formula>0</formula>
    </cfRule>
  </conditionalFormatting>
  <conditionalFormatting sqref="P924:Q924 P927:Q927 P930:Q930">
    <cfRule type="cellIs" dxfId="639" priority="830" operator="lessThan">
      <formula>0</formula>
    </cfRule>
    <cfRule type="colorScale" priority="835">
      <colorScale>
        <cfvo type="formula" val="&quot;&lt;0&quot;"/>
        <cfvo type="formula" val="&quot;&gt;0&quot;"/>
        <color rgb="FFFF0000"/>
        <color rgb="FF00B050"/>
      </colorScale>
    </cfRule>
    <cfRule type="cellIs" dxfId="638" priority="829" operator="greaterThan">
      <formula>0</formula>
    </cfRule>
  </conditionalFormatting>
  <conditionalFormatting sqref="P933:Q933">
    <cfRule type="cellIs" dxfId="637" priority="831" operator="lessThan">
      <formula>0</formula>
    </cfRule>
    <cfRule type="colorScale" priority="828">
      <colorScale>
        <cfvo type="formula" val="&quot;&lt;0&quot;"/>
        <cfvo type="formula" val="&quot;&gt;0&quot;"/>
        <color rgb="FFFF0000"/>
        <color rgb="FF00B050"/>
      </colorScale>
    </cfRule>
    <cfRule type="cellIs" dxfId="636" priority="827" operator="greaterThan">
      <formula>0</formula>
    </cfRule>
  </conditionalFormatting>
  <conditionalFormatting sqref="P938:Q938">
    <cfRule type="colorScale" priority="819">
      <colorScale>
        <cfvo type="formula" val="&quot;&lt;0&quot;"/>
        <cfvo type="formula" val="&quot;&gt;0&quot;"/>
        <color rgb="FFFF0000"/>
        <color rgb="FF00B050"/>
      </colorScale>
    </cfRule>
    <cfRule type="cellIs" dxfId="635" priority="820" operator="greaterThan">
      <formula>0</formula>
    </cfRule>
  </conditionalFormatting>
  <conditionalFormatting sqref="P941:Q941 P944:Q944 P947:Q947">
    <cfRule type="cellIs" dxfId="634" priority="816" operator="greaterThan">
      <formula>0</formula>
    </cfRule>
    <cfRule type="colorScale" priority="817">
      <colorScale>
        <cfvo type="formula" val="&quot;&lt;0&quot;"/>
        <cfvo type="formula" val="&quot;&gt;0&quot;"/>
        <color rgb="FFFF0000"/>
        <color rgb="FF00B050"/>
      </colorScale>
    </cfRule>
  </conditionalFormatting>
  <conditionalFormatting sqref="P950:Q950">
    <cfRule type="cellIs" dxfId="633" priority="818" operator="lessThan">
      <formula>0</formula>
    </cfRule>
    <cfRule type="colorScale" priority="815">
      <colorScale>
        <cfvo type="formula" val="&quot;&lt;0&quot;"/>
        <cfvo type="formula" val="&quot;&gt;0&quot;"/>
        <color rgb="FFFF0000"/>
        <color rgb="FF00B050"/>
      </colorScale>
    </cfRule>
    <cfRule type="cellIs" dxfId="632" priority="814" operator="greaterThan">
      <formula>0</formula>
    </cfRule>
  </conditionalFormatting>
  <conditionalFormatting sqref="P955:Q955">
    <cfRule type="colorScale" priority="805">
      <colorScale>
        <cfvo type="formula" val="&quot;&lt;0&quot;"/>
        <cfvo type="formula" val="&quot;&gt;0&quot;"/>
        <color rgb="FFFF0000"/>
        <color rgb="FF00B050"/>
      </colorScale>
    </cfRule>
    <cfRule type="cellIs" dxfId="631" priority="806" operator="lessThan">
      <formula>0</formula>
    </cfRule>
    <cfRule type="cellIs" dxfId="630" priority="807" operator="greaterThan">
      <formula>0</formula>
    </cfRule>
  </conditionalFormatting>
  <conditionalFormatting sqref="P958:Q958 P961:Q961 P964:Q964">
    <cfRule type="cellIs" dxfId="629" priority="803" operator="lessThan">
      <formula>0</formula>
    </cfRule>
    <cfRule type="cellIs" dxfId="628" priority="802" operator="greaterThan">
      <formula>0</formula>
    </cfRule>
  </conditionalFormatting>
  <conditionalFormatting sqref="P967:Q967">
    <cfRule type="cellIs" dxfId="627" priority="804" operator="lessThan">
      <formula>0</formula>
    </cfRule>
    <cfRule type="colorScale" priority="801">
      <colorScale>
        <cfvo type="formula" val="&quot;&lt;0&quot;"/>
        <cfvo type="formula" val="&quot;&gt;0&quot;"/>
        <color rgb="FFFF0000"/>
        <color rgb="FF00B050"/>
      </colorScale>
    </cfRule>
    <cfRule type="cellIs" dxfId="626" priority="800" operator="greaterThan">
      <formula>0</formula>
    </cfRule>
  </conditionalFormatting>
  <conditionalFormatting sqref="P972:Q972">
    <cfRule type="cellIs" dxfId="625" priority="793" operator="lessThan">
      <formula>0</formula>
    </cfRule>
    <cfRule type="colorScale" priority="792">
      <colorScale>
        <cfvo type="formula" val="&quot;&lt;0&quot;"/>
        <cfvo type="formula" val="&quot;&gt;0&quot;"/>
        <color rgb="FFFF0000"/>
        <color rgb="FF00B050"/>
      </colorScale>
    </cfRule>
    <cfRule type="cellIs" dxfId="624" priority="793" operator="greaterThan">
      <formula>0</formula>
    </cfRule>
  </conditionalFormatting>
  <conditionalFormatting sqref="P975:Q975 P978:Q978 P981:Q981">
    <cfRule type="colorScale" priority="790">
      <colorScale>
        <cfvo type="formula" val="&quot;&lt;0&quot;"/>
        <cfvo type="formula" val="&quot;&gt;0&quot;"/>
        <color rgb="FFFF0000"/>
        <color rgb="FF00B050"/>
      </colorScale>
    </cfRule>
    <cfRule type="cellIs" dxfId="623" priority="789" operator="greaterThan">
      <formula>0</formula>
    </cfRule>
    <cfRule type="cellIs" dxfId="622" priority="790" operator="lessThan">
      <formula>0</formula>
    </cfRule>
  </conditionalFormatting>
  <conditionalFormatting sqref="P984:Q984">
    <cfRule type="cellIs" dxfId="621" priority="787" operator="greaterThan">
      <formula>0</formula>
    </cfRule>
    <cfRule type="cellIs" dxfId="620" priority="791" operator="lessThan">
      <formula>0</formula>
    </cfRule>
    <cfRule type="colorScale" priority="788">
      <colorScale>
        <cfvo type="formula" val="&quot;&lt;0&quot;"/>
        <cfvo type="formula" val="&quot;&gt;0&quot;"/>
        <color rgb="FFFF0000"/>
        <color rgb="FF00B050"/>
      </colorScale>
    </cfRule>
  </conditionalFormatting>
  <conditionalFormatting sqref="P989:Q989">
    <cfRule type="cellIs" dxfId="619" priority="778" operator="greaterThan">
      <formula>0</formula>
    </cfRule>
    <cfRule type="colorScale" priority="775">
      <colorScale>
        <cfvo type="formula" val="&quot;&lt;0&quot;"/>
        <cfvo type="formula" val="&quot;&gt;0&quot;"/>
        <color rgb="FFFF0000"/>
        <color rgb="FF00B050"/>
      </colorScale>
    </cfRule>
    <cfRule type="cellIs" dxfId="618" priority="776" operator="lessThan">
      <formula>0</formula>
    </cfRule>
  </conditionalFormatting>
  <conditionalFormatting sqref="P992:Q992 P995:Q995 P998:Q998">
    <cfRule type="cellIs" dxfId="617" priority="773" operator="lessThan">
      <formula>0</formula>
    </cfRule>
    <cfRule type="cellIs" dxfId="616" priority="772" operator="greaterThan">
      <formula>0</formula>
    </cfRule>
    <cfRule type="colorScale" priority="777">
      <colorScale>
        <cfvo type="formula" val="&quot;&lt;0&quot;"/>
        <cfvo type="formula" val="&quot;&gt;0&quot;"/>
        <color rgb="FFFF0000"/>
        <color rgb="FF00B050"/>
      </colorScale>
    </cfRule>
  </conditionalFormatting>
  <conditionalFormatting sqref="P1001:Q1001">
    <cfRule type="cellIs" dxfId="615" priority="770" operator="greaterThan">
      <formula>0</formula>
    </cfRule>
    <cfRule type="cellIs" dxfId="614" priority="774" operator="lessThan">
      <formula>0</formula>
    </cfRule>
    <cfRule type="colorScale" priority="771">
      <colorScale>
        <cfvo type="formula" val="&quot;&lt;0&quot;"/>
        <cfvo type="formula" val="&quot;&gt;0&quot;"/>
        <color rgb="FFFF0000"/>
        <color rgb="FF00B050"/>
      </colorScale>
    </cfRule>
  </conditionalFormatting>
  <conditionalFormatting sqref="P1006:Q1006">
    <cfRule type="cellIs" dxfId="613" priority="763" operator="lessThan">
      <formula>0</formula>
    </cfRule>
    <cfRule type="colorScale" priority="762">
      <colorScale>
        <cfvo type="formula" val="&quot;&lt;0&quot;"/>
        <cfvo type="formula" val="&quot;&gt;0&quot;"/>
        <color rgb="FFFF0000"/>
        <color rgb="FF00B050"/>
      </colorScale>
    </cfRule>
    <cfRule type="cellIs" dxfId="612" priority="763" operator="greaterThan">
      <formula>0</formula>
    </cfRule>
  </conditionalFormatting>
  <conditionalFormatting sqref="P1009:Q1009 P1012:Q1012 P1015:Q1015">
    <cfRule type="cellIs" dxfId="611" priority="759" operator="greaterThan">
      <formula>0</formula>
    </cfRule>
    <cfRule type="cellIs" dxfId="610" priority="760" operator="lessThan">
      <formula>0</formula>
    </cfRule>
    <cfRule type="colorScale" priority="760">
      <colorScale>
        <cfvo type="formula" val="&quot;&lt;0&quot;"/>
        <cfvo type="formula" val="&quot;&gt;0&quot;"/>
        <color rgb="FFFF0000"/>
        <color rgb="FF00B050"/>
      </colorScale>
    </cfRule>
  </conditionalFormatting>
  <conditionalFormatting sqref="P1018:Q1018">
    <cfRule type="cellIs" dxfId="609" priority="757" operator="greaterThan">
      <formula>0</formula>
    </cfRule>
    <cfRule type="colorScale" priority="758">
      <colorScale>
        <cfvo type="formula" val="&quot;&lt;0&quot;"/>
        <cfvo type="formula" val="&quot;&gt;0&quot;"/>
        <color rgb="FFFF0000"/>
        <color rgb="FF00B050"/>
      </colorScale>
    </cfRule>
    <cfRule type="cellIs" dxfId="608" priority="761" operator="lessThan">
      <formula>0</formula>
    </cfRule>
  </conditionalFormatting>
  <conditionalFormatting sqref="P1023:Q1023">
    <cfRule type="cellIs" dxfId="607" priority="748" operator="lessThan">
      <formula>0</formula>
    </cfRule>
    <cfRule type="colorScale" priority="747">
      <colorScale>
        <cfvo type="formula" val="&quot;&lt;0&quot;"/>
        <cfvo type="formula" val="&quot;&gt;0&quot;"/>
        <color rgb="FFFF0000"/>
        <color rgb="FF00B050"/>
      </colorScale>
    </cfRule>
    <cfRule type="cellIs" dxfId="606" priority="748" operator="greaterThan">
      <formula>0</formula>
    </cfRule>
  </conditionalFormatting>
  <conditionalFormatting sqref="P1026:Q1026 P1029:Q1029 P1032:Q1032">
    <cfRule type="colorScale" priority="745">
      <colorScale>
        <cfvo type="formula" val="&quot;&lt;0&quot;"/>
        <cfvo type="formula" val="&quot;&gt;0&quot;"/>
        <color rgb="FFFF0000"/>
        <color rgb="FF00B050"/>
      </colorScale>
    </cfRule>
    <cfRule type="cellIs" dxfId="605" priority="745" operator="lessThan">
      <formula>0</formula>
    </cfRule>
    <cfRule type="cellIs" dxfId="604" priority="744" operator="greaterThan">
      <formula>0</formula>
    </cfRule>
  </conditionalFormatting>
  <conditionalFormatting sqref="P1035:Q1035">
    <cfRule type="cellIs" dxfId="603" priority="746" operator="lessThan">
      <formula>0</formula>
    </cfRule>
    <cfRule type="colorScale" priority="743">
      <colorScale>
        <cfvo type="formula" val="&quot;&lt;0&quot;"/>
        <cfvo type="formula" val="&quot;&gt;0&quot;"/>
        <color rgb="FFFF0000"/>
        <color rgb="FF00B050"/>
      </colorScale>
    </cfRule>
    <cfRule type="cellIs" dxfId="602" priority="742" operator="greaterThan">
      <formula>0</formula>
    </cfRule>
  </conditionalFormatting>
  <conditionalFormatting sqref="P1040:Q1040">
    <cfRule type="colorScale" priority="732">
      <colorScale>
        <cfvo type="formula" val="&quot;&lt;0&quot;"/>
        <cfvo type="formula" val="&quot;&gt;0&quot;"/>
        <color rgb="FFFF0000"/>
        <color rgb="FF00B050"/>
      </colorScale>
    </cfRule>
    <cfRule type="cellIs" dxfId="601" priority="733" operator="greaterThan">
      <formula>0</formula>
    </cfRule>
  </conditionalFormatting>
  <conditionalFormatting sqref="P1043:Q1043 P1046:Q1046 P1049:Q1049">
    <cfRule type="cellIs" dxfId="600" priority="729" operator="greaterThan">
      <formula>0</formula>
    </cfRule>
    <cfRule type="colorScale" priority="730">
      <colorScale>
        <cfvo type="formula" val="&quot;&lt;0&quot;"/>
        <cfvo type="formula" val="&quot;&gt;0&quot;"/>
        <color rgb="FFFF0000"/>
        <color rgb="FF00B050"/>
      </colorScale>
    </cfRule>
  </conditionalFormatting>
  <conditionalFormatting sqref="P1052:Q1052">
    <cfRule type="colorScale" priority="728">
      <colorScale>
        <cfvo type="formula" val="&quot;&lt;0&quot;"/>
        <cfvo type="formula" val="&quot;&gt;0&quot;"/>
        <color rgb="FFFF0000"/>
        <color rgb="FF00B050"/>
      </colorScale>
    </cfRule>
    <cfRule type="cellIs" dxfId="599" priority="727" operator="greaterThan">
      <formula>0</formula>
    </cfRule>
    <cfRule type="cellIs" dxfId="598" priority="731" operator="lessThan">
      <formula>0</formula>
    </cfRule>
  </conditionalFormatting>
  <conditionalFormatting sqref="P1057:Q1057">
    <cfRule type="colorScale" priority="705">
      <colorScale>
        <cfvo type="formula" val="&quot;&lt;0&quot;"/>
        <cfvo type="formula" val="&quot;&gt;0&quot;"/>
        <color rgb="FFFF0000"/>
        <color rgb="FF00B050"/>
      </colorScale>
    </cfRule>
    <cfRule type="cellIs" dxfId="597" priority="706" operator="lessThan">
      <formula>0</formula>
    </cfRule>
    <cfRule type="cellIs" dxfId="596" priority="718" operator="greaterThan">
      <formula>0</formula>
    </cfRule>
  </conditionalFormatting>
  <conditionalFormatting sqref="P1060:Q1060 P1063:Q1063 P1066:Q1066">
    <cfRule type="cellIs" dxfId="595" priority="702" operator="greaterThan">
      <formula>0</formula>
    </cfRule>
    <cfRule type="cellIs" dxfId="594" priority="703" operator="lessThan">
      <formula>0</formula>
    </cfRule>
    <cfRule type="colorScale" priority="715">
      <colorScale>
        <cfvo type="formula" val="&quot;&lt;0&quot;"/>
        <cfvo type="formula" val="&quot;&gt;0&quot;"/>
        <color rgb="FFFF0000"/>
        <color rgb="FF00B050"/>
      </colorScale>
    </cfRule>
  </conditionalFormatting>
  <conditionalFormatting sqref="P1069:Q1069">
    <cfRule type="colorScale" priority="701">
      <colorScale>
        <cfvo type="formula" val="&quot;&lt;0&quot;"/>
        <cfvo type="formula" val="&quot;&gt;0&quot;"/>
        <color rgb="FFFF0000"/>
        <color rgb="FF00B050"/>
      </colorScale>
    </cfRule>
    <cfRule type="cellIs" dxfId="593" priority="700" operator="greaterThan">
      <formula>0</formula>
    </cfRule>
    <cfRule type="cellIs" dxfId="592" priority="704" operator="lessThan">
      <formula>0</formula>
    </cfRule>
  </conditionalFormatting>
  <conditionalFormatting sqref="P1074:Q1074">
    <cfRule type="colorScale" priority="692">
      <colorScale>
        <cfvo type="formula" val="&quot;&lt;0&quot;"/>
        <cfvo type="formula" val="&quot;&gt;0&quot;"/>
        <color rgb="FFFF0000"/>
        <color rgb="FF00B050"/>
      </colorScale>
    </cfRule>
    <cfRule type="cellIs" dxfId="591" priority="693" operator="greaterThan">
      <formula>0</formula>
    </cfRule>
  </conditionalFormatting>
  <conditionalFormatting sqref="P1077:Q1077 P1080:Q1080 P1083:Q1083">
    <cfRule type="colorScale" priority="690">
      <colorScale>
        <cfvo type="formula" val="&quot;&lt;0&quot;"/>
        <cfvo type="formula" val="&quot;&gt;0&quot;"/>
        <color rgb="FFFF0000"/>
        <color rgb="FF00B050"/>
      </colorScale>
    </cfRule>
    <cfRule type="cellIs" dxfId="590" priority="689" operator="greaterThan">
      <formula>0</formula>
    </cfRule>
  </conditionalFormatting>
  <conditionalFormatting sqref="P1086:Q1086">
    <cfRule type="cellIs" dxfId="589" priority="691" operator="lessThan">
      <formula>0</formula>
    </cfRule>
    <cfRule type="colorScale" priority="688">
      <colorScale>
        <cfvo type="formula" val="&quot;&lt;0&quot;"/>
        <cfvo type="formula" val="&quot;&gt;0&quot;"/>
        <color rgb="FFFF0000"/>
        <color rgb="FF00B050"/>
      </colorScale>
    </cfRule>
    <cfRule type="cellIs" dxfId="588" priority="687" operator="greaterThan">
      <formula>0</formula>
    </cfRule>
  </conditionalFormatting>
  <conditionalFormatting sqref="P1091:Q1091">
    <cfRule type="colorScale" priority="678">
      <colorScale>
        <cfvo type="formula" val="&quot;&lt;0&quot;"/>
        <cfvo type="formula" val="&quot;&gt;0&quot;"/>
        <color rgb="FFFF0000"/>
        <color rgb="FF00B050"/>
      </colorScale>
    </cfRule>
    <cfRule type="cellIs" dxfId="587" priority="680" operator="greaterThan">
      <formula>0</formula>
    </cfRule>
    <cfRule type="cellIs" dxfId="586" priority="679" operator="lessThan">
      <formula>0</formula>
    </cfRule>
  </conditionalFormatting>
  <conditionalFormatting sqref="P1094:Q1094 P1097:Q1097 P1100:Q1100">
    <cfRule type="cellIs" dxfId="585" priority="676" operator="lessThan">
      <formula>0</formula>
    </cfRule>
    <cfRule type="cellIs" dxfId="584" priority="675" operator="greaterThan">
      <formula>0</formula>
    </cfRule>
  </conditionalFormatting>
  <conditionalFormatting sqref="P1103:Q1103">
    <cfRule type="cellIs" dxfId="583" priority="673" operator="greaterThan">
      <formula>0</formula>
    </cfRule>
    <cfRule type="colorScale" priority="674">
      <colorScale>
        <cfvo type="formula" val="&quot;&lt;0&quot;"/>
        <cfvo type="formula" val="&quot;&gt;0&quot;"/>
        <color rgb="FFFF0000"/>
        <color rgb="FF00B050"/>
      </colorScale>
    </cfRule>
    <cfRule type="cellIs" dxfId="582" priority="677" operator="lessThan">
      <formula>0</formula>
    </cfRule>
  </conditionalFormatting>
  <conditionalFormatting sqref="P1108:Q1108">
    <cfRule type="cellIs" dxfId="581" priority="666" operator="greaterThan">
      <formula>0</formula>
    </cfRule>
    <cfRule type="cellIs" dxfId="580" priority="2125" operator="lessThan">
      <formula>0</formula>
    </cfRule>
    <cfRule type="colorScale" priority="665">
      <colorScale>
        <cfvo type="formula" val="&quot;&lt;0&quot;"/>
        <cfvo type="formula" val="&quot;&gt;0&quot;"/>
        <color rgb="FFFF0000"/>
        <color rgb="FF00B050"/>
      </colorScale>
    </cfRule>
  </conditionalFormatting>
  <conditionalFormatting sqref="P1111:Q1111 P1114:Q1114 P1117:Q1117">
    <cfRule type="cellIs" dxfId="579" priority="2126" operator="lessThan">
      <formula>0</formula>
    </cfRule>
    <cfRule type="colorScale" priority="663">
      <colorScale>
        <cfvo type="formula" val="&quot;&lt;0&quot;"/>
        <cfvo type="formula" val="&quot;&gt;0&quot;"/>
        <color rgb="FFFF0000"/>
        <color rgb="FF00B050"/>
      </colorScale>
    </cfRule>
    <cfRule type="cellIs" dxfId="578" priority="662" operator="greaterThan">
      <formula>0</formula>
    </cfRule>
  </conditionalFormatting>
  <conditionalFormatting sqref="P1120:Q1120">
    <cfRule type="cellIs" dxfId="577" priority="664" operator="lessThan">
      <formula>0</formula>
    </cfRule>
    <cfRule type="colorScale" priority="661">
      <colorScale>
        <cfvo type="formula" val="&quot;&lt;0&quot;"/>
        <cfvo type="formula" val="&quot;&gt;0&quot;"/>
        <color rgb="FFFF0000"/>
        <color rgb="FF00B050"/>
      </colorScale>
    </cfRule>
    <cfRule type="cellIs" dxfId="576" priority="660" operator="greaterThan">
      <formula>0</formula>
    </cfRule>
  </conditionalFormatting>
  <conditionalFormatting sqref="P1125:Q1125">
    <cfRule type="cellIs" dxfId="575" priority="653" operator="greaterThan">
      <formula>0</formula>
    </cfRule>
    <cfRule type="cellIs" dxfId="574" priority="651" operator="lessThan">
      <formula>0</formula>
    </cfRule>
    <cfRule type="colorScale" priority="650">
      <colorScale>
        <cfvo type="formula" val="&quot;&lt;0&quot;"/>
        <cfvo type="formula" val="&quot;&gt;0&quot;"/>
        <color rgb="FFFF0000"/>
        <color rgb="FF00B050"/>
      </colorScale>
    </cfRule>
  </conditionalFormatting>
  <conditionalFormatting sqref="P1128:Q1128 P1131:Q1131 P1134:Q1134">
    <cfRule type="cellIs" dxfId="573" priority="647" operator="greaterThan">
      <formula>0</formula>
    </cfRule>
    <cfRule type="cellIs" dxfId="572" priority="648" operator="lessThan">
      <formula>0</formula>
    </cfRule>
    <cfRule type="colorScale" priority="652">
      <colorScale>
        <cfvo type="formula" val="&quot;&lt;0&quot;"/>
        <cfvo type="formula" val="&quot;&gt;0&quot;"/>
        <color rgb="FFFF0000"/>
        <color rgb="FF00B050"/>
      </colorScale>
    </cfRule>
  </conditionalFormatting>
  <conditionalFormatting sqref="P1137:Q1137">
    <cfRule type="cellIs" dxfId="571" priority="645" operator="greaterThan">
      <formula>0</formula>
    </cfRule>
    <cfRule type="colorScale" priority="646">
      <colorScale>
        <cfvo type="formula" val="&quot;&lt;0&quot;"/>
        <cfvo type="formula" val="&quot;&gt;0&quot;"/>
        <color rgb="FFFF0000"/>
        <color rgb="FF00B050"/>
      </colorScale>
    </cfRule>
    <cfRule type="cellIs" dxfId="570" priority="649" operator="lessThan">
      <formula>0</formula>
    </cfRule>
  </conditionalFormatting>
  <conditionalFormatting sqref="P1142:Q1142">
    <cfRule type="cellIs" dxfId="569" priority="638" operator="greaterThan">
      <formula>0</formula>
    </cfRule>
    <cfRule type="colorScale" priority="637">
      <colorScale>
        <cfvo type="formula" val="&quot;&lt;0&quot;"/>
        <cfvo type="formula" val="&quot;&gt;0&quot;"/>
        <color rgb="FFFF0000"/>
        <color rgb="FF00B050"/>
      </colorScale>
    </cfRule>
    <cfRule type="cellIs" dxfId="568" priority="2127" operator="lessThan">
      <formula>0</formula>
    </cfRule>
  </conditionalFormatting>
  <conditionalFormatting sqref="P1145:Q1145 P1148:Q1148 P1151:Q1151">
    <cfRule type="cellIs" dxfId="567" priority="2128" operator="lessThan">
      <formula>0</formula>
    </cfRule>
    <cfRule type="colorScale" priority="635">
      <colorScale>
        <cfvo type="formula" val="&quot;&lt;0&quot;"/>
        <cfvo type="formula" val="&quot;&gt;0&quot;"/>
        <color rgb="FFFF0000"/>
        <color rgb="FF00B050"/>
      </colorScale>
    </cfRule>
    <cfRule type="cellIs" dxfId="566" priority="634" operator="greaterThan">
      <formula>0</formula>
    </cfRule>
  </conditionalFormatting>
  <conditionalFormatting sqref="P1154:Q1154">
    <cfRule type="cellIs" dxfId="565" priority="636" operator="lessThan">
      <formula>0</formula>
    </cfRule>
    <cfRule type="colorScale" priority="633">
      <colorScale>
        <cfvo type="formula" val="&quot;&lt;0&quot;"/>
        <cfvo type="formula" val="&quot;&gt;0&quot;"/>
        <color rgb="FFFF0000"/>
        <color rgb="FF00B050"/>
      </colorScale>
    </cfRule>
    <cfRule type="cellIs" dxfId="564" priority="632" operator="greaterThan">
      <formula>0</formula>
    </cfRule>
  </conditionalFormatting>
  <conditionalFormatting sqref="P1159:Q1159">
    <cfRule type="cellIs" dxfId="563" priority="625" operator="greaterThan">
      <formula>0</formula>
    </cfRule>
    <cfRule type="cellIs" dxfId="562" priority="624" operator="lessThan">
      <formula>0</formula>
    </cfRule>
    <cfRule type="colorScale" priority="623">
      <colorScale>
        <cfvo type="formula" val="&quot;&lt;0&quot;"/>
        <cfvo type="formula" val="&quot;&gt;0&quot;"/>
        <color rgb="FFFF0000"/>
        <color rgb="FF00B050"/>
      </colorScale>
    </cfRule>
  </conditionalFormatting>
  <conditionalFormatting sqref="P1162:Q1162 P1165:Q1165 P1168:Q1168">
    <cfRule type="cellIs" dxfId="561" priority="621" operator="lessThan">
      <formula>0</formula>
    </cfRule>
    <cfRule type="cellIs" dxfId="560" priority="620" operator="greaterThan">
      <formula>0</formula>
    </cfRule>
    <cfRule type="colorScale" priority="2129">
      <colorScale>
        <cfvo type="formula" val="&quot;&lt;0&quot;"/>
        <cfvo type="formula" val="&quot;&gt;0&quot;"/>
        <color rgb="FFFF0000"/>
        <color rgb="FF00B050"/>
      </colorScale>
    </cfRule>
  </conditionalFormatting>
  <conditionalFormatting sqref="P1171:Q1171">
    <cfRule type="cellIs" dxfId="559" priority="622" operator="lessThan">
      <formula>0</formula>
    </cfRule>
    <cfRule type="cellIs" dxfId="558" priority="618" operator="greaterThan">
      <formula>0</formula>
    </cfRule>
    <cfRule type="colorScale" priority="619">
      <colorScale>
        <cfvo type="formula" val="&quot;&lt;0&quot;"/>
        <cfvo type="formula" val="&quot;&gt;0&quot;"/>
        <color rgb="FFFF0000"/>
        <color rgb="FF00B050"/>
      </colorScale>
    </cfRule>
  </conditionalFormatting>
  <conditionalFormatting sqref="P1176:Q1176">
    <cfRule type="colorScale" priority="610">
      <colorScale>
        <cfvo type="formula" val="&quot;&lt;0&quot;"/>
        <cfvo type="formula" val="&quot;&gt;0&quot;"/>
        <color rgb="FFFF0000"/>
        <color rgb="FF00B050"/>
      </colorScale>
    </cfRule>
    <cfRule type="cellIs" dxfId="557" priority="611" operator="lessThan">
      <formula>0</formula>
    </cfRule>
  </conditionalFormatting>
  <conditionalFormatting sqref="P1179:Q1179 P1182:Q1182 P1185:Q1185">
    <cfRule type="cellIs" dxfId="556" priority="607" operator="greaterThan">
      <formula>0</formula>
    </cfRule>
    <cfRule type="cellIs" dxfId="555" priority="608" operator="lessThan">
      <formula>0</formula>
    </cfRule>
  </conditionalFormatting>
  <conditionalFormatting sqref="P1188:Q1188">
    <cfRule type="cellIs" dxfId="554" priority="609" operator="lessThan">
      <formula>0</formula>
    </cfRule>
    <cfRule type="colorScale" priority="606">
      <colorScale>
        <cfvo type="formula" val="&quot;&lt;0&quot;"/>
        <cfvo type="formula" val="&quot;&gt;0&quot;"/>
        <color rgb="FFFF0000"/>
        <color rgb="FF00B050"/>
      </colorScale>
    </cfRule>
    <cfRule type="cellIs" dxfId="553" priority="605" operator="greaterThan">
      <formula>0</formula>
    </cfRule>
  </conditionalFormatting>
  <conditionalFormatting sqref="P1193:Q1193">
    <cfRule type="colorScale" priority="595">
      <colorScale>
        <cfvo type="formula" val="&quot;&lt;0&quot;"/>
        <cfvo type="formula" val="&quot;&gt;0&quot;"/>
        <color rgb="FFFF0000"/>
        <color rgb="FF00B050"/>
      </colorScale>
    </cfRule>
    <cfRule type="cellIs" dxfId="552" priority="596" operator="lessThan">
      <formula>0</formula>
    </cfRule>
    <cfRule type="cellIs" dxfId="551" priority="598" operator="greaterThan">
      <formula>0</formula>
    </cfRule>
  </conditionalFormatting>
  <conditionalFormatting sqref="P1196:Q1196 P1199:Q1199 P1202:Q1202">
    <cfRule type="cellIs" dxfId="550" priority="593" operator="lessThan">
      <formula>0</formula>
    </cfRule>
    <cfRule type="cellIs" dxfId="549" priority="592" operator="greaterThan">
      <formula>0</formula>
    </cfRule>
    <cfRule type="colorScale" priority="597">
      <colorScale>
        <cfvo type="formula" val="&quot;&lt;0&quot;"/>
        <cfvo type="formula" val="&quot;&gt;0&quot;"/>
        <color rgb="FFFF0000"/>
        <color rgb="FF00B050"/>
      </colorScale>
    </cfRule>
  </conditionalFormatting>
  <conditionalFormatting sqref="P1205:Q1205">
    <cfRule type="cellIs" dxfId="548" priority="590" operator="greaterThan">
      <formula>0</formula>
    </cfRule>
    <cfRule type="colorScale" priority="591">
      <colorScale>
        <cfvo type="formula" val="&quot;&lt;0&quot;"/>
        <cfvo type="formula" val="&quot;&gt;0&quot;"/>
        <color rgb="FFFF0000"/>
        <color rgb="FF00B050"/>
      </colorScale>
    </cfRule>
    <cfRule type="cellIs" dxfId="547" priority="594" operator="lessThan">
      <formula>0</formula>
    </cfRule>
  </conditionalFormatting>
  <conditionalFormatting sqref="P1210:Q1210">
    <cfRule type="colorScale" priority="582">
      <colorScale>
        <cfvo type="formula" val="&quot;&lt;0&quot;"/>
        <cfvo type="formula" val="&quot;&gt;0&quot;"/>
        <color rgb="FFFF0000"/>
        <color rgb="FF00B050"/>
      </colorScale>
    </cfRule>
    <cfRule type="cellIs" dxfId="546" priority="583" operator="lessThan">
      <formula>0</formula>
    </cfRule>
  </conditionalFormatting>
  <conditionalFormatting sqref="P1213:Q1213 P1216:Q1216 P1219:Q1219">
    <cfRule type="cellIs" dxfId="545" priority="579" operator="greaterThan">
      <formula>0</formula>
    </cfRule>
    <cfRule type="cellIs" dxfId="544" priority="580" operator="lessThan">
      <formula>0</formula>
    </cfRule>
  </conditionalFormatting>
  <conditionalFormatting sqref="P1222:Q1222">
    <cfRule type="cellIs" dxfId="543" priority="581" operator="lessThan">
      <formula>0</formula>
    </cfRule>
    <cfRule type="colorScale" priority="578">
      <colorScale>
        <cfvo type="formula" val="&quot;&lt;0&quot;"/>
        <cfvo type="formula" val="&quot;&gt;0&quot;"/>
        <color rgb="FFFF0000"/>
        <color rgb="FF00B050"/>
      </colorScale>
    </cfRule>
    <cfRule type="cellIs" dxfId="542" priority="577" operator="greaterThan">
      <formula>0</formula>
    </cfRule>
  </conditionalFormatting>
  <conditionalFormatting sqref="P1227:Q1227">
    <cfRule type="cellIs" dxfId="541" priority="554" operator="greaterThan">
      <formula>0</formula>
    </cfRule>
    <cfRule type="colorScale" priority="553">
      <colorScale>
        <cfvo type="formula" val="&quot;&lt;0&quot;"/>
        <cfvo type="formula" val="&quot;&gt;0&quot;"/>
        <color rgb="FFFF0000"/>
        <color rgb="FF00B050"/>
      </colorScale>
    </cfRule>
  </conditionalFormatting>
  <conditionalFormatting sqref="P1230:Q1230 P1233:Q1233 P1236:Q1236">
    <cfRule type="colorScale" priority="551">
      <colorScale>
        <cfvo type="formula" val="&quot;&lt;0&quot;"/>
        <cfvo type="formula" val="&quot;&gt;0&quot;"/>
        <color rgb="FFFF0000"/>
        <color rgb="FF00B050"/>
      </colorScale>
    </cfRule>
    <cfRule type="cellIs" dxfId="540" priority="550" operator="greaterThan">
      <formula>0</formula>
    </cfRule>
  </conditionalFormatting>
  <conditionalFormatting sqref="P1239:Q1239">
    <cfRule type="colorScale" priority="549">
      <colorScale>
        <cfvo type="formula" val="&quot;&lt;0&quot;"/>
        <cfvo type="formula" val="&quot;&gt;0&quot;"/>
        <color rgb="FFFF0000"/>
        <color rgb="FF00B050"/>
      </colorScale>
    </cfRule>
    <cfRule type="cellIs" dxfId="539" priority="552" operator="lessThan">
      <formula>0</formula>
    </cfRule>
    <cfRule type="cellIs" dxfId="538" priority="548" operator="greaterThan">
      <formula>0</formula>
    </cfRule>
  </conditionalFormatting>
  <conditionalFormatting sqref="P1244:Q1244">
    <cfRule type="cellIs" dxfId="537" priority="2130" operator="lessThan">
      <formula>0</formula>
    </cfRule>
    <cfRule type="colorScale" priority="540">
      <colorScale>
        <cfvo type="formula" val="&quot;&lt;0&quot;"/>
        <cfvo type="formula" val="&quot;&gt;0&quot;"/>
        <color rgb="FFFF0000"/>
        <color rgb="FF00B050"/>
      </colorScale>
    </cfRule>
    <cfRule type="cellIs" dxfId="536" priority="541" operator="greaterThan">
      <formula>0</formula>
    </cfRule>
  </conditionalFormatting>
  <conditionalFormatting sqref="P1247:Q1247 P1250:Q1250 P1253:Q1253">
    <cfRule type="colorScale" priority="538">
      <colorScale>
        <cfvo type="formula" val="&quot;&lt;0&quot;"/>
        <cfvo type="formula" val="&quot;&gt;0&quot;"/>
        <color rgb="FFFF0000"/>
        <color rgb="FF00B050"/>
      </colorScale>
    </cfRule>
    <cfRule type="cellIs" dxfId="535" priority="537" operator="greaterThan">
      <formula>0</formula>
    </cfRule>
    <cfRule type="cellIs" dxfId="534" priority="2131" operator="lessThan">
      <formula>0</formula>
    </cfRule>
  </conditionalFormatting>
  <conditionalFormatting sqref="P1256:Q1256">
    <cfRule type="cellIs" dxfId="533" priority="539" operator="lessThan">
      <formula>0</formula>
    </cfRule>
    <cfRule type="cellIs" dxfId="532" priority="535" operator="greaterThan">
      <formula>0</formula>
    </cfRule>
    <cfRule type="colorScale" priority="536">
      <colorScale>
        <cfvo type="formula" val="&quot;&lt;0&quot;"/>
        <cfvo type="formula" val="&quot;&gt;0&quot;"/>
        <color rgb="FFFF0000"/>
        <color rgb="FF00B050"/>
      </colorScale>
    </cfRule>
  </conditionalFormatting>
  <conditionalFormatting sqref="P1261:Q1261">
    <cfRule type="cellIs" dxfId="531" priority="528" operator="greaterThan">
      <formula>0</formula>
    </cfRule>
    <cfRule type="cellIs" dxfId="530" priority="526" operator="lessThan">
      <formula>0</formula>
    </cfRule>
    <cfRule type="colorScale" priority="525">
      <colorScale>
        <cfvo type="formula" val="&quot;&lt;0&quot;"/>
        <cfvo type="formula" val="&quot;&gt;0&quot;"/>
        <color rgb="FFFF0000"/>
        <color rgb="FF00B050"/>
      </colorScale>
    </cfRule>
  </conditionalFormatting>
  <conditionalFormatting sqref="P1264:Q1264 P1267:Q1267 P1270:Q1270">
    <cfRule type="cellIs" dxfId="529" priority="523" operator="lessThan">
      <formula>0</formula>
    </cfRule>
    <cfRule type="cellIs" dxfId="528" priority="522" operator="greaterThan">
      <formula>0</formula>
    </cfRule>
    <cfRule type="colorScale" priority="527">
      <colorScale>
        <cfvo type="formula" val="&quot;&lt;0&quot;"/>
        <cfvo type="formula" val="&quot;&gt;0&quot;"/>
        <color rgb="FFFF0000"/>
        <color rgb="FF00B050"/>
      </colorScale>
    </cfRule>
  </conditionalFormatting>
  <conditionalFormatting sqref="P1273:Q1273">
    <cfRule type="cellIs" dxfId="527" priority="524" operator="lessThan">
      <formula>0</formula>
    </cfRule>
    <cfRule type="colorScale" priority="521">
      <colorScale>
        <cfvo type="formula" val="&quot;&lt;0&quot;"/>
        <cfvo type="formula" val="&quot;&gt;0&quot;"/>
        <color rgb="FFFF0000"/>
        <color rgb="FF00B050"/>
      </colorScale>
    </cfRule>
    <cfRule type="cellIs" dxfId="526" priority="520" operator="greaterThan">
      <formula>0</formula>
    </cfRule>
  </conditionalFormatting>
  <conditionalFormatting sqref="P1278:Q1278">
    <cfRule type="cellIs" dxfId="525" priority="2132" operator="lessThan">
      <formula>0</formula>
    </cfRule>
    <cfRule type="colorScale" priority="512">
      <colorScale>
        <cfvo type="formula" val="&quot;&lt;0&quot;"/>
        <cfvo type="formula" val="&quot;&gt;0&quot;"/>
        <color rgb="FFFF0000"/>
        <color rgb="FF00B050"/>
      </colorScale>
    </cfRule>
    <cfRule type="cellIs" dxfId="524" priority="513" operator="greaterThan">
      <formula>0</formula>
    </cfRule>
  </conditionalFormatting>
  <conditionalFormatting sqref="P1281:Q1281 P1284:Q1284 P1287:Q1287">
    <cfRule type="cellIs" dxfId="523" priority="509" operator="greaterThan">
      <formula>0</formula>
    </cfRule>
    <cfRule type="cellIs" dxfId="522" priority="2133" operator="lessThan">
      <formula>0</formula>
    </cfRule>
    <cfRule type="colorScale" priority="510">
      <colorScale>
        <cfvo type="formula" val="&quot;&lt;0&quot;"/>
        <cfvo type="formula" val="&quot;&gt;0&quot;"/>
        <color rgb="FFFF0000"/>
        <color rgb="FF00B050"/>
      </colorScale>
    </cfRule>
  </conditionalFormatting>
  <conditionalFormatting sqref="P1290:Q1290">
    <cfRule type="colorScale" priority="508">
      <colorScale>
        <cfvo type="formula" val="&quot;&lt;0&quot;"/>
        <cfvo type="formula" val="&quot;&gt;0&quot;"/>
        <color rgb="FFFF0000"/>
        <color rgb="FF00B050"/>
      </colorScale>
    </cfRule>
    <cfRule type="cellIs" dxfId="521" priority="511" operator="lessThan">
      <formula>0</formula>
    </cfRule>
    <cfRule type="cellIs" dxfId="520" priority="507" operator="greaterThan">
      <formula>0</formula>
    </cfRule>
  </conditionalFormatting>
  <conditionalFormatting sqref="P1295:Q1295">
    <cfRule type="colorScale" priority="498">
      <colorScale>
        <cfvo type="formula" val="&quot;&lt;0&quot;"/>
        <cfvo type="formula" val="&quot;&gt;0&quot;"/>
        <color rgb="FFFF0000"/>
        <color rgb="FF00B050"/>
      </colorScale>
    </cfRule>
    <cfRule type="cellIs" dxfId="519" priority="499" operator="lessThan">
      <formula>0</formula>
    </cfRule>
    <cfRule type="cellIs" dxfId="518" priority="500" operator="greaterThan">
      <formula>0</formula>
    </cfRule>
  </conditionalFormatting>
  <conditionalFormatting sqref="P1298:Q1298 P1301:Q1301 P1304:Q1304">
    <cfRule type="cellIs" dxfId="517" priority="495" operator="greaterThan">
      <formula>0</formula>
    </cfRule>
    <cfRule type="cellIs" dxfId="516" priority="496" operator="lessThan">
      <formula>0</formula>
    </cfRule>
    <cfRule type="colorScale" priority="2134">
      <colorScale>
        <cfvo type="formula" val="&quot;&lt;0&quot;"/>
        <cfvo type="formula" val="&quot;&gt;0&quot;"/>
        <color rgb="FFFF0000"/>
        <color rgb="FF00B050"/>
      </colorScale>
    </cfRule>
  </conditionalFormatting>
  <conditionalFormatting sqref="P1307:Q1307">
    <cfRule type="cellIs" dxfId="515" priority="493" operator="greaterThan">
      <formula>0</formula>
    </cfRule>
    <cfRule type="colorScale" priority="494">
      <colorScale>
        <cfvo type="formula" val="&quot;&lt;0&quot;"/>
        <cfvo type="formula" val="&quot;&gt;0&quot;"/>
        <color rgb="FFFF0000"/>
        <color rgb="FF00B050"/>
      </colorScale>
    </cfRule>
    <cfRule type="cellIs" dxfId="514" priority="497" operator="lessThan">
      <formula>0</formula>
    </cfRule>
  </conditionalFormatting>
  <conditionalFormatting sqref="P1312:Q1312">
    <cfRule type="colorScale" priority="485">
      <colorScale>
        <cfvo type="formula" val="&quot;&lt;0&quot;"/>
        <cfvo type="formula" val="&quot;&gt;0&quot;"/>
        <color rgb="FFFF0000"/>
        <color rgb="FF00B050"/>
      </colorScale>
    </cfRule>
    <cfRule type="cellIs" dxfId="513" priority="486" operator="greaterThan">
      <formula>0</formula>
    </cfRule>
  </conditionalFormatting>
  <conditionalFormatting sqref="P1315:Q1315 P1318:Q1318 P1321:Q1321">
    <cfRule type="cellIs" dxfId="512" priority="482" operator="greaterThan">
      <formula>0</formula>
    </cfRule>
    <cfRule type="colorScale" priority="483">
      <colorScale>
        <cfvo type="formula" val="&quot;&lt;0&quot;"/>
        <cfvo type="formula" val="&quot;&gt;0&quot;"/>
        <color rgb="FFFF0000"/>
        <color rgb="FF00B050"/>
      </colorScale>
    </cfRule>
  </conditionalFormatting>
  <conditionalFormatting sqref="P1324:Q1324">
    <cfRule type="colorScale" priority="481">
      <colorScale>
        <cfvo type="formula" val="&quot;&lt;0&quot;"/>
        <cfvo type="formula" val="&quot;&gt;0&quot;"/>
        <color rgb="FFFF0000"/>
        <color rgb="FF00B050"/>
      </colorScale>
    </cfRule>
    <cfRule type="cellIs" dxfId="511" priority="480" operator="greaterThan">
      <formula>0</formula>
    </cfRule>
    <cfRule type="cellIs" dxfId="510" priority="484" operator="lessThan">
      <formula>0</formula>
    </cfRule>
  </conditionalFormatting>
  <conditionalFormatting sqref="P1329:Q1329">
    <cfRule type="colorScale" priority="470">
      <colorScale>
        <cfvo type="formula" val="&quot;&lt;0&quot;"/>
        <cfvo type="formula" val="&quot;&gt;0&quot;"/>
        <color rgb="FFFF0000"/>
        <color rgb="FF00B050"/>
      </colorScale>
    </cfRule>
    <cfRule type="cellIs" dxfId="509" priority="471" operator="lessThan">
      <formula>0</formula>
    </cfRule>
    <cfRule type="cellIs" dxfId="508" priority="473" operator="greaterThan">
      <formula>0</formula>
    </cfRule>
  </conditionalFormatting>
  <conditionalFormatting sqref="P1332:Q1332 P1335:Q1335 P1338:Q1338">
    <cfRule type="cellIs" dxfId="507" priority="467" operator="greaterThan">
      <formula>0</formula>
    </cfRule>
    <cfRule type="cellIs" dxfId="506" priority="468" operator="lessThan">
      <formula>0</formula>
    </cfRule>
    <cfRule type="colorScale" priority="472">
      <colorScale>
        <cfvo type="formula" val="&quot;&lt;0&quot;"/>
        <cfvo type="formula" val="&quot;&gt;0&quot;"/>
        <color rgb="FFFF0000"/>
        <color rgb="FF00B050"/>
      </colorScale>
    </cfRule>
  </conditionalFormatting>
  <conditionalFormatting sqref="P1341:Q1341">
    <cfRule type="cellIs" dxfId="505" priority="465" operator="greaterThan">
      <formula>0</formula>
    </cfRule>
    <cfRule type="colorScale" priority="466">
      <colorScale>
        <cfvo type="formula" val="&quot;&lt;0&quot;"/>
        <cfvo type="formula" val="&quot;&gt;0&quot;"/>
        <color rgb="FFFF0000"/>
        <color rgb="FF00B050"/>
      </colorScale>
    </cfRule>
    <cfRule type="cellIs" dxfId="504" priority="469" operator="lessThan">
      <formula>0</formula>
    </cfRule>
  </conditionalFormatting>
  <conditionalFormatting sqref="P1346:Q1346">
    <cfRule type="colorScale" priority="457">
      <colorScale>
        <cfvo type="formula" val="&quot;&lt;0&quot;"/>
        <cfvo type="formula" val="&quot;&gt;0&quot;"/>
        <color rgb="FFFF0000"/>
        <color rgb="FF00B050"/>
      </colorScale>
    </cfRule>
    <cfRule type="cellIs" dxfId="503" priority="458" operator="greaterThan">
      <formula>0</formula>
    </cfRule>
  </conditionalFormatting>
  <conditionalFormatting sqref="P1349:Q1349 P1352:Q1352 P1355:Q1355">
    <cfRule type="cellIs" dxfId="502" priority="454" operator="greaterThan">
      <formula>0</formula>
    </cfRule>
    <cfRule type="colorScale" priority="455">
      <colorScale>
        <cfvo type="formula" val="&quot;&lt;0&quot;"/>
        <cfvo type="formula" val="&quot;&gt;0&quot;"/>
        <color rgb="FFFF0000"/>
        <color rgb="FF00B050"/>
      </colorScale>
    </cfRule>
  </conditionalFormatting>
  <conditionalFormatting sqref="P1358:Q1358">
    <cfRule type="colorScale" priority="453">
      <colorScale>
        <cfvo type="formula" val="&quot;&lt;0&quot;"/>
        <cfvo type="formula" val="&quot;&gt;0&quot;"/>
        <color rgb="FFFF0000"/>
        <color rgb="FF00B050"/>
      </colorScale>
    </cfRule>
    <cfRule type="cellIs" dxfId="501" priority="456" operator="lessThan">
      <formula>0</formula>
    </cfRule>
    <cfRule type="cellIs" dxfId="500" priority="452" operator="greaterThan">
      <formula>0</formula>
    </cfRule>
  </conditionalFormatting>
  <conditionalFormatting sqref="P1363:Q1363">
    <cfRule type="colorScale" priority="443">
      <colorScale>
        <cfvo type="formula" val="&quot;&lt;0&quot;"/>
        <cfvo type="formula" val="&quot;&gt;0&quot;"/>
        <color rgb="FFFF0000"/>
        <color rgb="FF00B050"/>
      </colorScale>
    </cfRule>
    <cfRule type="cellIs" dxfId="499" priority="444" operator="lessThan">
      <formula>0</formula>
    </cfRule>
    <cfRule type="cellIs" dxfId="498" priority="445" operator="greaterThan">
      <formula>0</formula>
    </cfRule>
  </conditionalFormatting>
  <conditionalFormatting sqref="P1366:Q1366 P1369:Q1369 P1372:Q1372">
    <cfRule type="cellIs" dxfId="497" priority="441" operator="lessThan">
      <formula>0</formula>
    </cfRule>
    <cfRule type="cellIs" dxfId="496" priority="440" operator="greaterThan">
      <formula>0</formula>
    </cfRule>
  </conditionalFormatting>
  <conditionalFormatting sqref="P1375:Q1375">
    <cfRule type="cellIs" dxfId="495" priority="442" operator="lessThan">
      <formula>0</formula>
    </cfRule>
    <cfRule type="cellIs" dxfId="494" priority="438" operator="greaterThan">
      <formula>0</formula>
    </cfRule>
    <cfRule type="colorScale" priority="439">
      <colorScale>
        <cfvo type="formula" val="&quot;&lt;0&quot;"/>
        <cfvo type="formula" val="&quot;&gt;0&quot;"/>
        <color rgb="FFFF0000"/>
        <color rgb="FF00B050"/>
      </colorScale>
    </cfRule>
  </conditionalFormatting>
  <conditionalFormatting sqref="P1380:Q1380">
    <cfRule type="cellIs" dxfId="493" priority="431" operator="lessThan">
      <formula>0</formula>
    </cfRule>
    <cfRule type="colorScale" priority="430">
      <colorScale>
        <cfvo type="formula" val="&quot;&lt;0&quot;"/>
        <cfvo type="formula" val="&quot;&gt;0&quot;"/>
        <color rgb="FFFF0000"/>
        <color rgb="FF00B050"/>
      </colorScale>
    </cfRule>
    <cfRule type="cellIs" dxfId="492" priority="2135" operator="greaterThan">
      <formula>0</formula>
    </cfRule>
  </conditionalFormatting>
  <conditionalFormatting sqref="P1383:Q1383 P1386:Q1386 P1389:Q1389">
    <cfRule type="cellIs" dxfId="491" priority="427" operator="greaterThan">
      <formula>0</formula>
    </cfRule>
    <cfRule type="cellIs" dxfId="490" priority="428" operator="lessThan">
      <formula>0</formula>
    </cfRule>
    <cfRule type="colorScale" priority="2136">
      <colorScale>
        <cfvo type="formula" val="&quot;&lt;0&quot;"/>
        <cfvo type="formula" val="&quot;&gt;0&quot;"/>
        <color rgb="FFFF0000"/>
        <color rgb="FF00B050"/>
      </colorScale>
    </cfRule>
  </conditionalFormatting>
  <conditionalFormatting sqref="P1392:Q1392">
    <cfRule type="cellIs" dxfId="489" priority="429" operator="lessThan">
      <formula>0</formula>
    </cfRule>
    <cfRule type="cellIs" dxfId="488" priority="425" operator="greaterThan">
      <formula>0</formula>
    </cfRule>
    <cfRule type="colorScale" priority="426">
      <colorScale>
        <cfvo type="formula" val="&quot;&lt;0&quot;"/>
        <cfvo type="formula" val="&quot;&gt;0&quot;"/>
        <color rgb="FFFF0000"/>
        <color rgb="FF00B050"/>
      </colorScale>
    </cfRule>
  </conditionalFormatting>
  <conditionalFormatting sqref="P1397:Q1397">
    <cfRule type="colorScale" priority="415">
      <colorScale>
        <cfvo type="formula" val="&quot;&lt;0&quot;"/>
        <cfvo type="formula" val="&quot;&gt;0&quot;"/>
        <color rgb="FFFF0000"/>
        <color rgb="FF00B050"/>
      </colorScale>
    </cfRule>
    <cfRule type="cellIs" dxfId="487" priority="416" operator="lessThan">
      <formula>0</formula>
    </cfRule>
    <cfRule type="cellIs" dxfId="486" priority="418" operator="greaterThan">
      <formula>0</formula>
    </cfRule>
  </conditionalFormatting>
  <conditionalFormatting sqref="P1400:Q1400 P1403:Q1403 P1406:Q1406">
    <cfRule type="cellIs" dxfId="485" priority="412" operator="greaterThan">
      <formula>0</formula>
    </cfRule>
    <cfRule type="colorScale" priority="417">
      <colorScale>
        <cfvo type="formula" val="&quot;&lt;0&quot;"/>
        <cfvo type="formula" val="&quot;&gt;0&quot;"/>
        <color rgb="FFFF0000"/>
        <color rgb="FF00B050"/>
      </colorScale>
    </cfRule>
    <cfRule type="cellIs" dxfId="484" priority="413" operator="lessThan">
      <formula>0</formula>
    </cfRule>
  </conditionalFormatting>
  <conditionalFormatting sqref="P1409:Q1409">
    <cfRule type="cellIs" dxfId="483" priority="414" operator="lessThan">
      <formula>0</formula>
    </cfRule>
    <cfRule type="colorScale" priority="411">
      <colorScale>
        <cfvo type="formula" val="&quot;&lt;0&quot;"/>
        <cfvo type="formula" val="&quot;&gt;0&quot;"/>
        <color rgb="FFFF0000"/>
        <color rgb="FF00B050"/>
      </colorScale>
    </cfRule>
    <cfRule type="cellIs" dxfId="482" priority="410" operator="greaterThan">
      <formula>0</formula>
    </cfRule>
  </conditionalFormatting>
  <conditionalFormatting sqref="P1414:Q1414">
    <cfRule type="colorScale" priority="402">
      <colorScale>
        <cfvo type="formula" val="&quot;&lt;0&quot;"/>
        <cfvo type="formula" val="&quot;&gt;0&quot;"/>
        <color rgb="FFFF0000"/>
        <color rgb="FF00B050"/>
      </colorScale>
    </cfRule>
    <cfRule type="cellIs" dxfId="481" priority="403" operator="lessThan">
      <formula>0</formula>
    </cfRule>
    <cfRule type="cellIs" dxfId="480" priority="403" operator="greaterThan">
      <formula>0</formula>
    </cfRule>
  </conditionalFormatting>
  <conditionalFormatting sqref="P1417:Q1417 P1420:Q1420 P1423:Q1423">
    <cfRule type="cellIs" dxfId="479" priority="399" operator="greaterThan">
      <formula>0</formula>
    </cfRule>
    <cfRule type="cellIs" dxfId="478" priority="400" operator="lessThan">
      <formula>0</formula>
    </cfRule>
    <cfRule type="colorScale" priority="400">
      <colorScale>
        <cfvo type="formula" val="&quot;&lt;0&quot;"/>
        <cfvo type="formula" val="&quot;&gt;0&quot;"/>
        <color rgb="FFFF0000"/>
        <color rgb="FF00B050"/>
      </colorScale>
    </cfRule>
  </conditionalFormatting>
  <conditionalFormatting sqref="P1426:Q1426">
    <cfRule type="cellIs" dxfId="477" priority="401" operator="lessThan">
      <formula>0</formula>
    </cfRule>
    <cfRule type="cellIs" dxfId="476" priority="397" operator="greaterThan">
      <formula>0</formula>
    </cfRule>
    <cfRule type="colorScale" priority="398">
      <colorScale>
        <cfvo type="formula" val="&quot;&lt;0&quot;"/>
        <cfvo type="formula" val="&quot;&gt;0&quot;"/>
        <color rgb="FFFF0000"/>
        <color rgb="FF00B050"/>
      </colorScale>
    </cfRule>
  </conditionalFormatting>
  <conditionalFormatting sqref="P1431:Q1431">
    <cfRule type="colorScale" priority="373">
      <colorScale>
        <cfvo type="formula" val="&quot;&lt;0&quot;"/>
        <cfvo type="formula" val="&quot;&gt;0&quot;"/>
        <color rgb="FFFF0000"/>
        <color rgb="FF00B050"/>
      </colorScale>
    </cfRule>
    <cfRule type="cellIs" dxfId="475" priority="374" operator="greaterThan">
      <formula>0</formula>
    </cfRule>
  </conditionalFormatting>
  <conditionalFormatting sqref="P1434:Q1434 P1437:Q1437 P1440:Q1440">
    <cfRule type="colorScale" priority="371">
      <colorScale>
        <cfvo type="formula" val="&quot;&lt;0&quot;"/>
        <cfvo type="formula" val="&quot;&gt;0&quot;"/>
        <color rgb="FFFF0000"/>
        <color rgb="FF00B050"/>
      </colorScale>
    </cfRule>
    <cfRule type="cellIs" dxfId="474" priority="370" operator="greaterThan">
      <formula>0</formula>
    </cfRule>
  </conditionalFormatting>
  <conditionalFormatting sqref="P1443:Q1443">
    <cfRule type="colorScale" priority="369">
      <colorScale>
        <cfvo type="formula" val="&quot;&lt;0&quot;"/>
        <cfvo type="formula" val="&quot;&gt;0&quot;"/>
        <color rgb="FFFF0000"/>
        <color rgb="FF00B050"/>
      </colorScale>
    </cfRule>
    <cfRule type="cellIs" dxfId="473" priority="368" operator="greaterThan">
      <formula>0</formula>
    </cfRule>
    <cfRule type="cellIs" dxfId="472" priority="372" operator="lessThan">
      <formula>0</formula>
    </cfRule>
  </conditionalFormatting>
  <conditionalFormatting sqref="P1448:Q1448">
    <cfRule type="cellIs" dxfId="471" priority="361" operator="greaterThan">
      <formula>0</formula>
    </cfRule>
    <cfRule type="colorScale" priority="360">
      <colorScale>
        <cfvo type="formula" val="&quot;&lt;0&quot;"/>
        <cfvo type="formula" val="&quot;&gt;0&quot;"/>
        <color rgb="FFFF0000"/>
        <color rgb="FF00B050"/>
      </colorScale>
    </cfRule>
    <cfRule type="cellIs" dxfId="470" priority="2137" operator="lessThan">
      <formula>0</formula>
    </cfRule>
  </conditionalFormatting>
  <conditionalFormatting sqref="P1451:Q1451 P1454:Q1454 P1457:Q1457">
    <cfRule type="colorScale" priority="358">
      <colorScale>
        <cfvo type="formula" val="&quot;&lt;0&quot;"/>
        <cfvo type="formula" val="&quot;&gt;0&quot;"/>
        <color rgb="FFFF0000"/>
        <color rgb="FF00B050"/>
      </colorScale>
    </cfRule>
    <cfRule type="cellIs" dxfId="469" priority="357" operator="greaterThan">
      <formula>0</formula>
    </cfRule>
    <cfRule type="cellIs" dxfId="468" priority="2138" operator="lessThan">
      <formula>0</formula>
    </cfRule>
  </conditionalFormatting>
  <conditionalFormatting sqref="P1460:Q1460">
    <cfRule type="cellIs" dxfId="467" priority="359" operator="lessThan">
      <formula>0</formula>
    </cfRule>
    <cfRule type="colorScale" priority="356">
      <colorScale>
        <cfvo type="formula" val="&quot;&lt;0&quot;"/>
        <cfvo type="formula" val="&quot;&gt;0&quot;"/>
        <color rgb="FFFF0000"/>
        <color rgb="FF00B050"/>
      </colorScale>
    </cfRule>
    <cfRule type="cellIs" dxfId="466" priority="355" operator="greaterThan">
      <formula>0</formula>
    </cfRule>
  </conditionalFormatting>
  <conditionalFormatting sqref="P1465:Q1465">
    <cfRule type="cellIs" dxfId="465" priority="348" operator="greaterThan">
      <formula>0</formula>
    </cfRule>
    <cfRule type="cellIs" dxfId="464" priority="346" operator="lessThan">
      <formula>0</formula>
    </cfRule>
    <cfRule type="colorScale" priority="345">
      <colorScale>
        <cfvo type="formula" val="&quot;&lt;0&quot;"/>
        <cfvo type="formula" val="&quot;&gt;0&quot;"/>
        <color rgb="FFFF0000"/>
        <color rgb="FF00B050"/>
      </colorScale>
    </cfRule>
  </conditionalFormatting>
  <conditionalFormatting sqref="P1468:Q1468 P1471:Q1471 P1474:Q1474">
    <cfRule type="cellIs" dxfId="463" priority="343" operator="lessThan">
      <formula>0</formula>
    </cfRule>
    <cfRule type="cellIs" dxfId="462" priority="342" operator="greaterThan">
      <formula>0</formula>
    </cfRule>
    <cfRule type="colorScale" priority="347">
      <colorScale>
        <cfvo type="formula" val="&quot;&lt;0&quot;"/>
        <cfvo type="formula" val="&quot;&gt;0&quot;"/>
        <color rgb="FFFF0000"/>
        <color rgb="FF00B050"/>
      </colorScale>
    </cfRule>
  </conditionalFormatting>
  <conditionalFormatting sqref="P1477:Q1477">
    <cfRule type="cellIs" dxfId="461" priority="344" operator="lessThan">
      <formula>0</formula>
    </cfRule>
    <cfRule type="colorScale" priority="341">
      <colorScale>
        <cfvo type="formula" val="&quot;&lt;0&quot;"/>
        <cfvo type="formula" val="&quot;&gt;0&quot;"/>
        <color rgb="FFFF0000"/>
        <color rgb="FF00B050"/>
      </colorScale>
    </cfRule>
    <cfRule type="cellIs" dxfId="460" priority="340" operator="greaterThan">
      <formula>0</formula>
    </cfRule>
  </conditionalFormatting>
  <conditionalFormatting sqref="P1482:Q1482">
    <cfRule type="cellIs" dxfId="459" priority="2139" operator="lessThan">
      <formula>0</formula>
    </cfRule>
    <cfRule type="cellIs" dxfId="458" priority="333" operator="greaterThan">
      <formula>0</formula>
    </cfRule>
    <cfRule type="colorScale" priority="332">
      <colorScale>
        <cfvo type="formula" val="&quot;&lt;0&quot;"/>
        <cfvo type="formula" val="&quot;&gt;0&quot;"/>
        <color rgb="FFFF0000"/>
        <color rgb="FF00B050"/>
      </colorScale>
    </cfRule>
  </conditionalFormatting>
  <conditionalFormatting sqref="P1485:Q1485 P1488:Q1488 P1491:Q1491">
    <cfRule type="cellIs" dxfId="457" priority="2140" operator="lessThan">
      <formula>0</formula>
    </cfRule>
    <cfRule type="cellIs" dxfId="456" priority="329" operator="greaterThan">
      <formula>0</formula>
    </cfRule>
    <cfRule type="colorScale" priority="330">
      <colorScale>
        <cfvo type="formula" val="&quot;&lt;0&quot;"/>
        <cfvo type="formula" val="&quot;&gt;0&quot;"/>
        <color rgb="FFFF0000"/>
        <color rgb="FF00B050"/>
      </colorScale>
    </cfRule>
  </conditionalFormatting>
  <conditionalFormatting sqref="P1494:Q1494">
    <cfRule type="colorScale" priority="328">
      <colorScale>
        <cfvo type="formula" val="&quot;&lt;0&quot;"/>
        <cfvo type="formula" val="&quot;&gt;0&quot;"/>
        <color rgb="FFFF0000"/>
        <color rgb="FF00B050"/>
      </colorScale>
    </cfRule>
    <cfRule type="cellIs" dxfId="455" priority="331" operator="lessThan">
      <formula>0</formula>
    </cfRule>
    <cfRule type="cellIs" dxfId="454" priority="327" operator="greaterThan">
      <formula>0</formula>
    </cfRule>
  </conditionalFormatting>
  <conditionalFormatting sqref="P1499:Q1499">
    <cfRule type="colorScale" priority="318">
      <colorScale>
        <cfvo type="formula" val="&quot;&lt;0&quot;"/>
        <cfvo type="formula" val="&quot;&gt;0&quot;"/>
        <color rgb="FFFF0000"/>
        <color rgb="FF00B050"/>
      </colorScale>
    </cfRule>
    <cfRule type="cellIs" dxfId="453" priority="319" operator="lessThan">
      <formula>0</formula>
    </cfRule>
    <cfRule type="cellIs" dxfId="452" priority="320" operator="greaterThan">
      <formula>0</formula>
    </cfRule>
  </conditionalFormatting>
  <conditionalFormatting sqref="P1502:Q1502 P1505:Q1505 P1508:Q1508">
    <cfRule type="colorScale" priority="2141">
      <colorScale>
        <cfvo type="formula" val="&quot;&lt;0&quot;"/>
        <cfvo type="formula" val="&quot;&gt;0&quot;"/>
        <color rgb="FFFF0000"/>
        <color rgb="FF00B050"/>
      </colorScale>
    </cfRule>
    <cfRule type="cellIs" dxfId="451" priority="315" operator="greaterThan">
      <formula>0</formula>
    </cfRule>
    <cfRule type="cellIs" dxfId="450" priority="316" operator="lessThan">
      <formula>0</formula>
    </cfRule>
  </conditionalFormatting>
  <conditionalFormatting sqref="P1511:Q1511">
    <cfRule type="cellIs" dxfId="449" priority="317" operator="lessThan">
      <formula>0</formula>
    </cfRule>
    <cfRule type="cellIs" dxfId="448" priority="313" operator="greaterThan">
      <formula>0</formula>
    </cfRule>
    <cfRule type="colorScale" priority="314">
      <colorScale>
        <cfvo type="formula" val="&quot;&lt;0&quot;"/>
        <cfvo type="formula" val="&quot;&gt;0&quot;"/>
        <color rgb="FFFF0000"/>
        <color rgb="FF00B050"/>
      </colorScale>
    </cfRule>
  </conditionalFormatting>
  <conditionalFormatting sqref="P1516:Q1516">
    <cfRule type="colorScale" priority="305">
      <colorScale>
        <cfvo type="formula" val="&quot;&lt;0&quot;"/>
        <cfvo type="formula" val="&quot;&gt;0&quot;"/>
        <color rgb="FFFF0000"/>
        <color rgb="FF00B050"/>
      </colorScale>
    </cfRule>
    <cfRule type="cellIs" dxfId="447" priority="306" operator="greaterThan">
      <formula>0</formula>
    </cfRule>
  </conditionalFormatting>
  <conditionalFormatting sqref="P1519:Q1519 P1522:Q1522 P1525:Q1525">
    <cfRule type="cellIs" dxfId="446" priority="302" operator="greaterThan">
      <formula>0</formula>
    </cfRule>
    <cfRule type="colorScale" priority="303">
      <colorScale>
        <cfvo type="formula" val="&quot;&lt;0&quot;"/>
        <cfvo type="formula" val="&quot;&gt;0&quot;"/>
        <color rgb="FFFF0000"/>
        <color rgb="FF00B050"/>
      </colorScale>
    </cfRule>
  </conditionalFormatting>
  <conditionalFormatting sqref="P1528:Q1528">
    <cfRule type="cellIs" dxfId="445" priority="300" operator="greaterThan">
      <formula>0</formula>
    </cfRule>
    <cfRule type="cellIs" dxfId="444" priority="304" operator="lessThan">
      <formula>0</formula>
    </cfRule>
    <cfRule type="colorScale" priority="301">
      <colorScale>
        <cfvo type="formula" val="&quot;&lt;0&quot;"/>
        <cfvo type="formula" val="&quot;&gt;0&quot;"/>
        <color rgb="FFFF0000"/>
        <color rgb="FF00B050"/>
      </colorScale>
    </cfRule>
  </conditionalFormatting>
  <conditionalFormatting sqref="P1533:Q1533">
    <cfRule type="colorScale" priority="290">
      <colorScale>
        <cfvo type="formula" val="&quot;&lt;0&quot;"/>
        <cfvo type="formula" val="&quot;&gt;0&quot;"/>
        <color rgb="FFFF0000"/>
        <color rgb="FF00B050"/>
      </colorScale>
    </cfRule>
    <cfRule type="cellIs" dxfId="443" priority="291" operator="lessThan">
      <formula>0</formula>
    </cfRule>
    <cfRule type="cellIs" dxfId="442" priority="293" operator="greaterThan">
      <formula>0</formula>
    </cfRule>
  </conditionalFormatting>
  <conditionalFormatting sqref="P1536:Q1536 P1539:Q1539 P1542:Q1542">
    <cfRule type="colorScale" priority="292">
      <colorScale>
        <cfvo type="formula" val="&quot;&lt;0&quot;"/>
        <cfvo type="formula" val="&quot;&gt;0&quot;"/>
        <color rgb="FFFF0000"/>
        <color rgb="FF00B050"/>
      </colorScale>
    </cfRule>
    <cfRule type="cellIs" dxfId="441" priority="288" operator="lessThan">
      <formula>0</formula>
    </cfRule>
    <cfRule type="cellIs" dxfId="440" priority="287" operator="greaterThan">
      <formula>0</formula>
    </cfRule>
  </conditionalFormatting>
  <conditionalFormatting sqref="P1545:Q1545">
    <cfRule type="cellIs" dxfId="439" priority="289" operator="lessThan">
      <formula>0</formula>
    </cfRule>
    <cfRule type="colorScale" priority="286">
      <colorScale>
        <cfvo type="formula" val="&quot;&lt;0&quot;"/>
        <cfvo type="formula" val="&quot;&gt;0&quot;"/>
        <color rgb="FFFF0000"/>
        <color rgb="FF00B050"/>
      </colorScale>
    </cfRule>
    <cfRule type="cellIs" dxfId="438" priority="285" operator="greaterThan">
      <formula>0</formula>
    </cfRule>
  </conditionalFormatting>
  <conditionalFormatting sqref="P1550:Q1550">
    <cfRule type="colorScale" priority="277">
      <colorScale>
        <cfvo type="formula" val="&quot;&lt;0&quot;"/>
        <cfvo type="formula" val="&quot;&gt;0&quot;"/>
        <color rgb="FFFF0000"/>
        <color rgb="FF00B050"/>
      </colorScale>
    </cfRule>
    <cfRule type="cellIs" dxfId="437" priority="278" operator="greaterThan">
      <formula>0</formula>
    </cfRule>
  </conditionalFormatting>
  <conditionalFormatting sqref="P1553:Q1553 P1556:Q1556 P1559:Q1559">
    <cfRule type="cellIs" dxfId="436" priority="274" operator="greaterThan">
      <formula>0</formula>
    </cfRule>
    <cfRule type="colorScale" priority="275">
      <colorScale>
        <cfvo type="formula" val="&quot;&lt;0&quot;"/>
        <cfvo type="formula" val="&quot;&gt;0&quot;"/>
        <color rgb="FFFF0000"/>
        <color rgb="FF00B050"/>
      </colorScale>
    </cfRule>
  </conditionalFormatting>
  <conditionalFormatting sqref="P1562:Q1562">
    <cfRule type="colorScale" priority="273">
      <colorScale>
        <cfvo type="formula" val="&quot;&lt;0&quot;"/>
        <cfvo type="formula" val="&quot;&gt;0&quot;"/>
        <color rgb="FFFF0000"/>
        <color rgb="FF00B050"/>
      </colorScale>
    </cfRule>
    <cfRule type="cellIs" dxfId="435" priority="272" operator="greaterThan">
      <formula>0</formula>
    </cfRule>
    <cfRule type="cellIs" dxfId="434" priority="276" operator="lessThan">
      <formula>0</formula>
    </cfRule>
  </conditionalFormatting>
  <conditionalFormatting sqref="P1567:Q1567">
    <cfRule type="colorScale" priority="263">
      <colorScale>
        <cfvo type="formula" val="&quot;&lt;0&quot;"/>
        <cfvo type="formula" val="&quot;&gt;0&quot;"/>
        <color rgb="FFFF0000"/>
        <color rgb="FF00B050"/>
      </colorScale>
    </cfRule>
    <cfRule type="cellIs" dxfId="433" priority="264" operator="lessThan">
      <formula>0</formula>
    </cfRule>
    <cfRule type="cellIs" dxfId="432" priority="265" operator="greaterThan">
      <formula>0</formula>
    </cfRule>
  </conditionalFormatting>
  <conditionalFormatting sqref="P1570:Q1570 P1573:Q1573 P1576:Q1576">
    <cfRule type="cellIs" dxfId="431" priority="260" operator="greaterThan">
      <formula>0</formula>
    </cfRule>
    <cfRule type="cellIs" dxfId="430" priority="261" operator="lessThan">
      <formula>0</formula>
    </cfRule>
  </conditionalFormatting>
  <conditionalFormatting sqref="P1579:Q1579">
    <cfRule type="cellIs" dxfId="429" priority="262" operator="lessThan">
      <formula>0</formula>
    </cfRule>
    <cfRule type="colorScale" priority="259">
      <colorScale>
        <cfvo type="formula" val="&quot;&lt;0&quot;"/>
        <cfvo type="formula" val="&quot;&gt;0&quot;"/>
        <color rgb="FFFF0000"/>
        <color rgb="FF00B050"/>
      </colorScale>
    </cfRule>
    <cfRule type="cellIs" dxfId="428" priority="258" operator="greaterThan">
      <formula>0</formula>
    </cfRule>
  </conditionalFormatting>
  <conditionalFormatting sqref="P1584:Q1584">
    <cfRule type="cellIs" dxfId="427" priority="251" operator="lessThan">
      <formula>0</formula>
    </cfRule>
    <cfRule type="colorScale" priority="250">
      <colorScale>
        <cfvo type="formula" val="&quot;&lt;0&quot;"/>
        <cfvo type="formula" val="&quot;&gt;0&quot;"/>
        <color rgb="FFFF0000"/>
        <color rgb="FF00B050"/>
      </colorScale>
    </cfRule>
    <cfRule type="cellIs" dxfId="426" priority="2142" operator="greaterThan">
      <formula>0</formula>
    </cfRule>
  </conditionalFormatting>
  <conditionalFormatting sqref="P1587:Q1587 P1590:Q1590 P1593:Q1593">
    <cfRule type="cellIs" dxfId="425" priority="248" operator="lessThan">
      <formula>0</formula>
    </cfRule>
    <cfRule type="cellIs" dxfId="424" priority="247" operator="greaterThan">
      <formula>0</formula>
    </cfRule>
    <cfRule type="colorScale" priority="2143">
      <colorScale>
        <cfvo type="formula" val="&quot;&lt;0&quot;"/>
        <cfvo type="formula" val="&quot;&gt;0&quot;"/>
        <color rgb="FFFF0000"/>
        <color rgb="FF00B050"/>
      </colorScale>
    </cfRule>
  </conditionalFormatting>
  <conditionalFormatting sqref="P1596:Q1596">
    <cfRule type="cellIs" dxfId="423" priority="245" operator="greaterThan">
      <formula>0</formula>
    </cfRule>
    <cfRule type="colorScale" priority="246">
      <colorScale>
        <cfvo type="formula" val="&quot;&lt;0&quot;"/>
        <cfvo type="formula" val="&quot;&gt;0&quot;"/>
        <color rgb="FFFF0000"/>
        <color rgb="FF00B050"/>
      </colorScale>
    </cfRule>
    <cfRule type="cellIs" dxfId="422" priority="249" operator="lessThan">
      <formula>0</formula>
    </cfRule>
  </conditionalFormatting>
  <conditionalFormatting sqref="P1601:Q1601">
    <cfRule type="cellIs" dxfId="421" priority="238" operator="greaterThan">
      <formula>0</formula>
    </cfRule>
    <cfRule type="colorScale" priority="235">
      <colorScale>
        <cfvo type="formula" val="&quot;&lt;0&quot;"/>
        <cfvo type="formula" val="&quot;&gt;0&quot;"/>
        <color rgb="FFFF0000"/>
        <color rgb="FF00B050"/>
      </colorScale>
    </cfRule>
    <cfRule type="cellIs" dxfId="420" priority="236" operator="lessThan">
      <formula>0</formula>
    </cfRule>
  </conditionalFormatting>
  <conditionalFormatting sqref="P1604:Q1604 P1607:Q1607 P1610:Q1610">
    <cfRule type="colorScale" priority="237">
      <colorScale>
        <cfvo type="formula" val="&quot;&lt;0&quot;"/>
        <cfvo type="formula" val="&quot;&gt;0&quot;"/>
        <color rgb="FFFF0000"/>
        <color rgb="FF00B050"/>
      </colorScale>
    </cfRule>
    <cfRule type="cellIs" dxfId="419" priority="233" operator="lessThan">
      <formula>0</formula>
    </cfRule>
    <cfRule type="cellIs" dxfId="418" priority="232" operator="greaterThan">
      <formula>0</formula>
    </cfRule>
  </conditionalFormatting>
  <conditionalFormatting sqref="P1613:Q1613">
    <cfRule type="cellIs" dxfId="417" priority="234" operator="lessThan">
      <formula>0</formula>
    </cfRule>
    <cfRule type="cellIs" dxfId="416" priority="230" operator="greaterThan">
      <formula>0</formula>
    </cfRule>
    <cfRule type="colorScale" priority="231">
      <colorScale>
        <cfvo type="formula" val="&quot;&lt;0&quot;"/>
        <cfvo type="formula" val="&quot;&gt;0&quot;"/>
        <color rgb="FFFF0000"/>
        <color rgb="FF00B050"/>
      </colorScale>
    </cfRule>
  </conditionalFormatting>
  <conditionalFormatting sqref="P1618:Q1618">
    <cfRule type="colorScale" priority="222">
      <colorScale>
        <cfvo type="formula" val="&quot;&lt;0&quot;"/>
        <cfvo type="formula" val="&quot;&gt;0&quot;"/>
        <color rgb="FFFF0000"/>
        <color rgb="FF00B050"/>
      </colorScale>
    </cfRule>
    <cfRule type="cellIs" dxfId="415" priority="223" operator="greaterThan">
      <formula>0</formula>
    </cfRule>
    <cfRule type="cellIs" dxfId="414" priority="223" operator="lessThan">
      <formula>0</formula>
    </cfRule>
  </conditionalFormatting>
  <conditionalFormatting sqref="P1621:Q1621 P1624:Q1624 P1627:Q1627">
    <cfRule type="cellIs" dxfId="413" priority="220" operator="lessThan">
      <formula>0</formula>
    </cfRule>
    <cfRule type="colorScale" priority="220">
      <colorScale>
        <cfvo type="formula" val="&quot;&lt;0&quot;"/>
        <cfvo type="formula" val="&quot;&gt;0&quot;"/>
        <color rgb="FFFF0000"/>
        <color rgb="FF00B050"/>
      </colorScale>
    </cfRule>
    <cfRule type="cellIs" dxfId="412" priority="219" operator="greaterThan">
      <formula>0</formula>
    </cfRule>
  </conditionalFormatting>
  <conditionalFormatting sqref="P1630:Q1630">
    <cfRule type="cellIs" dxfId="411" priority="217" operator="greaterThan">
      <formula>0</formula>
    </cfRule>
    <cfRule type="cellIs" dxfId="410" priority="221" operator="lessThan">
      <formula>0</formula>
    </cfRule>
    <cfRule type="colorScale" priority="218">
      <colorScale>
        <cfvo type="formula" val="&quot;&lt;0&quot;"/>
        <cfvo type="formula" val="&quot;&gt;0&quot;"/>
        <color rgb="FFFF0000"/>
        <color rgb="FF00B050"/>
      </colorScale>
    </cfRule>
  </conditionalFormatting>
  <conditionalFormatting sqref="P1635:Q1635">
    <cfRule type="colorScale" priority="193">
      <colorScale>
        <cfvo type="formula" val="&quot;&lt;0&quot;"/>
        <cfvo type="formula" val="&quot;&gt;0&quot;"/>
        <color rgb="FFFF0000"/>
        <color rgb="FF00B050"/>
      </colorScale>
    </cfRule>
    <cfRule type="cellIs" dxfId="409" priority="194" operator="greaterThan">
      <formula>0</formula>
    </cfRule>
    <cfRule type="cellIs" dxfId="408" priority="208" operator="lessThan">
      <formula>0</formula>
    </cfRule>
  </conditionalFormatting>
  <conditionalFormatting sqref="P1638:Q1638 P1641:Q1641 P1644:Q1644">
    <cfRule type="colorScale" priority="191">
      <colorScale>
        <cfvo type="formula" val="&quot;&lt;0&quot;"/>
        <cfvo type="formula" val="&quot;&gt;0&quot;"/>
        <color rgb="FFFF0000"/>
        <color rgb="FF00B050"/>
      </colorScale>
    </cfRule>
    <cfRule type="cellIs" dxfId="407" priority="205" operator="lessThan">
      <formula>0</formula>
    </cfRule>
    <cfRule type="cellIs" dxfId="406" priority="190" operator="greaterThan">
      <formula>0</formula>
    </cfRule>
  </conditionalFormatting>
  <conditionalFormatting sqref="P1647:Q1647">
    <cfRule type="cellIs" dxfId="405" priority="192" operator="lessThan">
      <formula>0</formula>
    </cfRule>
    <cfRule type="colorScale" priority="189">
      <colorScale>
        <cfvo type="formula" val="&quot;&lt;0&quot;"/>
        <cfvo type="formula" val="&quot;&gt;0&quot;"/>
        <color rgb="FFFF0000"/>
        <color rgb="FF00B050"/>
      </colorScale>
    </cfRule>
    <cfRule type="cellIs" dxfId="404" priority="188" operator="greaterThan">
      <formula>0</formula>
    </cfRule>
  </conditionalFormatting>
  <conditionalFormatting sqref="P1652:Q1652">
    <cfRule type="cellIs" dxfId="403" priority="181" operator="greaterThan">
      <formula>0</formula>
    </cfRule>
    <cfRule type="colorScale" priority="180">
      <colorScale>
        <cfvo type="formula" val="&quot;&lt;0&quot;"/>
        <cfvo type="formula" val="&quot;&gt;0&quot;"/>
        <color rgb="FFFF0000"/>
        <color rgb="FF00B050"/>
      </colorScale>
    </cfRule>
  </conditionalFormatting>
  <conditionalFormatting sqref="P1655:Q1655 P1658:Q1658 P1661:Q1661">
    <cfRule type="colorScale" priority="178">
      <colorScale>
        <cfvo type="formula" val="&quot;&lt;0&quot;"/>
        <cfvo type="formula" val="&quot;&gt;0&quot;"/>
        <color rgb="FFFF0000"/>
        <color rgb="FF00B050"/>
      </colorScale>
    </cfRule>
    <cfRule type="cellIs" dxfId="402" priority="177" operator="greaterThan">
      <formula>0</formula>
    </cfRule>
  </conditionalFormatting>
  <conditionalFormatting sqref="P1664:Q1664">
    <cfRule type="cellIs" dxfId="401" priority="179" operator="lessThan">
      <formula>0</formula>
    </cfRule>
    <cfRule type="colorScale" priority="176">
      <colorScale>
        <cfvo type="formula" val="&quot;&lt;0&quot;"/>
        <cfvo type="formula" val="&quot;&gt;0&quot;"/>
        <color rgb="FFFF0000"/>
        <color rgb="FF00B050"/>
      </colorScale>
    </cfRule>
    <cfRule type="cellIs" dxfId="400" priority="175" operator="greaterThan">
      <formula>0</formula>
    </cfRule>
  </conditionalFormatting>
  <conditionalFormatting sqref="P1669:Q1669">
    <cfRule type="colorScale" priority="165">
      <colorScale>
        <cfvo type="formula" val="&quot;&lt;0&quot;"/>
        <cfvo type="formula" val="&quot;&gt;0&quot;"/>
        <color rgb="FFFF0000"/>
        <color rgb="FF00B050"/>
      </colorScale>
    </cfRule>
    <cfRule type="cellIs" dxfId="399" priority="168" operator="greaterThan">
      <formula>0</formula>
    </cfRule>
    <cfRule type="cellIs" dxfId="398" priority="166" operator="lessThan">
      <formula>0</formula>
    </cfRule>
  </conditionalFormatting>
  <conditionalFormatting sqref="P1672:Q1672 P1675:Q1675 P1678:Q1678">
    <cfRule type="cellIs" dxfId="397" priority="163" operator="lessThan">
      <formula>0</formula>
    </cfRule>
    <cfRule type="cellIs" dxfId="396" priority="162" operator="greaterThan">
      <formula>0</formula>
    </cfRule>
    <cfRule type="colorScale" priority="167">
      <colorScale>
        <cfvo type="formula" val="&quot;&lt;0&quot;"/>
        <cfvo type="formula" val="&quot;&gt;0&quot;"/>
        <color rgb="FFFF0000"/>
        <color rgb="FF00B050"/>
      </colorScale>
    </cfRule>
  </conditionalFormatting>
  <conditionalFormatting sqref="P1681:Q1681">
    <cfRule type="cellIs" dxfId="395" priority="164" operator="lessThan">
      <formula>0</formula>
    </cfRule>
    <cfRule type="colorScale" priority="161">
      <colorScale>
        <cfvo type="formula" val="&quot;&lt;0&quot;"/>
        <cfvo type="formula" val="&quot;&gt;0&quot;"/>
        <color rgb="FFFF0000"/>
        <color rgb="FF00B050"/>
      </colorScale>
    </cfRule>
    <cfRule type="cellIs" dxfId="394" priority="160" operator="greaterThan">
      <formula>0</formula>
    </cfRule>
  </conditionalFormatting>
  <conditionalFormatting sqref="P1686:Q1686">
    <cfRule type="cellIs" dxfId="393" priority="153" operator="greaterThan">
      <formula>0</formula>
    </cfRule>
    <cfRule type="colorScale" priority="152">
      <colorScale>
        <cfvo type="formula" val="&quot;&lt;0&quot;"/>
        <cfvo type="formula" val="&quot;&gt;0&quot;"/>
        <color rgb="FFFF0000"/>
        <color rgb="FF00B050"/>
      </colorScale>
    </cfRule>
  </conditionalFormatting>
  <conditionalFormatting sqref="P1689:Q1689 P1692:Q1692 P1695:Q1695">
    <cfRule type="colorScale" priority="150">
      <colorScale>
        <cfvo type="formula" val="&quot;&lt;0&quot;"/>
        <cfvo type="formula" val="&quot;&gt;0&quot;"/>
        <color rgb="FFFF0000"/>
        <color rgb="FF00B050"/>
      </colorScale>
    </cfRule>
    <cfRule type="cellIs" dxfId="392" priority="149" operator="greaterThan">
      <formula>0</formula>
    </cfRule>
  </conditionalFormatting>
  <conditionalFormatting sqref="P1698:Q1698">
    <cfRule type="cellIs" dxfId="391" priority="151" operator="lessThan">
      <formula>0</formula>
    </cfRule>
    <cfRule type="colorScale" priority="148">
      <colorScale>
        <cfvo type="formula" val="&quot;&lt;0&quot;"/>
        <cfvo type="formula" val="&quot;&gt;0&quot;"/>
        <color rgb="FFFF0000"/>
        <color rgb="FF00B050"/>
      </colorScale>
    </cfRule>
    <cfRule type="cellIs" dxfId="390" priority="147" operator="greaterThan">
      <formula>0</formula>
    </cfRule>
  </conditionalFormatting>
  <conditionalFormatting sqref="P1703:Q1703">
    <cfRule type="cellIs" dxfId="389" priority="140" operator="greaterThan">
      <formula>0</formula>
    </cfRule>
    <cfRule type="cellIs" dxfId="388" priority="139" operator="lessThan">
      <formula>0</formula>
    </cfRule>
    <cfRule type="colorScale" priority="138">
      <colorScale>
        <cfvo type="formula" val="&quot;&lt;0&quot;"/>
        <cfvo type="formula" val="&quot;&gt;0&quot;"/>
        <color rgb="FFFF0000"/>
        <color rgb="FF00B050"/>
      </colorScale>
    </cfRule>
  </conditionalFormatting>
  <conditionalFormatting sqref="P1706:Q1706 P1709:Q1709 P1712:Q1712">
    <cfRule type="cellIs" dxfId="387" priority="136" operator="lessThan">
      <formula>0</formula>
    </cfRule>
    <cfRule type="cellIs" dxfId="386" priority="135" operator="greaterThan">
      <formula>0</formula>
    </cfRule>
  </conditionalFormatting>
  <conditionalFormatting sqref="P1715:Q1715">
    <cfRule type="cellIs" dxfId="385" priority="137" operator="lessThan">
      <formula>0</formula>
    </cfRule>
    <cfRule type="colorScale" priority="134">
      <colorScale>
        <cfvo type="formula" val="&quot;&lt;0&quot;"/>
        <cfvo type="formula" val="&quot;&gt;0&quot;"/>
        <color rgb="FFFF0000"/>
        <color rgb="FF00B050"/>
      </colorScale>
    </cfRule>
    <cfRule type="cellIs" dxfId="384" priority="133" operator="greaterThan">
      <formula>0</formula>
    </cfRule>
  </conditionalFormatting>
  <conditionalFormatting sqref="P1720:Q1720">
    <cfRule type="cellIs" dxfId="383" priority="2144" operator="lessThan">
      <formula>0</formula>
    </cfRule>
    <cfRule type="cellIs" dxfId="382" priority="126" operator="greaterThan">
      <formula>0</formula>
    </cfRule>
    <cfRule type="colorScale" priority="125">
      <colorScale>
        <cfvo type="formula" val="&quot;&lt;0&quot;"/>
        <cfvo type="formula" val="&quot;&gt;0&quot;"/>
        <color rgb="FFFF0000"/>
        <color rgb="FF00B050"/>
      </colorScale>
    </cfRule>
  </conditionalFormatting>
  <conditionalFormatting sqref="P1723:Q1723 P1726:Q1726 P1729:Q1729">
    <cfRule type="cellIs" dxfId="381" priority="2145" operator="lessThan">
      <formula>0</formula>
    </cfRule>
    <cfRule type="cellIs" dxfId="380" priority="122" operator="greaterThan">
      <formula>0</formula>
    </cfRule>
    <cfRule type="colorScale" priority="123">
      <colorScale>
        <cfvo type="formula" val="&quot;&lt;0&quot;"/>
        <cfvo type="formula" val="&quot;&gt;0&quot;"/>
        <color rgb="FFFF0000"/>
        <color rgb="FF00B050"/>
      </colorScale>
    </cfRule>
  </conditionalFormatting>
  <conditionalFormatting sqref="P1732:Q1732">
    <cfRule type="cellIs" dxfId="379" priority="124" operator="lessThan">
      <formula>0</formula>
    </cfRule>
    <cfRule type="cellIs" dxfId="378" priority="120" operator="greaterThan">
      <formula>0</formula>
    </cfRule>
    <cfRule type="colorScale" priority="121">
      <colorScale>
        <cfvo type="formula" val="&quot;&lt;0&quot;"/>
        <cfvo type="formula" val="&quot;&gt;0&quot;"/>
        <color rgb="FFFF0000"/>
        <color rgb="FF00B050"/>
      </colorScale>
    </cfRule>
  </conditionalFormatting>
  <conditionalFormatting sqref="P1737:Q1737">
    <cfRule type="cellIs" dxfId="377" priority="113" operator="greaterThan">
      <formula>0</formula>
    </cfRule>
    <cfRule type="cellIs" dxfId="376" priority="111" operator="lessThan">
      <formula>0</formula>
    </cfRule>
    <cfRule type="colorScale" priority="110">
      <colorScale>
        <cfvo type="formula" val="&quot;&lt;0&quot;"/>
        <cfvo type="formula" val="&quot;&gt;0&quot;"/>
        <color rgb="FFFF0000"/>
        <color rgb="FF00B050"/>
      </colorScale>
    </cfRule>
  </conditionalFormatting>
  <conditionalFormatting sqref="P1740:Q1740 P1743:Q1743 P1746:Q1746">
    <cfRule type="colorScale" priority="112">
      <colorScale>
        <cfvo type="formula" val="&quot;&lt;0&quot;"/>
        <cfvo type="formula" val="&quot;&gt;0&quot;"/>
        <color rgb="FFFF0000"/>
        <color rgb="FF00B050"/>
      </colorScale>
    </cfRule>
    <cfRule type="cellIs" dxfId="375" priority="108" operator="lessThan">
      <formula>0</formula>
    </cfRule>
    <cfRule type="cellIs" dxfId="374" priority="107" operator="greaterThan">
      <formula>0</formula>
    </cfRule>
  </conditionalFormatting>
  <conditionalFormatting sqref="P1749:Q1749">
    <cfRule type="cellIs" dxfId="373" priority="109" operator="lessThan">
      <formula>0</formula>
    </cfRule>
    <cfRule type="colorScale" priority="106">
      <colorScale>
        <cfvo type="formula" val="&quot;&lt;0&quot;"/>
        <cfvo type="formula" val="&quot;&gt;0&quot;"/>
        <color rgb="FFFF0000"/>
        <color rgb="FF00B050"/>
      </colorScale>
    </cfRule>
    <cfRule type="cellIs" dxfId="372" priority="105" operator="greaterThan">
      <formula>0</formula>
    </cfRule>
  </conditionalFormatting>
  <conditionalFormatting sqref="P1754:Q1754">
    <cfRule type="cellIs" dxfId="371" priority="98" operator="greaterThan">
      <formula>0</formula>
    </cfRule>
    <cfRule type="colorScale" priority="97">
      <colorScale>
        <cfvo type="formula" val="&quot;&lt;0&quot;"/>
        <cfvo type="formula" val="&quot;&gt;0&quot;"/>
        <color rgb="FFFF0000"/>
        <color rgb="FF00B050"/>
      </colorScale>
    </cfRule>
    <cfRule type="cellIs" dxfId="370" priority="2146" operator="lessThan">
      <formula>0</formula>
    </cfRule>
  </conditionalFormatting>
  <conditionalFormatting sqref="P1757:Q1757 P1760:Q1760 P1763:Q1763">
    <cfRule type="colorScale" priority="95">
      <colorScale>
        <cfvo type="formula" val="&quot;&lt;0&quot;"/>
        <cfvo type="formula" val="&quot;&gt;0&quot;"/>
        <color rgb="FFFF0000"/>
        <color rgb="FF00B050"/>
      </colorScale>
    </cfRule>
    <cfRule type="cellIs" dxfId="369" priority="94" operator="greaterThan">
      <formula>0</formula>
    </cfRule>
    <cfRule type="cellIs" dxfId="368" priority="2147" operator="lessThan">
      <formula>0</formula>
    </cfRule>
  </conditionalFormatting>
  <conditionalFormatting sqref="P1766:Q1766">
    <cfRule type="cellIs" dxfId="367" priority="96" operator="lessThan">
      <formula>0</formula>
    </cfRule>
    <cfRule type="cellIs" dxfId="366" priority="92" operator="greaterThan">
      <formula>0</formula>
    </cfRule>
    <cfRule type="colorScale" priority="93">
      <colorScale>
        <cfvo type="formula" val="&quot;&lt;0&quot;"/>
        <cfvo type="formula" val="&quot;&gt;0&quot;"/>
        <color rgb="FFFF0000"/>
        <color rgb="FF00B050"/>
      </colorScale>
    </cfRule>
  </conditionalFormatting>
  <conditionalFormatting sqref="P1771:Q1771">
    <cfRule type="cellIs" dxfId="365" priority="85" operator="greaterThan">
      <formula>0</formula>
    </cfRule>
    <cfRule type="colorScale" priority="83">
      <colorScale>
        <cfvo type="formula" val="&quot;&lt;0&quot;"/>
        <cfvo type="formula" val="&quot;&gt;0&quot;"/>
        <color rgb="FFFF0000"/>
        <color rgb="FF00B050"/>
      </colorScale>
    </cfRule>
    <cfRule type="cellIs" dxfId="364" priority="84" operator="lessThan">
      <formula>0</formula>
    </cfRule>
  </conditionalFormatting>
  <conditionalFormatting sqref="P1774:Q1774 P1777:Q1777 P1780:Q1780">
    <cfRule type="cellIs" dxfId="363" priority="80" operator="greaterThan">
      <formula>0</formula>
    </cfRule>
    <cfRule type="cellIs" dxfId="362" priority="81" operator="lessThan">
      <formula>0</formula>
    </cfRule>
    <cfRule type="colorScale" priority="2148">
      <colorScale>
        <cfvo type="formula" val="&quot;&lt;0&quot;"/>
        <cfvo type="formula" val="&quot;&gt;0&quot;"/>
        <color rgb="FFFF0000"/>
        <color rgb="FF00B050"/>
      </colorScale>
    </cfRule>
  </conditionalFormatting>
  <conditionalFormatting sqref="P1783:Q1783">
    <cfRule type="cellIs" dxfId="361" priority="78" operator="greaterThan">
      <formula>0</formula>
    </cfRule>
    <cfRule type="cellIs" dxfId="360" priority="82" operator="lessThan">
      <formula>0</formula>
    </cfRule>
    <cfRule type="colorScale" priority="79">
      <colorScale>
        <cfvo type="formula" val="&quot;&lt;0&quot;"/>
        <cfvo type="formula" val="&quot;&gt;0&quot;"/>
        <color rgb="FFFF0000"/>
        <color rgb="FF00B050"/>
      </colorScale>
    </cfRule>
  </conditionalFormatting>
  <conditionalFormatting sqref="P1788:Q1788">
    <cfRule type="cellIs" dxfId="359" priority="71" operator="lessThan">
      <formula>0</formula>
    </cfRule>
    <cfRule type="colorScale" priority="70">
      <colorScale>
        <cfvo type="formula" val="&quot;&lt;0&quot;"/>
        <cfvo type="formula" val="&quot;&gt;0&quot;"/>
        <color rgb="FFFF0000"/>
        <color rgb="FF00B050"/>
      </colorScale>
    </cfRule>
  </conditionalFormatting>
  <conditionalFormatting sqref="P1791:Q1791 P1794:Q1794 P1797:Q1797">
    <cfRule type="cellIs" dxfId="358" priority="67" operator="greaterThan">
      <formula>0</formula>
    </cfRule>
    <cfRule type="cellIs" dxfId="357" priority="68" operator="lessThan">
      <formula>0</formula>
    </cfRule>
  </conditionalFormatting>
  <conditionalFormatting sqref="P1800:Q1800">
    <cfRule type="cellIs" dxfId="356" priority="69" operator="lessThan">
      <formula>0</formula>
    </cfRule>
    <cfRule type="cellIs" dxfId="355" priority="65" operator="greaterThan">
      <formula>0</formula>
    </cfRule>
    <cfRule type="colorScale" priority="66">
      <colorScale>
        <cfvo type="formula" val="&quot;&lt;0&quot;"/>
        <cfvo type="formula" val="&quot;&gt;0&quot;"/>
        <color rgb="FFFF0000"/>
        <color rgb="FF00B050"/>
      </colorScale>
    </cfRule>
  </conditionalFormatting>
  <conditionalFormatting sqref="P1805:Q1805">
    <cfRule type="colorScale" priority="55">
      <colorScale>
        <cfvo type="formula" val="&quot;&lt;0&quot;"/>
        <cfvo type="formula" val="&quot;&gt;0&quot;"/>
        <color rgb="FFFF0000"/>
        <color rgb="FF00B050"/>
      </colorScale>
    </cfRule>
    <cfRule type="cellIs" dxfId="354" priority="56" operator="lessThan">
      <formula>0</formula>
    </cfRule>
    <cfRule type="cellIs" dxfId="353" priority="58" operator="greaterThan">
      <formula>0</formula>
    </cfRule>
  </conditionalFormatting>
  <conditionalFormatting sqref="P1808:Q1808 P1811:Q1811 P1814:Q1814">
    <cfRule type="colorScale" priority="57">
      <colorScale>
        <cfvo type="formula" val="&quot;&lt;0&quot;"/>
        <cfvo type="formula" val="&quot;&gt;0&quot;"/>
        <color rgb="FFFF0000"/>
        <color rgb="FF00B050"/>
      </colorScale>
    </cfRule>
    <cfRule type="cellIs" dxfId="352" priority="52" operator="greaterThan">
      <formula>0</formula>
    </cfRule>
    <cfRule type="cellIs" dxfId="351" priority="53" operator="lessThan">
      <formula>0</formula>
    </cfRule>
  </conditionalFormatting>
  <conditionalFormatting sqref="P1817:Q1817">
    <cfRule type="cellIs" dxfId="350" priority="50" operator="greaterThan">
      <formula>0</formula>
    </cfRule>
    <cfRule type="cellIs" dxfId="349" priority="54" operator="lessThan">
      <formula>0</formula>
    </cfRule>
    <cfRule type="colorScale" priority="51">
      <colorScale>
        <cfvo type="formula" val="&quot;&lt;0&quot;"/>
        <cfvo type="formula" val="&quot;&gt;0&quot;"/>
        <color rgb="FFFF0000"/>
        <color rgb="FF00B050"/>
      </colorScale>
    </cfRule>
  </conditionalFormatting>
  <conditionalFormatting sqref="P1822:Q1822">
    <cfRule type="colorScale" priority="42">
      <colorScale>
        <cfvo type="formula" val="&quot;&lt;0&quot;"/>
        <cfvo type="formula" val="&quot;&gt;0&quot;"/>
        <color rgb="FFFF0000"/>
        <color rgb="FF00B050"/>
      </colorScale>
    </cfRule>
    <cfRule type="cellIs" dxfId="348" priority="43" operator="greaterThan">
      <formula>0</formula>
    </cfRule>
  </conditionalFormatting>
  <conditionalFormatting sqref="P1825:Q1825 P1828:Q1828 P1831:Q1831">
    <cfRule type="colorScale" priority="40">
      <colorScale>
        <cfvo type="formula" val="&quot;&lt;0&quot;"/>
        <cfvo type="formula" val="&quot;&gt;0&quot;"/>
        <color rgb="FFFF0000"/>
        <color rgb="FF00B050"/>
      </colorScale>
    </cfRule>
    <cfRule type="cellIs" dxfId="347" priority="39" operator="greaterThan">
      <formula>0</formula>
    </cfRule>
  </conditionalFormatting>
  <conditionalFormatting sqref="P1834:Q1834">
    <cfRule type="cellIs" dxfId="346" priority="37" operator="greaterThan">
      <formula>0</formula>
    </cfRule>
    <cfRule type="colorScale" priority="38">
      <colorScale>
        <cfvo type="formula" val="&quot;&lt;0&quot;"/>
        <cfvo type="formula" val="&quot;&gt;0&quot;"/>
        <color rgb="FFFF0000"/>
        <color rgb="FF00B050"/>
      </colorScale>
    </cfRule>
    <cfRule type="cellIs" dxfId="345" priority="41" operator="lessThan">
      <formula>0</formula>
    </cfRule>
  </conditionalFormatting>
  <conditionalFormatting sqref="Q427">
    <cfRule type="colorScale" priority="1083">
      <colorScale>
        <cfvo type="formula" val="&quot;&lt;0&quot;"/>
        <cfvo type="formula" val="&quot;&gt;0&quot;"/>
        <color rgb="FFFF0000"/>
        <color rgb="FF00B050"/>
      </colorScale>
    </cfRule>
  </conditionalFormatting>
  <conditionalFormatting sqref="Q430">
    <cfRule type="colorScale" priority="1113">
      <colorScale>
        <cfvo type="formula" val="&quot;&lt;0&quot;"/>
        <cfvo type="formula" val="&quot;&gt;0&quot;"/>
        <color rgb="FFFF0000"/>
        <color rgb="FF00B050"/>
      </colorScale>
    </cfRule>
  </conditionalFormatting>
  <conditionalFormatting sqref="Q433">
    <cfRule type="colorScale" priority="1107">
      <colorScale>
        <cfvo type="formula" val="&quot;&lt;0&quot;"/>
        <cfvo type="formula" val="&quot;&gt;0&quot;"/>
        <color rgb="FFFF0000"/>
        <color rgb="FF00B050"/>
      </colorScale>
    </cfRule>
  </conditionalFormatting>
  <conditionalFormatting sqref="Q436">
    <cfRule type="colorScale" priority="1101">
      <colorScale>
        <cfvo type="formula" val="&quot;&lt;0&quot;"/>
        <cfvo type="formula" val="&quot;&gt;0&quot;"/>
        <color rgb="FFFF0000"/>
        <color rgb="FF00B050"/>
      </colorScale>
    </cfRule>
  </conditionalFormatting>
  <conditionalFormatting sqref="Q439">
    <cfRule type="colorScale" priority="1092">
      <colorScale>
        <cfvo type="formula" val="&quot;&lt;0&quot;"/>
        <cfvo type="formula" val="&quot;&gt;0&quot;"/>
        <color rgb="FFFF0000"/>
        <color rgb="FF00B050"/>
      </colorScale>
    </cfRule>
  </conditionalFormatting>
  <conditionalFormatting sqref="Q853">
    <cfRule type="cellIs" dxfId="344" priority="23" operator="lessThan">
      <formula>0</formula>
    </cfRule>
    <cfRule type="colorScale" priority="22">
      <colorScale>
        <cfvo type="formula" val="&quot;&lt;0&quot;"/>
        <cfvo type="formula" val="&quot;&gt;0&quot;"/>
        <color rgb="FFFF0000"/>
        <color rgb="FF00B050"/>
      </colorScale>
    </cfRule>
  </conditionalFormatting>
  <conditionalFormatting sqref="S421:V423">
    <cfRule type="cellIs" dxfId="343" priority="1731" operator="greaterThan">
      <formula>0</formula>
    </cfRule>
    <cfRule type="cellIs" dxfId="342" priority="1730" operator="lessThan">
      <formula>0</formula>
    </cfRule>
    <cfRule type="colorScale" priority="1729">
      <colorScale>
        <cfvo type="formula" val="&quot;&lt;0&quot;"/>
        <cfvo type="formula" val="&quot;&gt;0&quot;"/>
        <color rgb="FFFF0000"/>
        <color rgb="FF00B050"/>
      </colorScale>
    </cfRule>
  </conditionalFormatting>
  <conditionalFormatting sqref="S438:V440">
    <cfRule type="cellIs" dxfId="341" priority="2123" operator="greaterThan">
      <formula>0</formula>
    </cfRule>
    <cfRule type="colorScale" priority="1443">
      <colorScale>
        <cfvo type="formula" val="&quot;&lt;0&quot;"/>
        <cfvo type="formula" val="&quot;&gt;0&quot;"/>
        <color rgb="FFFF0000"/>
        <color rgb="FF00B050"/>
      </colorScale>
    </cfRule>
    <cfRule type="cellIs" dxfId="340" priority="1442" operator="lessThan">
      <formula>0</formula>
    </cfRule>
  </conditionalFormatting>
  <conditionalFormatting sqref="S455:V457">
    <cfRule type="cellIs" dxfId="339" priority="1075" operator="lessThan">
      <formula>0</formula>
    </cfRule>
    <cfRule type="cellIs" dxfId="338" priority="1077" operator="greaterThan">
      <formula>0</formula>
    </cfRule>
    <cfRule type="colorScale" priority="1076">
      <colorScale>
        <cfvo type="formula" val="&quot;&lt;0&quot;"/>
        <cfvo type="formula" val="&quot;&gt;0&quot;"/>
        <color rgb="FFFF0000"/>
        <color rgb="FF00B050"/>
      </colorScale>
    </cfRule>
  </conditionalFormatting>
  <conditionalFormatting sqref="S472:V474">
    <cfRule type="cellIs" dxfId="337" priority="1062" operator="greaterThan">
      <formula>0</formula>
    </cfRule>
    <cfRule type="cellIs" dxfId="336" priority="1060" operator="lessThan">
      <formula>0</formula>
    </cfRule>
    <cfRule type="colorScale" priority="1061">
      <colorScale>
        <cfvo type="formula" val="&quot;&lt;0&quot;"/>
        <cfvo type="formula" val="&quot;&gt;0&quot;"/>
        <color rgb="FFFF0000"/>
        <color rgb="FF00B050"/>
      </colorScale>
    </cfRule>
  </conditionalFormatting>
  <conditionalFormatting sqref="S489:V491">
    <cfRule type="cellIs" dxfId="335" priority="1054" operator="lessThan">
      <formula>0</formula>
    </cfRule>
    <cfRule type="cellIs" dxfId="334" priority="1056" operator="greaterThan">
      <formula>0</formula>
    </cfRule>
    <cfRule type="colorScale" priority="1055">
      <colorScale>
        <cfvo type="formula" val="&quot;&lt;0&quot;"/>
        <cfvo type="formula" val="&quot;&gt;0&quot;"/>
        <color rgb="FFFF0000"/>
        <color rgb="FF00B050"/>
      </colorScale>
    </cfRule>
  </conditionalFormatting>
  <conditionalFormatting sqref="S506:V508">
    <cfRule type="cellIs" dxfId="333" priority="1050" operator="greaterThan">
      <formula>0</formula>
    </cfRule>
    <cfRule type="colorScale" priority="1049">
      <colorScale>
        <cfvo type="formula" val="&quot;&lt;0&quot;"/>
        <cfvo type="formula" val="&quot;&gt;0&quot;"/>
        <color rgb="FFFF0000"/>
        <color rgb="FF00B050"/>
      </colorScale>
    </cfRule>
    <cfRule type="cellIs" dxfId="332" priority="1048" operator="lessThan">
      <formula>0</formula>
    </cfRule>
  </conditionalFormatting>
  <conditionalFormatting sqref="S523:V525">
    <cfRule type="cellIs" dxfId="331" priority="1042" operator="lessThan">
      <formula>0</formula>
    </cfRule>
    <cfRule type="cellIs" dxfId="330" priority="1044" operator="greaterThan">
      <formula>0</formula>
    </cfRule>
    <cfRule type="colorScale" priority="1043">
      <colorScale>
        <cfvo type="formula" val="&quot;&lt;0&quot;"/>
        <cfvo type="formula" val="&quot;&gt;0&quot;"/>
        <color rgb="FFFF0000"/>
        <color rgb="FF00B050"/>
      </colorScale>
    </cfRule>
  </conditionalFormatting>
  <conditionalFormatting sqref="S540:V542">
    <cfRule type="cellIs" dxfId="329" priority="1038" operator="greaterThan">
      <formula>0</formula>
    </cfRule>
    <cfRule type="cellIs" dxfId="328" priority="1036" operator="lessThan">
      <formula>0</formula>
    </cfRule>
    <cfRule type="colorScale" priority="1037">
      <colorScale>
        <cfvo type="formula" val="&quot;&lt;0&quot;"/>
        <cfvo type="formula" val="&quot;&gt;0&quot;"/>
        <color rgb="FFFF0000"/>
        <color rgb="FF00B050"/>
      </colorScale>
    </cfRule>
  </conditionalFormatting>
  <conditionalFormatting sqref="S557:V559">
    <cfRule type="colorScale" priority="1031">
      <colorScale>
        <cfvo type="formula" val="&quot;&lt;0&quot;"/>
        <cfvo type="formula" val="&quot;&gt;0&quot;"/>
        <color rgb="FFFF0000"/>
        <color rgb="FF00B050"/>
      </colorScale>
    </cfRule>
    <cfRule type="cellIs" dxfId="327" priority="1032" operator="greaterThan">
      <formula>0</formula>
    </cfRule>
    <cfRule type="cellIs" dxfId="326" priority="1030" operator="lessThan">
      <formula>0</formula>
    </cfRule>
  </conditionalFormatting>
  <conditionalFormatting sqref="S574:V576">
    <cfRule type="cellIs" dxfId="325" priority="1026" operator="greaterThan">
      <formula>0</formula>
    </cfRule>
    <cfRule type="cellIs" dxfId="324" priority="1024" operator="lessThan">
      <formula>0</formula>
    </cfRule>
    <cfRule type="colorScale" priority="1025">
      <colorScale>
        <cfvo type="formula" val="&quot;&lt;0&quot;"/>
        <cfvo type="formula" val="&quot;&gt;0&quot;"/>
        <color rgb="FFFF0000"/>
        <color rgb="FF00B050"/>
      </colorScale>
    </cfRule>
  </conditionalFormatting>
  <conditionalFormatting sqref="S591:V593">
    <cfRule type="cellIs" dxfId="323" priority="1018" operator="lessThan">
      <formula>0</formula>
    </cfRule>
    <cfRule type="colorScale" priority="1019">
      <colorScale>
        <cfvo type="formula" val="&quot;&lt;0&quot;"/>
        <cfvo type="formula" val="&quot;&gt;0&quot;"/>
        <color rgb="FFFF0000"/>
        <color rgb="FF00B050"/>
      </colorScale>
    </cfRule>
    <cfRule type="cellIs" dxfId="322" priority="1020" operator="greaterThan">
      <formula>0</formula>
    </cfRule>
  </conditionalFormatting>
  <conditionalFormatting sqref="S608:V610">
    <cfRule type="cellIs" dxfId="321" priority="1012" operator="lessThan">
      <formula>0</formula>
    </cfRule>
    <cfRule type="colorScale" priority="1013">
      <colorScale>
        <cfvo type="formula" val="&quot;&lt;0&quot;"/>
        <cfvo type="formula" val="&quot;&gt;0&quot;"/>
        <color rgb="FFFF0000"/>
        <color rgb="FF00B050"/>
      </colorScale>
    </cfRule>
    <cfRule type="cellIs" dxfId="320" priority="1014" operator="greaterThan">
      <formula>0</formula>
    </cfRule>
  </conditionalFormatting>
  <conditionalFormatting sqref="S625:V627">
    <cfRule type="cellIs" dxfId="319" priority="1006" operator="lessThan">
      <formula>0</formula>
    </cfRule>
    <cfRule type="colorScale" priority="1007">
      <colorScale>
        <cfvo type="formula" val="&quot;&lt;0&quot;"/>
        <cfvo type="formula" val="&quot;&gt;0&quot;"/>
        <color rgb="FFFF0000"/>
        <color rgb="FF00B050"/>
      </colorScale>
    </cfRule>
    <cfRule type="cellIs" dxfId="318" priority="1008" operator="greaterThan">
      <formula>0</formula>
    </cfRule>
  </conditionalFormatting>
  <conditionalFormatting sqref="S642:V644">
    <cfRule type="cellIs" dxfId="317" priority="1002" operator="greaterThan">
      <formula>0</formula>
    </cfRule>
    <cfRule type="colorScale" priority="1001">
      <colorScale>
        <cfvo type="formula" val="&quot;&lt;0&quot;"/>
        <cfvo type="formula" val="&quot;&gt;0&quot;"/>
        <color rgb="FFFF0000"/>
        <color rgb="FF00B050"/>
      </colorScale>
    </cfRule>
    <cfRule type="cellIs" dxfId="316" priority="1000" operator="lessThan">
      <formula>0</formula>
    </cfRule>
  </conditionalFormatting>
  <conditionalFormatting sqref="S659:V661">
    <cfRule type="cellIs" dxfId="315" priority="996" operator="greaterThan">
      <formula>0</formula>
    </cfRule>
    <cfRule type="colorScale" priority="995">
      <colorScale>
        <cfvo type="formula" val="&quot;&lt;0&quot;"/>
        <cfvo type="formula" val="&quot;&gt;0&quot;"/>
        <color rgb="FFFF0000"/>
        <color rgb="FF00B050"/>
      </colorScale>
    </cfRule>
    <cfRule type="cellIs" dxfId="314" priority="994" operator="lessThan">
      <formula>0</formula>
    </cfRule>
  </conditionalFormatting>
  <conditionalFormatting sqref="S676:V678">
    <cfRule type="cellIs" dxfId="313" priority="988" operator="lessThan">
      <formula>0</formula>
    </cfRule>
    <cfRule type="colorScale" priority="989">
      <colorScale>
        <cfvo type="formula" val="&quot;&lt;0&quot;"/>
        <cfvo type="formula" val="&quot;&gt;0&quot;"/>
        <color rgb="FFFF0000"/>
        <color rgb="FF00B050"/>
      </colorScale>
    </cfRule>
    <cfRule type="cellIs" dxfId="312" priority="990" operator="greaterThan">
      <formula>0</formula>
    </cfRule>
  </conditionalFormatting>
  <conditionalFormatting sqref="S693:V695">
    <cfRule type="cellIs" dxfId="311" priority="981" operator="greaterThan">
      <formula>0</formula>
    </cfRule>
    <cfRule type="colorScale" priority="980">
      <colorScale>
        <cfvo type="formula" val="&quot;&lt;0&quot;"/>
        <cfvo type="formula" val="&quot;&gt;0&quot;"/>
        <color rgb="FFFF0000"/>
        <color rgb="FF00B050"/>
      </colorScale>
    </cfRule>
    <cfRule type="cellIs" dxfId="310" priority="979" operator="lessThan">
      <formula>0</formula>
    </cfRule>
  </conditionalFormatting>
  <conditionalFormatting sqref="S710:V712">
    <cfRule type="cellIs" dxfId="309" priority="975" operator="greaterThan">
      <formula>0</formula>
    </cfRule>
    <cfRule type="colorScale" priority="974">
      <colorScale>
        <cfvo type="formula" val="&quot;&lt;0&quot;"/>
        <cfvo type="formula" val="&quot;&gt;0&quot;"/>
        <color rgb="FFFF0000"/>
        <color rgb="FF00B050"/>
      </colorScale>
    </cfRule>
    <cfRule type="cellIs" dxfId="308" priority="973" operator="lessThan">
      <formula>0</formula>
    </cfRule>
  </conditionalFormatting>
  <conditionalFormatting sqref="S727:V729">
    <cfRule type="cellIs" dxfId="307" priority="969" operator="greaterThan">
      <formula>0</formula>
    </cfRule>
    <cfRule type="colorScale" priority="968">
      <colorScale>
        <cfvo type="formula" val="&quot;&lt;0&quot;"/>
        <cfvo type="formula" val="&quot;&gt;0&quot;"/>
        <color rgb="FFFF0000"/>
        <color rgb="FF00B050"/>
      </colorScale>
    </cfRule>
    <cfRule type="cellIs" dxfId="306" priority="967" operator="lessThan">
      <formula>0</formula>
    </cfRule>
  </conditionalFormatting>
  <conditionalFormatting sqref="S744:V746">
    <cfRule type="cellIs" dxfId="305" priority="961" operator="lessThan">
      <formula>0</formula>
    </cfRule>
    <cfRule type="colorScale" priority="962">
      <colorScale>
        <cfvo type="formula" val="&quot;&lt;0&quot;"/>
        <cfvo type="formula" val="&quot;&gt;0&quot;"/>
        <color rgb="FFFF0000"/>
        <color rgb="FF00B050"/>
      </colorScale>
    </cfRule>
    <cfRule type="cellIs" dxfId="304" priority="963" operator="greaterThan">
      <formula>0</formula>
    </cfRule>
  </conditionalFormatting>
  <conditionalFormatting sqref="S761:V763">
    <cfRule type="cellIs" dxfId="303" priority="946" operator="lessThan">
      <formula>0</formula>
    </cfRule>
    <cfRule type="cellIs" dxfId="302" priority="948" operator="greaterThan">
      <formula>0</formula>
    </cfRule>
    <cfRule type="colorScale" priority="947">
      <colorScale>
        <cfvo type="formula" val="&quot;&lt;0&quot;"/>
        <cfvo type="formula" val="&quot;&gt;0&quot;"/>
        <color rgb="FFFF0000"/>
        <color rgb="FF00B050"/>
      </colorScale>
    </cfRule>
  </conditionalFormatting>
  <conditionalFormatting sqref="S778:V780">
    <cfRule type="cellIs" dxfId="301" priority="949" operator="lessThan">
      <formula>0</formula>
    </cfRule>
    <cfRule type="colorScale" priority="950">
      <colorScale>
        <cfvo type="formula" val="&quot;&lt;0&quot;"/>
        <cfvo type="formula" val="&quot;&gt;0&quot;"/>
        <color rgb="FFFF0000"/>
        <color rgb="FF00B050"/>
      </colorScale>
    </cfRule>
    <cfRule type="cellIs" dxfId="300" priority="951" operator="greaterThan">
      <formula>0</formula>
    </cfRule>
  </conditionalFormatting>
  <conditionalFormatting sqref="S795:V797">
    <cfRule type="cellIs" dxfId="299" priority="937" operator="lessThan">
      <formula>0</formula>
    </cfRule>
    <cfRule type="colorScale" priority="938">
      <colorScale>
        <cfvo type="formula" val="&quot;&lt;0&quot;"/>
        <cfvo type="formula" val="&quot;&gt;0&quot;"/>
        <color rgb="FFFF0000"/>
        <color rgb="FF00B050"/>
      </colorScale>
    </cfRule>
    <cfRule type="cellIs" dxfId="298" priority="939" operator="greaterThan">
      <formula>0</formula>
    </cfRule>
  </conditionalFormatting>
  <conditionalFormatting sqref="S812:V814">
    <cfRule type="cellIs" dxfId="297" priority="934" operator="lessThan">
      <formula>0</formula>
    </cfRule>
    <cfRule type="colorScale" priority="935">
      <colorScale>
        <cfvo type="formula" val="&quot;&lt;0&quot;"/>
        <cfvo type="formula" val="&quot;&gt;0&quot;"/>
        <color rgb="FFFF0000"/>
        <color rgb="FF00B050"/>
      </colorScale>
    </cfRule>
    <cfRule type="cellIs" dxfId="296" priority="936" operator="greaterThan">
      <formula>0</formula>
    </cfRule>
  </conditionalFormatting>
  <conditionalFormatting sqref="S829:V831">
    <cfRule type="colorScale" priority="920">
      <colorScale>
        <cfvo type="formula" val="&quot;&lt;0&quot;"/>
        <cfvo type="formula" val="&quot;&gt;0&quot;"/>
        <color rgb="FFFF0000"/>
        <color rgb="FF00B050"/>
      </colorScale>
    </cfRule>
    <cfRule type="cellIs" dxfId="295" priority="919" operator="lessThan">
      <formula>0</formula>
    </cfRule>
    <cfRule type="cellIs" dxfId="294" priority="921" operator="greaterThan">
      <formula>0</formula>
    </cfRule>
  </conditionalFormatting>
  <conditionalFormatting sqref="S846:V848">
    <cfRule type="cellIs" dxfId="293" priority="10" operator="lessThan">
      <formula>0</formula>
    </cfRule>
    <cfRule type="colorScale" priority="11">
      <colorScale>
        <cfvo type="formula" val="&quot;&lt;0&quot;"/>
        <cfvo type="formula" val="&quot;&gt;0&quot;"/>
        <color rgb="FFFF0000"/>
        <color rgb="FF00B050"/>
      </colorScale>
    </cfRule>
    <cfRule type="cellIs" dxfId="292" priority="12" operator="greaterThan">
      <formula>0</formula>
    </cfRule>
  </conditionalFormatting>
  <conditionalFormatting sqref="S863:V865">
    <cfRule type="cellIs" dxfId="291" priority="891" operator="greaterThan">
      <formula>0</formula>
    </cfRule>
    <cfRule type="cellIs" dxfId="290" priority="889" operator="lessThan">
      <formula>0</formula>
    </cfRule>
    <cfRule type="colorScale" priority="890">
      <colorScale>
        <cfvo type="formula" val="&quot;&lt;0&quot;"/>
        <cfvo type="formula" val="&quot;&gt;0&quot;"/>
        <color rgb="FFFF0000"/>
        <color rgb="FF00B050"/>
      </colorScale>
    </cfRule>
  </conditionalFormatting>
  <conditionalFormatting sqref="S880:V882">
    <cfRule type="colorScale" priority="875">
      <colorScale>
        <cfvo type="formula" val="&quot;&lt;0&quot;"/>
        <cfvo type="formula" val="&quot;&gt;0&quot;"/>
        <color rgb="FFFF0000"/>
        <color rgb="FF00B050"/>
      </colorScale>
    </cfRule>
    <cfRule type="cellIs" dxfId="289" priority="874" operator="lessThan">
      <formula>0</formula>
    </cfRule>
    <cfRule type="cellIs" dxfId="288" priority="876" operator="greaterThan">
      <formula>0</formula>
    </cfRule>
  </conditionalFormatting>
  <conditionalFormatting sqref="S897:V899">
    <cfRule type="cellIs" dxfId="287" priority="857" operator="lessThan">
      <formula>0</formula>
    </cfRule>
    <cfRule type="cellIs" dxfId="286" priority="859" operator="greaterThan">
      <formula>0</formula>
    </cfRule>
    <cfRule type="colorScale" priority="858">
      <colorScale>
        <cfvo type="formula" val="&quot;&lt;0&quot;"/>
        <cfvo type="formula" val="&quot;&gt;0&quot;"/>
        <color rgb="FFFF0000"/>
        <color rgb="FF00B050"/>
      </colorScale>
    </cfRule>
  </conditionalFormatting>
  <conditionalFormatting sqref="S914:V916">
    <cfRule type="colorScale" priority="845">
      <colorScale>
        <cfvo type="formula" val="&quot;&lt;0&quot;"/>
        <cfvo type="formula" val="&quot;&gt;0&quot;"/>
        <color rgb="FFFF0000"/>
        <color rgb="FF00B050"/>
      </colorScale>
    </cfRule>
    <cfRule type="cellIs" dxfId="285" priority="846" operator="greaterThan">
      <formula>0</formula>
    </cfRule>
    <cfRule type="cellIs" dxfId="284" priority="844" operator="lessThan">
      <formula>0</formula>
    </cfRule>
  </conditionalFormatting>
  <conditionalFormatting sqref="S931:V933">
    <cfRule type="cellIs" dxfId="283" priority="824" operator="lessThan">
      <formula>0</formula>
    </cfRule>
    <cfRule type="colorScale" priority="825">
      <colorScale>
        <cfvo type="formula" val="&quot;&lt;0&quot;"/>
        <cfvo type="formula" val="&quot;&gt;0&quot;"/>
        <color rgb="FFFF0000"/>
        <color rgb="FF00B050"/>
      </colorScale>
    </cfRule>
    <cfRule type="cellIs" dxfId="282" priority="826" operator="greaterThan">
      <formula>0</formula>
    </cfRule>
  </conditionalFormatting>
  <conditionalFormatting sqref="S948:V950">
    <cfRule type="cellIs" dxfId="281" priority="813" operator="greaterThan">
      <formula>0</formula>
    </cfRule>
    <cfRule type="colorScale" priority="812">
      <colorScale>
        <cfvo type="formula" val="&quot;&lt;0&quot;"/>
        <cfvo type="formula" val="&quot;&gt;0&quot;"/>
        <color rgb="FFFF0000"/>
        <color rgb="FF00B050"/>
      </colorScale>
    </cfRule>
    <cfRule type="cellIs" dxfId="280" priority="811" operator="lessThan">
      <formula>0</formula>
    </cfRule>
  </conditionalFormatting>
  <conditionalFormatting sqref="S965:V967">
    <cfRule type="cellIs" dxfId="279" priority="797" operator="lessThan">
      <formula>0</formula>
    </cfRule>
    <cfRule type="colorScale" priority="798">
      <colorScale>
        <cfvo type="formula" val="&quot;&lt;0&quot;"/>
        <cfvo type="formula" val="&quot;&gt;0&quot;"/>
        <color rgb="FFFF0000"/>
        <color rgb="FF00B050"/>
      </colorScale>
    </cfRule>
    <cfRule type="cellIs" dxfId="278" priority="799" operator="greaterThan">
      <formula>0</formula>
    </cfRule>
  </conditionalFormatting>
  <conditionalFormatting sqref="S982:V984">
    <cfRule type="cellIs" dxfId="277" priority="786" operator="greaterThan">
      <formula>0</formula>
    </cfRule>
    <cfRule type="colorScale" priority="785">
      <colorScale>
        <cfvo type="formula" val="&quot;&lt;0&quot;"/>
        <cfvo type="formula" val="&quot;&gt;0&quot;"/>
        <color rgb="FFFF0000"/>
        <color rgb="FF00B050"/>
      </colorScale>
    </cfRule>
    <cfRule type="cellIs" dxfId="276" priority="784" operator="lessThan">
      <formula>0</formula>
    </cfRule>
  </conditionalFormatting>
  <conditionalFormatting sqref="S999:V1001">
    <cfRule type="colorScale" priority="768">
      <colorScale>
        <cfvo type="formula" val="&quot;&lt;0&quot;"/>
        <cfvo type="formula" val="&quot;&gt;0&quot;"/>
        <color rgb="FFFF0000"/>
        <color rgb="FF00B050"/>
      </colorScale>
    </cfRule>
    <cfRule type="cellIs" dxfId="275" priority="767" operator="lessThan">
      <formula>0</formula>
    </cfRule>
    <cfRule type="cellIs" dxfId="274" priority="769" operator="greaterThan">
      <formula>0</formula>
    </cfRule>
  </conditionalFormatting>
  <conditionalFormatting sqref="S1016:V1018">
    <cfRule type="cellIs" dxfId="273" priority="756" operator="greaterThan">
      <formula>0</formula>
    </cfRule>
    <cfRule type="colorScale" priority="755">
      <colorScale>
        <cfvo type="formula" val="&quot;&lt;0&quot;"/>
        <cfvo type="formula" val="&quot;&gt;0&quot;"/>
        <color rgb="FFFF0000"/>
        <color rgb="FF00B050"/>
      </colorScale>
    </cfRule>
    <cfRule type="cellIs" dxfId="272" priority="754" operator="lessThan">
      <formula>0</formula>
    </cfRule>
  </conditionalFormatting>
  <conditionalFormatting sqref="S1033:V1035">
    <cfRule type="cellIs" dxfId="271" priority="741" operator="greaterThan">
      <formula>0</formula>
    </cfRule>
    <cfRule type="colorScale" priority="740">
      <colorScale>
        <cfvo type="formula" val="&quot;&lt;0&quot;"/>
        <cfvo type="formula" val="&quot;&gt;0&quot;"/>
        <color rgb="FFFF0000"/>
        <color rgb="FF00B050"/>
      </colorScale>
    </cfRule>
    <cfRule type="cellIs" dxfId="270" priority="739" operator="lessThan">
      <formula>0</formula>
    </cfRule>
  </conditionalFormatting>
  <conditionalFormatting sqref="S1050:V1052">
    <cfRule type="cellIs" dxfId="269" priority="726" operator="greaterThan">
      <formula>0</formula>
    </cfRule>
    <cfRule type="colorScale" priority="725">
      <colorScale>
        <cfvo type="formula" val="&quot;&lt;0&quot;"/>
        <cfvo type="formula" val="&quot;&gt;0&quot;"/>
        <color rgb="FFFF0000"/>
        <color rgb="FF00B050"/>
      </colorScale>
    </cfRule>
    <cfRule type="cellIs" dxfId="268" priority="724" operator="lessThan">
      <formula>0</formula>
    </cfRule>
  </conditionalFormatting>
  <conditionalFormatting sqref="S1067:V1069">
    <cfRule type="cellIs" dxfId="267" priority="697" operator="lessThan">
      <formula>0</formula>
    </cfRule>
    <cfRule type="colorScale" priority="698">
      <colorScale>
        <cfvo type="formula" val="&quot;&lt;0&quot;"/>
        <cfvo type="formula" val="&quot;&gt;0&quot;"/>
        <color rgb="FFFF0000"/>
        <color rgb="FF00B050"/>
      </colorScale>
    </cfRule>
    <cfRule type="cellIs" dxfId="266" priority="699" operator="greaterThan">
      <formula>0</formula>
    </cfRule>
  </conditionalFormatting>
  <conditionalFormatting sqref="S1084:V1086">
    <cfRule type="cellIs" dxfId="265" priority="686" operator="greaterThan">
      <formula>0</formula>
    </cfRule>
    <cfRule type="colorScale" priority="685">
      <colorScale>
        <cfvo type="formula" val="&quot;&lt;0&quot;"/>
        <cfvo type="formula" val="&quot;&gt;0&quot;"/>
        <color rgb="FFFF0000"/>
        <color rgb="FF00B050"/>
      </colorScale>
    </cfRule>
    <cfRule type="cellIs" dxfId="264" priority="684" operator="lessThan">
      <formula>0</formula>
    </cfRule>
  </conditionalFormatting>
  <conditionalFormatting sqref="S1101:V1103">
    <cfRule type="colorScale" priority="671">
      <colorScale>
        <cfvo type="formula" val="&quot;&lt;0&quot;"/>
        <cfvo type="formula" val="&quot;&gt;0&quot;"/>
        <color rgb="FFFF0000"/>
        <color rgb="FF00B050"/>
      </colorScale>
    </cfRule>
    <cfRule type="cellIs" dxfId="263" priority="670" operator="lessThan">
      <formula>0</formula>
    </cfRule>
    <cfRule type="cellIs" dxfId="262" priority="672" operator="greaterThan">
      <formula>0</formula>
    </cfRule>
  </conditionalFormatting>
  <conditionalFormatting sqref="S1118:V1120">
    <cfRule type="colorScale" priority="658">
      <colorScale>
        <cfvo type="formula" val="&quot;&lt;0&quot;"/>
        <cfvo type="formula" val="&quot;&gt;0&quot;"/>
        <color rgb="FFFF0000"/>
        <color rgb="FF00B050"/>
      </colorScale>
    </cfRule>
    <cfRule type="cellIs" dxfId="261" priority="659" operator="greaterThan">
      <formula>0</formula>
    </cfRule>
    <cfRule type="cellIs" dxfId="260" priority="657" operator="lessThan">
      <formula>0</formula>
    </cfRule>
  </conditionalFormatting>
  <conditionalFormatting sqref="S1135:V1137">
    <cfRule type="cellIs" dxfId="259" priority="642" operator="lessThan">
      <formula>0</formula>
    </cfRule>
    <cfRule type="colorScale" priority="643">
      <colorScale>
        <cfvo type="formula" val="&quot;&lt;0&quot;"/>
        <cfvo type="formula" val="&quot;&gt;0&quot;"/>
        <color rgb="FFFF0000"/>
        <color rgb="FF00B050"/>
      </colorScale>
    </cfRule>
    <cfRule type="cellIs" dxfId="258" priority="644" operator="greaterThan">
      <formula>0</formula>
    </cfRule>
  </conditionalFormatting>
  <conditionalFormatting sqref="S1152:V1154">
    <cfRule type="cellIs" dxfId="257" priority="629" operator="lessThan">
      <formula>0</formula>
    </cfRule>
    <cfRule type="colorScale" priority="630">
      <colorScale>
        <cfvo type="formula" val="&quot;&lt;0&quot;"/>
        <cfvo type="formula" val="&quot;&gt;0&quot;"/>
        <color rgb="FFFF0000"/>
        <color rgb="FF00B050"/>
      </colorScale>
    </cfRule>
    <cfRule type="cellIs" dxfId="256" priority="631" operator="greaterThan">
      <formula>0</formula>
    </cfRule>
  </conditionalFormatting>
  <conditionalFormatting sqref="S1169:V1171">
    <cfRule type="cellIs" dxfId="255" priority="617" operator="greaterThan">
      <formula>0</formula>
    </cfRule>
    <cfRule type="colorScale" priority="616">
      <colorScale>
        <cfvo type="formula" val="&quot;&lt;0&quot;"/>
        <cfvo type="formula" val="&quot;&gt;0&quot;"/>
        <color rgb="FFFF0000"/>
        <color rgb="FF00B050"/>
      </colorScale>
    </cfRule>
    <cfRule type="cellIs" dxfId="254" priority="615" operator="lessThan">
      <formula>0</formula>
    </cfRule>
  </conditionalFormatting>
  <conditionalFormatting sqref="S1186:V1188">
    <cfRule type="colorScale" priority="603">
      <colorScale>
        <cfvo type="formula" val="&quot;&lt;0&quot;"/>
        <cfvo type="formula" val="&quot;&gt;0&quot;"/>
        <color rgb="FFFF0000"/>
        <color rgb="FF00B050"/>
      </colorScale>
    </cfRule>
    <cfRule type="cellIs" dxfId="253" priority="602" operator="lessThan">
      <formula>0</formula>
    </cfRule>
    <cfRule type="cellIs" dxfId="252" priority="604" operator="greaterThan">
      <formula>0</formula>
    </cfRule>
  </conditionalFormatting>
  <conditionalFormatting sqref="S1203:V1205">
    <cfRule type="cellIs" dxfId="251" priority="589" operator="greaterThan">
      <formula>0</formula>
    </cfRule>
    <cfRule type="colorScale" priority="588">
      <colorScale>
        <cfvo type="formula" val="&quot;&lt;0&quot;"/>
        <cfvo type="formula" val="&quot;&gt;0&quot;"/>
        <color rgb="FFFF0000"/>
        <color rgb="FF00B050"/>
      </colorScale>
    </cfRule>
    <cfRule type="cellIs" dxfId="250" priority="587" operator="lessThan">
      <formula>0</formula>
    </cfRule>
  </conditionalFormatting>
  <conditionalFormatting sqref="S1220:V1222">
    <cfRule type="cellIs" dxfId="249" priority="576" operator="greaterThan">
      <formula>0</formula>
    </cfRule>
    <cfRule type="cellIs" dxfId="248" priority="574" operator="lessThan">
      <formula>0</formula>
    </cfRule>
    <cfRule type="colorScale" priority="575">
      <colorScale>
        <cfvo type="formula" val="&quot;&lt;0&quot;"/>
        <cfvo type="formula" val="&quot;&gt;0&quot;"/>
        <color rgb="FFFF0000"/>
        <color rgb="FF00B050"/>
      </colorScale>
    </cfRule>
  </conditionalFormatting>
  <conditionalFormatting sqref="S1237:V1239">
    <cfRule type="cellIs" dxfId="247" priority="547" operator="greaterThan">
      <formula>0</formula>
    </cfRule>
    <cfRule type="cellIs" dxfId="246" priority="545" operator="lessThan">
      <formula>0</formula>
    </cfRule>
    <cfRule type="colorScale" priority="546">
      <colorScale>
        <cfvo type="formula" val="&quot;&lt;0&quot;"/>
        <cfvo type="formula" val="&quot;&gt;0&quot;"/>
        <color rgb="FFFF0000"/>
        <color rgb="FF00B050"/>
      </colorScale>
    </cfRule>
  </conditionalFormatting>
  <conditionalFormatting sqref="S1254:V1256">
    <cfRule type="cellIs" dxfId="245" priority="532" operator="lessThan">
      <formula>0</formula>
    </cfRule>
    <cfRule type="colorScale" priority="533">
      <colorScale>
        <cfvo type="formula" val="&quot;&lt;0&quot;"/>
        <cfvo type="formula" val="&quot;&gt;0&quot;"/>
        <color rgb="FFFF0000"/>
        <color rgb="FF00B050"/>
      </colorScale>
    </cfRule>
    <cfRule type="cellIs" dxfId="244" priority="534" operator="greaterThan">
      <formula>0</formula>
    </cfRule>
  </conditionalFormatting>
  <conditionalFormatting sqref="S1271:V1273">
    <cfRule type="colorScale" priority="518">
      <colorScale>
        <cfvo type="formula" val="&quot;&lt;0&quot;"/>
        <cfvo type="formula" val="&quot;&gt;0&quot;"/>
        <color rgb="FFFF0000"/>
        <color rgb="FF00B050"/>
      </colorScale>
    </cfRule>
    <cfRule type="cellIs" dxfId="243" priority="519" operator="greaterThan">
      <formula>0</formula>
    </cfRule>
    <cfRule type="cellIs" dxfId="242" priority="517" operator="lessThan">
      <formula>0</formula>
    </cfRule>
  </conditionalFormatting>
  <conditionalFormatting sqref="S1288:V1290">
    <cfRule type="colorScale" priority="505">
      <colorScale>
        <cfvo type="formula" val="&quot;&lt;0&quot;"/>
        <cfvo type="formula" val="&quot;&gt;0&quot;"/>
        <color rgb="FFFF0000"/>
        <color rgb="FF00B050"/>
      </colorScale>
    </cfRule>
    <cfRule type="cellIs" dxfId="241" priority="504" operator="lessThan">
      <formula>0</formula>
    </cfRule>
    <cfRule type="cellIs" dxfId="240" priority="506" operator="greaterThan">
      <formula>0</formula>
    </cfRule>
  </conditionalFormatting>
  <conditionalFormatting sqref="S1305:V1307">
    <cfRule type="cellIs" dxfId="239" priority="490" operator="lessThan">
      <formula>0</formula>
    </cfRule>
    <cfRule type="colorScale" priority="491">
      <colorScale>
        <cfvo type="formula" val="&quot;&lt;0&quot;"/>
        <cfvo type="formula" val="&quot;&gt;0&quot;"/>
        <color rgb="FFFF0000"/>
        <color rgb="FF00B050"/>
      </colorScale>
    </cfRule>
    <cfRule type="cellIs" dxfId="238" priority="492" operator="greaterThan">
      <formula>0</formula>
    </cfRule>
  </conditionalFormatting>
  <conditionalFormatting sqref="S1322:V1324">
    <cfRule type="cellIs" dxfId="237" priority="477" operator="lessThan">
      <formula>0</formula>
    </cfRule>
    <cfRule type="cellIs" dxfId="236" priority="479" operator="greaterThan">
      <formula>0</formula>
    </cfRule>
    <cfRule type="colorScale" priority="478">
      <colorScale>
        <cfvo type="formula" val="&quot;&lt;0&quot;"/>
        <cfvo type="formula" val="&quot;&gt;0&quot;"/>
        <color rgb="FFFF0000"/>
        <color rgb="FF00B050"/>
      </colorScale>
    </cfRule>
  </conditionalFormatting>
  <conditionalFormatting sqref="S1339:V1341">
    <cfRule type="cellIs" dxfId="235" priority="462" operator="lessThan">
      <formula>0</formula>
    </cfRule>
    <cfRule type="colorScale" priority="463">
      <colorScale>
        <cfvo type="formula" val="&quot;&lt;0&quot;"/>
        <cfvo type="formula" val="&quot;&gt;0&quot;"/>
        <color rgb="FFFF0000"/>
        <color rgb="FF00B050"/>
      </colorScale>
    </cfRule>
    <cfRule type="cellIs" dxfId="234" priority="464" operator="greaterThan">
      <formula>0</formula>
    </cfRule>
  </conditionalFormatting>
  <conditionalFormatting sqref="S1356:V1358">
    <cfRule type="colorScale" priority="450">
      <colorScale>
        <cfvo type="formula" val="&quot;&lt;0&quot;"/>
        <cfvo type="formula" val="&quot;&gt;0&quot;"/>
        <color rgb="FFFF0000"/>
        <color rgb="FF00B050"/>
      </colorScale>
    </cfRule>
    <cfRule type="cellIs" dxfId="233" priority="451" operator="greaterThan">
      <formula>0</formula>
    </cfRule>
    <cfRule type="cellIs" dxfId="232" priority="449" operator="lessThan">
      <formula>0</formula>
    </cfRule>
  </conditionalFormatting>
  <conditionalFormatting sqref="S1373:V1375">
    <cfRule type="cellIs" dxfId="231" priority="437" operator="greaterThan">
      <formula>0</formula>
    </cfRule>
    <cfRule type="colorScale" priority="436">
      <colorScale>
        <cfvo type="formula" val="&quot;&lt;0&quot;"/>
        <cfvo type="formula" val="&quot;&gt;0&quot;"/>
        <color rgb="FFFF0000"/>
        <color rgb="FF00B050"/>
      </colorScale>
    </cfRule>
    <cfRule type="cellIs" dxfId="230" priority="435" operator="lessThan">
      <formula>0</formula>
    </cfRule>
  </conditionalFormatting>
  <conditionalFormatting sqref="S1390:V1392">
    <cfRule type="cellIs" dxfId="229" priority="424" operator="greaterThan">
      <formula>0</formula>
    </cfRule>
    <cfRule type="colorScale" priority="423">
      <colorScale>
        <cfvo type="formula" val="&quot;&lt;0&quot;"/>
        <cfvo type="formula" val="&quot;&gt;0&quot;"/>
        <color rgb="FFFF0000"/>
        <color rgb="FF00B050"/>
      </colorScale>
    </cfRule>
    <cfRule type="cellIs" dxfId="228" priority="422" operator="lessThan">
      <formula>0</formula>
    </cfRule>
  </conditionalFormatting>
  <conditionalFormatting sqref="S1407:V1409">
    <cfRule type="cellIs" dxfId="227" priority="409" operator="greaterThan">
      <formula>0</formula>
    </cfRule>
    <cfRule type="colorScale" priority="408">
      <colorScale>
        <cfvo type="formula" val="&quot;&lt;0&quot;"/>
        <cfvo type="formula" val="&quot;&gt;0&quot;"/>
        <color rgb="FFFF0000"/>
        <color rgb="FF00B050"/>
      </colorScale>
    </cfRule>
    <cfRule type="cellIs" dxfId="226" priority="407" operator="lessThan">
      <formula>0</formula>
    </cfRule>
  </conditionalFormatting>
  <conditionalFormatting sqref="S1424:V1426">
    <cfRule type="cellIs" dxfId="225" priority="396" operator="greaterThan">
      <formula>0</formula>
    </cfRule>
    <cfRule type="colorScale" priority="395">
      <colorScale>
        <cfvo type="formula" val="&quot;&lt;0&quot;"/>
        <cfvo type="formula" val="&quot;&gt;0&quot;"/>
        <color rgb="FFFF0000"/>
        <color rgb="FF00B050"/>
      </colorScale>
    </cfRule>
    <cfRule type="cellIs" dxfId="224" priority="394" operator="lessThan">
      <formula>0</formula>
    </cfRule>
  </conditionalFormatting>
  <conditionalFormatting sqref="S1441:V1443">
    <cfRule type="colorScale" priority="366">
      <colorScale>
        <cfvo type="formula" val="&quot;&lt;0&quot;"/>
        <cfvo type="formula" val="&quot;&gt;0&quot;"/>
        <color rgb="FFFF0000"/>
        <color rgb="FF00B050"/>
      </colorScale>
    </cfRule>
    <cfRule type="cellIs" dxfId="223" priority="365" operator="lessThan">
      <formula>0</formula>
    </cfRule>
    <cfRule type="cellIs" dxfId="222" priority="367" operator="greaterThan">
      <formula>0</formula>
    </cfRule>
  </conditionalFormatting>
  <conditionalFormatting sqref="S1458:V1460">
    <cfRule type="cellIs" dxfId="221" priority="354" operator="greaterThan">
      <formula>0</formula>
    </cfRule>
    <cfRule type="colorScale" priority="353">
      <colorScale>
        <cfvo type="formula" val="&quot;&lt;0&quot;"/>
        <cfvo type="formula" val="&quot;&gt;0&quot;"/>
        <color rgb="FFFF0000"/>
        <color rgb="FF00B050"/>
      </colorScale>
    </cfRule>
    <cfRule type="cellIs" dxfId="220" priority="352" operator="lessThan">
      <formula>0</formula>
    </cfRule>
  </conditionalFormatting>
  <conditionalFormatting sqref="S1475:V1477">
    <cfRule type="cellIs" dxfId="219" priority="337" operator="lessThan">
      <formula>0</formula>
    </cfRule>
    <cfRule type="cellIs" dxfId="218" priority="339" operator="greaterThan">
      <formula>0</formula>
    </cfRule>
    <cfRule type="colorScale" priority="338">
      <colorScale>
        <cfvo type="formula" val="&quot;&lt;0&quot;"/>
        <cfvo type="formula" val="&quot;&gt;0&quot;"/>
        <color rgb="FFFF0000"/>
        <color rgb="FF00B050"/>
      </colorScale>
    </cfRule>
  </conditionalFormatting>
  <conditionalFormatting sqref="S1492:V1494">
    <cfRule type="cellIs" dxfId="217" priority="326" operator="greaterThan">
      <formula>0</formula>
    </cfRule>
    <cfRule type="colorScale" priority="325">
      <colorScale>
        <cfvo type="formula" val="&quot;&lt;0&quot;"/>
        <cfvo type="formula" val="&quot;&gt;0&quot;"/>
        <color rgb="FFFF0000"/>
        <color rgb="FF00B050"/>
      </colorScale>
    </cfRule>
    <cfRule type="cellIs" dxfId="216" priority="324" operator="lessThan">
      <formula>0</formula>
    </cfRule>
  </conditionalFormatting>
  <conditionalFormatting sqref="S1509:V1511">
    <cfRule type="cellIs" dxfId="215" priority="310" operator="lessThan">
      <formula>0</formula>
    </cfRule>
    <cfRule type="cellIs" dxfId="214" priority="312" operator="greaterThan">
      <formula>0</formula>
    </cfRule>
    <cfRule type="colorScale" priority="311">
      <colorScale>
        <cfvo type="formula" val="&quot;&lt;0&quot;"/>
        <cfvo type="formula" val="&quot;&gt;0&quot;"/>
        <color rgb="FFFF0000"/>
        <color rgb="FF00B050"/>
      </colorScale>
    </cfRule>
  </conditionalFormatting>
  <conditionalFormatting sqref="S1526:V1528">
    <cfRule type="colorScale" priority="298">
      <colorScale>
        <cfvo type="formula" val="&quot;&lt;0&quot;"/>
        <cfvo type="formula" val="&quot;&gt;0&quot;"/>
        <color rgb="FFFF0000"/>
        <color rgb="FF00B050"/>
      </colorScale>
    </cfRule>
    <cfRule type="cellIs" dxfId="213" priority="297" operator="lessThan">
      <formula>0</formula>
    </cfRule>
    <cfRule type="cellIs" dxfId="212" priority="299" operator="greaterThan">
      <formula>0</formula>
    </cfRule>
  </conditionalFormatting>
  <conditionalFormatting sqref="S1543:V1545">
    <cfRule type="colorScale" priority="283">
      <colorScale>
        <cfvo type="formula" val="&quot;&lt;0&quot;"/>
        <cfvo type="formula" val="&quot;&gt;0&quot;"/>
        <color rgb="FFFF0000"/>
        <color rgb="FF00B050"/>
      </colorScale>
    </cfRule>
    <cfRule type="cellIs" dxfId="211" priority="282" operator="lessThan">
      <formula>0</formula>
    </cfRule>
    <cfRule type="cellIs" dxfId="210" priority="284" operator="greaterThan">
      <formula>0</formula>
    </cfRule>
  </conditionalFormatting>
  <conditionalFormatting sqref="S1560:V1562">
    <cfRule type="cellIs" dxfId="209" priority="269" operator="lessThan">
      <formula>0</formula>
    </cfRule>
    <cfRule type="colorScale" priority="270">
      <colorScale>
        <cfvo type="formula" val="&quot;&lt;0&quot;"/>
        <cfvo type="formula" val="&quot;&gt;0&quot;"/>
        <color rgb="FFFF0000"/>
        <color rgb="FF00B050"/>
      </colorScale>
    </cfRule>
    <cfRule type="cellIs" dxfId="208" priority="271" operator="greaterThan">
      <formula>0</formula>
    </cfRule>
  </conditionalFormatting>
  <conditionalFormatting sqref="S1577:V1579">
    <cfRule type="cellIs" dxfId="207" priority="255" operator="lessThan">
      <formula>0</formula>
    </cfRule>
    <cfRule type="colorScale" priority="256">
      <colorScale>
        <cfvo type="formula" val="&quot;&lt;0&quot;"/>
        <cfvo type="formula" val="&quot;&gt;0&quot;"/>
        <color rgb="FFFF0000"/>
        <color rgb="FF00B050"/>
      </colorScale>
    </cfRule>
    <cfRule type="cellIs" dxfId="206" priority="257" operator="greaterThan">
      <formula>0</formula>
    </cfRule>
  </conditionalFormatting>
  <conditionalFormatting sqref="S1594:V1596">
    <cfRule type="cellIs" dxfId="205" priority="244" operator="greaterThan">
      <formula>0</formula>
    </cfRule>
    <cfRule type="colorScale" priority="243">
      <colorScale>
        <cfvo type="formula" val="&quot;&lt;0&quot;"/>
        <cfvo type="formula" val="&quot;&gt;0&quot;"/>
        <color rgb="FFFF0000"/>
        <color rgb="FF00B050"/>
      </colorScale>
    </cfRule>
    <cfRule type="cellIs" dxfId="204" priority="242" operator="lessThan">
      <formula>0</formula>
    </cfRule>
  </conditionalFormatting>
  <conditionalFormatting sqref="S1611:V1613">
    <cfRule type="cellIs" dxfId="203" priority="229" operator="greaterThan">
      <formula>0</formula>
    </cfRule>
    <cfRule type="cellIs" dxfId="202" priority="227" operator="lessThan">
      <formula>0</formula>
    </cfRule>
    <cfRule type="colorScale" priority="228">
      <colorScale>
        <cfvo type="formula" val="&quot;&lt;0&quot;"/>
        <cfvo type="formula" val="&quot;&gt;0&quot;"/>
        <color rgb="FFFF0000"/>
        <color rgb="FF00B050"/>
      </colorScale>
    </cfRule>
  </conditionalFormatting>
  <conditionalFormatting sqref="S1628:V1630">
    <cfRule type="colorScale" priority="215">
      <colorScale>
        <cfvo type="formula" val="&quot;&lt;0&quot;"/>
        <cfvo type="formula" val="&quot;&gt;0&quot;"/>
        <color rgb="FFFF0000"/>
        <color rgb="FF00B050"/>
      </colorScale>
    </cfRule>
    <cfRule type="cellIs" dxfId="201" priority="216" operator="greaterThan">
      <formula>0</formula>
    </cfRule>
    <cfRule type="cellIs" dxfId="200" priority="214" operator="lessThan">
      <formula>0</formula>
    </cfRule>
  </conditionalFormatting>
  <conditionalFormatting sqref="S1645:V1647">
    <cfRule type="cellIs" dxfId="199" priority="187" operator="greaterThan">
      <formula>0</formula>
    </cfRule>
    <cfRule type="cellIs" dxfId="198" priority="185" operator="lessThan">
      <formula>0</formula>
    </cfRule>
    <cfRule type="colorScale" priority="186">
      <colorScale>
        <cfvo type="formula" val="&quot;&lt;0&quot;"/>
        <cfvo type="formula" val="&quot;&gt;0&quot;"/>
        <color rgb="FFFF0000"/>
        <color rgb="FF00B050"/>
      </colorScale>
    </cfRule>
  </conditionalFormatting>
  <conditionalFormatting sqref="S1662:V1664">
    <cfRule type="colorScale" priority="173">
      <colorScale>
        <cfvo type="formula" val="&quot;&lt;0&quot;"/>
        <cfvo type="formula" val="&quot;&gt;0&quot;"/>
        <color rgb="FFFF0000"/>
        <color rgb="FF00B050"/>
      </colorScale>
    </cfRule>
    <cfRule type="cellIs" dxfId="197" priority="172" operator="lessThan">
      <formula>0</formula>
    </cfRule>
    <cfRule type="cellIs" dxfId="196" priority="174" operator="greaterThan">
      <formula>0</formula>
    </cfRule>
  </conditionalFormatting>
  <conditionalFormatting sqref="S1679:V1681">
    <cfRule type="colorScale" priority="158">
      <colorScale>
        <cfvo type="formula" val="&quot;&lt;0&quot;"/>
        <cfvo type="formula" val="&quot;&gt;0&quot;"/>
        <color rgb="FFFF0000"/>
        <color rgb="FF00B050"/>
      </colorScale>
    </cfRule>
    <cfRule type="cellIs" dxfId="195" priority="157" operator="lessThan">
      <formula>0</formula>
    </cfRule>
    <cfRule type="cellIs" dxfId="194" priority="159" operator="greaterThan">
      <formula>0</formula>
    </cfRule>
  </conditionalFormatting>
  <conditionalFormatting sqref="S1696:V1698">
    <cfRule type="cellIs" dxfId="193" priority="146" operator="greaterThan">
      <formula>0</formula>
    </cfRule>
    <cfRule type="cellIs" dxfId="192" priority="144" operator="lessThan">
      <formula>0</formula>
    </cfRule>
    <cfRule type="colorScale" priority="145">
      <colorScale>
        <cfvo type="formula" val="&quot;&lt;0&quot;"/>
        <cfvo type="formula" val="&quot;&gt;0&quot;"/>
        <color rgb="FFFF0000"/>
        <color rgb="FF00B050"/>
      </colorScale>
    </cfRule>
  </conditionalFormatting>
  <conditionalFormatting sqref="S1713:V1715">
    <cfRule type="cellIs" dxfId="191" priority="132" operator="greaterThan">
      <formula>0</formula>
    </cfRule>
    <cfRule type="cellIs" dxfId="190" priority="130" operator="lessThan">
      <formula>0</formula>
    </cfRule>
    <cfRule type="colorScale" priority="131">
      <colorScale>
        <cfvo type="formula" val="&quot;&lt;0&quot;"/>
        <cfvo type="formula" val="&quot;&gt;0&quot;"/>
        <color rgb="FFFF0000"/>
        <color rgb="FF00B050"/>
      </colorScale>
    </cfRule>
  </conditionalFormatting>
  <conditionalFormatting sqref="S1730:V1732">
    <cfRule type="colorScale" priority="118">
      <colorScale>
        <cfvo type="formula" val="&quot;&lt;0&quot;"/>
        <cfvo type="formula" val="&quot;&gt;0&quot;"/>
        <color rgb="FFFF0000"/>
        <color rgb="FF00B050"/>
      </colorScale>
    </cfRule>
    <cfRule type="cellIs" dxfId="189" priority="117" operator="lessThan">
      <formula>0</formula>
    </cfRule>
    <cfRule type="cellIs" dxfId="188" priority="119" operator="greaterThan">
      <formula>0</formula>
    </cfRule>
  </conditionalFormatting>
  <conditionalFormatting sqref="S1747:V1749">
    <cfRule type="cellIs" dxfId="187" priority="102" operator="lessThan">
      <formula>0</formula>
    </cfRule>
    <cfRule type="colorScale" priority="103">
      <colorScale>
        <cfvo type="formula" val="&quot;&lt;0&quot;"/>
        <cfvo type="formula" val="&quot;&gt;0&quot;"/>
        <color rgb="FFFF0000"/>
        <color rgb="FF00B050"/>
      </colorScale>
    </cfRule>
    <cfRule type="cellIs" dxfId="186" priority="104" operator="greaterThan">
      <formula>0</formula>
    </cfRule>
  </conditionalFormatting>
  <conditionalFormatting sqref="S1764:V1766">
    <cfRule type="cellIs" dxfId="185" priority="89" operator="lessThan">
      <formula>0</formula>
    </cfRule>
    <cfRule type="cellIs" dxfId="184" priority="91" operator="greaterThan">
      <formula>0</formula>
    </cfRule>
    <cfRule type="colorScale" priority="90">
      <colorScale>
        <cfvo type="formula" val="&quot;&lt;0&quot;"/>
        <cfvo type="formula" val="&quot;&gt;0&quot;"/>
        <color rgb="FFFF0000"/>
        <color rgb="FF00B050"/>
      </colorScale>
    </cfRule>
  </conditionalFormatting>
  <conditionalFormatting sqref="S1781:V1783">
    <cfRule type="colorScale" priority="76">
      <colorScale>
        <cfvo type="formula" val="&quot;&lt;0&quot;"/>
        <cfvo type="formula" val="&quot;&gt;0&quot;"/>
        <color rgb="FFFF0000"/>
        <color rgb="FF00B050"/>
      </colorScale>
    </cfRule>
    <cfRule type="cellIs" dxfId="183" priority="75" operator="lessThan">
      <formula>0</formula>
    </cfRule>
    <cfRule type="cellIs" dxfId="182" priority="77" operator="greaterThan">
      <formula>0</formula>
    </cfRule>
  </conditionalFormatting>
  <conditionalFormatting sqref="S1798:V1800">
    <cfRule type="cellIs" dxfId="181" priority="62" operator="lessThan">
      <formula>0</formula>
    </cfRule>
    <cfRule type="colorScale" priority="63">
      <colorScale>
        <cfvo type="formula" val="&quot;&lt;0&quot;"/>
        <cfvo type="formula" val="&quot;&gt;0&quot;"/>
        <color rgb="FFFF0000"/>
        <color rgb="FF00B050"/>
      </colorScale>
    </cfRule>
    <cfRule type="cellIs" dxfId="180" priority="64" operator="greaterThan">
      <formula>0</formula>
    </cfRule>
  </conditionalFormatting>
  <conditionalFormatting sqref="S1815:V1817">
    <cfRule type="colorScale" priority="48">
      <colorScale>
        <cfvo type="formula" val="&quot;&lt;0&quot;"/>
        <cfvo type="formula" val="&quot;&gt;0&quot;"/>
        <color rgb="FFFF0000"/>
        <color rgb="FF00B050"/>
      </colorScale>
    </cfRule>
    <cfRule type="cellIs" dxfId="179" priority="49" operator="greaterThan">
      <formula>0</formula>
    </cfRule>
    <cfRule type="cellIs" dxfId="178" priority="47" operator="lessThan">
      <formula>0</formula>
    </cfRule>
  </conditionalFormatting>
  <conditionalFormatting sqref="S1832:V1834">
    <cfRule type="cellIs" dxfId="177" priority="34" operator="lessThan">
      <formula>0</formula>
    </cfRule>
    <cfRule type="cellIs" dxfId="176" priority="36" operator="greaterThan">
      <formula>0</formula>
    </cfRule>
    <cfRule type="colorScale" priority="35">
      <colorScale>
        <cfvo type="formula" val="&quot;&lt;0&quot;"/>
        <cfvo type="formula" val="&quot;&gt;0&quot;"/>
        <color rgb="FFFF0000"/>
        <color rgb="FF00B050"/>
      </colorScale>
    </cfRule>
  </conditionalFormatting>
  <conditionalFormatting sqref="W423">
    <cfRule type="cellIs" dxfId="175" priority="1071" operator="greaterThan">
      <formula>0</formula>
    </cfRule>
    <cfRule type="colorScale" priority="1070">
      <colorScale>
        <cfvo type="formula" val="&quot;&lt;0&quot;"/>
        <cfvo type="formula" val="&quot;&gt;0&quot;"/>
        <color rgb="FFFF0000"/>
        <color rgb="FF00B050"/>
      </colorScale>
    </cfRule>
  </conditionalFormatting>
  <conditionalFormatting sqref="W440">
    <cfRule type="colorScale" priority="1079">
      <colorScale>
        <cfvo type="formula" val="&quot;&lt;0&quot;"/>
        <cfvo type="formula" val="&quot;&gt;0&quot;"/>
        <color rgb="FFFF0000"/>
        <color rgb="FF00B050"/>
      </colorScale>
    </cfRule>
    <cfRule type="cellIs" dxfId="174" priority="1080" operator="greaterThan">
      <formula>0</formula>
    </cfRule>
  </conditionalFormatting>
  <conditionalFormatting sqref="W423:X423">
    <cfRule type="cellIs" dxfId="173" priority="1063" operator="lessThan">
      <formula>0</formula>
    </cfRule>
  </conditionalFormatting>
  <conditionalFormatting sqref="W440:X440">
    <cfRule type="cellIs" dxfId="172" priority="1066" operator="lessThan">
      <formula>0</formula>
    </cfRule>
  </conditionalFormatting>
  <conditionalFormatting sqref="W457:X457">
    <cfRule type="cellIs" dxfId="171" priority="1074" operator="greaterThan">
      <formula>0</formula>
    </cfRule>
    <cfRule type="cellIs" dxfId="170" priority="1072" operator="lessThan">
      <formula>0</formula>
    </cfRule>
    <cfRule type="colorScale" priority="1073">
      <colorScale>
        <cfvo type="formula" val="&quot;&lt;0&quot;"/>
        <cfvo type="formula" val="&quot;&gt;0&quot;"/>
        <color rgb="FFFF0000"/>
        <color rgb="FF00B050"/>
      </colorScale>
    </cfRule>
  </conditionalFormatting>
  <conditionalFormatting sqref="W474:X474">
    <cfRule type="cellIs" dxfId="169" priority="1059" operator="greaterThan">
      <formula>0</formula>
    </cfRule>
    <cfRule type="colorScale" priority="1058">
      <colorScale>
        <cfvo type="formula" val="&quot;&lt;0&quot;"/>
        <cfvo type="formula" val="&quot;&gt;0&quot;"/>
        <color rgb="FFFF0000"/>
        <color rgb="FF00B050"/>
      </colorScale>
    </cfRule>
    <cfRule type="cellIs" dxfId="168" priority="1057" operator="lessThan">
      <formula>0</formula>
    </cfRule>
  </conditionalFormatting>
  <conditionalFormatting sqref="W491:X491">
    <cfRule type="cellIs" dxfId="167" priority="1053" operator="greaterThan">
      <formula>0</formula>
    </cfRule>
    <cfRule type="colorScale" priority="1052">
      <colorScale>
        <cfvo type="formula" val="&quot;&lt;0&quot;"/>
        <cfvo type="formula" val="&quot;&gt;0&quot;"/>
        <color rgb="FFFF0000"/>
        <color rgb="FF00B050"/>
      </colorScale>
    </cfRule>
    <cfRule type="cellIs" dxfId="166" priority="1051" operator="lessThan">
      <formula>0</formula>
    </cfRule>
  </conditionalFormatting>
  <conditionalFormatting sqref="W508:X508">
    <cfRule type="cellIs" dxfId="165" priority="1047" operator="greaterThan">
      <formula>0</formula>
    </cfRule>
    <cfRule type="colorScale" priority="1046">
      <colorScale>
        <cfvo type="formula" val="&quot;&lt;0&quot;"/>
        <cfvo type="formula" val="&quot;&gt;0&quot;"/>
        <color rgb="FFFF0000"/>
        <color rgb="FF00B050"/>
      </colorScale>
    </cfRule>
    <cfRule type="cellIs" dxfId="164" priority="1045" operator="lessThan">
      <formula>0</formula>
    </cfRule>
  </conditionalFormatting>
  <conditionalFormatting sqref="W525:X525">
    <cfRule type="cellIs" dxfId="163" priority="1041" operator="greaterThan">
      <formula>0</formula>
    </cfRule>
    <cfRule type="colorScale" priority="1040">
      <colorScale>
        <cfvo type="formula" val="&quot;&lt;0&quot;"/>
        <cfvo type="formula" val="&quot;&gt;0&quot;"/>
        <color rgb="FFFF0000"/>
        <color rgb="FF00B050"/>
      </colorScale>
    </cfRule>
    <cfRule type="cellIs" dxfId="162" priority="1039" operator="lessThan">
      <formula>0</formula>
    </cfRule>
  </conditionalFormatting>
  <conditionalFormatting sqref="W542:X542">
    <cfRule type="cellIs" dxfId="161" priority="1035" operator="greaterThan">
      <formula>0</formula>
    </cfRule>
    <cfRule type="cellIs" dxfId="160" priority="1033" operator="lessThan">
      <formula>0</formula>
    </cfRule>
    <cfRule type="colorScale" priority="1034">
      <colorScale>
        <cfvo type="formula" val="&quot;&lt;0&quot;"/>
        <cfvo type="formula" val="&quot;&gt;0&quot;"/>
        <color rgb="FFFF0000"/>
        <color rgb="FF00B050"/>
      </colorScale>
    </cfRule>
  </conditionalFormatting>
  <conditionalFormatting sqref="W559:X559">
    <cfRule type="cellIs" dxfId="159" priority="1029" operator="greaterThan">
      <formula>0</formula>
    </cfRule>
    <cfRule type="cellIs" dxfId="158" priority="1027" operator="lessThan">
      <formula>0</formula>
    </cfRule>
    <cfRule type="colorScale" priority="1028">
      <colorScale>
        <cfvo type="formula" val="&quot;&lt;0&quot;"/>
        <cfvo type="formula" val="&quot;&gt;0&quot;"/>
        <color rgb="FFFF0000"/>
        <color rgb="FF00B050"/>
      </colorScale>
    </cfRule>
  </conditionalFormatting>
  <conditionalFormatting sqref="W576:X576">
    <cfRule type="cellIs" dxfId="157" priority="1023" operator="greaterThan">
      <formula>0</formula>
    </cfRule>
    <cfRule type="colorScale" priority="1022">
      <colorScale>
        <cfvo type="formula" val="&quot;&lt;0&quot;"/>
        <cfvo type="formula" val="&quot;&gt;0&quot;"/>
        <color rgb="FFFF0000"/>
        <color rgb="FF00B050"/>
      </colorScale>
    </cfRule>
    <cfRule type="cellIs" dxfId="156" priority="1021" operator="lessThan">
      <formula>0</formula>
    </cfRule>
  </conditionalFormatting>
  <conditionalFormatting sqref="W593:X593">
    <cfRule type="cellIs" dxfId="155" priority="1015" operator="lessThan">
      <formula>0</formula>
    </cfRule>
    <cfRule type="colorScale" priority="1016">
      <colorScale>
        <cfvo type="formula" val="&quot;&lt;0&quot;"/>
        <cfvo type="formula" val="&quot;&gt;0&quot;"/>
        <color rgb="FFFF0000"/>
        <color rgb="FF00B050"/>
      </colorScale>
    </cfRule>
    <cfRule type="cellIs" dxfId="154" priority="1017" operator="greaterThan">
      <formula>0</formula>
    </cfRule>
  </conditionalFormatting>
  <conditionalFormatting sqref="W610:X610">
    <cfRule type="cellIs" dxfId="153" priority="1009" operator="lessThan">
      <formula>0</formula>
    </cfRule>
    <cfRule type="colorScale" priority="1010">
      <colorScale>
        <cfvo type="formula" val="&quot;&lt;0&quot;"/>
        <cfvo type="formula" val="&quot;&gt;0&quot;"/>
        <color rgb="FFFF0000"/>
        <color rgb="FF00B050"/>
      </colorScale>
    </cfRule>
    <cfRule type="cellIs" dxfId="152" priority="1011" operator="greaterThan">
      <formula>0</formula>
    </cfRule>
  </conditionalFormatting>
  <conditionalFormatting sqref="W627:X627">
    <cfRule type="cellIs" dxfId="151" priority="1003" operator="lessThan">
      <formula>0</formula>
    </cfRule>
    <cfRule type="colorScale" priority="1004">
      <colorScale>
        <cfvo type="formula" val="&quot;&lt;0&quot;"/>
        <cfvo type="formula" val="&quot;&gt;0&quot;"/>
        <color rgb="FFFF0000"/>
        <color rgb="FF00B050"/>
      </colorScale>
    </cfRule>
    <cfRule type="cellIs" dxfId="150" priority="1005" operator="greaterThan">
      <formula>0</formula>
    </cfRule>
  </conditionalFormatting>
  <conditionalFormatting sqref="W644:X644">
    <cfRule type="cellIs" dxfId="149" priority="999" operator="greaterThan">
      <formula>0</formula>
    </cfRule>
    <cfRule type="colorScale" priority="998">
      <colorScale>
        <cfvo type="formula" val="&quot;&lt;0&quot;"/>
        <cfvo type="formula" val="&quot;&gt;0&quot;"/>
        <color rgb="FFFF0000"/>
        <color rgb="FF00B050"/>
      </colorScale>
    </cfRule>
    <cfRule type="cellIs" dxfId="148" priority="997" operator="lessThan">
      <formula>0</formula>
    </cfRule>
  </conditionalFormatting>
  <conditionalFormatting sqref="W661:X661">
    <cfRule type="cellIs" dxfId="147" priority="993" operator="greaterThan">
      <formula>0</formula>
    </cfRule>
    <cfRule type="colorScale" priority="992">
      <colorScale>
        <cfvo type="formula" val="&quot;&lt;0&quot;"/>
        <cfvo type="formula" val="&quot;&gt;0&quot;"/>
        <color rgb="FFFF0000"/>
        <color rgb="FF00B050"/>
      </colorScale>
    </cfRule>
    <cfRule type="cellIs" dxfId="146" priority="991" operator="lessThan">
      <formula>0</formula>
    </cfRule>
  </conditionalFormatting>
  <conditionalFormatting sqref="W678:X678">
    <cfRule type="cellIs" dxfId="145" priority="985" operator="lessThan">
      <formula>0</formula>
    </cfRule>
    <cfRule type="colorScale" priority="986">
      <colorScale>
        <cfvo type="formula" val="&quot;&lt;0&quot;"/>
        <cfvo type="formula" val="&quot;&gt;0&quot;"/>
        <color rgb="FFFF0000"/>
        <color rgb="FF00B050"/>
      </colorScale>
    </cfRule>
    <cfRule type="cellIs" dxfId="144" priority="987" operator="greaterThan">
      <formula>0</formula>
    </cfRule>
  </conditionalFormatting>
  <conditionalFormatting sqref="W695:X695">
    <cfRule type="cellIs" dxfId="143" priority="982" operator="lessThan">
      <formula>0</formula>
    </cfRule>
    <cfRule type="cellIs" dxfId="142" priority="984" operator="greaterThan">
      <formula>0</formula>
    </cfRule>
    <cfRule type="colorScale" priority="983">
      <colorScale>
        <cfvo type="formula" val="&quot;&lt;0&quot;"/>
        <cfvo type="formula" val="&quot;&gt;0&quot;"/>
        <color rgb="FFFF0000"/>
        <color rgb="FF00B050"/>
      </colorScale>
    </cfRule>
  </conditionalFormatting>
  <conditionalFormatting sqref="W712:X712">
    <cfRule type="cellIs" dxfId="141" priority="978" operator="greaterThan">
      <formula>0</formula>
    </cfRule>
    <cfRule type="cellIs" dxfId="140" priority="976" operator="lessThan">
      <formula>0</formula>
    </cfRule>
    <cfRule type="colorScale" priority="977">
      <colorScale>
        <cfvo type="formula" val="&quot;&lt;0&quot;"/>
        <cfvo type="formula" val="&quot;&gt;0&quot;"/>
        <color rgb="FFFF0000"/>
        <color rgb="FF00B050"/>
      </colorScale>
    </cfRule>
  </conditionalFormatting>
  <conditionalFormatting sqref="W729:X729">
    <cfRule type="cellIs" dxfId="139" priority="972" operator="greaterThan">
      <formula>0</formula>
    </cfRule>
    <cfRule type="colorScale" priority="971">
      <colorScale>
        <cfvo type="formula" val="&quot;&lt;0&quot;"/>
        <cfvo type="formula" val="&quot;&gt;0&quot;"/>
        <color rgb="FFFF0000"/>
        <color rgb="FF00B050"/>
      </colorScale>
    </cfRule>
    <cfRule type="cellIs" dxfId="138" priority="970" operator="lessThan">
      <formula>0</formula>
    </cfRule>
  </conditionalFormatting>
  <conditionalFormatting sqref="W746:X746">
    <cfRule type="colorScale" priority="965">
      <colorScale>
        <cfvo type="formula" val="&quot;&lt;0&quot;"/>
        <cfvo type="formula" val="&quot;&gt;0&quot;"/>
        <color rgb="FFFF0000"/>
        <color rgb="FF00B050"/>
      </colorScale>
    </cfRule>
    <cfRule type="cellIs" dxfId="137" priority="964" operator="lessThan">
      <formula>0</formula>
    </cfRule>
    <cfRule type="cellIs" dxfId="136" priority="966" operator="greaterThan">
      <formula>0</formula>
    </cfRule>
  </conditionalFormatting>
  <conditionalFormatting sqref="W763:X763">
    <cfRule type="cellIs" dxfId="135" priority="945" operator="greaterThan">
      <formula>0</formula>
    </cfRule>
    <cfRule type="cellIs" dxfId="134" priority="943" operator="lessThan">
      <formula>0</formula>
    </cfRule>
    <cfRule type="colorScale" priority="944">
      <colorScale>
        <cfvo type="formula" val="&quot;&lt;0&quot;"/>
        <cfvo type="formula" val="&quot;&gt;0&quot;"/>
        <color rgb="FFFF0000"/>
        <color rgb="FF00B050"/>
      </colorScale>
    </cfRule>
  </conditionalFormatting>
  <conditionalFormatting sqref="W780:X780">
    <cfRule type="colorScale" priority="953">
      <colorScale>
        <cfvo type="formula" val="&quot;&lt;0&quot;"/>
        <cfvo type="formula" val="&quot;&gt;0&quot;"/>
        <color rgb="FFFF0000"/>
        <color rgb="FF00B050"/>
      </colorScale>
    </cfRule>
    <cfRule type="cellIs" dxfId="133" priority="954" operator="greaterThan">
      <formula>0</formula>
    </cfRule>
    <cfRule type="cellIs" dxfId="132" priority="952" operator="lessThan">
      <formula>0</formula>
    </cfRule>
  </conditionalFormatting>
  <conditionalFormatting sqref="W797:X797">
    <cfRule type="cellIs" dxfId="131" priority="942" operator="greaterThan">
      <formula>0</formula>
    </cfRule>
    <cfRule type="colorScale" priority="941">
      <colorScale>
        <cfvo type="formula" val="&quot;&lt;0&quot;"/>
        <cfvo type="formula" val="&quot;&gt;0&quot;"/>
        <color rgb="FFFF0000"/>
        <color rgb="FF00B050"/>
      </colorScale>
    </cfRule>
    <cfRule type="cellIs" dxfId="130" priority="940" operator="lessThan">
      <formula>0</formula>
    </cfRule>
  </conditionalFormatting>
  <conditionalFormatting sqref="W814:X814">
    <cfRule type="cellIs" dxfId="129" priority="931" operator="lessThan">
      <formula>0</formula>
    </cfRule>
    <cfRule type="colorScale" priority="932">
      <colorScale>
        <cfvo type="formula" val="&quot;&lt;0&quot;"/>
        <cfvo type="formula" val="&quot;&gt;0&quot;"/>
        <color rgb="FFFF0000"/>
        <color rgb="FF00B050"/>
      </colorScale>
    </cfRule>
    <cfRule type="cellIs" dxfId="128" priority="933" operator="greaterThan">
      <formula>0</formula>
    </cfRule>
  </conditionalFormatting>
  <conditionalFormatting sqref="W831:X831">
    <cfRule type="cellIs" dxfId="127" priority="918" operator="greaterThan">
      <formula>0</formula>
    </cfRule>
    <cfRule type="cellIs" dxfId="126" priority="916" operator="lessThan">
      <formula>0</formula>
    </cfRule>
    <cfRule type="colorScale" priority="917">
      <colorScale>
        <cfvo type="formula" val="&quot;&lt;0&quot;"/>
        <cfvo type="formula" val="&quot;&gt;0&quot;"/>
        <color rgb="FFFF0000"/>
        <color rgb="FF00B050"/>
      </colorScale>
    </cfRule>
  </conditionalFormatting>
  <conditionalFormatting sqref="W848:X848">
    <cfRule type="cellIs" dxfId="125" priority="7" operator="lessThan">
      <formula>0</formula>
    </cfRule>
    <cfRule type="colorScale" priority="8">
      <colorScale>
        <cfvo type="formula" val="&quot;&lt;0&quot;"/>
        <cfvo type="formula" val="&quot;&gt;0&quot;"/>
        <color rgb="FFFF0000"/>
        <color rgb="FF00B050"/>
      </colorScale>
    </cfRule>
    <cfRule type="cellIs" dxfId="124" priority="9" operator="greaterThan">
      <formula>0</formula>
    </cfRule>
  </conditionalFormatting>
  <conditionalFormatting sqref="W865:X865">
    <cfRule type="cellIs" dxfId="123" priority="886" operator="lessThan">
      <formula>0</formula>
    </cfRule>
    <cfRule type="colorScale" priority="887">
      <colorScale>
        <cfvo type="formula" val="&quot;&lt;0&quot;"/>
        <cfvo type="formula" val="&quot;&gt;0&quot;"/>
        <color rgb="FFFF0000"/>
        <color rgb="FF00B050"/>
      </colorScale>
    </cfRule>
    <cfRule type="cellIs" dxfId="122" priority="888" operator="greaterThan">
      <formula>0</formula>
    </cfRule>
  </conditionalFormatting>
  <conditionalFormatting sqref="W882:X882">
    <cfRule type="cellIs" dxfId="121" priority="873" operator="greaterThan">
      <formula>0</formula>
    </cfRule>
    <cfRule type="cellIs" dxfId="120" priority="871" operator="lessThan">
      <formula>0</formula>
    </cfRule>
    <cfRule type="colorScale" priority="872">
      <colorScale>
        <cfvo type="formula" val="&quot;&lt;0&quot;"/>
        <cfvo type="formula" val="&quot;&gt;0&quot;"/>
        <color rgb="FFFF0000"/>
        <color rgb="FF00B050"/>
      </colorScale>
    </cfRule>
  </conditionalFormatting>
  <conditionalFormatting sqref="W899:X899">
    <cfRule type="cellIs" dxfId="119" priority="856" operator="greaterThan">
      <formula>0</formula>
    </cfRule>
    <cfRule type="cellIs" dxfId="118" priority="854" operator="lessThan">
      <formula>0</formula>
    </cfRule>
    <cfRule type="colorScale" priority="855">
      <colorScale>
        <cfvo type="formula" val="&quot;&lt;0&quot;"/>
        <cfvo type="formula" val="&quot;&gt;0&quot;"/>
        <color rgb="FFFF0000"/>
        <color rgb="FF00B050"/>
      </colorScale>
    </cfRule>
  </conditionalFormatting>
  <conditionalFormatting sqref="W916:X916">
    <cfRule type="cellIs" dxfId="117" priority="843" operator="greaterThan">
      <formula>0</formula>
    </cfRule>
    <cfRule type="cellIs" dxfId="116" priority="841" operator="lessThan">
      <formula>0</formula>
    </cfRule>
    <cfRule type="colorScale" priority="842">
      <colorScale>
        <cfvo type="formula" val="&quot;&lt;0&quot;"/>
        <cfvo type="formula" val="&quot;&gt;0&quot;"/>
        <color rgb="FFFF0000"/>
        <color rgb="FF00B050"/>
      </colorScale>
    </cfRule>
  </conditionalFormatting>
  <conditionalFormatting sqref="W933:X933">
    <cfRule type="cellIs" dxfId="115" priority="821" operator="lessThan">
      <formula>0</formula>
    </cfRule>
    <cfRule type="colorScale" priority="822">
      <colorScale>
        <cfvo type="formula" val="&quot;&lt;0&quot;"/>
        <cfvo type="formula" val="&quot;&gt;0&quot;"/>
        <color rgb="FFFF0000"/>
        <color rgb="FF00B050"/>
      </colorScale>
    </cfRule>
    <cfRule type="cellIs" dxfId="114" priority="823" operator="greaterThan">
      <formula>0</formula>
    </cfRule>
  </conditionalFormatting>
  <conditionalFormatting sqref="W950:X950">
    <cfRule type="colorScale" priority="809">
      <colorScale>
        <cfvo type="formula" val="&quot;&lt;0&quot;"/>
        <cfvo type="formula" val="&quot;&gt;0&quot;"/>
        <color rgb="FFFF0000"/>
        <color rgb="FF00B050"/>
      </colorScale>
    </cfRule>
    <cfRule type="cellIs" dxfId="113" priority="808" operator="lessThan">
      <formula>0</formula>
    </cfRule>
    <cfRule type="cellIs" dxfId="112" priority="810" operator="greaterThan">
      <formula>0</formula>
    </cfRule>
  </conditionalFormatting>
  <conditionalFormatting sqref="W967:X967">
    <cfRule type="cellIs" dxfId="111" priority="796" operator="greaterThan">
      <formula>0</formula>
    </cfRule>
    <cfRule type="colorScale" priority="795">
      <colorScale>
        <cfvo type="formula" val="&quot;&lt;0&quot;"/>
        <cfvo type="formula" val="&quot;&gt;0&quot;"/>
        <color rgb="FFFF0000"/>
        <color rgb="FF00B050"/>
      </colorScale>
    </cfRule>
    <cfRule type="cellIs" dxfId="110" priority="794" operator="lessThan">
      <formula>0</formula>
    </cfRule>
  </conditionalFormatting>
  <conditionalFormatting sqref="W984:X984">
    <cfRule type="colorScale" priority="782">
      <colorScale>
        <cfvo type="formula" val="&quot;&lt;0&quot;"/>
        <cfvo type="formula" val="&quot;&gt;0&quot;"/>
        <color rgb="FFFF0000"/>
        <color rgb="FF00B050"/>
      </colorScale>
    </cfRule>
    <cfRule type="cellIs" dxfId="109" priority="781" operator="lessThan">
      <formula>0</formula>
    </cfRule>
    <cfRule type="cellIs" dxfId="108" priority="783" operator="greaterThan">
      <formula>0</formula>
    </cfRule>
  </conditionalFormatting>
  <conditionalFormatting sqref="W1001:X1001">
    <cfRule type="cellIs" dxfId="107" priority="766" operator="greaterThan">
      <formula>0</formula>
    </cfRule>
    <cfRule type="cellIs" dxfId="106" priority="764" operator="lessThan">
      <formula>0</formula>
    </cfRule>
    <cfRule type="colorScale" priority="765">
      <colorScale>
        <cfvo type="formula" val="&quot;&lt;0&quot;"/>
        <cfvo type="formula" val="&quot;&gt;0&quot;"/>
        <color rgb="FFFF0000"/>
        <color rgb="FF00B050"/>
      </colorScale>
    </cfRule>
  </conditionalFormatting>
  <conditionalFormatting sqref="W1018:X1018">
    <cfRule type="colorScale" priority="752">
      <colorScale>
        <cfvo type="formula" val="&quot;&lt;0&quot;"/>
        <cfvo type="formula" val="&quot;&gt;0&quot;"/>
        <color rgb="FFFF0000"/>
        <color rgb="FF00B050"/>
      </colorScale>
    </cfRule>
    <cfRule type="cellIs" dxfId="105" priority="751" operator="lessThan">
      <formula>0</formula>
    </cfRule>
    <cfRule type="cellIs" dxfId="104" priority="753" operator="greaterThan">
      <formula>0</formula>
    </cfRule>
  </conditionalFormatting>
  <conditionalFormatting sqref="W1035:X1035">
    <cfRule type="cellIs" dxfId="103" priority="738" operator="greaterThan">
      <formula>0</formula>
    </cfRule>
    <cfRule type="colorScale" priority="737">
      <colorScale>
        <cfvo type="formula" val="&quot;&lt;0&quot;"/>
        <cfvo type="formula" val="&quot;&gt;0&quot;"/>
        <color rgb="FFFF0000"/>
        <color rgb="FF00B050"/>
      </colorScale>
    </cfRule>
    <cfRule type="cellIs" dxfId="102" priority="736" operator="lessThan">
      <formula>0</formula>
    </cfRule>
  </conditionalFormatting>
  <conditionalFormatting sqref="W1052:X1052">
    <cfRule type="cellIs" dxfId="101" priority="721" operator="lessThan">
      <formula>0</formula>
    </cfRule>
    <cfRule type="colorScale" priority="722">
      <colorScale>
        <cfvo type="formula" val="&quot;&lt;0&quot;"/>
        <cfvo type="formula" val="&quot;&gt;0&quot;"/>
        <color rgb="FFFF0000"/>
        <color rgb="FF00B050"/>
      </colorScale>
    </cfRule>
    <cfRule type="cellIs" dxfId="100" priority="723" operator="greaterThan">
      <formula>0</formula>
    </cfRule>
  </conditionalFormatting>
  <conditionalFormatting sqref="W1069:X1069">
    <cfRule type="colorScale" priority="695">
      <colorScale>
        <cfvo type="formula" val="&quot;&lt;0&quot;"/>
        <cfvo type="formula" val="&quot;&gt;0&quot;"/>
        <color rgb="FFFF0000"/>
        <color rgb="FF00B050"/>
      </colorScale>
    </cfRule>
    <cfRule type="cellIs" dxfId="99" priority="696" operator="greaterThan">
      <formula>0</formula>
    </cfRule>
    <cfRule type="cellIs" dxfId="98" priority="694" operator="lessThan">
      <formula>0</formula>
    </cfRule>
  </conditionalFormatting>
  <conditionalFormatting sqref="W1086:X1086">
    <cfRule type="cellIs" dxfId="97" priority="681" operator="lessThan">
      <formula>0</formula>
    </cfRule>
    <cfRule type="cellIs" dxfId="96" priority="683" operator="greaterThan">
      <formula>0</formula>
    </cfRule>
    <cfRule type="colorScale" priority="682">
      <colorScale>
        <cfvo type="formula" val="&quot;&lt;0&quot;"/>
        <cfvo type="formula" val="&quot;&gt;0&quot;"/>
        <color rgb="FFFF0000"/>
        <color rgb="FF00B050"/>
      </colorScale>
    </cfRule>
  </conditionalFormatting>
  <conditionalFormatting sqref="W1103:X1103">
    <cfRule type="cellIs" dxfId="95" priority="669" operator="greaterThan">
      <formula>0</formula>
    </cfRule>
    <cfRule type="cellIs" dxfId="94" priority="667" operator="lessThan">
      <formula>0</formula>
    </cfRule>
    <cfRule type="colorScale" priority="668">
      <colorScale>
        <cfvo type="formula" val="&quot;&lt;0&quot;"/>
        <cfvo type="formula" val="&quot;&gt;0&quot;"/>
        <color rgb="FFFF0000"/>
        <color rgb="FF00B050"/>
      </colorScale>
    </cfRule>
  </conditionalFormatting>
  <conditionalFormatting sqref="W1120:X1120">
    <cfRule type="colorScale" priority="655">
      <colorScale>
        <cfvo type="formula" val="&quot;&lt;0&quot;"/>
        <cfvo type="formula" val="&quot;&gt;0&quot;"/>
        <color rgb="FFFF0000"/>
        <color rgb="FF00B050"/>
      </colorScale>
    </cfRule>
    <cfRule type="cellIs" dxfId="93" priority="654" operator="lessThan">
      <formula>0</formula>
    </cfRule>
    <cfRule type="cellIs" dxfId="92" priority="656" operator="greaterThan">
      <formula>0</formula>
    </cfRule>
  </conditionalFormatting>
  <conditionalFormatting sqref="W1137:X1137">
    <cfRule type="cellIs" dxfId="91" priority="641" operator="greaterThan">
      <formula>0</formula>
    </cfRule>
    <cfRule type="colorScale" priority="640">
      <colorScale>
        <cfvo type="formula" val="&quot;&lt;0&quot;"/>
        <cfvo type="formula" val="&quot;&gt;0&quot;"/>
        <color rgb="FFFF0000"/>
        <color rgb="FF00B050"/>
      </colorScale>
    </cfRule>
    <cfRule type="cellIs" dxfId="90" priority="639" operator="lessThan">
      <formula>0</formula>
    </cfRule>
  </conditionalFormatting>
  <conditionalFormatting sqref="W1154:X1154">
    <cfRule type="cellIs" dxfId="89" priority="628" operator="greaterThan">
      <formula>0</formula>
    </cfRule>
    <cfRule type="colorScale" priority="627">
      <colorScale>
        <cfvo type="formula" val="&quot;&lt;0&quot;"/>
        <cfvo type="formula" val="&quot;&gt;0&quot;"/>
        <color rgb="FFFF0000"/>
        <color rgb="FF00B050"/>
      </colorScale>
    </cfRule>
    <cfRule type="cellIs" dxfId="88" priority="626" operator="lessThan">
      <formula>0</formula>
    </cfRule>
  </conditionalFormatting>
  <conditionalFormatting sqref="W1171:X1171">
    <cfRule type="cellIs" dxfId="87" priority="614" operator="greaterThan">
      <formula>0</formula>
    </cfRule>
    <cfRule type="colorScale" priority="613">
      <colorScale>
        <cfvo type="formula" val="&quot;&lt;0&quot;"/>
        <cfvo type="formula" val="&quot;&gt;0&quot;"/>
        <color rgb="FFFF0000"/>
        <color rgb="FF00B050"/>
      </colorScale>
    </cfRule>
    <cfRule type="cellIs" dxfId="86" priority="612" operator="lessThan">
      <formula>0</formula>
    </cfRule>
  </conditionalFormatting>
  <conditionalFormatting sqref="W1188:X1188">
    <cfRule type="cellIs" dxfId="85" priority="601" operator="greaterThan">
      <formula>0</formula>
    </cfRule>
    <cfRule type="colorScale" priority="600">
      <colorScale>
        <cfvo type="formula" val="&quot;&lt;0&quot;"/>
        <cfvo type="formula" val="&quot;&gt;0&quot;"/>
        <color rgb="FFFF0000"/>
        <color rgb="FF00B050"/>
      </colorScale>
    </cfRule>
    <cfRule type="cellIs" dxfId="84" priority="599" operator="lessThan">
      <formula>0</formula>
    </cfRule>
  </conditionalFormatting>
  <conditionalFormatting sqref="W1205:X1205">
    <cfRule type="cellIs" dxfId="83" priority="586" operator="greaterThan">
      <formula>0</formula>
    </cfRule>
    <cfRule type="colorScale" priority="585">
      <colorScale>
        <cfvo type="formula" val="&quot;&lt;0&quot;"/>
        <cfvo type="formula" val="&quot;&gt;0&quot;"/>
        <color rgb="FFFF0000"/>
        <color rgb="FF00B050"/>
      </colorScale>
    </cfRule>
    <cfRule type="cellIs" dxfId="82" priority="584" operator="lessThan">
      <formula>0</formula>
    </cfRule>
  </conditionalFormatting>
  <conditionalFormatting sqref="W1222:X1222">
    <cfRule type="cellIs" dxfId="81" priority="571" operator="lessThan">
      <formula>0</formula>
    </cfRule>
    <cfRule type="cellIs" dxfId="80" priority="573" operator="greaterThan">
      <formula>0</formula>
    </cfRule>
    <cfRule type="colorScale" priority="572">
      <colorScale>
        <cfvo type="formula" val="&quot;&lt;0&quot;"/>
        <cfvo type="formula" val="&quot;&gt;0&quot;"/>
        <color rgb="FFFF0000"/>
        <color rgb="FF00B050"/>
      </colorScale>
    </cfRule>
  </conditionalFormatting>
  <conditionalFormatting sqref="W1239:X1239">
    <cfRule type="cellIs" dxfId="79" priority="542" operator="lessThan">
      <formula>0</formula>
    </cfRule>
    <cfRule type="colorScale" priority="543">
      <colorScale>
        <cfvo type="formula" val="&quot;&lt;0&quot;"/>
        <cfvo type="formula" val="&quot;&gt;0&quot;"/>
        <color rgb="FFFF0000"/>
        <color rgb="FF00B050"/>
      </colorScale>
    </cfRule>
    <cfRule type="cellIs" dxfId="78" priority="544" operator="greaterThan">
      <formula>0</formula>
    </cfRule>
  </conditionalFormatting>
  <conditionalFormatting sqref="W1256:X1256">
    <cfRule type="cellIs" dxfId="77" priority="529" operator="lessThan">
      <formula>0</formula>
    </cfRule>
    <cfRule type="colorScale" priority="530">
      <colorScale>
        <cfvo type="formula" val="&quot;&lt;0&quot;"/>
        <cfvo type="formula" val="&quot;&gt;0&quot;"/>
        <color rgb="FFFF0000"/>
        <color rgb="FF00B050"/>
      </colorScale>
    </cfRule>
    <cfRule type="cellIs" dxfId="76" priority="531" operator="greaterThan">
      <formula>0</formula>
    </cfRule>
  </conditionalFormatting>
  <conditionalFormatting sqref="W1273:X1273">
    <cfRule type="colorScale" priority="515">
      <colorScale>
        <cfvo type="formula" val="&quot;&lt;0&quot;"/>
        <cfvo type="formula" val="&quot;&gt;0&quot;"/>
        <color rgb="FFFF0000"/>
        <color rgb="FF00B050"/>
      </colorScale>
    </cfRule>
    <cfRule type="cellIs" dxfId="75" priority="516" operator="greaterThan">
      <formula>0</formula>
    </cfRule>
    <cfRule type="cellIs" dxfId="74" priority="514" operator="lessThan">
      <formula>0</formula>
    </cfRule>
  </conditionalFormatting>
  <conditionalFormatting sqref="W1290:X1290">
    <cfRule type="cellIs" dxfId="73" priority="501" operator="lessThan">
      <formula>0</formula>
    </cfRule>
    <cfRule type="colorScale" priority="502">
      <colorScale>
        <cfvo type="formula" val="&quot;&lt;0&quot;"/>
        <cfvo type="formula" val="&quot;&gt;0&quot;"/>
        <color rgb="FFFF0000"/>
        <color rgb="FF00B050"/>
      </colorScale>
    </cfRule>
    <cfRule type="cellIs" dxfId="72" priority="503" operator="greaterThan">
      <formula>0</formula>
    </cfRule>
  </conditionalFormatting>
  <conditionalFormatting sqref="W1307:X1307">
    <cfRule type="cellIs" dxfId="71" priority="489" operator="greaterThan">
      <formula>0</formula>
    </cfRule>
    <cfRule type="cellIs" dxfId="70" priority="487" operator="lessThan">
      <formula>0</formula>
    </cfRule>
    <cfRule type="colorScale" priority="488">
      <colorScale>
        <cfvo type="formula" val="&quot;&lt;0&quot;"/>
        <cfvo type="formula" val="&quot;&gt;0&quot;"/>
        <color rgb="FFFF0000"/>
        <color rgb="FF00B050"/>
      </colorScale>
    </cfRule>
  </conditionalFormatting>
  <conditionalFormatting sqref="W1324:X1324">
    <cfRule type="cellIs" dxfId="69" priority="474" operator="lessThan">
      <formula>0</formula>
    </cfRule>
    <cfRule type="colorScale" priority="475">
      <colorScale>
        <cfvo type="formula" val="&quot;&lt;0&quot;"/>
        <cfvo type="formula" val="&quot;&gt;0&quot;"/>
        <color rgb="FFFF0000"/>
        <color rgb="FF00B050"/>
      </colorScale>
    </cfRule>
    <cfRule type="cellIs" dxfId="68" priority="476" operator="greaterThan">
      <formula>0</formula>
    </cfRule>
  </conditionalFormatting>
  <conditionalFormatting sqref="W1341:X1341">
    <cfRule type="cellIs" dxfId="67" priority="461" operator="greaterThan">
      <formula>0</formula>
    </cfRule>
    <cfRule type="colorScale" priority="460">
      <colorScale>
        <cfvo type="formula" val="&quot;&lt;0&quot;"/>
        <cfvo type="formula" val="&quot;&gt;0&quot;"/>
        <color rgb="FFFF0000"/>
        <color rgb="FF00B050"/>
      </colorScale>
    </cfRule>
    <cfRule type="cellIs" dxfId="66" priority="459" operator="lessThan">
      <formula>0</formula>
    </cfRule>
  </conditionalFormatting>
  <conditionalFormatting sqref="W1358:X1358">
    <cfRule type="cellIs" dxfId="65" priority="448" operator="greaterThan">
      <formula>0</formula>
    </cfRule>
    <cfRule type="cellIs" dxfId="64" priority="446" operator="lessThan">
      <formula>0</formula>
    </cfRule>
    <cfRule type="colorScale" priority="447">
      <colorScale>
        <cfvo type="formula" val="&quot;&lt;0&quot;"/>
        <cfvo type="formula" val="&quot;&gt;0&quot;"/>
        <color rgb="FFFF0000"/>
        <color rgb="FF00B050"/>
      </colorScale>
    </cfRule>
  </conditionalFormatting>
  <conditionalFormatting sqref="W1375:X1375">
    <cfRule type="cellIs" dxfId="63" priority="432" operator="lessThan">
      <formula>0</formula>
    </cfRule>
    <cfRule type="colorScale" priority="433">
      <colorScale>
        <cfvo type="formula" val="&quot;&lt;0&quot;"/>
        <cfvo type="formula" val="&quot;&gt;0&quot;"/>
        <color rgb="FFFF0000"/>
        <color rgb="FF00B050"/>
      </colorScale>
    </cfRule>
    <cfRule type="cellIs" dxfId="62" priority="434" operator="greaterThan">
      <formula>0</formula>
    </cfRule>
  </conditionalFormatting>
  <conditionalFormatting sqref="W1392:X1392">
    <cfRule type="cellIs" dxfId="61" priority="421" operator="greaterThan">
      <formula>0</formula>
    </cfRule>
    <cfRule type="colorScale" priority="420">
      <colorScale>
        <cfvo type="formula" val="&quot;&lt;0&quot;"/>
        <cfvo type="formula" val="&quot;&gt;0&quot;"/>
        <color rgb="FFFF0000"/>
        <color rgb="FF00B050"/>
      </colorScale>
    </cfRule>
    <cfRule type="cellIs" dxfId="60" priority="419" operator="lessThan">
      <formula>0</formula>
    </cfRule>
  </conditionalFormatting>
  <conditionalFormatting sqref="W1409:X1409">
    <cfRule type="cellIs" dxfId="59" priority="404" operator="lessThan">
      <formula>0</formula>
    </cfRule>
    <cfRule type="colorScale" priority="405">
      <colorScale>
        <cfvo type="formula" val="&quot;&lt;0&quot;"/>
        <cfvo type="formula" val="&quot;&gt;0&quot;"/>
        <color rgb="FFFF0000"/>
        <color rgb="FF00B050"/>
      </colorScale>
    </cfRule>
    <cfRule type="cellIs" dxfId="58" priority="406" operator="greaterThan">
      <formula>0</formula>
    </cfRule>
  </conditionalFormatting>
  <conditionalFormatting sqref="W1426:X1426">
    <cfRule type="cellIs" dxfId="57" priority="393" operator="greaterThan">
      <formula>0</formula>
    </cfRule>
    <cfRule type="colorScale" priority="392">
      <colorScale>
        <cfvo type="formula" val="&quot;&lt;0&quot;"/>
        <cfvo type="formula" val="&quot;&gt;0&quot;"/>
        <color rgb="FFFF0000"/>
        <color rgb="FF00B050"/>
      </colorScale>
    </cfRule>
    <cfRule type="cellIs" dxfId="56" priority="391" operator="lessThan">
      <formula>0</formula>
    </cfRule>
  </conditionalFormatting>
  <conditionalFormatting sqref="W1443:X1443">
    <cfRule type="cellIs" dxfId="55" priority="364" operator="greaterThan">
      <formula>0</formula>
    </cfRule>
    <cfRule type="cellIs" dxfId="54" priority="362" operator="lessThan">
      <formula>0</formula>
    </cfRule>
    <cfRule type="colorScale" priority="363">
      <colorScale>
        <cfvo type="formula" val="&quot;&lt;0&quot;"/>
        <cfvo type="formula" val="&quot;&gt;0&quot;"/>
        <color rgb="FFFF0000"/>
        <color rgb="FF00B050"/>
      </colorScale>
    </cfRule>
  </conditionalFormatting>
  <conditionalFormatting sqref="W1460:X1460">
    <cfRule type="cellIs" dxfId="53" priority="351" operator="greaterThan">
      <formula>0</formula>
    </cfRule>
    <cfRule type="colorScale" priority="350">
      <colorScale>
        <cfvo type="formula" val="&quot;&lt;0&quot;"/>
        <cfvo type="formula" val="&quot;&gt;0&quot;"/>
        <color rgb="FFFF0000"/>
        <color rgb="FF00B050"/>
      </colorScale>
    </cfRule>
    <cfRule type="cellIs" dxfId="52" priority="349" operator="lessThan">
      <formula>0</formula>
    </cfRule>
  </conditionalFormatting>
  <conditionalFormatting sqref="W1477:X1477">
    <cfRule type="cellIs" dxfId="51" priority="334" operator="lessThan">
      <formula>0</formula>
    </cfRule>
    <cfRule type="colorScale" priority="335">
      <colorScale>
        <cfvo type="formula" val="&quot;&lt;0&quot;"/>
        <cfvo type="formula" val="&quot;&gt;0&quot;"/>
        <color rgb="FFFF0000"/>
        <color rgb="FF00B050"/>
      </colorScale>
    </cfRule>
    <cfRule type="cellIs" dxfId="50" priority="336" operator="greaterThan">
      <formula>0</formula>
    </cfRule>
  </conditionalFormatting>
  <conditionalFormatting sqref="W1494:X1494">
    <cfRule type="cellIs" dxfId="49" priority="321" operator="lessThan">
      <formula>0</formula>
    </cfRule>
    <cfRule type="cellIs" dxfId="48" priority="323" operator="greaterThan">
      <formula>0</formula>
    </cfRule>
    <cfRule type="colorScale" priority="322">
      <colorScale>
        <cfvo type="formula" val="&quot;&lt;0&quot;"/>
        <cfvo type="formula" val="&quot;&gt;0&quot;"/>
        <color rgb="FFFF0000"/>
        <color rgb="FF00B050"/>
      </colorScale>
    </cfRule>
  </conditionalFormatting>
  <conditionalFormatting sqref="W1511:X1511">
    <cfRule type="cellIs" dxfId="47" priority="307" operator="lessThan">
      <formula>0</formula>
    </cfRule>
    <cfRule type="cellIs" dxfId="46" priority="309" operator="greaterThan">
      <formula>0</formula>
    </cfRule>
    <cfRule type="colorScale" priority="308">
      <colorScale>
        <cfvo type="formula" val="&quot;&lt;0&quot;"/>
        <cfvo type="formula" val="&quot;&gt;0&quot;"/>
        <color rgb="FFFF0000"/>
        <color rgb="FF00B050"/>
      </colorScale>
    </cfRule>
  </conditionalFormatting>
  <conditionalFormatting sqref="W1528:X1528">
    <cfRule type="cellIs" dxfId="45" priority="294" operator="lessThan">
      <formula>0</formula>
    </cfRule>
    <cfRule type="colorScale" priority="295">
      <colorScale>
        <cfvo type="formula" val="&quot;&lt;0&quot;"/>
        <cfvo type="formula" val="&quot;&gt;0&quot;"/>
        <color rgb="FFFF0000"/>
        <color rgb="FF00B050"/>
      </colorScale>
    </cfRule>
    <cfRule type="cellIs" dxfId="44" priority="296" operator="greaterThan">
      <formula>0</formula>
    </cfRule>
  </conditionalFormatting>
  <conditionalFormatting sqref="W1545:X1545">
    <cfRule type="cellIs" dxfId="43" priority="279" operator="lessThan">
      <formula>0</formula>
    </cfRule>
    <cfRule type="colorScale" priority="280">
      <colorScale>
        <cfvo type="formula" val="&quot;&lt;0&quot;"/>
        <cfvo type="formula" val="&quot;&gt;0&quot;"/>
        <color rgb="FFFF0000"/>
        <color rgb="FF00B050"/>
      </colorScale>
    </cfRule>
    <cfRule type="cellIs" dxfId="42" priority="281" operator="greaterThan">
      <formula>0</formula>
    </cfRule>
  </conditionalFormatting>
  <conditionalFormatting sqref="W1562:X1562">
    <cfRule type="colorScale" priority="267">
      <colorScale>
        <cfvo type="formula" val="&quot;&lt;0&quot;"/>
        <cfvo type="formula" val="&quot;&gt;0&quot;"/>
        <color rgb="FFFF0000"/>
        <color rgb="FF00B050"/>
      </colorScale>
    </cfRule>
    <cfRule type="cellIs" dxfId="41" priority="266" operator="lessThan">
      <formula>0</formula>
    </cfRule>
    <cfRule type="cellIs" dxfId="40" priority="268" operator="greaterThan">
      <formula>0</formula>
    </cfRule>
  </conditionalFormatting>
  <conditionalFormatting sqref="W1579:X1579">
    <cfRule type="colorScale" priority="253">
      <colorScale>
        <cfvo type="formula" val="&quot;&lt;0&quot;"/>
        <cfvo type="formula" val="&quot;&gt;0&quot;"/>
        <color rgb="FFFF0000"/>
        <color rgb="FF00B050"/>
      </colorScale>
    </cfRule>
    <cfRule type="cellIs" dxfId="39" priority="254" operator="greaterThan">
      <formula>0</formula>
    </cfRule>
    <cfRule type="cellIs" dxfId="38" priority="252" operator="lessThan">
      <formula>0</formula>
    </cfRule>
  </conditionalFormatting>
  <conditionalFormatting sqref="W1596:X1596">
    <cfRule type="cellIs" dxfId="37" priority="239" operator="lessThan">
      <formula>0</formula>
    </cfRule>
    <cfRule type="cellIs" dxfId="36" priority="241" operator="greaterThan">
      <formula>0</formula>
    </cfRule>
    <cfRule type="colorScale" priority="240">
      <colorScale>
        <cfvo type="formula" val="&quot;&lt;0&quot;"/>
        <cfvo type="formula" val="&quot;&gt;0&quot;"/>
        <color rgb="FFFF0000"/>
        <color rgb="FF00B050"/>
      </colorScale>
    </cfRule>
  </conditionalFormatting>
  <conditionalFormatting sqref="W1613:X1613">
    <cfRule type="cellIs" dxfId="35" priority="226" operator="greaterThan">
      <formula>0</formula>
    </cfRule>
    <cfRule type="cellIs" dxfId="34" priority="224" operator="lessThan">
      <formula>0</formula>
    </cfRule>
    <cfRule type="colorScale" priority="225">
      <colorScale>
        <cfvo type="formula" val="&quot;&lt;0&quot;"/>
        <cfvo type="formula" val="&quot;&gt;0&quot;"/>
        <color rgb="FFFF0000"/>
        <color rgb="FF00B050"/>
      </colorScale>
    </cfRule>
  </conditionalFormatting>
  <conditionalFormatting sqref="W1630:X1630">
    <cfRule type="cellIs" dxfId="33" priority="211" operator="lessThan">
      <formula>0</formula>
    </cfRule>
    <cfRule type="colorScale" priority="212">
      <colorScale>
        <cfvo type="formula" val="&quot;&lt;0&quot;"/>
        <cfvo type="formula" val="&quot;&gt;0&quot;"/>
        <color rgb="FFFF0000"/>
        <color rgb="FF00B050"/>
      </colorScale>
    </cfRule>
    <cfRule type="cellIs" dxfId="32" priority="213" operator="greaterThan">
      <formula>0</formula>
    </cfRule>
  </conditionalFormatting>
  <conditionalFormatting sqref="W1647:X1647">
    <cfRule type="cellIs" dxfId="31" priority="184" operator="greaterThan">
      <formula>0</formula>
    </cfRule>
    <cfRule type="colorScale" priority="183">
      <colorScale>
        <cfvo type="formula" val="&quot;&lt;0&quot;"/>
        <cfvo type="formula" val="&quot;&gt;0&quot;"/>
        <color rgb="FFFF0000"/>
        <color rgb="FF00B050"/>
      </colorScale>
    </cfRule>
    <cfRule type="cellIs" dxfId="30" priority="182" operator="lessThan">
      <formula>0</formula>
    </cfRule>
  </conditionalFormatting>
  <conditionalFormatting sqref="W1664:X1664">
    <cfRule type="cellIs" dxfId="29" priority="171" operator="greaterThan">
      <formula>0</formula>
    </cfRule>
    <cfRule type="colorScale" priority="170">
      <colorScale>
        <cfvo type="formula" val="&quot;&lt;0&quot;"/>
        <cfvo type="formula" val="&quot;&gt;0&quot;"/>
        <color rgb="FFFF0000"/>
        <color rgb="FF00B050"/>
      </colorScale>
    </cfRule>
    <cfRule type="cellIs" dxfId="28" priority="169" operator="lessThan">
      <formula>0</formula>
    </cfRule>
  </conditionalFormatting>
  <conditionalFormatting sqref="W1681:X1681">
    <cfRule type="cellIs" dxfId="27" priority="156" operator="greaterThan">
      <formula>0</formula>
    </cfRule>
    <cfRule type="colorScale" priority="155">
      <colorScale>
        <cfvo type="formula" val="&quot;&lt;0&quot;"/>
        <cfvo type="formula" val="&quot;&gt;0&quot;"/>
        <color rgb="FFFF0000"/>
        <color rgb="FF00B050"/>
      </colorScale>
    </cfRule>
    <cfRule type="cellIs" dxfId="26" priority="154" operator="lessThan">
      <formula>0</formula>
    </cfRule>
  </conditionalFormatting>
  <conditionalFormatting sqref="W1698:X1698">
    <cfRule type="cellIs" dxfId="25" priority="141" operator="lessThan">
      <formula>0</formula>
    </cfRule>
    <cfRule type="colorScale" priority="142">
      <colorScale>
        <cfvo type="formula" val="&quot;&lt;0&quot;"/>
        <cfvo type="formula" val="&quot;&gt;0&quot;"/>
        <color rgb="FFFF0000"/>
        <color rgb="FF00B050"/>
      </colorScale>
    </cfRule>
    <cfRule type="cellIs" dxfId="24" priority="143" operator="greaterThan">
      <formula>0</formula>
    </cfRule>
  </conditionalFormatting>
  <conditionalFormatting sqref="W1715:X1715">
    <cfRule type="cellIs" dxfId="23" priority="129" operator="greaterThan">
      <formula>0</formula>
    </cfRule>
    <cfRule type="colorScale" priority="128">
      <colorScale>
        <cfvo type="formula" val="&quot;&lt;0&quot;"/>
        <cfvo type="formula" val="&quot;&gt;0&quot;"/>
        <color rgb="FFFF0000"/>
        <color rgb="FF00B050"/>
      </colorScale>
    </cfRule>
    <cfRule type="cellIs" dxfId="22" priority="127" operator="lessThan">
      <formula>0</formula>
    </cfRule>
  </conditionalFormatting>
  <conditionalFormatting sqref="W1732:X1732">
    <cfRule type="cellIs" dxfId="21" priority="116" operator="greaterThan">
      <formula>0</formula>
    </cfRule>
    <cfRule type="colorScale" priority="115">
      <colorScale>
        <cfvo type="formula" val="&quot;&lt;0&quot;"/>
        <cfvo type="formula" val="&quot;&gt;0&quot;"/>
        <color rgb="FFFF0000"/>
        <color rgb="FF00B050"/>
      </colorScale>
    </cfRule>
    <cfRule type="cellIs" dxfId="20" priority="114" operator="lessThan">
      <formula>0</formula>
    </cfRule>
  </conditionalFormatting>
  <conditionalFormatting sqref="W1749:X1749">
    <cfRule type="colorScale" priority="100">
      <colorScale>
        <cfvo type="formula" val="&quot;&lt;0&quot;"/>
        <cfvo type="formula" val="&quot;&gt;0&quot;"/>
        <color rgb="FFFF0000"/>
        <color rgb="FF00B050"/>
      </colorScale>
    </cfRule>
    <cfRule type="cellIs" dxfId="19" priority="99" operator="lessThan">
      <formula>0</formula>
    </cfRule>
    <cfRule type="cellIs" dxfId="18" priority="101" operator="greaterThan">
      <formula>0</formula>
    </cfRule>
  </conditionalFormatting>
  <conditionalFormatting sqref="W1766:X1766">
    <cfRule type="cellIs" dxfId="17" priority="88" operator="greaterThan">
      <formula>0</formula>
    </cfRule>
    <cfRule type="colorScale" priority="87">
      <colorScale>
        <cfvo type="formula" val="&quot;&lt;0&quot;"/>
        <cfvo type="formula" val="&quot;&gt;0&quot;"/>
        <color rgb="FFFF0000"/>
        <color rgb="FF00B050"/>
      </colorScale>
    </cfRule>
    <cfRule type="cellIs" dxfId="16" priority="86" operator="lessThan">
      <formula>0</formula>
    </cfRule>
  </conditionalFormatting>
  <conditionalFormatting sqref="W1783:X1783">
    <cfRule type="cellIs" dxfId="15" priority="74" operator="greaterThan">
      <formula>0</formula>
    </cfRule>
    <cfRule type="colorScale" priority="73">
      <colorScale>
        <cfvo type="formula" val="&quot;&lt;0&quot;"/>
        <cfvo type="formula" val="&quot;&gt;0&quot;"/>
        <color rgb="FFFF0000"/>
        <color rgb="FF00B050"/>
      </colorScale>
    </cfRule>
    <cfRule type="cellIs" dxfId="14" priority="72" operator="lessThan">
      <formula>0</formula>
    </cfRule>
  </conditionalFormatting>
  <conditionalFormatting sqref="W1800:X1800">
    <cfRule type="cellIs" dxfId="13" priority="59" operator="lessThan">
      <formula>0</formula>
    </cfRule>
    <cfRule type="colorScale" priority="60">
      <colorScale>
        <cfvo type="formula" val="&quot;&lt;0&quot;"/>
        <cfvo type="formula" val="&quot;&gt;0&quot;"/>
        <color rgb="FFFF0000"/>
        <color rgb="FF00B050"/>
      </colorScale>
    </cfRule>
    <cfRule type="cellIs" dxfId="12" priority="61" operator="greaterThan">
      <formula>0</formula>
    </cfRule>
  </conditionalFormatting>
  <conditionalFormatting sqref="W1817:X1817">
    <cfRule type="colorScale" priority="45">
      <colorScale>
        <cfvo type="formula" val="&quot;&lt;0&quot;"/>
        <cfvo type="formula" val="&quot;&gt;0&quot;"/>
        <color rgb="FFFF0000"/>
        <color rgb="FF00B050"/>
      </colorScale>
    </cfRule>
    <cfRule type="cellIs" dxfId="11" priority="44" operator="lessThan">
      <formula>0</formula>
    </cfRule>
    <cfRule type="cellIs" dxfId="10" priority="46" operator="greaterThan">
      <formula>0</formula>
    </cfRule>
  </conditionalFormatting>
  <conditionalFormatting sqref="W1834:X1834">
    <cfRule type="colorScale" priority="32">
      <colorScale>
        <cfvo type="formula" val="&quot;&lt;0&quot;"/>
        <cfvo type="formula" val="&quot;&gt;0&quot;"/>
        <color rgb="FFFF0000"/>
        <color rgb="FF00B050"/>
      </colorScale>
    </cfRule>
    <cfRule type="cellIs" dxfId="9" priority="31" operator="lessThan">
      <formula>0</formula>
    </cfRule>
    <cfRule type="cellIs" dxfId="8" priority="33" operator="greaterThan">
      <formula>0</formula>
    </cfRule>
  </conditionalFormatting>
  <conditionalFormatting sqref="X12:X151">
    <cfRule type="cellIs" dxfId="7" priority="1942" operator="lessThan">
      <formula>0</formula>
    </cfRule>
    <cfRule type="cellIs" dxfId="6" priority="1943" operator="greaterThan">
      <formula>0</formula>
    </cfRule>
  </conditionalFormatting>
  <conditionalFormatting sqref="X18:X20">
    <cfRule type="colorScale" priority="2118">
      <colorScale>
        <cfvo type="formula" val="&quot;&lt;0&quot;"/>
        <cfvo type="formula" val="&quot;&gt;0&quot;"/>
        <color rgb="FFFF0000"/>
        <color rgb="FF00B050"/>
      </colorScale>
    </cfRule>
  </conditionalFormatting>
  <conditionalFormatting sqref="X26:X28">
    <cfRule type="colorScale" priority="2109">
      <colorScale>
        <cfvo type="formula" val="&quot;&lt;0&quot;"/>
        <cfvo type="formula" val="&quot;&gt;0&quot;"/>
        <color rgb="FFFF0000"/>
        <color rgb="FF00B050"/>
      </colorScale>
    </cfRule>
  </conditionalFormatting>
  <conditionalFormatting sqref="X36:X38">
    <cfRule type="colorScale" priority="2103">
      <colorScale>
        <cfvo type="formula" val="&quot;&lt;0&quot;"/>
        <cfvo type="formula" val="&quot;&gt;0&quot;"/>
        <color rgb="FFFF0000"/>
        <color rgb="FF00B050"/>
      </colorScale>
    </cfRule>
  </conditionalFormatting>
  <conditionalFormatting sqref="X46:X48">
    <cfRule type="colorScale" priority="2055">
      <colorScale>
        <cfvo type="formula" val="&quot;&lt;0&quot;"/>
        <cfvo type="formula" val="&quot;&gt;0&quot;"/>
        <color rgb="FFFF0000"/>
        <color rgb="FF00B050"/>
      </colorScale>
    </cfRule>
  </conditionalFormatting>
  <conditionalFormatting sqref="X53:X55">
    <cfRule type="colorScale" priority="2049">
      <colorScale>
        <cfvo type="formula" val="&quot;&lt;0&quot;"/>
        <cfvo type="formula" val="&quot;&gt;0&quot;"/>
        <color rgb="FFFF0000"/>
        <color rgb="FF00B050"/>
      </colorScale>
    </cfRule>
  </conditionalFormatting>
  <conditionalFormatting sqref="X64">
    <cfRule type="colorScale" priority="2085">
      <colorScale>
        <cfvo type="formula" val="&quot;&lt;0&quot;"/>
        <cfvo type="formula" val="&quot;&gt;0&quot;"/>
        <color rgb="FFFF0000"/>
        <color rgb="FF00B050"/>
      </colorScale>
    </cfRule>
  </conditionalFormatting>
  <conditionalFormatting sqref="X64:X110">
    <cfRule type="cellIs" dxfId="5" priority="2038" operator="lessThan">
      <formula>0</formula>
    </cfRule>
    <cfRule type="cellIs" dxfId="4" priority="2039" operator="greaterThan">
      <formula>0</formula>
    </cfRule>
  </conditionalFormatting>
  <conditionalFormatting sqref="X65">
    <cfRule type="colorScale" priority="2043">
      <colorScale>
        <cfvo type="formula" val="&quot;&lt;0&quot;"/>
        <cfvo type="formula" val="&quot;&gt;0&quot;"/>
        <color rgb="FFFF0000"/>
        <color rgb="FF00B050"/>
      </colorScale>
    </cfRule>
  </conditionalFormatting>
  <conditionalFormatting sqref="X66">
    <cfRule type="colorScale" priority="2046">
      <colorScale>
        <cfvo type="formula" val="&quot;&lt;0&quot;"/>
        <cfvo type="formula" val="&quot;&gt;0&quot;"/>
        <color rgb="FFFF0000"/>
        <color rgb="FF00B050"/>
      </colorScale>
    </cfRule>
  </conditionalFormatting>
  <conditionalFormatting sqref="X72:X74">
    <cfRule type="colorScale" priority="2079">
      <colorScale>
        <cfvo type="formula" val="&quot;&lt;0&quot;"/>
        <cfvo type="formula" val="&quot;&gt;0&quot;"/>
        <color rgb="FFFF0000"/>
        <color rgb="FF00B050"/>
      </colorScale>
    </cfRule>
  </conditionalFormatting>
  <conditionalFormatting sqref="X80:X82">
    <cfRule type="colorScale" priority="2028">
      <colorScale>
        <cfvo type="formula" val="&quot;&lt;0&quot;"/>
        <cfvo type="formula" val="&quot;&gt;0&quot;"/>
        <color rgb="FFFF0000"/>
        <color rgb="FF00B050"/>
      </colorScale>
    </cfRule>
  </conditionalFormatting>
  <conditionalFormatting sqref="X89:X91">
    <cfRule type="colorScale" priority="2067">
      <colorScale>
        <cfvo type="formula" val="&quot;&lt;0&quot;"/>
        <cfvo type="formula" val="&quot;&gt;0&quot;"/>
        <color rgb="FFFF0000"/>
        <color rgb="FF00B050"/>
      </colorScale>
    </cfRule>
  </conditionalFormatting>
  <conditionalFormatting sqref="X98:X100">
    <cfRule type="colorScale" priority="2061">
      <colorScale>
        <cfvo type="formula" val="&quot;&lt;0&quot;"/>
        <cfvo type="formula" val="&quot;&gt;0&quot;"/>
        <color rgb="FFFF0000"/>
        <color rgb="FF00B050"/>
      </colorScale>
    </cfRule>
  </conditionalFormatting>
  <conditionalFormatting sqref="X108:X110">
    <cfRule type="colorScale" priority="2040">
      <colorScale>
        <cfvo type="formula" val="&quot;&lt;0&quot;"/>
        <cfvo type="formula" val="&quot;&gt;0&quot;"/>
        <color rgb="FFFF0000"/>
        <color rgb="FF00B050"/>
      </colorScale>
    </cfRule>
  </conditionalFormatting>
  <conditionalFormatting sqref="X117:X119">
    <cfRule type="colorScale" priority="1986">
      <colorScale>
        <cfvo type="formula" val="&quot;&lt;0&quot;"/>
        <cfvo type="formula" val="&quot;&gt;0&quot;"/>
        <color rgb="FFFF0000"/>
        <color rgb="FF00B050"/>
      </colorScale>
    </cfRule>
  </conditionalFormatting>
  <conditionalFormatting sqref="X139:X140 X142">
    <cfRule type="colorScale" priority="1926">
      <colorScale>
        <cfvo type="formula" val="&quot;&lt;0&quot;"/>
        <cfvo type="formula" val="&quot;&gt;0&quot;"/>
        <color rgb="FFFF0000"/>
        <color rgb="FF00B050"/>
      </colorScale>
    </cfRule>
  </conditionalFormatting>
  <conditionalFormatting sqref="X139:X183">
    <cfRule type="cellIs" dxfId="3" priority="1919" operator="greaterThan">
      <formula>0</formula>
    </cfRule>
    <cfRule type="cellIs" dxfId="2" priority="1918" operator="lessThan">
      <formula>0</formula>
    </cfRule>
  </conditionalFormatting>
  <conditionalFormatting sqref="X141">
    <cfRule type="colorScale" priority="1923">
      <colorScale>
        <cfvo type="formula" val="&quot;&lt;0&quot;"/>
        <cfvo type="formula" val="&quot;&gt;0&quot;"/>
        <color rgb="FFFF0000"/>
        <color rgb="FF00B050"/>
      </colorScale>
    </cfRule>
  </conditionalFormatting>
  <conditionalFormatting sqref="X201 O201">
    <cfRule type="colorScale" priority="1905">
      <colorScale>
        <cfvo type="formula" val="&quot;&lt;0&quot;"/>
        <cfvo type="formula" val="&quot;&gt;0&quot;"/>
        <color rgb="FFFF0000"/>
        <color rgb="FF00B050"/>
      </colorScale>
    </cfRule>
  </conditionalFormatting>
  <conditionalFormatting sqref="X212 O212">
    <cfRule type="colorScale" priority="1899">
      <colorScale>
        <cfvo type="formula" val="&quot;&lt;0&quot;"/>
        <cfvo type="formula" val="&quot;&gt;0&quot;"/>
        <color rgb="FFFF0000"/>
        <color rgb="FF00B050"/>
      </colorScale>
    </cfRule>
  </conditionalFormatting>
  <conditionalFormatting sqref="X232 O232">
    <cfRule type="colorScale" priority="1887">
      <colorScale>
        <cfvo type="formula" val="&quot;&lt;0&quot;"/>
        <cfvo type="formula" val="&quot;&gt;0&quot;"/>
        <color rgb="FFFF0000"/>
        <color rgb="FF00B050"/>
      </colorScale>
    </cfRule>
  </conditionalFormatting>
  <conditionalFormatting sqref="X244 O244">
    <cfRule type="colorScale" priority="1881">
      <colorScale>
        <cfvo type="formula" val="&quot;&lt;0&quot;"/>
        <cfvo type="formula" val="&quot;&gt;0&quot;"/>
        <color rgb="FFFF0000"/>
        <color rgb="FF00B050"/>
      </colorScale>
    </cfRule>
  </conditionalFormatting>
  <conditionalFormatting sqref="X265 O265">
    <cfRule type="colorScale" priority="1869">
      <colorScale>
        <cfvo type="formula" val="&quot;&lt;0&quot;"/>
        <cfvo type="formula" val="&quot;&gt;0&quot;"/>
        <color rgb="FFFF0000"/>
        <color rgb="FF00B050"/>
      </colorScale>
    </cfRule>
  </conditionalFormatting>
  <conditionalFormatting sqref="X276 O276">
    <cfRule type="colorScale" priority="1863">
      <colorScale>
        <cfvo type="formula" val="&quot;&lt;0&quot;"/>
        <cfvo type="formula" val="&quot;&gt;0&quot;"/>
        <color rgb="FFFF0000"/>
        <color rgb="FF00B050"/>
      </colorScale>
    </cfRule>
  </conditionalFormatting>
  <conditionalFormatting sqref="X288 O288">
    <cfRule type="colorScale" priority="1857">
      <colorScale>
        <cfvo type="formula" val="&quot;&lt;0&quot;"/>
        <cfvo type="formula" val="&quot;&gt;0&quot;"/>
        <color rgb="FFFF0000"/>
        <color rgb="FF00B050"/>
      </colorScale>
    </cfRule>
  </conditionalFormatting>
  <conditionalFormatting sqref="X311 O311">
    <cfRule type="colorScale" priority="1845">
      <colorScale>
        <cfvo type="formula" val="&quot;&lt;0&quot;"/>
        <cfvo type="formula" val="&quot;&gt;0&quot;"/>
        <color rgb="FFFF0000"/>
        <color rgb="FF00B050"/>
      </colorScale>
    </cfRule>
  </conditionalFormatting>
  <conditionalFormatting sqref="X319 O319">
    <cfRule type="colorScale" priority="1833">
      <colorScale>
        <cfvo type="formula" val="&quot;&lt;0&quot;"/>
        <cfvo type="formula" val="&quot;&gt;0&quot;"/>
        <color rgb="FFFF0000"/>
        <color rgb="FF00B050"/>
      </colorScale>
    </cfRule>
  </conditionalFormatting>
  <conditionalFormatting sqref="X336 O336">
    <cfRule type="colorScale" priority="1821">
      <colorScale>
        <cfvo type="formula" val="&quot;&lt;0&quot;"/>
        <cfvo type="formula" val="&quot;&gt;0&quot;"/>
        <color rgb="FFFF0000"/>
        <color rgb="FF00B050"/>
      </colorScale>
    </cfRule>
  </conditionalFormatting>
  <conditionalFormatting sqref="X343 O343">
    <cfRule type="colorScale" priority="1815">
      <colorScale>
        <cfvo type="formula" val="&quot;&lt;0&quot;"/>
        <cfvo type="formula" val="&quot;&gt;0&quot;"/>
        <color rgb="FFFF0000"/>
        <color rgb="FF00B050"/>
      </colorScale>
    </cfRule>
  </conditionalFormatting>
  <conditionalFormatting sqref="X358 O358">
    <cfRule type="colorScale" priority="1803">
      <colorScale>
        <cfvo type="formula" val="&quot;&lt;0&quot;"/>
        <cfvo type="formula" val="&quot;&gt;0&quot;"/>
        <color rgb="FFFF0000"/>
        <color rgb="FF00B050"/>
      </colorScale>
    </cfRule>
  </conditionalFormatting>
  <conditionalFormatting sqref="X365 O365">
    <cfRule type="colorScale" priority="1797">
      <colorScale>
        <cfvo type="formula" val="&quot;&lt;0&quot;"/>
        <cfvo type="formula" val="&quot;&gt;0&quot;"/>
        <color rgb="FFFF0000"/>
        <color rgb="FF00B050"/>
      </colorScale>
    </cfRule>
  </conditionalFormatting>
  <conditionalFormatting sqref="X404:X405 O404:O405">
    <cfRule type="colorScale" priority="1773">
      <colorScale>
        <cfvo type="formula" val="&quot;&lt;0&quot;"/>
        <cfvo type="formula" val="&quot;&gt;0&quot;"/>
        <color rgb="FFFF0000"/>
        <color rgb="FF00B050"/>
      </colorScale>
    </cfRule>
  </conditionalFormatting>
  <conditionalFormatting sqref="X423">
    <cfRule type="cellIs" dxfId="1" priority="1065" operator="greaterThan">
      <formula>0</formula>
    </cfRule>
    <cfRule type="colorScale" priority="1064">
      <colorScale>
        <cfvo type="formula" val="&quot;&lt;0&quot;"/>
        <cfvo type="formula" val="&quot;&gt;0&quot;"/>
        <color rgb="FFFF0000"/>
        <color rgb="FF00B050"/>
      </colorScale>
    </cfRule>
  </conditionalFormatting>
  <conditionalFormatting sqref="X440">
    <cfRule type="colorScale" priority="1067">
      <colorScale>
        <cfvo type="formula" val="&quot;&lt;0&quot;"/>
        <cfvo type="formula" val="&quot;&gt;0&quot;"/>
        <color rgb="FFFF0000"/>
        <color rgb="FF00B050"/>
      </colorScale>
    </cfRule>
    <cfRule type="cellIs" dxfId="0" priority="1068" operator="greaterThan">
      <formula>0</formula>
    </cfRule>
  </conditionalFormatting>
  <pageMargins left="0.7" right="0.7" top="0.75" bottom="0.75" header="0.3" footer="0.3"/>
  <pageSetup scale="93" orientation="portrait" r:id="rId1"/>
  <headerFooter>
    <oddHeader>&amp;LEconomic Dashboard Printout&amp;CCREAM_v12&amp;Ras of February 2023</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098B-60EE-4C67-815D-7D7C723F9CFD}">
  <sheetPr codeName="Sheet4">
    <tabColor rgb="FFFFFF00"/>
  </sheetPr>
  <dimension ref="B1:BW171"/>
  <sheetViews>
    <sheetView topLeftCell="A14" zoomScale="80" zoomScaleNormal="80" workbookViewId="0">
      <selection activeCell="BW63" sqref="BW63"/>
    </sheetView>
  </sheetViews>
  <sheetFormatPr defaultColWidth="8.85546875" defaultRowHeight="15"/>
  <cols>
    <col min="2" max="2" width="10.140625" bestFit="1" customWidth="1"/>
    <col min="3" max="3" width="11.28515625" bestFit="1" customWidth="1"/>
    <col min="4" max="4" width="12.28515625" bestFit="1" customWidth="1"/>
    <col min="5" max="5" width="12.28515625" customWidth="1"/>
    <col min="6" max="6" width="11.28515625" bestFit="1" customWidth="1"/>
    <col min="7" max="8" width="12.28515625" bestFit="1" customWidth="1"/>
    <col min="9" max="10" width="9.5703125" customWidth="1"/>
    <col min="11" max="11" width="12.28515625" bestFit="1" customWidth="1"/>
    <col min="12" max="15" width="11.28515625" bestFit="1" customWidth="1"/>
    <col min="16" max="18" width="12.28515625" bestFit="1" customWidth="1"/>
    <col min="19" max="19" width="11.28515625" bestFit="1" customWidth="1"/>
    <col min="20" max="22" width="9.5703125" bestFit="1" customWidth="1"/>
    <col min="23" max="23" width="11.28515625" bestFit="1" customWidth="1"/>
    <col min="24" max="25" width="13.5703125" bestFit="1" customWidth="1"/>
    <col min="26" max="26" width="11.28515625" bestFit="1" customWidth="1"/>
    <col min="27" max="27" width="9.5703125" bestFit="1" customWidth="1"/>
    <col min="28" max="28" width="9.5703125" customWidth="1"/>
    <col min="29" max="31" width="11.28515625" bestFit="1" customWidth="1"/>
    <col min="32" max="32" width="13.5703125" bestFit="1" customWidth="1"/>
    <col min="33" max="34" width="12" bestFit="1" customWidth="1"/>
    <col min="35" max="36" width="13" bestFit="1" customWidth="1"/>
    <col min="37" max="37" width="11.5703125" bestFit="1" customWidth="1"/>
    <col min="38" max="38" width="11.42578125" bestFit="1" customWidth="1"/>
    <col min="39" max="40" width="12" bestFit="1" customWidth="1"/>
    <col min="41" max="41" width="13" bestFit="1" customWidth="1"/>
    <col min="42" max="42" width="11.5703125" bestFit="1" customWidth="1"/>
    <col min="43" max="46" width="13" bestFit="1" customWidth="1"/>
    <col min="47" max="47" width="12" bestFit="1" customWidth="1"/>
    <col min="48" max="48" width="13.140625" customWidth="1"/>
    <col min="49" max="49" width="11" bestFit="1" customWidth="1"/>
    <col min="50" max="51" width="12.28515625" bestFit="1" customWidth="1"/>
    <col min="52" max="52" width="25.28515625" bestFit="1" customWidth="1"/>
    <col min="53" max="53" width="8.42578125" bestFit="1" customWidth="1"/>
    <col min="54" max="54" width="9.5703125" bestFit="1" customWidth="1"/>
    <col min="55" max="55" width="10.5703125" bestFit="1" customWidth="1"/>
    <col min="56" max="56" width="11.28515625" bestFit="1" customWidth="1"/>
    <col min="57" max="57" width="8.140625" bestFit="1" customWidth="1"/>
    <col min="58" max="58" width="9.5703125" bestFit="1" customWidth="1"/>
    <col min="59" max="59" width="11.5703125" bestFit="1" customWidth="1"/>
    <col min="60" max="60" width="11.28515625" bestFit="1" customWidth="1"/>
    <col min="61" max="61" width="7.42578125" bestFit="1" customWidth="1"/>
    <col min="62" max="62" width="9.5703125" bestFit="1" customWidth="1"/>
    <col min="63" max="63" width="7.42578125" bestFit="1" customWidth="1"/>
    <col min="64" max="64" width="11.28515625" bestFit="1" customWidth="1"/>
  </cols>
  <sheetData>
    <row r="1" spans="2:68" ht="15.75" thickBot="1"/>
    <row r="2" spans="2:68" ht="15.75" thickBot="1">
      <c r="D2" s="532" t="s">
        <v>57</v>
      </c>
      <c r="E2" s="518"/>
      <c r="F2" s="518"/>
      <c r="G2" s="518"/>
      <c r="H2" s="518"/>
      <c r="I2" s="518"/>
      <c r="J2" s="518"/>
      <c r="K2" s="518"/>
      <c r="L2" s="518"/>
      <c r="M2" s="518"/>
      <c r="N2" s="518"/>
      <c r="O2" s="518"/>
      <c r="P2" s="518"/>
      <c r="Q2" s="518"/>
      <c r="R2" s="533"/>
      <c r="S2" s="532" t="s">
        <v>58</v>
      </c>
      <c r="T2" s="518"/>
      <c r="U2" s="518"/>
      <c r="V2" s="518"/>
      <c r="W2" s="518"/>
      <c r="X2" s="518"/>
      <c r="Y2" s="518"/>
      <c r="Z2" s="518"/>
      <c r="AA2" s="518"/>
      <c r="AB2" s="518"/>
      <c r="AC2" s="518"/>
      <c r="AD2" s="518"/>
      <c r="AE2" s="518"/>
      <c r="AF2" s="533"/>
      <c r="AG2" s="532" t="s">
        <v>585</v>
      </c>
      <c r="AH2" s="518"/>
      <c r="AI2" s="518"/>
      <c r="AJ2" s="518"/>
      <c r="AK2" s="518"/>
      <c r="AL2" s="518"/>
      <c r="AM2" s="518"/>
      <c r="AN2" s="518"/>
      <c r="AO2" s="518"/>
      <c r="AP2" s="518"/>
      <c r="AQ2" s="533"/>
      <c r="AR2" s="532" t="s">
        <v>591</v>
      </c>
      <c r="AS2" s="518"/>
      <c r="AT2" s="518"/>
      <c r="AU2" s="518"/>
      <c r="AV2" s="518"/>
      <c r="AW2" s="518"/>
      <c r="AX2" s="533"/>
      <c r="AZ2" t="s">
        <v>792</v>
      </c>
    </row>
    <row r="3" spans="2:68" ht="15.75" thickTop="1">
      <c r="D3" s="530" t="s">
        <v>257</v>
      </c>
      <c r="E3" s="531"/>
      <c r="F3" s="531"/>
      <c r="G3" s="531"/>
      <c r="H3" s="531"/>
      <c r="I3" s="531"/>
      <c r="J3" s="531"/>
      <c r="K3" s="530" t="s">
        <v>39</v>
      </c>
      <c r="L3" s="531"/>
      <c r="M3" s="531"/>
      <c r="N3" s="531"/>
      <c r="O3" s="531"/>
      <c r="P3" s="531"/>
      <c r="Q3" s="531"/>
      <c r="R3" s="534"/>
      <c r="S3" s="530" t="s">
        <v>59</v>
      </c>
      <c r="T3" s="531"/>
      <c r="U3" s="531"/>
      <c r="V3" s="531"/>
      <c r="W3" s="531"/>
      <c r="X3" s="531"/>
      <c r="Y3" s="534"/>
      <c r="Z3" s="530" t="s">
        <v>257</v>
      </c>
      <c r="AA3" s="531"/>
      <c r="AB3" s="531"/>
      <c r="AC3" s="531"/>
      <c r="AD3" s="531"/>
      <c r="AE3" s="531"/>
      <c r="AF3" s="534"/>
      <c r="AG3" s="530" t="s">
        <v>599</v>
      </c>
      <c r="AH3" s="531"/>
      <c r="AI3" s="531"/>
      <c r="AJ3" s="531"/>
      <c r="AK3" s="531"/>
      <c r="AL3" s="536"/>
      <c r="AM3" s="535" t="s">
        <v>600</v>
      </c>
      <c r="AN3" s="531"/>
      <c r="AO3" s="531"/>
      <c r="AP3" s="531"/>
      <c r="AQ3" s="534"/>
      <c r="AR3" s="530" t="s">
        <v>598</v>
      </c>
      <c r="AS3" s="531"/>
      <c r="AT3" s="536"/>
      <c r="AU3" s="537" t="s">
        <v>267</v>
      </c>
      <c r="AV3" s="538"/>
      <c r="AW3" s="537" t="s">
        <v>268</v>
      </c>
      <c r="AX3" s="539"/>
      <c r="BP3" s="119" t="s">
        <v>594</v>
      </c>
    </row>
    <row r="4" spans="2:68" ht="15.75" thickBot="1">
      <c r="B4" s="1" t="s">
        <v>102</v>
      </c>
      <c r="C4" s="1" t="s">
        <v>254</v>
      </c>
      <c r="D4" s="28" t="s">
        <v>5</v>
      </c>
      <c r="E4" s="344" t="s">
        <v>12</v>
      </c>
      <c r="F4" s="344" t="s">
        <v>16</v>
      </c>
      <c r="G4" s="344" t="s">
        <v>112</v>
      </c>
      <c r="H4" s="344" t="s">
        <v>323</v>
      </c>
      <c r="I4" s="344" t="s">
        <v>369</v>
      </c>
      <c r="J4" s="344" t="s">
        <v>317</v>
      </c>
      <c r="K4" s="28" t="s">
        <v>5</v>
      </c>
      <c r="L4" s="344" t="s">
        <v>12</v>
      </c>
      <c r="M4" s="344" t="s">
        <v>324</v>
      </c>
      <c r="N4" s="344" t="s">
        <v>325</v>
      </c>
      <c r="O4" s="344" t="s">
        <v>369</v>
      </c>
      <c r="P4" s="344" t="s">
        <v>317</v>
      </c>
      <c r="Q4" s="344" t="s">
        <v>323</v>
      </c>
      <c r="R4" s="341" t="s">
        <v>379</v>
      </c>
      <c r="S4" s="345" t="s">
        <v>9</v>
      </c>
      <c r="T4" s="344" t="s">
        <v>27</v>
      </c>
      <c r="U4" s="344" t="s">
        <v>10</v>
      </c>
      <c r="V4" s="344" t="s">
        <v>60</v>
      </c>
      <c r="W4" s="344" t="s">
        <v>3</v>
      </c>
      <c r="X4" s="344" t="s">
        <v>4</v>
      </c>
      <c r="Y4" s="344" t="s">
        <v>5</v>
      </c>
      <c r="Z4" s="346" t="s">
        <v>9</v>
      </c>
      <c r="AA4" s="344" t="s">
        <v>27</v>
      </c>
      <c r="AB4" s="344" t="s">
        <v>10</v>
      </c>
      <c r="AC4" s="344" t="s">
        <v>60</v>
      </c>
      <c r="AD4" s="344" t="s">
        <v>3</v>
      </c>
      <c r="AE4" s="344" t="s">
        <v>4</v>
      </c>
      <c r="AF4" s="341" t="s">
        <v>379</v>
      </c>
      <c r="AG4" s="352" t="s">
        <v>589</v>
      </c>
      <c r="AH4" s="344" t="s">
        <v>588</v>
      </c>
      <c r="AI4" s="344" t="s">
        <v>586</v>
      </c>
      <c r="AJ4" s="344" t="s">
        <v>587</v>
      </c>
      <c r="AK4" s="351" t="s">
        <v>595</v>
      </c>
      <c r="AL4" s="348" t="s">
        <v>596</v>
      </c>
      <c r="AM4" s="347" t="s">
        <v>589</v>
      </c>
      <c r="AN4" s="344" t="s">
        <v>588</v>
      </c>
      <c r="AO4" s="344" t="s">
        <v>39</v>
      </c>
      <c r="AP4" s="344" t="s">
        <v>595</v>
      </c>
      <c r="AQ4" s="341" t="s">
        <v>597</v>
      </c>
      <c r="AR4" s="28" t="s">
        <v>590</v>
      </c>
      <c r="AS4" s="344" t="s">
        <v>593</v>
      </c>
      <c r="AT4" s="348" t="s">
        <v>592</v>
      </c>
      <c r="AU4" s="344" t="s">
        <v>263</v>
      </c>
      <c r="AV4" s="348" t="s">
        <v>264</v>
      </c>
      <c r="AW4" s="344" t="s">
        <v>266</v>
      </c>
      <c r="AX4" s="158" t="s">
        <v>265</v>
      </c>
    </row>
    <row r="5" spans="2:68" ht="15.75" thickTop="1">
      <c r="B5" s="65">
        <v>43952</v>
      </c>
      <c r="C5" s="6">
        <f>SUM(Data!C4:C7)</f>
        <v>814.17</v>
      </c>
      <c r="D5" s="334">
        <f>Data!Q8</f>
        <v>750.59999999999991</v>
      </c>
      <c r="E5" s="6">
        <f>Data!Q6</f>
        <v>104.64</v>
      </c>
      <c r="F5" s="6">
        <f>Data!Q7</f>
        <v>645.96</v>
      </c>
      <c r="G5" s="6"/>
      <c r="H5" s="6"/>
      <c r="I5" s="6"/>
      <c r="J5" s="6"/>
      <c r="K5" s="334">
        <f>Data!U8</f>
        <v>750.59999999999991</v>
      </c>
      <c r="L5" s="6">
        <f>Data!U6</f>
        <v>104.64</v>
      </c>
      <c r="M5" s="6"/>
      <c r="N5" s="6">
        <f>Data!U7</f>
        <v>645.96</v>
      </c>
      <c r="O5" s="6"/>
      <c r="P5" s="6"/>
      <c r="Q5" s="6"/>
      <c r="R5" s="16"/>
      <c r="S5" s="25">
        <v>50</v>
      </c>
      <c r="T5" s="64">
        <v>250</v>
      </c>
      <c r="U5" s="64">
        <v>240</v>
      </c>
      <c r="V5" s="25">
        <v>50</v>
      </c>
      <c r="W5" s="25"/>
      <c r="X5" s="25"/>
      <c r="Y5" s="25"/>
      <c r="Z5" s="334">
        <f>Data!F6</f>
        <v>120</v>
      </c>
      <c r="AA5" s="6">
        <f>Data!F5</f>
        <v>240</v>
      </c>
      <c r="AB5" s="6">
        <f>Data!I5</f>
        <v>205</v>
      </c>
      <c r="AC5" s="6">
        <f>SUM(Data!I6:I7)</f>
        <v>16.98</v>
      </c>
      <c r="AD5" s="6">
        <f>SUM(Data!F5:F7)</f>
        <v>1072.8600000000001</v>
      </c>
      <c r="AE5" s="6">
        <f>SUM(Data!I5:I7)</f>
        <v>221.98000000000002</v>
      </c>
      <c r="AF5" s="335">
        <f>SUM(AD5:AE5)</f>
        <v>1294.8400000000001</v>
      </c>
      <c r="AG5" s="15">
        <f t="shared" ref="AG5:AG36" si="0">C5-AF5</f>
        <v>-480.67000000000019</v>
      </c>
      <c r="AH5" s="25"/>
      <c r="AI5" s="25"/>
      <c r="AJ5" s="25"/>
      <c r="AL5" s="343"/>
      <c r="AP5" s="1"/>
      <c r="AQ5" s="16"/>
      <c r="AR5" s="15">
        <f t="shared" ref="AR5:AR36" si="1">K5-D5</f>
        <v>0</v>
      </c>
      <c r="AS5" s="25"/>
      <c r="AT5" s="25"/>
      <c r="AU5" s="349">
        <f t="shared" ref="AU5:AU51" si="2">ABS(AR5/K5)</f>
        <v>0</v>
      </c>
      <c r="AV5" s="349"/>
      <c r="AW5" s="349">
        <f>ABS(AR5/AVERAGE(K5,D5))</f>
        <v>0</v>
      </c>
      <c r="AX5" s="355"/>
      <c r="BP5" s="121">
        <f t="shared" ref="BP5:BP56" si="3">ABS((AR6-AS6)/((ABS(AR6)+ABS(AS6))/2))/10</f>
        <v>1.6073354689893385E-16</v>
      </c>
    </row>
    <row r="6" spans="2:68">
      <c r="B6" s="65">
        <v>43983</v>
      </c>
      <c r="C6" s="6">
        <f>SUM(Data!C10:C13)</f>
        <v>1325.2</v>
      </c>
      <c r="D6" s="334">
        <f>Data!Q14</f>
        <v>654.61000000000013</v>
      </c>
      <c r="E6" s="6">
        <f>Data!Q12</f>
        <v>8.6500000000001052</v>
      </c>
      <c r="F6" s="6">
        <f>Data!Q13</f>
        <v>645.96</v>
      </c>
      <c r="G6" s="6"/>
      <c r="H6" s="6"/>
      <c r="I6" s="6"/>
      <c r="J6" s="6"/>
      <c r="K6" s="334">
        <f>Data!U14</f>
        <v>583.88</v>
      </c>
      <c r="L6" s="6">
        <f>Data!U12</f>
        <v>85.92</v>
      </c>
      <c r="M6" s="6"/>
      <c r="N6" s="6">
        <f>Data!U13</f>
        <v>497.96</v>
      </c>
      <c r="O6" s="6"/>
      <c r="P6" s="6"/>
      <c r="Q6" s="6"/>
      <c r="R6" s="335">
        <f t="shared" ref="R6:R37" si="4">K5-K6+C6</f>
        <v>1491.92</v>
      </c>
      <c r="S6" s="25">
        <v>50</v>
      </c>
      <c r="T6" s="64">
        <v>250</v>
      </c>
      <c r="U6" s="64">
        <v>240</v>
      </c>
      <c r="V6" s="25">
        <v>50</v>
      </c>
      <c r="W6" s="25"/>
      <c r="X6" s="25"/>
      <c r="Y6" s="25"/>
      <c r="Z6" s="334">
        <f>Data!F11</f>
        <v>43.19</v>
      </c>
      <c r="AA6" s="6">
        <f>Data!F10</f>
        <v>247.76</v>
      </c>
      <c r="AB6" s="6">
        <f>Data!I10-Data!C11</f>
        <v>195</v>
      </c>
      <c r="AC6" s="6">
        <f>SUM(Data!I11:I13)</f>
        <v>32.380000000000003</v>
      </c>
      <c r="AD6" s="6">
        <f>SUM(Data!F10:F13)</f>
        <v>1013.81</v>
      </c>
      <c r="AE6" s="6">
        <f>SUM(Data!I10:I13)</f>
        <v>407.38</v>
      </c>
      <c r="AF6" s="335">
        <f>SUM(AD6:AE6)</f>
        <v>1421.19</v>
      </c>
      <c r="AG6" s="15">
        <f>C6-AF6</f>
        <v>-95.990000000000009</v>
      </c>
      <c r="AH6" s="25">
        <f t="shared" ref="AH6:AH37" si="5">D6-D5</f>
        <v>-95.989999999999782</v>
      </c>
      <c r="AI6" s="25">
        <f t="shared" ref="AI6:AI37" si="6">C6-R6</f>
        <v>-166.72000000000003</v>
      </c>
      <c r="AJ6" s="25">
        <f t="shared" ref="AJ6:AJ51" si="7">K6-K5</f>
        <v>-166.71999999999991</v>
      </c>
      <c r="AK6" s="6">
        <f>AG6-AH6</f>
        <v>-2.2737367544323206E-13</v>
      </c>
      <c r="AL6" s="354">
        <f>AI6-AJ6</f>
        <v>0</v>
      </c>
      <c r="AM6" s="353"/>
      <c r="AP6" s="6"/>
      <c r="AQ6" s="16"/>
      <c r="AR6" s="15">
        <f>K6-D6</f>
        <v>-70.730000000000132</v>
      </c>
      <c r="AS6" s="25">
        <f>AI6-AG6</f>
        <v>-70.730000000000018</v>
      </c>
      <c r="AT6" s="25">
        <f>AJ6-AH6</f>
        <v>-70.730000000000132</v>
      </c>
      <c r="AU6" s="350">
        <f t="shared" si="2"/>
        <v>0.12113790504898289</v>
      </c>
      <c r="AV6" s="350">
        <f>ABS(AS6/AI6)</f>
        <v>0.42424424184261039</v>
      </c>
      <c r="AW6" s="350">
        <f t="shared" ref="AW6:AW36" si="8">ABS(AR6/AVERAGE(K6,D6))</f>
        <v>0.11421973532285302</v>
      </c>
      <c r="AX6" s="356">
        <f>ABS((AG6-AH6)/AVERAGE(AG6,AH6))</f>
        <v>2.368722527796982E-15</v>
      </c>
      <c r="AY6" s="118"/>
      <c r="BP6" s="121">
        <f t="shared" si="3"/>
        <v>0.16738847473671717</v>
      </c>
    </row>
    <row r="7" spans="2:68">
      <c r="B7" s="65">
        <v>44013</v>
      </c>
      <c r="C7" s="6">
        <f>SUM(Data!C16:C19)</f>
        <v>1609.21</v>
      </c>
      <c r="D7" s="334">
        <f>Data!Q20</f>
        <v>1008.5300000000001</v>
      </c>
      <c r="E7" s="6">
        <f>Data!Q18</f>
        <v>332.57000000000005</v>
      </c>
      <c r="F7" s="6">
        <f>Data!Q19</f>
        <v>675.96</v>
      </c>
      <c r="G7" s="6"/>
      <c r="H7" s="6"/>
      <c r="I7" s="6"/>
      <c r="J7" s="6"/>
      <c r="K7" s="334">
        <f>Data!U20</f>
        <v>930.91</v>
      </c>
      <c r="L7" s="6">
        <f>Data!U18</f>
        <v>367.95</v>
      </c>
      <c r="M7" s="6"/>
      <c r="N7" s="6">
        <f>Data!U19</f>
        <v>562.96</v>
      </c>
      <c r="O7" s="6"/>
      <c r="P7" s="6"/>
      <c r="Q7" s="6"/>
      <c r="R7" s="335">
        <f t="shared" si="4"/>
        <v>1262.18</v>
      </c>
      <c r="S7" s="25">
        <v>50</v>
      </c>
      <c r="T7" s="25">
        <v>250</v>
      </c>
      <c r="U7" s="25">
        <v>250</v>
      </c>
      <c r="V7" s="25">
        <v>50</v>
      </c>
      <c r="W7" s="25"/>
      <c r="X7" s="25"/>
      <c r="Y7" s="25"/>
      <c r="Z7" s="334">
        <f>Data!F17</f>
        <v>52.16</v>
      </c>
      <c r="AA7" s="6">
        <f>Data!F16</f>
        <v>280.15000000000003</v>
      </c>
      <c r="AB7" s="6">
        <f>Data!I16-Data!C16</f>
        <v>470</v>
      </c>
      <c r="AC7" s="6">
        <f>SUM(Data!I17:I19)</f>
        <v>17.98</v>
      </c>
      <c r="AD7" s="6">
        <f>SUM(Data!F16:F18)</f>
        <v>632.31000000000006</v>
      </c>
      <c r="AE7" s="6">
        <f>SUM(Data!I16:I19)</f>
        <v>622.98</v>
      </c>
      <c r="AF7" s="335">
        <f t="shared" ref="AF7:AF23" si="9">SUM(AD7:AE7)</f>
        <v>1255.29</v>
      </c>
      <c r="AG7" s="15">
        <f t="shared" si="0"/>
        <v>353.92000000000007</v>
      </c>
      <c r="AH7" s="25">
        <f t="shared" si="5"/>
        <v>353.91999999999996</v>
      </c>
      <c r="AI7" s="25">
        <f t="shared" si="6"/>
        <v>347.03</v>
      </c>
      <c r="AJ7" s="25">
        <f t="shared" si="7"/>
        <v>347.03</v>
      </c>
      <c r="AK7" s="6">
        <f t="shared" ref="AK7:AK51" si="10">AG7-AH7</f>
        <v>0</v>
      </c>
      <c r="AL7" s="354">
        <f t="shared" ref="AL7:AL51" si="11">AI7-AJ7</f>
        <v>0</v>
      </c>
      <c r="AM7" s="6">
        <f t="shared" ref="AM7:AM50" si="12">AG7-AG6</f>
        <v>449.91000000000008</v>
      </c>
      <c r="AN7" s="6">
        <f t="shared" ref="AN7:AN50" si="13">AH7-AH6</f>
        <v>449.90999999999974</v>
      </c>
      <c r="AO7" s="6">
        <f t="shared" ref="AO7:AO50" si="14">AJ7-AJ6</f>
        <v>513.74999999999989</v>
      </c>
      <c r="AP7" s="6">
        <f t="shared" ref="AP7:AP50" si="15">AN7-AM7</f>
        <v>0</v>
      </c>
      <c r="AQ7" s="335">
        <f t="shared" ref="AQ7:AQ50" si="16">AO7-AN7</f>
        <v>63.840000000000146</v>
      </c>
      <c r="AR7" s="15">
        <f t="shared" si="1"/>
        <v>-77.620000000000118</v>
      </c>
      <c r="AS7" s="25">
        <f t="shared" ref="AS7:AS50" si="17">AI7-AG7</f>
        <v>-6.8900000000001</v>
      </c>
      <c r="AT7" s="25">
        <f t="shared" ref="AT7:AT51" si="18">AJ7-AH7</f>
        <v>-6.8899999999999864</v>
      </c>
      <c r="AU7" s="350">
        <f t="shared" si="2"/>
        <v>8.3380777948459162E-2</v>
      </c>
      <c r="AV7" s="350">
        <f t="shared" ref="AV7:AV48" si="19">ABS(AS7/AI7)</f>
        <v>1.985419128029306E-2</v>
      </c>
      <c r="AW7" s="350">
        <f t="shared" si="8"/>
        <v>8.0043723961556026E-2</v>
      </c>
      <c r="AX7" s="356">
        <f t="shared" ref="AX7:AX51" si="20">ABS((AG7-AH7)/AVERAGE(AG7,AH7))</f>
        <v>3.2122185160944855E-16</v>
      </c>
      <c r="BP7" s="121">
        <f t="shared" si="3"/>
        <v>0.2</v>
      </c>
    </row>
    <row r="8" spans="2:68">
      <c r="B8" s="65">
        <v>44044</v>
      </c>
      <c r="C8" s="6">
        <f>SUM(Data!C22:C27)</f>
        <v>524.9</v>
      </c>
      <c r="D8" s="334">
        <f>Data!Q28</f>
        <v>491.65999999999997</v>
      </c>
      <c r="E8" s="6">
        <f>Data!Q26</f>
        <v>15.699999999999932</v>
      </c>
      <c r="F8" s="6">
        <f>Data!Q27</f>
        <v>475.96000000000004</v>
      </c>
      <c r="G8" s="6"/>
      <c r="H8" s="6"/>
      <c r="I8" s="6"/>
      <c r="J8" s="6"/>
      <c r="K8" s="334">
        <f>Data!U28</f>
        <v>422.03999999999996</v>
      </c>
      <c r="L8" s="6">
        <f>Data!U26</f>
        <v>51.08</v>
      </c>
      <c r="M8" s="6"/>
      <c r="N8" s="6">
        <f>Data!U27</f>
        <v>370.96</v>
      </c>
      <c r="O8" s="6"/>
      <c r="P8" s="6"/>
      <c r="Q8" s="6"/>
      <c r="R8" s="335">
        <f t="shared" si="4"/>
        <v>1033.77</v>
      </c>
      <c r="S8" s="25">
        <v>60</v>
      </c>
      <c r="T8" s="25">
        <v>300</v>
      </c>
      <c r="U8" s="25">
        <v>300</v>
      </c>
      <c r="V8" s="25">
        <v>50</v>
      </c>
      <c r="W8" s="25"/>
      <c r="X8" s="25"/>
      <c r="Y8" s="25"/>
      <c r="Z8" s="334">
        <f>Data!F23</f>
        <v>59.81</v>
      </c>
      <c r="AA8" s="6">
        <f>Data!F22</f>
        <v>335.02</v>
      </c>
      <c r="AB8" s="6">
        <f>Data!I22-Data!C26</f>
        <v>375</v>
      </c>
      <c r="AC8" s="6">
        <f>SUM(Data!I23:I27)</f>
        <v>71.949999999999989</v>
      </c>
      <c r="AD8" s="6">
        <f>SUM(Data!F22:F26)</f>
        <v>474.82</v>
      </c>
      <c r="AE8" s="6">
        <f>SUM(Data!I22:I27)</f>
        <v>566.95000000000005</v>
      </c>
      <c r="AF8" s="335">
        <f t="shared" si="9"/>
        <v>1041.77</v>
      </c>
      <c r="AG8" s="15">
        <f t="shared" si="0"/>
        <v>-516.87</v>
      </c>
      <c r="AH8" s="25">
        <f t="shared" si="5"/>
        <v>-516.87000000000012</v>
      </c>
      <c r="AI8" s="25">
        <f>C8-R8</f>
        <v>-508.87</v>
      </c>
      <c r="AJ8" s="25">
        <f t="shared" si="7"/>
        <v>-508.87</v>
      </c>
      <c r="AK8" s="6">
        <f t="shared" si="10"/>
        <v>0</v>
      </c>
      <c r="AL8" s="354">
        <f t="shared" si="11"/>
        <v>0</v>
      </c>
      <c r="AM8" s="6">
        <f t="shared" si="12"/>
        <v>-870.79000000000008</v>
      </c>
      <c r="AN8" s="6">
        <f t="shared" si="13"/>
        <v>-870.79000000000008</v>
      </c>
      <c r="AO8" s="6">
        <f t="shared" si="14"/>
        <v>-855.9</v>
      </c>
      <c r="AP8" s="6">
        <f t="shared" si="15"/>
        <v>0</v>
      </c>
      <c r="AQ8" s="335">
        <f t="shared" si="16"/>
        <v>14.8900000000001</v>
      </c>
      <c r="AR8" s="15">
        <f t="shared" si="1"/>
        <v>-69.62</v>
      </c>
      <c r="AS8" s="25">
        <f>AI8-AG8</f>
        <v>8</v>
      </c>
      <c r="AT8" s="25">
        <f t="shared" si="18"/>
        <v>8.0000000000001137</v>
      </c>
      <c r="AU8" s="350">
        <f>ABS(AR8/K8)</f>
        <v>0.16496066723533317</v>
      </c>
      <c r="AV8" s="350">
        <f>ABS(AS8/AI8)</f>
        <v>1.572110755202704E-2</v>
      </c>
      <c r="AW8" s="350">
        <f t="shared" si="8"/>
        <v>0.15239137572507389</v>
      </c>
      <c r="AX8" s="356">
        <f t="shared" si="20"/>
        <v>2.1995247880824192E-16</v>
      </c>
      <c r="BP8" s="121">
        <f t="shared" si="3"/>
        <v>0.17262583684603025</v>
      </c>
    </row>
    <row r="9" spans="2:68">
      <c r="B9" s="65">
        <v>44075</v>
      </c>
      <c r="C9" s="6">
        <f>SUM(Data!C32:C37)</f>
        <v>9067.5999999999985</v>
      </c>
      <c r="D9" s="334">
        <f>Data!Q38</f>
        <v>3965.719999999998</v>
      </c>
      <c r="E9" s="6">
        <f>Data!Q36</f>
        <v>604.75999999999794</v>
      </c>
      <c r="F9" s="6">
        <f>Data!Q37</f>
        <v>3360.96</v>
      </c>
      <c r="G9" s="6"/>
      <c r="H9" s="6"/>
      <c r="I9" s="6"/>
      <c r="J9" s="6"/>
      <c r="K9" s="334">
        <f>Data!U38</f>
        <v>3890.58</v>
      </c>
      <c r="L9" s="6">
        <f>Data!U36</f>
        <v>629.58999999999992</v>
      </c>
      <c r="M9" s="6"/>
      <c r="N9" s="6">
        <f>Data!U37</f>
        <v>3260.99</v>
      </c>
      <c r="O9" s="6"/>
      <c r="P9" s="6"/>
      <c r="Q9" s="6"/>
      <c r="R9" s="335">
        <f t="shared" si="4"/>
        <v>5599.0599999999986</v>
      </c>
      <c r="S9" s="25">
        <v>60</v>
      </c>
      <c r="T9" s="25">
        <v>300</v>
      </c>
      <c r="U9" s="25">
        <v>300</v>
      </c>
      <c r="V9" s="25">
        <v>50</v>
      </c>
      <c r="W9" s="25"/>
      <c r="X9" s="25"/>
      <c r="Y9" s="25"/>
      <c r="Z9" s="334">
        <f>Data!F31</f>
        <v>88.49</v>
      </c>
      <c r="AA9" s="6">
        <f>Data!F30</f>
        <v>350.76999999999992</v>
      </c>
      <c r="AB9" s="6">
        <f>Data!I30-Data!C32</f>
        <v>385</v>
      </c>
      <c r="AC9" s="6">
        <f>SUM(Data!I31:I36)</f>
        <v>151.77000000000001</v>
      </c>
      <c r="AD9" s="6">
        <f>SUM(Data!F30:F37)</f>
        <v>4906.7700000000004</v>
      </c>
      <c r="AE9" s="6">
        <f>SUM(Data!I30:I36)</f>
        <v>686.77</v>
      </c>
      <c r="AF9" s="335">
        <f t="shared" si="9"/>
        <v>5593.5400000000009</v>
      </c>
      <c r="AG9" s="15">
        <f t="shared" si="0"/>
        <v>3474.0599999999977</v>
      </c>
      <c r="AH9" s="25">
        <f t="shared" si="5"/>
        <v>3474.0599999999981</v>
      </c>
      <c r="AI9" s="25">
        <f t="shared" si="6"/>
        <v>3468.54</v>
      </c>
      <c r="AJ9" s="25">
        <f t="shared" si="7"/>
        <v>3468.54</v>
      </c>
      <c r="AK9" s="6">
        <f t="shared" si="10"/>
        <v>0</v>
      </c>
      <c r="AL9" s="354">
        <f t="shared" si="11"/>
        <v>0</v>
      </c>
      <c r="AM9" s="6">
        <f t="shared" si="12"/>
        <v>3990.9299999999976</v>
      </c>
      <c r="AN9" s="6">
        <f t="shared" si="13"/>
        <v>3990.9299999999985</v>
      </c>
      <c r="AO9" s="6">
        <f t="shared" si="14"/>
        <v>3977.41</v>
      </c>
      <c r="AP9" s="6">
        <f t="shared" si="15"/>
        <v>0</v>
      </c>
      <c r="AQ9" s="335">
        <f t="shared" si="16"/>
        <v>-13.519999999998618</v>
      </c>
      <c r="AR9" s="15">
        <f t="shared" si="1"/>
        <v>-75.139999999998054</v>
      </c>
      <c r="AS9" s="25">
        <f t="shared" si="17"/>
        <v>-5.5199999999977081</v>
      </c>
      <c r="AT9" s="25">
        <f t="shared" si="18"/>
        <v>-5.5199999999981628</v>
      </c>
      <c r="AU9" s="350">
        <f t="shared" si="2"/>
        <v>1.9313315752406596E-2</v>
      </c>
      <c r="AV9" s="350">
        <f t="shared" si="19"/>
        <v>1.5914476984545971E-3</v>
      </c>
      <c r="AW9" s="350">
        <f t="shared" si="8"/>
        <v>1.912859743136033E-2</v>
      </c>
      <c r="AX9" s="356">
        <f t="shared" si="20"/>
        <v>1.3089795538547532E-16</v>
      </c>
      <c r="BP9" s="121">
        <f t="shared" si="3"/>
        <v>0.2</v>
      </c>
    </row>
    <row r="10" spans="2:68">
      <c r="B10" s="65">
        <v>44105</v>
      </c>
      <c r="C10" s="6">
        <f>SUM(Data!C40:C47)</f>
        <v>995.74</v>
      </c>
      <c r="D10" s="334">
        <f>Data!Q48</f>
        <v>3870.1699999999983</v>
      </c>
      <c r="E10" s="6">
        <f>Data!Q46</f>
        <v>509.20999999999799</v>
      </c>
      <c r="F10" s="6">
        <f>Data!Q47</f>
        <v>3360.96</v>
      </c>
      <c r="G10" s="6"/>
      <c r="H10" s="6"/>
      <c r="I10" s="6"/>
      <c r="J10" s="6"/>
      <c r="K10" s="334">
        <f>Data!U48</f>
        <v>3800.58</v>
      </c>
      <c r="L10" s="6">
        <f>Data!U46</f>
        <v>533.54</v>
      </c>
      <c r="M10" s="6"/>
      <c r="N10" s="6">
        <f>Data!U47</f>
        <v>3267.04</v>
      </c>
      <c r="O10" s="6"/>
      <c r="P10" s="6"/>
      <c r="Q10" s="6"/>
      <c r="R10" s="335">
        <f t="shared" si="4"/>
        <v>1085.74</v>
      </c>
      <c r="S10" s="25">
        <v>60</v>
      </c>
      <c r="T10" s="25">
        <v>350</v>
      </c>
      <c r="U10" s="25">
        <v>300</v>
      </c>
      <c r="V10" s="25">
        <v>50</v>
      </c>
      <c r="W10" s="25"/>
      <c r="X10" s="25"/>
      <c r="Y10" s="25"/>
      <c r="Z10" s="334">
        <f>Data!F41</f>
        <v>45.56</v>
      </c>
      <c r="AA10" s="6">
        <f>Data!F40</f>
        <v>289.27999999999997</v>
      </c>
      <c r="AB10" s="6">
        <f>Data!I40-Data!C44</f>
        <v>235</v>
      </c>
      <c r="AC10" s="6">
        <f>SUM(Data!I41:I45)</f>
        <v>77.95</v>
      </c>
      <c r="AD10" s="6">
        <f>SUM(Data!F40:F47)</f>
        <v>648.33999999999992</v>
      </c>
      <c r="AE10" s="6">
        <f>SUM(Data!I40:I45)</f>
        <v>442.95000000000005</v>
      </c>
      <c r="AF10" s="335">
        <f t="shared" si="9"/>
        <v>1091.29</v>
      </c>
      <c r="AG10" s="15">
        <f t="shared" si="0"/>
        <v>-95.549999999999955</v>
      </c>
      <c r="AH10" s="25">
        <f t="shared" si="5"/>
        <v>-95.549999999999727</v>
      </c>
      <c r="AI10" s="25">
        <f t="shared" si="6"/>
        <v>-90</v>
      </c>
      <c r="AJ10" s="25">
        <f t="shared" si="7"/>
        <v>-90</v>
      </c>
      <c r="AK10" s="6">
        <f t="shared" si="10"/>
        <v>-2.2737367544323206E-13</v>
      </c>
      <c r="AL10" s="354">
        <f t="shared" si="11"/>
        <v>0</v>
      </c>
      <c r="AM10" s="6">
        <f t="shared" si="12"/>
        <v>-3569.6099999999979</v>
      </c>
      <c r="AN10" s="6">
        <f t="shared" si="13"/>
        <v>-3569.6099999999979</v>
      </c>
      <c r="AO10" s="6">
        <f t="shared" si="14"/>
        <v>-3558.54</v>
      </c>
      <c r="AP10" s="6">
        <f t="shared" si="15"/>
        <v>0</v>
      </c>
      <c r="AQ10" s="335">
        <f t="shared" si="16"/>
        <v>11.06999999999789</v>
      </c>
      <c r="AR10" s="15">
        <f t="shared" si="1"/>
        <v>-69.589999999998327</v>
      </c>
      <c r="AS10" s="25">
        <f t="shared" si="17"/>
        <v>5.5499999999999545</v>
      </c>
      <c r="AT10" s="25">
        <f t="shared" si="18"/>
        <v>5.5499999999997272</v>
      </c>
      <c r="AU10" s="350">
        <f t="shared" si="2"/>
        <v>1.8310363155096938E-2</v>
      </c>
      <c r="AV10" s="350">
        <f t="shared" si="19"/>
        <v>6.1666666666666162E-2</v>
      </c>
      <c r="AW10" s="350">
        <f t="shared" si="8"/>
        <v>1.8144249258546647E-2</v>
      </c>
      <c r="AX10" s="356">
        <f t="shared" si="20"/>
        <v>2.379630302911904E-15</v>
      </c>
      <c r="BP10" s="121">
        <f t="shared" si="3"/>
        <v>0.2</v>
      </c>
    </row>
    <row r="11" spans="2:68">
      <c r="B11" s="65">
        <v>44136</v>
      </c>
      <c r="C11" s="6">
        <f>SUM(Data!C50:C54)</f>
        <v>458.92</v>
      </c>
      <c r="D11" s="334">
        <f>Data!Q55</f>
        <v>3437.1099999999979</v>
      </c>
      <c r="E11" s="6">
        <f>Data!Q53</f>
        <v>476.14999999999799</v>
      </c>
      <c r="F11" s="6">
        <f>Data!Q54</f>
        <v>2960.96</v>
      </c>
      <c r="G11" s="6"/>
      <c r="H11" s="6"/>
      <c r="I11" s="6"/>
      <c r="J11" s="6"/>
      <c r="K11" s="334">
        <f>Data!U55</f>
        <v>3373.57</v>
      </c>
      <c r="L11" s="6">
        <f>Data!U53</f>
        <v>500.48</v>
      </c>
      <c r="M11" s="6"/>
      <c r="N11" s="6">
        <f>Data!U54</f>
        <v>2873.09</v>
      </c>
      <c r="O11" s="6"/>
      <c r="P11" s="6"/>
      <c r="Q11" s="6"/>
      <c r="R11" s="335">
        <f t="shared" si="4"/>
        <v>885.92999999999984</v>
      </c>
      <c r="S11" s="25">
        <v>60</v>
      </c>
      <c r="T11" s="25">
        <v>350</v>
      </c>
      <c r="U11" s="25">
        <v>300</v>
      </c>
      <c r="V11" s="25">
        <v>50</v>
      </c>
      <c r="W11" s="25"/>
      <c r="X11" s="25"/>
      <c r="Y11" s="25"/>
      <c r="Z11" s="334">
        <f>Data!F51</f>
        <v>48.47</v>
      </c>
      <c r="AA11" s="6">
        <f>Data!F50</f>
        <v>280.55</v>
      </c>
      <c r="AB11" s="6">
        <f>Data!I50-Data!C52</f>
        <v>340</v>
      </c>
      <c r="AC11" s="6">
        <f>SUM(Data!I51:I54)</f>
        <v>37.959999999999994</v>
      </c>
      <c r="AD11" s="6">
        <f>SUM(Data!F50:F53)</f>
        <v>494.02</v>
      </c>
      <c r="AE11" s="6">
        <f>SUM(Data!I50:I54)</f>
        <v>397.96000000000004</v>
      </c>
      <c r="AF11" s="335">
        <f t="shared" si="9"/>
        <v>891.98</v>
      </c>
      <c r="AG11" s="15">
        <f t="shared" si="0"/>
        <v>-433.06</v>
      </c>
      <c r="AH11" s="25">
        <f t="shared" si="5"/>
        <v>-433.0600000000004</v>
      </c>
      <c r="AI11" s="25">
        <f t="shared" si="6"/>
        <v>-427.00999999999982</v>
      </c>
      <c r="AJ11" s="25">
        <f t="shared" si="7"/>
        <v>-427.00999999999976</v>
      </c>
      <c r="AK11" s="6">
        <f t="shared" si="10"/>
        <v>0</v>
      </c>
      <c r="AL11" s="354">
        <f t="shared" si="11"/>
        <v>0</v>
      </c>
      <c r="AM11" s="6">
        <f t="shared" si="12"/>
        <v>-337.51000000000005</v>
      </c>
      <c r="AN11" s="6">
        <f t="shared" si="13"/>
        <v>-337.51000000000067</v>
      </c>
      <c r="AO11" s="6">
        <f t="shared" si="14"/>
        <v>-337.00999999999976</v>
      </c>
      <c r="AP11" s="6">
        <f t="shared" si="15"/>
        <v>-6.2527760746888816E-13</v>
      </c>
      <c r="AQ11" s="335">
        <f t="shared" si="16"/>
        <v>0.50000000000090949</v>
      </c>
      <c r="AR11" s="15">
        <f t="shared" si="1"/>
        <v>-63.53999999999769</v>
      </c>
      <c r="AS11" s="25">
        <f t="shared" si="17"/>
        <v>6.0500000000001819</v>
      </c>
      <c r="AT11" s="25">
        <f t="shared" si="18"/>
        <v>6.0500000000006366</v>
      </c>
      <c r="AU11" s="350">
        <f t="shared" si="2"/>
        <v>1.8834646976347812E-2</v>
      </c>
      <c r="AV11" s="350">
        <f>ABS(AS11/AI11)</f>
        <v>1.4168286456992071E-2</v>
      </c>
      <c r="AW11" s="350">
        <f t="shared" si="8"/>
        <v>1.865892979849228E-2</v>
      </c>
      <c r="AX11" s="356">
        <f t="shared" si="20"/>
        <v>9.1881940614615979E-16</v>
      </c>
      <c r="BP11" s="121">
        <f t="shared" si="3"/>
        <v>0.2</v>
      </c>
    </row>
    <row r="12" spans="2:68">
      <c r="B12" s="65">
        <v>44166</v>
      </c>
      <c r="C12" s="6">
        <f>SUM(Data!C57:C65)</f>
        <v>703.92000000000007</v>
      </c>
      <c r="D12" s="334">
        <f>Data!Q66</f>
        <v>2359.0599999999981</v>
      </c>
      <c r="E12" s="6">
        <f>Data!Q64</f>
        <v>218.09999999999803</v>
      </c>
      <c r="F12" s="6">
        <f>Data!Q65</f>
        <v>2140.96</v>
      </c>
      <c r="G12" s="6"/>
      <c r="H12" s="6"/>
      <c r="I12" s="6"/>
      <c r="J12" s="6"/>
      <c r="K12" s="334">
        <f>Data!U66</f>
        <v>2303.56</v>
      </c>
      <c r="L12" s="6">
        <f>Data!U64</f>
        <v>244.43</v>
      </c>
      <c r="M12" s="6"/>
      <c r="N12" s="6">
        <f>Data!U65</f>
        <v>2059.13</v>
      </c>
      <c r="O12" s="6"/>
      <c r="P12" s="6"/>
      <c r="Q12" s="6"/>
      <c r="R12" s="335">
        <f t="shared" si="4"/>
        <v>1773.9300000000003</v>
      </c>
      <c r="S12" s="25">
        <v>60</v>
      </c>
      <c r="T12" s="25">
        <v>350</v>
      </c>
      <c r="U12" s="25">
        <v>300</v>
      </c>
      <c r="V12" s="25">
        <v>100</v>
      </c>
      <c r="W12" s="25"/>
      <c r="X12" s="25"/>
      <c r="Y12" s="25"/>
      <c r="Z12" s="334">
        <f>Data!F58</f>
        <v>82.66</v>
      </c>
      <c r="AA12" s="6">
        <f>Data!F57</f>
        <v>269</v>
      </c>
      <c r="AB12" s="6">
        <f>Data!I57-Data!C62</f>
        <v>590</v>
      </c>
      <c r="AC12" s="6">
        <f>SUM(Data!I58:I60)</f>
        <v>36.97</v>
      </c>
      <c r="AD12" s="6">
        <f>SUM(Data!F57:F65)</f>
        <v>1115</v>
      </c>
      <c r="AE12" s="6">
        <f>SUM(Data!I57:I60)</f>
        <v>666.97</v>
      </c>
      <c r="AF12" s="335">
        <f t="shared" si="9"/>
        <v>1781.97</v>
      </c>
      <c r="AG12" s="15">
        <f t="shared" si="0"/>
        <v>-1078.05</v>
      </c>
      <c r="AH12" s="25">
        <f t="shared" si="5"/>
        <v>-1078.0499999999997</v>
      </c>
      <c r="AI12" s="25">
        <f t="shared" si="6"/>
        <v>-1070.0100000000002</v>
      </c>
      <c r="AJ12" s="25">
        <f t="shared" si="7"/>
        <v>-1070.0100000000002</v>
      </c>
      <c r="AK12" s="6">
        <f t="shared" si="10"/>
        <v>0</v>
      </c>
      <c r="AL12" s="354">
        <f t="shared" si="11"/>
        <v>0</v>
      </c>
      <c r="AM12" s="6">
        <f t="shared" si="12"/>
        <v>-644.99</v>
      </c>
      <c r="AN12" s="6">
        <f t="shared" si="13"/>
        <v>-644.98999999999933</v>
      </c>
      <c r="AO12" s="6">
        <f t="shared" si="14"/>
        <v>-643.00000000000045</v>
      </c>
      <c r="AP12" s="6">
        <f t="shared" si="15"/>
        <v>0</v>
      </c>
      <c r="AQ12" s="335">
        <f t="shared" si="16"/>
        <v>1.9899999999988722</v>
      </c>
      <c r="AR12" s="15">
        <f t="shared" si="1"/>
        <v>-55.499999999998181</v>
      </c>
      <c r="AS12" s="25">
        <f t="shared" si="17"/>
        <v>8.0399999999997362</v>
      </c>
      <c r="AT12" s="25">
        <f t="shared" si="18"/>
        <v>8.0399999999995089</v>
      </c>
      <c r="AU12" s="350">
        <f t="shared" si="2"/>
        <v>2.409314278768436E-2</v>
      </c>
      <c r="AV12" s="350">
        <f t="shared" si="19"/>
        <v>7.5139484677710809E-3</v>
      </c>
      <c r="AW12" s="350">
        <f t="shared" si="8"/>
        <v>2.3806357798833361E-2</v>
      </c>
      <c r="AX12" s="356">
        <f t="shared" si="20"/>
        <v>2.1091199428897743E-16</v>
      </c>
      <c r="BP12" s="121">
        <f t="shared" si="3"/>
        <v>0.15985023041474641</v>
      </c>
    </row>
    <row r="13" spans="2:68">
      <c r="B13" s="65">
        <v>44197</v>
      </c>
      <c r="C13" s="6">
        <f>SUM(Data!C68:C73)</f>
        <v>720</v>
      </c>
      <c r="D13" s="334">
        <f>Data!Q74</f>
        <v>1667.1199999999981</v>
      </c>
      <c r="E13" s="6">
        <f>Data!Q72</f>
        <v>126.15999999999798</v>
      </c>
      <c r="F13" s="6">
        <f>Data!Q73</f>
        <v>1540.96</v>
      </c>
      <c r="G13" s="6"/>
      <c r="H13" s="6"/>
      <c r="I13" s="6"/>
      <c r="J13" s="6"/>
      <c r="K13" s="334">
        <f>Data!U74</f>
        <v>1604.65</v>
      </c>
      <c r="L13" s="6">
        <f>Data!U72</f>
        <v>127.49</v>
      </c>
      <c r="M13" s="6"/>
      <c r="N13" s="6">
        <f>Data!U73</f>
        <v>1477.16</v>
      </c>
      <c r="O13" s="6"/>
      <c r="P13" s="6"/>
      <c r="Q13" s="6"/>
      <c r="R13" s="335">
        <f t="shared" si="4"/>
        <v>1418.9099999999999</v>
      </c>
      <c r="S13" s="25">
        <v>60</v>
      </c>
      <c r="T13" s="25">
        <v>350</v>
      </c>
      <c r="U13" s="25">
        <v>250</v>
      </c>
      <c r="V13" s="25">
        <v>50</v>
      </c>
      <c r="W13" s="25"/>
      <c r="X13" s="25"/>
      <c r="Y13" s="25"/>
      <c r="Z13" s="334">
        <f>Data!F71</f>
        <v>28.43</v>
      </c>
      <c r="AA13" s="6">
        <f>Data!F68</f>
        <v>249.27000000000004</v>
      </c>
      <c r="AB13" s="6">
        <f>Data!I68-Data!C72</f>
        <v>655</v>
      </c>
      <c r="AC13" s="6">
        <f>SUM(Data!I69:I73)</f>
        <v>105.23999999999998</v>
      </c>
      <c r="AD13" s="6">
        <f>SUM(Data!F68:F73)</f>
        <v>531.70000000000005</v>
      </c>
      <c r="AE13" s="6">
        <f>SUM(Data!I68:I73)</f>
        <v>880.24</v>
      </c>
      <c r="AF13" s="335">
        <f t="shared" si="9"/>
        <v>1411.94</v>
      </c>
      <c r="AG13" s="15">
        <f t="shared" si="0"/>
        <v>-691.94</v>
      </c>
      <c r="AH13" s="25">
        <f t="shared" si="5"/>
        <v>-691.94</v>
      </c>
      <c r="AI13" s="25">
        <f t="shared" si="6"/>
        <v>-698.90999999999985</v>
      </c>
      <c r="AJ13" s="25">
        <f t="shared" si="7"/>
        <v>-698.90999999999985</v>
      </c>
      <c r="AK13" s="6">
        <f t="shared" si="10"/>
        <v>0</v>
      </c>
      <c r="AL13" s="354">
        <f t="shared" si="11"/>
        <v>0</v>
      </c>
      <c r="AM13" s="6">
        <f t="shared" si="12"/>
        <v>386.1099999999999</v>
      </c>
      <c r="AN13" s="6">
        <f t="shared" si="13"/>
        <v>386.10999999999967</v>
      </c>
      <c r="AO13" s="6">
        <f t="shared" si="14"/>
        <v>371.10000000000036</v>
      </c>
      <c r="AP13" s="6">
        <f t="shared" si="15"/>
        <v>0</v>
      </c>
      <c r="AQ13" s="335">
        <f t="shared" si="16"/>
        <v>-15.009999999999309</v>
      </c>
      <c r="AR13" s="15">
        <f t="shared" si="1"/>
        <v>-62.469999999997981</v>
      </c>
      <c r="AS13" s="25">
        <f t="shared" si="17"/>
        <v>-6.9699999999997999</v>
      </c>
      <c r="AT13" s="25">
        <f t="shared" si="18"/>
        <v>-6.9699999999997999</v>
      </c>
      <c r="AU13" s="350">
        <f t="shared" si="2"/>
        <v>3.8930607920729117E-2</v>
      </c>
      <c r="AV13" s="350">
        <f t="shared" si="19"/>
        <v>9.9726717316962147E-3</v>
      </c>
      <c r="AW13" s="350">
        <f t="shared" si="8"/>
        <v>3.8187280890770448E-2</v>
      </c>
      <c r="AX13" s="356">
        <f t="shared" si="20"/>
        <v>0</v>
      </c>
      <c r="BP13" s="121">
        <f t="shared" si="3"/>
        <v>0.2</v>
      </c>
    </row>
    <row r="14" spans="2:68">
      <c r="B14" s="65">
        <v>44228</v>
      </c>
      <c r="C14" s="6">
        <f>SUM(Data!C76:C81)</f>
        <v>120</v>
      </c>
      <c r="D14" s="334">
        <f>Data!Q82</f>
        <v>698.05999999999813</v>
      </c>
      <c r="E14" s="6">
        <f>Data!Q80</f>
        <v>57.099999999998033</v>
      </c>
      <c r="F14" s="6">
        <f>Data!Q81</f>
        <v>640.96</v>
      </c>
      <c r="G14" s="6"/>
      <c r="H14" s="6"/>
      <c r="I14" s="6"/>
      <c r="J14" s="6"/>
      <c r="K14" s="334">
        <f>Data!U82</f>
        <v>649.4</v>
      </c>
      <c r="L14" s="6">
        <f>Data!U80</f>
        <v>64.22999999999999</v>
      </c>
      <c r="M14" s="6"/>
      <c r="N14" s="6">
        <f>Data!U81</f>
        <v>585.16999999999996</v>
      </c>
      <c r="O14" s="6"/>
      <c r="P14" s="6"/>
      <c r="Q14" s="6"/>
      <c r="R14" s="335">
        <f t="shared" si="4"/>
        <v>1075.25</v>
      </c>
      <c r="S14" s="25">
        <v>60</v>
      </c>
      <c r="T14" s="25">
        <v>250</v>
      </c>
      <c r="U14" s="25">
        <v>300</v>
      </c>
      <c r="V14" s="25">
        <v>60</v>
      </c>
      <c r="W14" s="25"/>
      <c r="X14" s="25"/>
      <c r="Y14" s="25"/>
      <c r="Z14" s="334">
        <f>Data!F77</f>
        <v>55.980000000000004</v>
      </c>
      <c r="AA14" s="6">
        <f>Data!F76</f>
        <v>218.02</v>
      </c>
      <c r="AB14" s="6">
        <f>Data!I76-Data!C81</f>
        <v>480</v>
      </c>
      <c r="AC14" s="6">
        <f>SUM(Data!I77:I81)</f>
        <v>52.11</v>
      </c>
      <c r="AD14" s="6">
        <f>SUM(Data!F76:F80)</f>
        <v>436.95</v>
      </c>
      <c r="AE14" s="6">
        <f>SUM(Data!I76:I81)</f>
        <v>652.11</v>
      </c>
      <c r="AF14" s="335">
        <f t="shared" si="9"/>
        <v>1089.06</v>
      </c>
      <c r="AG14" s="15">
        <f t="shared" si="0"/>
        <v>-969.06</v>
      </c>
      <c r="AH14" s="25">
        <f t="shared" si="5"/>
        <v>-969.06</v>
      </c>
      <c r="AI14" s="25">
        <f t="shared" si="6"/>
        <v>-955.25</v>
      </c>
      <c r="AJ14" s="25">
        <f t="shared" si="7"/>
        <v>-955.25000000000011</v>
      </c>
      <c r="AK14" s="6">
        <f t="shared" si="10"/>
        <v>0</v>
      </c>
      <c r="AL14" s="354">
        <f t="shared" si="11"/>
        <v>0</v>
      </c>
      <c r="AM14" s="6">
        <f t="shared" si="12"/>
        <v>-277.11999999999989</v>
      </c>
      <c r="AN14" s="6">
        <f t="shared" si="13"/>
        <v>-277.11999999999989</v>
      </c>
      <c r="AO14" s="6">
        <f t="shared" si="14"/>
        <v>-256.34000000000026</v>
      </c>
      <c r="AP14" s="6">
        <f t="shared" si="15"/>
        <v>0</v>
      </c>
      <c r="AQ14" s="335">
        <f t="shared" si="16"/>
        <v>20.779999999999632</v>
      </c>
      <c r="AR14" s="15">
        <f t="shared" si="1"/>
        <v>-48.659999999998149</v>
      </c>
      <c r="AS14" s="25">
        <f t="shared" si="17"/>
        <v>13.809999999999945</v>
      </c>
      <c r="AT14" s="25">
        <f t="shared" si="18"/>
        <v>13.809999999999832</v>
      </c>
      <c r="AU14" s="350">
        <f t="shared" si="2"/>
        <v>7.4930705266396905E-2</v>
      </c>
      <c r="AV14" s="350">
        <f t="shared" si="19"/>
        <v>1.445694844281596E-2</v>
      </c>
      <c r="AW14" s="350">
        <f t="shared" si="8"/>
        <v>7.2224778472085568E-2</v>
      </c>
      <c r="AX14" s="356">
        <f t="shared" si="20"/>
        <v>0</v>
      </c>
      <c r="BP14" s="121">
        <f t="shared" si="3"/>
        <v>0.19225602528644764</v>
      </c>
    </row>
    <row r="15" spans="2:68">
      <c r="B15" s="65">
        <v>44256</v>
      </c>
      <c r="C15" s="6">
        <f>SUM(Data!C84:C90)</f>
        <v>1507.95</v>
      </c>
      <c r="D15" s="334">
        <f>Data!Q91</f>
        <v>1048.5199999999982</v>
      </c>
      <c r="E15" s="6">
        <f>Data!Q89</f>
        <v>457.55999999999807</v>
      </c>
      <c r="F15" s="6">
        <f>Data!Q90</f>
        <v>590.96</v>
      </c>
      <c r="G15" s="6"/>
      <c r="H15" s="6"/>
      <c r="I15" s="6"/>
      <c r="J15" s="6"/>
      <c r="K15" s="334">
        <f>Data!U91</f>
        <v>998.88</v>
      </c>
      <c r="L15" s="6">
        <f>Data!U89</f>
        <v>459.71000000000004</v>
      </c>
      <c r="M15" s="6"/>
      <c r="N15" s="6">
        <f>Data!U90</f>
        <v>539.16999999999996</v>
      </c>
      <c r="O15" s="6"/>
      <c r="P15" s="6"/>
      <c r="Q15" s="6"/>
      <c r="R15" s="335">
        <f t="shared" si="4"/>
        <v>1158.47</v>
      </c>
      <c r="S15" s="25">
        <v>60</v>
      </c>
      <c r="T15" s="25">
        <v>300</v>
      </c>
      <c r="U15" s="25">
        <v>150</v>
      </c>
      <c r="V15" s="25">
        <v>60</v>
      </c>
      <c r="W15" s="25"/>
      <c r="X15" s="25"/>
      <c r="Y15" s="25"/>
      <c r="Z15" s="334">
        <f>Data!F85</f>
        <v>53.58</v>
      </c>
      <c r="AA15" s="6">
        <f>Data!F84</f>
        <v>195.14999999999998</v>
      </c>
      <c r="AB15" s="6">
        <f>Data!I85</f>
        <v>300</v>
      </c>
      <c r="AC15" s="6">
        <f>Data!I84+SUM(Data!I86:I90)</f>
        <v>453.76</v>
      </c>
      <c r="AD15" s="6">
        <f>SUM(Data!F84:F87)</f>
        <v>403.72999999999996</v>
      </c>
      <c r="AE15" s="6">
        <f>SUM(Data!I84:I90)</f>
        <v>753.76</v>
      </c>
      <c r="AF15" s="335">
        <f t="shared" si="9"/>
        <v>1157.49</v>
      </c>
      <c r="AG15" s="15">
        <f t="shared" si="0"/>
        <v>350.46000000000004</v>
      </c>
      <c r="AH15" s="25">
        <f t="shared" si="5"/>
        <v>350.46000000000004</v>
      </c>
      <c r="AI15" s="25">
        <f t="shared" si="6"/>
        <v>349.48</v>
      </c>
      <c r="AJ15" s="25">
        <f t="shared" si="7"/>
        <v>349.48</v>
      </c>
      <c r="AK15" s="6">
        <f t="shared" si="10"/>
        <v>0</v>
      </c>
      <c r="AL15" s="354">
        <f t="shared" si="11"/>
        <v>0</v>
      </c>
      <c r="AM15" s="6">
        <f t="shared" si="12"/>
        <v>1319.52</v>
      </c>
      <c r="AN15" s="6">
        <f t="shared" si="13"/>
        <v>1319.52</v>
      </c>
      <c r="AO15" s="6">
        <f t="shared" si="14"/>
        <v>1304.73</v>
      </c>
      <c r="AP15" s="6">
        <f t="shared" si="15"/>
        <v>0</v>
      </c>
      <c r="AQ15" s="335">
        <f t="shared" si="16"/>
        <v>-14.789999999999964</v>
      </c>
      <c r="AR15" s="15">
        <f t="shared" si="1"/>
        <v>-49.639999999998167</v>
      </c>
      <c r="AS15" s="25">
        <f t="shared" si="17"/>
        <v>-0.98000000000001819</v>
      </c>
      <c r="AT15" s="25">
        <f t="shared" si="18"/>
        <v>-0.98000000000001819</v>
      </c>
      <c r="AU15" s="350">
        <f t="shared" si="2"/>
        <v>4.9695659138232991E-2</v>
      </c>
      <c r="AV15" s="350">
        <f t="shared" si="19"/>
        <v>2.8041661897677066E-3</v>
      </c>
      <c r="AW15" s="350">
        <f t="shared" si="8"/>
        <v>4.8490768779914241E-2</v>
      </c>
      <c r="AX15" s="356">
        <f t="shared" si="20"/>
        <v>0</v>
      </c>
      <c r="BP15" s="121">
        <f t="shared" si="3"/>
        <v>0.2</v>
      </c>
    </row>
    <row r="16" spans="2:68">
      <c r="B16" s="65">
        <v>44287</v>
      </c>
      <c r="C16" s="6">
        <f>SUM(Data!C93:C99)</f>
        <v>300</v>
      </c>
      <c r="D16" s="334">
        <f>Data!Q100</f>
        <v>426.56999999999806</v>
      </c>
      <c r="E16" s="6">
        <f>Data!Q98</f>
        <v>156.60999999999802</v>
      </c>
      <c r="F16" s="6">
        <f>Data!Q99</f>
        <v>269.96000000000004</v>
      </c>
      <c r="G16" s="6"/>
      <c r="H16" s="6"/>
      <c r="I16" s="6"/>
      <c r="J16" s="6"/>
      <c r="K16" s="334">
        <f>Data!U100</f>
        <v>400.4</v>
      </c>
      <c r="L16" s="6">
        <f>Data!U98</f>
        <v>174.23</v>
      </c>
      <c r="M16" s="6"/>
      <c r="N16" s="6">
        <f>Data!U99</f>
        <v>226.17000000000002</v>
      </c>
      <c r="O16" s="6">
        <f>Data!AD99</f>
        <v>18</v>
      </c>
      <c r="P16" s="6"/>
      <c r="Q16" s="6"/>
      <c r="R16" s="335">
        <f t="shared" si="4"/>
        <v>898.48</v>
      </c>
      <c r="S16" s="25">
        <v>60</v>
      </c>
      <c r="T16" s="25">
        <v>250</v>
      </c>
      <c r="U16" s="25">
        <v>200</v>
      </c>
      <c r="V16" s="25">
        <v>60</v>
      </c>
      <c r="W16" s="25"/>
      <c r="X16" s="25"/>
      <c r="Y16" s="25"/>
      <c r="Z16" s="334">
        <f>Data!F94</f>
        <v>70.930000000000007</v>
      </c>
      <c r="AA16" s="6">
        <f>Data!F93</f>
        <v>250.29000000000002</v>
      </c>
      <c r="AB16" s="6">
        <f>Data!I93</f>
        <v>305</v>
      </c>
      <c r="AC16" s="6">
        <f>SUM(Data!I94:I99)</f>
        <v>92.73</v>
      </c>
      <c r="AD16" s="6">
        <f>SUM(Data!F93:F98)</f>
        <v>524.22</v>
      </c>
      <c r="AE16" s="6">
        <f>SUM(Data!I93:I99)</f>
        <v>397.73</v>
      </c>
      <c r="AF16" s="335">
        <f t="shared" si="9"/>
        <v>921.95</v>
      </c>
      <c r="AG16" s="15">
        <f t="shared" si="0"/>
        <v>-621.95000000000005</v>
      </c>
      <c r="AH16" s="25">
        <f t="shared" si="5"/>
        <v>-621.95000000000005</v>
      </c>
      <c r="AI16" s="25">
        <f t="shared" si="6"/>
        <v>-598.48</v>
      </c>
      <c r="AJ16" s="25">
        <f t="shared" si="7"/>
        <v>-598.48</v>
      </c>
      <c r="AK16" s="6">
        <f t="shared" si="10"/>
        <v>0</v>
      </c>
      <c r="AL16" s="354">
        <f t="shared" si="11"/>
        <v>0</v>
      </c>
      <c r="AM16" s="6">
        <f t="shared" si="12"/>
        <v>-972.41000000000008</v>
      </c>
      <c r="AN16" s="6">
        <f t="shared" si="13"/>
        <v>-972.41000000000008</v>
      </c>
      <c r="AO16" s="6">
        <f t="shared" si="14"/>
        <v>-947.96</v>
      </c>
      <c r="AP16" s="6">
        <f t="shared" si="15"/>
        <v>0</v>
      </c>
      <c r="AQ16" s="335">
        <f t="shared" si="16"/>
        <v>24.450000000000045</v>
      </c>
      <c r="AR16" s="15">
        <f t="shared" si="1"/>
        <v>-26.169999999998083</v>
      </c>
      <c r="AS16" s="25">
        <f t="shared" si="17"/>
        <v>23.470000000000027</v>
      </c>
      <c r="AT16" s="25">
        <f t="shared" si="18"/>
        <v>23.470000000000027</v>
      </c>
      <c r="AU16" s="350">
        <f t="shared" si="2"/>
        <v>6.5359640359635582E-2</v>
      </c>
      <c r="AV16" s="350">
        <f t="shared" si="19"/>
        <v>3.9216013901884818E-2</v>
      </c>
      <c r="AW16" s="350">
        <f t="shared" si="8"/>
        <v>6.3291292308059896E-2</v>
      </c>
      <c r="AX16" s="356">
        <f t="shared" si="20"/>
        <v>0</v>
      </c>
      <c r="BP16" s="121">
        <f t="shared" si="3"/>
        <v>0.2</v>
      </c>
    </row>
    <row r="17" spans="2:75">
      <c r="B17" s="65">
        <v>44317</v>
      </c>
      <c r="C17" s="6">
        <f>SUM(Data!C102:C109)</f>
        <v>3513.2799999999997</v>
      </c>
      <c r="D17" s="334">
        <f>Data!Q110</f>
        <v>2958.9499999999975</v>
      </c>
      <c r="E17" s="6">
        <f>Data!Q108</f>
        <v>868.98999999999751</v>
      </c>
      <c r="F17" s="6">
        <f>Data!Q109</f>
        <v>2089.96</v>
      </c>
      <c r="G17" s="6"/>
      <c r="H17" s="6"/>
      <c r="I17" s="6"/>
      <c r="J17" s="6"/>
      <c r="K17" s="334">
        <f>Data!U110</f>
        <v>2941.7300000000005</v>
      </c>
      <c r="L17" s="6">
        <f>Data!U108</f>
        <v>889.55</v>
      </c>
      <c r="M17" s="6"/>
      <c r="N17" s="6">
        <f>Data!U109</f>
        <v>2052.1800000000003</v>
      </c>
      <c r="O17" s="6">
        <f>Data!AD109</f>
        <v>36.69</v>
      </c>
      <c r="P17" s="6"/>
      <c r="Q17" s="6"/>
      <c r="R17" s="335">
        <f t="shared" si="4"/>
        <v>971.94999999999936</v>
      </c>
      <c r="S17" s="25">
        <v>100</v>
      </c>
      <c r="T17" s="25">
        <v>250</v>
      </c>
      <c r="U17" s="25">
        <v>200</v>
      </c>
      <c r="V17" s="25">
        <v>60</v>
      </c>
      <c r="W17" s="25"/>
      <c r="X17" s="25"/>
      <c r="Y17" s="25"/>
      <c r="Z17" s="334">
        <f>Data!F103</f>
        <v>145.55000000000001</v>
      </c>
      <c r="AA17" s="6">
        <f>Data!F102</f>
        <v>263.29000000000002</v>
      </c>
      <c r="AB17" s="6">
        <f>Data!I102</f>
        <v>320</v>
      </c>
      <c r="AC17" s="6">
        <f>SUM(Data!I103:I108)</f>
        <v>87.06</v>
      </c>
      <c r="AD17" s="6">
        <f>SUM(Data!F102:F107)</f>
        <v>573.84</v>
      </c>
      <c r="AE17" s="6">
        <f>SUM(Data!I102:I108)</f>
        <v>407.06</v>
      </c>
      <c r="AF17" s="335">
        <f t="shared" si="9"/>
        <v>980.90000000000009</v>
      </c>
      <c r="AG17" s="15">
        <f t="shared" si="0"/>
        <v>2532.3799999999997</v>
      </c>
      <c r="AH17" s="25">
        <f t="shared" si="5"/>
        <v>2532.3799999999997</v>
      </c>
      <c r="AI17" s="25">
        <f t="shared" si="6"/>
        <v>2541.3300000000004</v>
      </c>
      <c r="AJ17" s="25">
        <f t="shared" si="7"/>
        <v>2541.3300000000004</v>
      </c>
      <c r="AK17" s="6">
        <f t="shared" si="10"/>
        <v>0</v>
      </c>
      <c r="AL17" s="354">
        <f t="shared" si="11"/>
        <v>0</v>
      </c>
      <c r="AM17" s="6">
        <f t="shared" si="12"/>
        <v>3154.33</v>
      </c>
      <c r="AN17" s="6">
        <f t="shared" si="13"/>
        <v>3154.33</v>
      </c>
      <c r="AO17" s="6">
        <f t="shared" si="14"/>
        <v>3139.8100000000004</v>
      </c>
      <c r="AP17" s="6">
        <f t="shared" si="15"/>
        <v>0</v>
      </c>
      <c r="AQ17" s="335">
        <f t="shared" si="16"/>
        <v>-14.519999999999527</v>
      </c>
      <c r="AR17" s="15">
        <f t="shared" si="1"/>
        <v>-17.219999999997071</v>
      </c>
      <c r="AS17" s="25">
        <f t="shared" si="17"/>
        <v>8.9500000000007276</v>
      </c>
      <c r="AT17" s="25">
        <f t="shared" si="18"/>
        <v>8.9500000000007276</v>
      </c>
      <c r="AU17" s="350">
        <f t="shared" si="2"/>
        <v>5.8536983339725493E-3</v>
      </c>
      <c r="AV17" s="350">
        <f t="shared" si="19"/>
        <v>3.521777966655541E-3</v>
      </c>
      <c r="AW17" s="350">
        <f t="shared" si="8"/>
        <v>5.8366154409312402E-3</v>
      </c>
      <c r="AX17" s="356">
        <f t="shared" si="20"/>
        <v>0</v>
      </c>
      <c r="BP17" s="121">
        <f t="shared" si="3"/>
        <v>0.13920776071138577</v>
      </c>
    </row>
    <row r="18" spans="2:75">
      <c r="B18" s="65">
        <v>44348</v>
      </c>
      <c r="C18" s="6">
        <f>SUM(Data!C112:C118)</f>
        <v>2925</v>
      </c>
      <c r="D18" s="334">
        <f>Data!Q119</f>
        <v>3999.2899999999972</v>
      </c>
      <c r="E18" s="6">
        <f>Data!Q117</f>
        <v>1089.3299999999974</v>
      </c>
      <c r="F18" s="6">
        <f>Data!Q118</f>
        <v>2909.96</v>
      </c>
      <c r="G18" s="6"/>
      <c r="H18" s="6"/>
      <c r="I18" s="6"/>
      <c r="J18" s="6"/>
      <c r="K18" s="334">
        <f>Data!U119</f>
        <v>3978.31</v>
      </c>
      <c r="L18" s="6">
        <f>Data!U117</f>
        <v>1100.0900000000001</v>
      </c>
      <c r="M18" s="6"/>
      <c r="N18" s="6">
        <f>Data!U118</f>
        <v>2878.22</v>
      </c>
      <c r="O18" s="6">
        <f>Data!AD118</f>
        <v>46.39</v>
      </c>
      <c r="P18" s="6"/>
      <c r="Q18" s="6"/>
      <c r="R18" s="335">
        <f t="shared" si="4"/>
        <v>1888.4200000000005</v>
      </c>
      <c r="S18" s="25">
        <v>160</v>
      </c>
      <c r="T18" s="25">
        <v>300</v>
      </c>
      <c r="U18" s="25">
        <v>400</v>
      </c>
      <c r="V18" s="25">
        <v>80</v>
      </c>
      <c r="W18" s="25"/>
      <c r="X18" s="25"/>
      <c r="Y18" s="25"/>
      <c r="Z18" s="334">
        <f>Data!F113</f>
        <v>160.44</v>
      </c>
      <c r="AA18" s="6">
        <f>Data!F112</f>
        <v>307.92</v>
      </c>
      <c r="AB18" s="6">
        <f>Data!I112</f>
        <v>510</v>
      </c>
      <c r="AC18" s="6">
        <f>SUM(Data!I113:I118)</f>
        <v>195.07000000000002</v>
      </c>
      <c r="AD18" s="6">
        <f>SUM(Data!F112:F117)</f>
        <v>1179.5900000000001</v>
      </c>
      <c r="AE18" s="6">
        <f>SUM(Data!I112:I118)</f>
        <v>705.06999999999994</v>
      </c>
      <c r="AF18" s="335">
        <f t="shared" si="9"/>
        <v>1884.66</v>
      </c>
      <c r="AG18" s="15">
        <f t="shared" si="0"/>
        <v>1040.3399999999999</v>
      </c>
      <c r="AH18" s="25">
        <f t="shared" si="5"/>
        <v>1040.3399999999997</v>
      </c>
      <c r="AI18" s="25">
        <f t="shared" si="6"/>
        <v>1036.5799999999995</v>
      </c>
      <c r="AJ18" s="25">
        <f t="shared" si="7"/>
        <v>1036.5799999999995</v>
      </c>
      <c r="AK18" s="6">
        <f t="shared" si="10"/>
        <v>0</v>
      </c>
      <c r="AL18" s="354">
        <f t="shared" si="11"/>
        <v>0</v>
      </c>
      <c r="AM18" s="6">
        <f t="shared" si="12"/>
        <v>-1492.0399999999997</v>
      </c>
      <c r="AN18" s="6">
        <f t="shared" si="13"/>
        <v>-1492.04</v>
      </c>
      <c r="AO18" s="6">
        <f t="shared" si="14"/>
        <v>-1504.7500000000009</v>
      </c>
      <c r="AP18" s="6">
        <f t="shared" si="15"/>
        <v>0</v>
      </c>
      <c r="AQ18" s="335">
        <f t="shared" si="16"/>
        <v>-12.710000000000946</v>
      </c>
      <c r="AR18" s="15">
        <f t="shared" si="1"/>
        <v>-20.97999999999729</v>
      </c>
      <c r="AS18" s="25">
        <f t="shared" si="17"/>
        <v>-3.7600000000004457</v>
      </c>
      <c r="AT18" s="25">
        <f t="shared" si="18"/>
        <v>-3.7600000000002183</v>
      </c>
      <c r="AU18" s="350">
        <f t="shared" si="2"/>
        <v>5.2735960747144614E-3</v>
      </c>
      <c r="AV18" s="350">
        <f t="shared" si="19"/>
        <v>3.6273128943260023E-3</v>
      </c>
      <c r="AW18" s="350">
        <f t="shared" si="8"/>
        <v>5.2597272362608551E-3</v>
      </c>
      <c r="AX18" s="356">
        <f t="shared" si="20"/>
        <v>2.1855708272606276E-16</v>
      </c>
      <c r="BP18" s="121">
        <f t="shared" si="3"/>
        <v>0.19372114496767912</v>
      </c>
    </row>
    <row r="19" spans="2:75">
      <c r="B19" s="65">
        <v>44378</v>
      </c>
      <c r="C19" s="6">
        <f>SUM(Data!C121:C125)</f>
        <v>3965</v>
      </c>
      <c r="D19" s="334">
        <f>Data!Q126</f>
        <v>6005.9299999999976</v>
      </c>
      <c r="E19" s="6">
        <f>Data!Q123</f>
        <v>1095.9699999999975</v>
      </c>
      <c r="F19" s="6">
        <f>Data!Q124</f>
        <v>3809.96</v>
      </c>
      <c r="G19" s="6">
        <f>Data!Q125</f>
        <v>1100</v>
      </c>
      <c r="H19" s="6"/>
      <c r="I19" s="6"/>
      <c r="J19" s="6"/>
      <c r="K19" s="334">
        <f>Data!U126</f>
        <v>5984.61</v>
      </c>
      <c r="L19" s="6">
        <f>Data!U123</f>
        <v>1102.3399999999999</v>
      </c>
      <c r="M19" s="6">
        <f>Data!U125</f>
        <v>1100</v>
      </c>
      <c r="N19" s="6">
        <f>Data!U124</f>
        <v>3782.27</v>
      </c>
      <c r="O19" s="6">
        <f>Data!AD124</f>
        <v>59.24</v>
      </c>
      <c r="P19" s="6"/>
      <c r="Q19" s="6"/>
      <c r="R19" s="335">
        <f t="shared" si="4"/>
        <v>1958.7000000000003</v>
      </c>
      <c r="S19" s="25">
        <v>160</v>
      </c>
      <c r="T19" s="25">
        <v>300</v>
      </c>
      <c r="U19" s="25">
        <v>350</v>
      </c>
      <c r="V19" s="25">
        <v>80</v>
      </c>
      <c r="W19" s="25"/>
      <c r="X19" s="25"/>
      <c r="Y19" s="25"/>
      <c r="Z19" s="334">
        <f>Data!F122</f>
        <v>147.30000000000001</v>
      </c>
      <c r="AA19" s="6">
        <f>Data!F121</f>
        <v>290.85000000000002</v>
      </c>
      <c r="AB19" s="6">
        <f>Data!I121</f>
        <v>450</v>
      </c>
      <c r="AC19" s="6">
        <f>SUM(Data!I122:I125)</f>
        <v>205.21</v>
      </c>
      <c r="AD19" s="6">
        <f>SUM(Data!F121:F125)</f>
        <v>1303.1500000000001</v>
      </c>
      <c r="AE19" s="6">
        <f>SUM(Data!I121:I125)</f>
        <v>655.20999999999992</v>
      </c>
      <c r="AF19" s="335">
        <f t="shared" si="9"/>
        <v>1958.3600000000001</v>
      </c>
      <c r="AG19" s="15">
        <f t="shared" si="0"/>
        <v>2006.6399999999999</v>
      </c>
      <c r="AH19" s="25">
        <f t="shared" si="5"/>
        <v>2006.6400000000003</v>
      </c>
      <c r="AI19" s="25">
        <f t="shared" si="6"/>
        <v>2006.2999999999997</v>
      </c>
      <c r="AJ19" s="25">
        <f t="shared" si="7"/>
        <v>2006.2999999999997</v>
      </c>
      <c r="AK19" s="6">
        <f t="shared" si="10"/>
        <v>0</v>
      </c>
      <c r="AL19" s="354">
        <f t="shared" si="11"/>
        <v>0</v>
      </c>
      <c r="AM19" s="6">
        <f t="shared" si="12"/>
        <v>966.3</v>
      </c>
      <c r="AN19" s="6">
        <f t="shared" si="13"/>
        <v>966.30000000000064</v>
      </c>
      <c r="AO19" s="6">
        <f t="shared" si="14"/>
        <v>969.72000000000025</v>
      </c>
      <c r="AP19" s="6">
        <f t="shared" si="15"/>
        <v>0</v>
      </c>
      <c r="AQ19" s="335">
        <f t="shared" si="16"/>
        <v>3.419999999999618</v>
      </c>
      <c r="AR19" s="15">
        <f t="shared" si="1"/>
        <v>-21.31999999999789</v>
      </c>
      <c r="AS19" s="25">
        <f t="shared" si="17"/>
        <v>-0.34000000000014552</v>
      </c>
      <c r="AT19" s="25">
        <f t="shared" si="18"/>
        <v>-0.34000000000060027</v>
      </c>
      <c r="AU19" s="350">
        <f t="shared" si="2"/>
        <v>3.5624710716317173E-3</v>
      </c>
      <c r="AV19" s="350">
        <f t="shared" si="19"/>
        <v>1.6946618152825877E-4</v>
      </c>
      <c r="AW19" s="350">
        <f t="shared" si="8"/>
        <v>3.5561367544744266E-3</v>
      </c>
      <c r="AX19" s="356">
        <f t="shared" si="20"/>
        <v>2.2662129275129774E-16</v>
      </c>
      <c r="BP19" s="121">
        <f t="shared" si="3"/>
        <v>2.6294820717090262E-2</v>
      </c>
    </row>
    <row r="20" spans="2:75">
      <c r="B20" s="65">
        <v>44409</v>
      </c>
      <c r="C20" s="6">
        <f>SUM(Data!C129:C134)</f>
        <v>3065</v>
      </c>
      <c r="D20" s="334">
        <f>Data!Q135</f>
        <v>6793.159999999998</v>
      </c>
      <c r="E20" s="6">
        <f>Data!Q132</f>
        <v>563.19999999999754</v>
      </c>
      <c r="F20" s="6">
        <f>Data!Q133</f>
        <v>4229.96</v>
      </c>
      <c r="G20" s="6">
        <f>Data!Q134</f>
        <v>2000</v>
      </c>
      <c r="H20" s="6"/>
      <c r="I20" s="6"/>
      <c r="J20" s="6"/>
      <c r="K20" s="334">
        <f>Data!U135</f>
        <v>6797.52</v>
      </c>
      <c r="L20" s="6">
        <f>Data!U132</f>
        <v>587.19000000000005</v>
      </c>
      <c r="M20" s="6">
        <f>Data!U134</f>
        <v>2000</v>
      </c>
      <c r="N20" s="6">
        <f>Data!U133</f>
        <v>4210.33</v>
      </c>
      <c r="O20" s="6">
        <f>Data!AD133</f>
        <v>67.73</v>
      </c>
      <c r="P20" s="6"/>
      <c r="Q20" s="6"/>
      <c r="R20" s="335">
        <f t="shared" si="4"/>
        <v>2252.0899999999992</v>
      </c>
      <c r="S20" s="25">
        <v>160</v>
      </c>
      <c r="T20" s="25">
        <v>300</v>
      </c>
      <c r="U20" s="25">
        <v>300</v>
      </c>
      <c r="V20" s="25">
        <v>120</v>
      </c>
      <c r="W20" s="25"/>
      <c r="X20" s="25"/>
      <c r="Y20" s="25"/>
      <c r="Z20" s="334">
        <f>Data!F129</f>
        <v>188.83999999999997</v>
      </c>
      <c r="AA20" s="6">
        <f>Data!F128</f>
        <v>305.31</v>
      </c>
      <c r="AB20" s="6">
        <f>Data!I128</f>
        <v>390</v>
      </c>
      <c r="AC20" s="6">
        <f>SUM(Data!I129:I134)</f>
        <v>280.20999999999998</v>
      </c>
      <c r="AD20" s="6">
        <f>SUM(Data!F128:F133)</f>
        <v>1587.56</v>
      </c>
      <c r="AE20" s="25">
        <f>SUM(Data!I128:I134)</f>
        <v>670.20999999999992</v>
      </c>
      <c r="AF20" s="335">
        <f t="shared" si="9"/>
        <v>2257.77</v>
      </c>
      <c r="AG20" s="15">
        <f t="shared" si="0"/>
        <v>807.23</v>
      </c>
      <c r="AH20" s="25">
        <f t="shared" si="5"/>
        <v>787.23000000000047</v>
      </c>
      <c r="AI20" s="25">
        <f t="shared" si="6"/>
        <v>812.91000000000076</v>
      </c>
      <c r="AJ20" s="25">
        <f t="shared" si="7"/>
        <v>812.91000000000076</v>
      </c>
      <c r="AK20" s="6">
        <f t="shared" si="10"/>
        <v>19.999999999999545</v>
      </c>
      <c r="AL20" s="354">
        <f t="shared" si="11"/>
        <v>0</v>
      </c>
      <c r="AM20" s="6">
        <f t="shared" si="12"/>
        <v>-1199.4099999999999</v>
      </c>
      <c r="AN20" s="6">
        <f t="shared" si="13"/>
        <v>-1219.4099999999999</v>
      </c>
      <c r="AO20" s="6">
        <f t="shared" si="14"/>
        <v>-1193.389999999999</v>
      </c>
      <c r="AP20" s="6">
        <f t="shared" si="15"/>
        <v>-20</v>
      </c>
      <c r="AQ20" s="335">
        <f t="shared" si="16"/>
        <v>26.020000000000891</v>
      </c>
      <c r="AR20" s="15">
        <f t="shared" si="1"/>
        <v>4.3600000000024011</v>
      </c>
      <c r="AS20" s="25">
        <f t="shared" si="17"/>
        <v>5.6800000000007458</v>
      </c>
      <c r="AT20" s="25">
        <f t="shared" si="18"/>
        <v>25.680000000000291</v>
      </c>
      <c r="AU20" s="350">
        <f t="shared" si="2"/>
        <v>6.4141039673327929E-4</v>
      </c>
      <c r="AV20" s="350">
        <f t="shared" si="19"/>
        <v>6.9872433602744958E-3</v>
      </c>
      <c r="AW20" s="350">
        <f t="shared" si="8"/>
        <v>6.4161616637319128E-4</v>
      </c>
      <c r="AX20" s="356">
        <f t="shared" si="20"/>
        <v>2.5086863264051202E-2</v>
      </c>
      <c r="BP20" s="121">
        <f t="shared" si="3"/>
        <v>5.2466907340589695E-2</v>
      </c>
    </row>
    <row r="21" spans="2:75">
      <c r="B21" s="65">
        <v>44440</v>
      </c>
      <c r="C21" s="6">
        <f>SUM(Data!C137:C141)</f>
        <v>3000</v>
      </c>
      <c r="D21" s="334">
        <f>Data!Q142</f>
        <v>7868.2599999999975</v>
      </c>
      <c r="E21" s="6">
        <f>Data!Q139</f>
        <v>638.29999999999745</v>
      </c>
      <c r="F21" s="6">
        <f>Data!Q140</f>
        <v>4729.96</v>
      </c>
      <c r="G21" s="6">
        <f>Data!Q141</f>
        <v>2500</v>
      </c>
      <c r="H21" s="6"/>
      <c r="I21" s="6"/>
      <c r="J21" s="6"/>
      <c r="K21" s="334">
        <f>Data!U142</f>
        <v>7862.1299999999992</v>
      </c>
      <c r="L21" s="6">
        <f>Data!U139</f>
        <v>643.74</v>
      </c>
      <c r="M21" s="6">
        <f>Data!U141</f>
        <v>2500</v>
      </c>
      <c r="N21" s="6">
        <f>Data!U140</f>
        <v>4718.3899999999994</v>
      </c>
      <c r="O21" s="6">
        <f>Data!AD140</f>
        <v>102.59</v>
      </c>
      <c r="P21" s="6"/>
      <c r="Q21" s="6"/>
      <c r="R21" s="335">
        <f t="shared" si="4"/>
        <v>1935.3900000000012</v>
      </c>
      <c r="S21" s="25">
        <v>160</v>
      </c>
      <c r="T21" s="25">
        <v>300</v>
      </c>
      <c r="U21" s="25">
        <v>300</v>
      </c>
      <c r="V21" s="25">
        <v>120</v>
      </c>
      <c r="W21" s="25"/>
      <c r="X21" s="25"/>
      <c r="Y21" s="25"/>
      <c r="Z21" s="334">
        <f>Data!F138</f>
        <v>155.61000000000001</v>
      </c>
      <c r="AA21" s="6">
        <f>Data!F137</f>
        <v>396.15999999999991</v>
      </c>
      <c r="AB21" s="6">
        <f>Data!I137</f>
        <v>338</v>
      </c>
      <c r="AC21" s="6">
        <f>SUM(Data!I138:I141)</f>
        <v>30.130000000000003</v>
      </c>
      <c r="AD21" s="6">
        <f>SUM(Data!F137:F141)</f>
        <v>1556.77</v>
      </c>
      <c r="AE21" s="6">
        <f>SUM(Data!I137:I141)</f>
        <v>368.13</v>
      </c>
      <c r="AF21" s="335">
        <f t="shared" si="9"/>
        <v>1924.9</v>
      </c>
      <c r="AG21" s="15">
        <f t="shared" si="0"/>
        <v>1075.0999999999999</v>
      </c>
      <c r="AH21" s="25">
        <f t="shared" si="5"/>
        <v>1075.0999999999995</v>
      </c>
      <c r="AI21" s="25">
        <f t="shared" si="6"/>
        <v>1064.6099999999988</v>
      </c>
      <c r="AJ21" s="25">
        <f t="shared" si="7"/>
        <v>1064.6099999999988</v>
      </c>
      <c r="AK21" s="6">
        <f t="shared" si="10"/>
        <v>0</v>
      </c>
      <c r="AL21" s="354">
        <f t="shared" si="11"/>
        <v>0</v>
      </c>
      <c r="AM21" s="6">
        <f t="shared" si="12"/>
        <v>267.86999999999989</v>
      </c>
      <c r="AN21" s="6">
        <f t="shared" si="13"/>
        <v>287.86999999999898</v>
      </c>
      <c r="AO21" s="6">
        <f t="shared" si="14"/>
        <v>251.699999999998</v>
      </c>
      <c r="AP21" s="6">
        <f t="shared" si="15"/>
        <v>19.999999999999091</v>
      </c>
      <c r="AQ21" s="335">
        <f t="shared" si="16"/>
        <v>-36.170000000000982</v>
      </c>
      <c r="AR21" s="15">
        <f t="shared" si="1"/>
        <v>-6.1299999999982901</v>
      </c>
      <c r="AS21" s="25">
        <f t="shared" si="17"/>
        <v>-10.490000000001146</v>
      </c>
      <c r="AT21" s="25">
        <f t="shared" si="18"/>
        <v>-10.490000000000691</v>
      </c>
      <c r="AU21" s="350">
        <f t="shared" si="2"/>
        <v>7.7968692962317979E-4</v>
      </c>
      <c r="AV21" s="350">
        <f t="shared" si="19"/>
        <v>9.853373535849896E-3</v>
      </c>
      <c r="AW21" s="350">
        <f t="shared" si="8"/>
        <v>7.7938309221809398E-4</v>
      </c>
      <c r="AX21" s="356">
        <f t="shared" si="20"/>
        <v>4.2298144441118432E-16</v>
      </c>
      <c r="BP21" s="121">
        <f t="shared" si="3"/>
        <v>1.8405644798075299E-2</v>
      </c>
      <c r="BT21">
        <f>6/30</f>
        <v>0.2</v>
      </c>
      <c r="BU21">
        <f>BT21*1000</f>
        <v>200</v>
      </c>
      <c r="BW21">
        <f ca="1">Health!N32</f>
        <v>147.65</v>
      </c>
    </row>
    <row r="22" spans="2:75">
      <c r="B22" s="65">
        <v>44470</v>
      </c>
      <c r="C22" s="6">
        <f>SUM(Data!C144:C150)</f>
        <v>3140</v>
      </c>
      <c r="D22" s="334">
        <f>Data!Q151</f>
        <v>8916.6699999999983</v>
      </c>
      <c r="E22" s="6">
        <f>Data!Q148</f>
        <v>666.70999999999731</v>
      </c>
      <c r="F22" s="6">
        <f>Data!Q149</f>
        <v>5249.96</v>
      </c>
      <c r="G22" s="6">
        <f>Data!Q150</f>
        <v>3000</v>
      </c>
      <c r="H22" s="6"/>
      <c r="I22" s="6"/>
      <c r="J22" s="6"/>
      <c r="K22" s="334">
        <f>Data!U151</f>
        <v>8946.91</v>
      </c>
      <c r="L22" s="6">
        <f>Data!Q148</f>
        <v>666.70999999999731</v>
      </c>
      <c r="M22" s="6">
        <f>Data!U150</f>
        <v>3000</v>
      </c>
      <c r="N22" s="6">
        <f>Data!U149</f>
        <v>5249.46</v>
      </c>
      <c r="O22" s="6">
        <f>Data!AD149</f>
        <v>5.89</v>
      </c>
      <c r="P22" s="6"/>
      <c r="Q22" s="6"/>
      <c r="R22" s="335">
        <f t="shared" si="4"/>
        <v>2055.2199999999993</v>
      </c>
      <c r="S22" s="25">
        <v>160</v>
      </c>
      <c r="T22" s="25">
        <v>300</v>
      </c>
      <c r="U22" s="25">
        <v>300</v>
      </c>
      <c r="V22" s="25">
        <v>200</v>
      </c>
      <c r="W22" s="25"/>
      <c r="X22" s="25"/>
      <c r="Y22" s="25"/>
      <c r="Z22" s="334">
        <f>Data!F145</f>
        <v>163.82999999999998</v>
      </c>
      <c r="AA22" s="6">
        <f>Data!F144</f>
        <v>273.86</v>
      </c>
      <c r="AB22" s="6">
        <f>Data!I144</f>
        <v>300</v>
      </c>
      <c r="AC22" s="6">
        <f>SUM(Data!I145:I150)</f>
        <v>368.9</v>
      </c>
      <c r="AD22" s="6">
        <f>SUM(Data!F144:F150)</f>
        <v>1422.69</v>
      </c>
      <c r="AE22" s="6">
        <f>SUM(Data!I144:I150)</f>
        <v>668.9</v>
      </c>
      <c r="AF22" s="335">
        <f t="shared" si="9"/>
        <v>2091.59</v>
      </c>
      <c r="AG22" s="15">
        <f t="shared" si="0"/>
        <v>1048.4099999999999</v>
      </c>
      <c r="AH22" s="25">
        <f t="shared" si="5"/>
        <v>1048.4100000000008</v>
      </c>
      <c r="AI22" s="25">
        <f t="shared" si="6"/>
        <v>1084.7800000000007</v>
      </c>
      <c r="AJ22" s="25">
        <f t="shared" si="7"/>
        <v>1084.7800000000007</v>
      </c>
      <c r="AK22" s="6">
        <f t="shared" si="10"/>
        <v>0</v>
      </c>
      <c r="AL22" s="354">
        <f t="shared" si="11"/>
        <v>0</v>
      </c>
      <c r="AM22" s="6">
        <f t="shared" si="12"/>
        <v>-26.690000000000055</v>
      </c>
      <c r="AN22" s="6">
        <f t="shared" si="13"/>
        <v>-26.68999999999869</v>
      </c>
      <c r="AO22" s="6">
        <f t="shared" si="14"/>
        <v>20.170000000001892</v>
      </c>
      <c r="AP22" s="6">
        <f t="shared" si="15"/>
        <v>1.3642420526593924E-12</v>
      </c>
      <c r="AQ22" s="335">
        <f t="shared" si="16"/>
        <v>46.860000000000582</v>
      </c>
      <c r="AR22" s="15">
        <f t="shared" si="1"/>
        <v>30.240000000001601</v>
      </c>
      <c r="AS22" s="25">
        <f t="shared" si="17"/>
        <v>36.3700000000008</v>
      </c>
      <c r="AT22" s="25">
        <f t="shared" si="18"/>
        <v>36.369999999999891</v>
      </c>
      <c r="AU22" s="350">
        <f t="shared" si="2"/>
        <v>3.3799378779938104E-3</v>
      </c>
      <c r="AV22" s="350">
        <f t="shared" si="19"/>
        <v>3.3527535537160327E-2</v>
      </c>
      <c r="AW22" s="350">
        <f t="shared" si="8"/>
        <v>3.3856595374501196E-3</v>
      </c>
      <c r="AX22" s="356">
        <f t="shared" si="20"/>
        <v>8.6749907171138006E-16</v>
      </c>
      <c r="BP22" s="121">
        <f t="shared" si="3"/>
        <v>0.13487957181088231</v>
      </c>
      <c r="BT22">
        <f>19/31</f>
        <v>0.61290322580645162</v>
      </c>
      <c r="BU22">
        <f t="shared" ref="BU22:BU60" si="21">BT22*1000</f>
        <v>612.90322580645159</v>
      </c>
      <c r="BW22">
        <f ca="1">Health!N33</f>
        <v>148.9</v>
      </c>
    </row>
    <row r="23" spans="2:75">
      <c r="B23" s="65">
        <v>44501</v>
      </c>
      <c r="C23" s="6">
        <f>SUM(Data!C153:C160)</f>
        <v>3000</v>
      </c>
      <c r="D23" s="334">
        <f>Data!Q161</f>
        <v>9629.7299999999977</v>
      </c>
      <c r="E23" s="6">
        <f>Data!Q158</f>
        <v>379.76999999999748</v>
      </c>
      <c r="F23" s="6">
        <f>Data!Q159</f>
        <v>5749.96</v>
      </c>
      <c r="G23" s="6">
        <f>Data!Q160</f>
        <v>3500</v>
      </c>
      <c r="H23" s="6"/>
      <c r="I23" s="6"/>
      <c r="J23" s="6"/>
      <c r="K23" s="334">
        <f>Data!U161</f>
        <v>9667.27</v>
      </c>
      <c r="L23" s="6">
        <f>Data!U158</f>
        <v>409.73</v>
      </c>
      <c r="M23" s="6">
        <f>Data!U160</f>
        <v>3500</v>
      </c>
      <c r="N23" s="6">
        <f>Data!U159</f>
        <v>5757.54</v>
      </c>
      <c r="O23" s="6">
        <f>Data!AD159</f>
        <v>31.89</v>
      </c>
      <c r="P23" s="6"/>
      <c r="Q23" s="6"/>
      <c r="R23" s="335">
        <f t="shared" si="4"/>
        <v>2279.6399999999994</v>
      </c>
      <c r="S23" s="25">
        <v>160</v>
      </c>
      <c r="T23" s="25">
        <v>300</v>
      </c>
      <c r="U23" s="25">
        <v>250</v>
      </c>
      <c r="V23" s="25">
        <v>200</v>
      </c>
      <c r="W23" s="25"/>
      <c r="X23" s="25"/>
      <c r="Y23" s="25"/>
      <c r="Z23" s="334">
        <f>Data!F154</f>
        <v>153.47000000000003</v>
      </c>
      <c r="AA23" s="6">
        <f>Data!F153</f>
        <v>405.91999999999996</v>
      </c>
      <c r="AB23" s="6">
        <f>Data!I153</f>
        <v>260</v>
      </c>
      <c r="AC23" s="6">
        <f>SUM(Data!I154:I160)</f>
        <v>171.55000000000004</v>
      </c>
      <c r="AD23" s="6">
        <f>SUM(Data!F153:F160)</f>
        <v>1855.3899999999999</v>
      </c>
      <c r="AE23" s="6">
        <f>SUM(Data!I153:I160)</f>
        <v>431.55</v>
      </c>
      <c r="AF23" s="335">
        <f t="shared" si="9"/>
        <v>2286.94</v>
      </c>
      <c r="AG23" s="15">
        <f t="shared" si="0"/>
        <v>713.06</v>
      </c>
      <c r="AH23" s="25">
        <f t="shared" si="5"/>
        <v>713.05999999999949</v>
      </c>
      <c r="AI23" s="25">
        <f t="shared" si="6"/>
        <v>720.36000000000058</v>
      </c>
      <c r="AJ23" s="25">
        <f t="shared" si="7"/>
        <v>720.36000000000058</v>
      </c>
      <c r="AK23" s="6">
        <f t="shared" si="10"/>
        <v>0</v>
      </c>
      <c r="AL23" s="354">
        <f t="shared" si="11"/>
        <v>0</v>
      </c>
      <c r="AM23" s="6">
        <f t="shared" si="12"/>
        <v>-335.34999999999991</v>
      </c>
      <c r="AN23" s="6">
        <f t="shared" si="13"/>
        <v>-335.35000000000127</v>
      </c>
      <c r="AO23" s="6">
        <f t="shared" si="14"/>
        <v>-364.42000000000007</v>
      </c>
      <c r="AP23" s="6">
        <f t="shared" si="15"/>
        <v>-1.3642420526593924E-12</v>
      </c>
      <c r="AQ23" s="335">
        <f t="shared" si="16"/>
        <v>-29.069999999998799</v>
      </c>
      <c r="AR23" s="15">
        <f t="shared" si="1"/>
        <v>37.540000000002692</v>
      </c>
      <c r="AS23" s="25">
        <f t="shared" si="17"/>
        <v>7.3000000000006366</v>
      </c>
      <c r="AT23" s="25">
        <f t="shared" si="18"/>
        <v>7.3000000000010914</v>
      </c>
      <c r="AU23" s="350">
        <f t="shared" si="2"/>
        <v>3.8832059102520866E-3</v>
      </c>
      <c r="AV23" s="350">
        <f t="shared" si="19"/>
        <v>1.0133821977900815E-2</v>
      </c>
      <c r="AW23" s="350">
        <f t="shared" si="8"/>
        <v>3.8907602217964133E-3</v>
      </c>
      <c r="AX23" s="356">
        <f t="shared" si="20"/>
        <v>6.3774065420366352E-16</v>
      </c>
      <c r="BP23" s="121">
        <f t="shared" si="3"/>
        <v>0.19830956154251725</v>
      </c>
      <c r="BT23">
        <f>19/30</f>
        <v>0.6333333333333333</v>
      </c>
      <c r="BU23">
        <f t="shared" si="21"/>
        <v>633.33333333333326</v>
      </c>
      <c r="BW23">
        <f ca="1">Health!N34</f>
        <v>152.96</v>
      </c>
    </row>
    <row r="24" spans="2:75">
      <c r="B24" s="65">
        <v>44531</v>
      </c>
      <c r="C24" s="6">
        <f>SUM(Data!C163:C171)</f>
        <v>4870</v>
      </c>
      <c r="D24" s="334">
        <f>Data!Q172</f>
        <v>11743.839999999997</v>
      </c>
      <c r="E24" s="6">
        <f>Data!Q169</f>
        <v>493.87999999999738</v>
      </c>
      <c r="F24" s="6">
        <f>Data!Q170</f>
        <v>6749.96</v>
      </c>
      <c r="G24" s="6">
        <f>Data!Q171</f>
        <v>4500</v>
      </c>
      <c r="H24" s="6"/>
      <c r="I24" s="6"/>
      <c r="J24" s="6"/>
      <c r="K24" s="334">
        <f>Data!U172</f>
        <v>11781.54</v>
      </c>
      <c r="L24" s="6">
        <f>Data!U169</f>
        <v>519.91</v>
      </c>
      <c r="M24" s="6">
        <f>Data!U171</f>
        <v>4500</v>
      </c>
      <c r="N24" s="6">
        <f>Data!U170</f>
        <v>6761.63</v>
      </c>
      <c r="O24" s="6">
        <f>Data!AD170</f>
        <v>48.42</v>
      </c>
      <c r="P24" s="6"/>
      <c r="Q24" s="6"/>
      <c r="R24" s="335">
        <f t="shared" si="4"/>
        <v>2755.7299999999996</v>
      </c>
      <c r="S24" s="25">
        <v>160</v>
      </c>
      <c r="T24" s="25">
        <v>300</v>
      </c>
      <c r="U24" s="25">
        <v>200</v>
      </c>
      <c r="V24" s="25">
        <v>200</v>
      </c>
      <c r="W24" s="25"/>
      <c r="X24" s="25"/>
      <c r="Y24" s="25"/>
      <c r="Z24" s="334">
        <f>Data!F164</f>
        <v>181.01999999999998</v>
      </c>
      <c r="AA24" s="6">
        <f>Data!F163</f>
        <v>451.51</v>
      </c>
      <c r="AB24" s="6">
        <f>Data!I163</f>
        <v>140</v>
      </c>
      <c r="AC24" s="6">
        <f>SUM(Data!I164:I171)</f>
        <v>86.34</v>
      </c>
      <c r="AD24" s="6">
        <f>SUM(Data!F163:F171)</f>
        <v>2529.5500000000002</v>
      </c>
      <c r="AE24" s="6">
        <f>SUM(Data!I163:I171)</f>
        <v>226.34000000000003</v>
      </c>
      <c r="AF24" s="335">
        <f t="shared" ref="AF24:AF29" si="22">AD24+AE24</f>
        <v>2755.8900000000003</v>
      </c>
      <c r="AG24" s="15">
        <f t="shared" si="0"/>
        <v>2114.1099999999997</v>
      </c>
      <c r="AH24" s="25">
        <f t="shared" si="5"/>
        <v>2114.1099999999988</v>
      </c>
      <c r="AI24" s="25">
        <f t="shared" si="6"/>
        <v>2114.2700000000004</v>
      </c>
      <c r="AJ24" s="25">
        <f t="shared" si="7"/>
        <v>2114.2700000000004</v>
      </c>
      <c r="AK24" s="6">
        <f t="shared" si="10"/>
        <v>0</v>
      </c>
      <c r="AL24" s="354">
        <f t="shared" si="11"/>
        <v>0</v>
      </c>
      <c r="AM24" s="6">
        <f t="shared" si="12"/>
        <v>1401.0499999999997</v>
      </c>
      <c r="AN24" s="6">
        <f t="shared" si="13"/>
        <v>1401.0499999999993</v>
      </c>
      <c r="AO24" s="6">
        <f t="shared" si="14"/>
        <v>1393.9099999999999</v>
      </c>
      <c r="AP24" s="6">
        <f t="shared" si="15"/>
        <v>0</v>
      </c>
      <c r="AQ24" s="335">
        <f t="shared" si="16"/>
        <v>-7.1399999999994179</v>
      </c>
      <c r="AR24" s="15">
        <f t="shared" si="1"/>
        <v>37.700000000004366</v>
      </c>
      <c r="AS24" s="25">
        <f t="shared" si="17"/>
        <v>0.16000000000076398</v>
      </c>
      <c r="AT24" s="25">
        <f t="shared" si="18"/>
        <v>0.16000000000167347</v>
      </c>
      <c r="AU24" s="350">
        <f t="shared" si="2"/>
        <v>3.1999212327084884E-3</v>
      </c>
      <c r="AV24" s="350">
        <f t="shared" si="19"/>
        <v>7.5676238134563675E-5</v>
      </c>
      <c r="AW24" s="350">
        <f t="shared" si="8"/>
        <v>3.2050491851782518E-3</v>
      </c>
      <c r="AX24" s="356">
        <f t="shared" si="20"/>
        <v>4.3020216628885374E-16</v>
      </c>
      <c r="BP24" s="121">
        <f t="shared" si="3"/>
        <v>0.2</v>
      </c>
      <c r="BT24">
        <f>16/31</f>
        <v>0.5161290322580645</v>
      </c>
      <c r="BU24">
        <f t="shared" si="21"/>
        <v>516.12903225806451</v>
      </c>
      <c r="BW24">
        <f ca="1">Health!N35</f>
        <v>157.44999999999999</v>
      </c>
    </row>
    <row r="25" spans="2:75">
      <c r="B25" s="65">
        <v>44562</v>
      </c>
      <c r="C25" s="6">
        <f>SUM(Data!C175:C182)</f>
        <v>3000</v>
      </c>
      <c r="D25" s="334">
        <f>Data!Q183</f>
        <v>12613.769999999997</v>
      </c>
      <c r="E25" s="6">
        <f>Data!Q180</f>
        <v>563.80999999999744</v>
      </c>
      <c r="F25" s="6">
        <f>Data!Q181</f>
        <v>7149.96</v>
      </c>
      <c r="G25" s="6">
        <f>Data!Q182</f>
        <v>4900</v>
      </c>
      <c r="H25" s="6"/>
      <c r="I25" s="6"/>
      <c r="J25" s="6"/>
      <c r="K25" s="334">
        <f>Data!U183</f>
        <v>12636.22</v>
      </c>
      <c r="L25" s="6">
        <f>Data!U180</f>
        <v>568.53000000000009</v>
      </c>
      <c r="M25" s="6">
        <f>Data!U182</f>
        <v>4900</v>
      </c>
      <c r="N25" s="6">
        <f>Data!U181</f>
        <v>7167.69</v>
      </c>
      <c r="O25" s="6">
        <f>Data!AD181</f>
        <v>56.57</v>
      </c>
      <c r="P25" s="6"/>
      <c r="Q25" s="6"/>
      <c r="R25" s="335">
        <f t="shared" si="4"/>
        <v>2145.3200000000015</v>
      </c>
      <c r="S25" s="25">
        <v>160</v>
      </c>
      <c r="T25" s="25">
        <v>350</v>
      </c>
      <c r="U25" s="25">
        <v>100</v>
      </c>
      <c r="V25" s="25">
        <v>150</v>
      </c>
      <c r="W25" s="25"/>
      <c r="X25" s="25"/>
      <c r="Y25" s="25"/>
      <c r="Z25" s="334">
        <f>Data!F175</f>
        <v>200.76999999999998</v>
      </c>
      <c r="AA25" s="6">
        <f>Data!F174</f>
        <v>348.52000000000004</v>
      </c>
      <c r="AB25" s="6">
        <f>Data!I174</f>
        <v>110</v>
      </c>
      <c r="AC25" s="6">
        <f>SUM(Data!I175:I182)</f>
        <v>257.52999999999997</v>
      </c>
      <c r="AD25" s="6">
        <f>SUM(Data!F174:F182)</f>
        <v>1762.54</v>
      </c>
      <c r="AE25" s="6">
        <f>SUM(Data!I174:I182)</f>
        <v>367.53000000000003</v>
      </c>
      <c r="AF25" s="335">
        <f t="shared" si="22"/>
        <v>2130.0700000000002</v>
      </c>
      <c r="AG25" s="15">
        <f t="shared" si="0"/>
        <v>869.92999999999984</v>
      </c>
      <c r="AH25" s="25">
        <f t="shared" si="5"/>
        <v>869.93000000000029</v>
      </c>
      <c r="AI25" s="25">
        <f t="shared" si="6"/>
        <v>854.67999999999847</v>
      </c>
      <c r="AJ25" s="25">
        <f t="shared" si="7"/>
        <v>854.67999999999847</v>
      </c>
      <c r="AK25" s="6">
        <f t="shared" si="10"/>
        <v>0</v>
      </c>
      <c r="AL25" s="354">
        <f t="shared" si="11"/>
        <v>0</v>
      </c>
      <c r="AM25" s="6">
        <f t="shared" si="12"/>
        <v>-1244.1799999999998</v>
      </c>
      <c r="AN25" s="6">
        <f t="shared" si="13"/>
        <v>-1244.1799999999985</v>
      </c>
      <c r="AO25" s="6">
        <f t="shared" si="14"/>
        <v>-1259.590000000002</v>
      </c>
      <c r="AP25" s="6">
        <f t="shared" si="15"/>
        <v>0</v>
      </c>
      <c r="AQ25" s="335">
        <f t="shared" si="16"/>
        <v>-15.410000000003492</v>
      </c>
      <c r="AR25" s="15">
        <f t="shared" si="1"/>
        <v>22.450000000002547</v>
      </c>
      <c r="AS25" s="25">
        <f t="shared" si="17"/>
        <v>-15.250000000001364</v>
      </c>
      <c r="AT25" s="25">
        <f t="shared" si="18"/>
        <v>-15.250000000001819</v>
      </c>
      <c r="AU25" s="350">
        <f t="shared" si="2"/>
        <v>1.7766388999243879E-3</v>
      </c>
      <c r="AV25" s="350">
        <f>ABS(AS25/AI25)</f>
        <v>1.7842935367624598E-2</v>
      </c>
      <c r="AW25" s="350">
        <f t="shared" si="8"/>
        <v>1.7782185260273409E-3</v>
      </c>
      <c r="AX25" s="356">
        <f t="shared" si="20"/>
        <v>5.2274016402062708E-16</v>
      </c>
      <c r="BP25" s="121">
        <f t="shared" si="3"/>
        <v>9.0652130022212507E-2</v>
      </c>
      <c r="BT25">
        <f>16/31</f>
        <v>0.5161290322580645</v>
      </c>
      <c r="BU25">
        <f t="shared" si="21"/>
        <v>516.12903225806451</v>
      </c>
      <c r="BW25">
        <f ca="1">Health!N36</f>
        <v>160.6</v>
      </c>
    </row>
    <row r="26" spans="2:75">
      <c r="B26" s="65">
        <v>44593</v>
      </c>
      <c r="C26" s="6">
        <f>SUM(Data!C185:C191)</f>
        <v>3000</v>
      </c>
      <c r="D26" s="334">
        <f>Data!Q192</f>
        <v>13715.389999999998</v>
      </c>
      <c r="E26" s="6">
        <f>Data!Q189</f>
        <v>965.42999999999734</v>
      </c>
      <c r="F26" s="6">
        <f>Data!Q190</f>
        <v>7449.96</v>
      </c>
      <c r="G26" s="6">
        <f>Data!Q191</f>
        <v>5300</v>
      </c>
      <c r="H26" s="6"/>
      <c r="I26" s="6"/>
      <c r="J26" s="6"/>
      <c r="K26" s="334">
        <f>Data!U192</f>
        <v>13751.38</v>
      </c>
      <c r="L26" s="6">
        <f>Data!U189</f>
        <v>975.63999999999987</v>
      </c>
      <c r="M26" s="6">
        <f>Data!U191</f>
        <v>5300</v>
      </c>
      <c r="N26" s="6">
        <f>Data!U190</f>
        <v>7475.74</v>
      </c>
      <c r="O26" s="6">
        <f>Data!AD190</f>
        <v>62.06</v>
      </c>
      <c r="P26" s="6"/>
      <c r="Q26" s="6"/>
      <c r="R26" s="335">
        <f t="shared" si="4"/>
        <v>1884.8400000000001</v>
      </c>
      <c r="S26" s="25">
        <v>160</v>
      </c>
      <c r="T26" s="25">
        <v>350</v>
      </c>
      <c r="U26" s="25">
        <v>100</v>
      </c>
      <c r="V26" s="25">
        <v>150</v>
      </c>
      <c r="W26" s="25"/>
      <c r="X26" s="25"/>
      <c r="Y26" s="25"/>
      <c r="Z26" s="334">
        <f>Data!F186</f>
        <v>191.02999999999997</v>
      </c>
      <c r="AA26" s="6">
        <f>Data!F185</f>
        <v>307.10000000000002</v>
      </c>
      <c r="AB26" s="6">
        <f>Data!I185</f>
        <v>175</v>
      </c>
      <c r="AC26" s="6">
        <f>SUM(Data!I186:I191)</f>
        <v>114.25000000000001</v>
      </c>
      <c r="AD26" s="6">
        <f>SUM(Data!F185:F191)</f>
        <v>1609.13</v>
      </c>
      <c r="AE26" s="6">
        <f>SUM(Data!I185:I191)</f>
        <v>289.25</v>
      </c>
      <c r="AF26" s="335">
        <f t="shared" si="22"/>
        <v>1898.38</v>
      </c>
      <c r="AG26" s="15">
        <f t="shared" si="0"/>
        <v>1101.6199999999999</v>
      </c>
      <c r="AH26" s="25">
        <f t="shared" si="5"/>
        <v>1101.6200000000008</v>
      </c>
      <c r="AI26" s="25">
        <f t="shared" si="6"/>
        <v>1115.1599999999999</v>
      </c>
      <c r="AJ26" s="25">
        <f t="shared" si="7"/>
        <v>1115.1599999999999</v>
      </c>
      <c r="AK26" s="6">
        <f t="shared" si="10"/>
        <v>0</v>
      </c>
      <c r="AL26" s="354">
        <f t="shared" si="11"/>
        <v>0</v>
      </c>
      <c r="AM26" s="6">
        <f t="shared" si="12"/>
        <v>231.69000000000005</v>
      </c>
      <c r="AN26" s="6">
        <f t="shared" si="13"/>
        <v>231.69000000000051</v>
      </c>
      <c r="AO26" s="6">
        <f t="shared" si="14"/>
        <v>260.48000000000138</v>
      </c>
      <c r="AP26" s="6">
        <f t="shared" si="15"/>
        <v>4.5474735088646412E-13</v>
      </c>
      <c r="AQ26" s="335">
        <f t="shared" si="16"/>
        <v>28.790000000000873</v>
      </c>
      <c r="AR26" s="15">
        <f t="shared" si="1"/>
        <v>35.990000000001601</v>
      </c>
      <c r="AS26" s="25">
        <f t="shared" si="17"/>
        <v>13.539999999999964</v>
      </c>
      <c r="AT26" s="25">
        <f t="shared" si="18"/>
        <v>13.539999999999054</v>
      </c>
      <c r="AU26" s="350">
        <f t="shared" si="2"/>
        <v>2.6171918745610699E-3</v>
      </c>
      <c r="AV26" s="350">
        <f t="shared" si="19"/>
        <v>1.2141755443165075E-2</v>
      </c>
      <c r="AW26" s="350">
        <f t="shared" si="8"/>
        <v>2.6206212088280933E-3</v>
      </c>
      <c r="AX26" s="356">
        <f t="shared" si="20"/>
        <v>8.2559748531519756E-16</v>
      </c>
      <c r="BP26" s="121">
        <f t="shared" si="3"/>
        <v>0.14375873776712905</v>
      </c>
      <c r="BT26">
        <f>19/29</f>
        <v>0.65517241379310343</v>
      </c>
      <c r="BU26">
        <f t="shared" si="21"/>
        <v>655.17241379310337</v>
      </c>
      <c r="BW26">
        <f ca="1">Health!N37</f>
        <v>160.51999999999998</v>
      </c>
    </row>
    <row r="27" spans="2:75">
      <c r="B27" s="65">
        <v>44621</v>
      </c>
      <c r="C27" s="6">
        <f>SUM(Data!C194:C201)</f>
        <v>3200</v>
      </c>
      <c r="D27" s="334">
        <f>Data!Q202</f>
        <v>14195.839999999997</v>
      </c>
      <c r="E27" s="6">
        <f>Data!Q199</f>
        <v>745.87999999999715</v>
      </c>
      <c r="F27" s="6">
        <f>Data!Q200</f>
        <v>7749.96</v>
      </c>
      <c r="G27" s="6">
        <f>Data!Q201</f>
        <v>5700</v>
      </c>
      <c r="H27" s="6"/>
      <c r="I27" s="6"/>
      <c r="J27" s="6"/>
      <c r="K27" s="334">
        <f>Data!U202</f>
        <v>14238.869999999999</v>
      </c>
      <c r="L27" s="6">
        <f>Data!U199</f>
        <v>754.06999999999994</v>
      </c>
      <c r="M27" s="6">
        <f>Data!U201</f>
        <v>5700</v>
      </c>
      <c r="N27" s="6">
        <f>Data!U200</f>
        <v>7784.8</v>
      </c>
      <c r="O27" s="6">
        <f>Data!AD200</f>
        <v>64.040000000000006</v>
      </c>
      <c r="P27" s="6"/>
      <c r="Q27" s="6"/>
      <c r="R27" s="335">
        <f t="shared" si="4"/>
        <v>2712.51</v>
      </c>
      <c r="S27" s="25">
        <v>160</v>
      </c>
      <c r="T27" s="25">
        <v>350</v>
      </c>
      <c r="U27" s="25">
        <v>100</v>
      </c>
      <c r="V27" s="25">
        <v>150</v>
      </c>
      <c r="W27" s="25"/>
      <c r="X27" s="25"/>
      <c r="Y27" s="25"/>
      <c r="Z27" s="334">
        <f>Data!F195</f>
        <v>218.19000000000003</v>
      </c>
      <c r="AA27" s="6">
        <f>Data!F194</f>
        <v>564.87000000000012</v>
      </c>
      <c r="AB27" s="6">
        <f>Data!I194</f>
        <v>170</v>
      </c>
      <c r="AC27" s="6">
        <f>SUM(Data!I195:I201)</f>
        <v>671.49</v>
      </c>
      <c r="AD27" s="6">
        <f>SUM(Data!F194:F201)</f>
        <v>1878.0600000000002</v>
      </c>
      <c r="AE27" s="6">
        <f>SUM(Data!I194:I201)</f>
        <v>841.49</v>
      </c>
      <c r="AF27" s="335">
        <f t="shared" si="22"/>
        <v>2719.55</v>
      </c>
      <c r="AG27" s="15">
        <f t="shared" si="0"/>
        <v>480.44999999999982</v>
      </c>
      <c r="AH27" s="25">
        <f t="shared" si="5"/>
        <v>480.44999999999891</v>
      </c>
      <c r="AI27" s="25">
        <f t="shared" si="6"/>
        <v>487.48999999999978</v>
      </c>
      <c r="AJ27" s="25">
        <f t="shared" si="7"/>
        <v>487.48999999999978</v>
      </c>
      <c r="AK27" s="6">
        <f t="shared" si="10"/>
        <v>9.0949470177292824E-13</v>
      </c>
      <c r="AL27" s="354">
        <f t="shared" si="11"/>
        <v>0</v>
      </c>
      <c r="AM27" s="6">
        <f t="shared" si="12"/>
        <v>-621.17000000000007</v>
      </c>
      <c r="AN27" s="6">
        <f t="shared" si="13"/>
        <v>-621.17000000000189</v>
      </c>
      <c r="AO27" s="6">
        <f t="shared" si="14"/>
        <v>-627.67000000000007</v>
      </c>
      <c r="AP27" s="6">
        <f t="shared" si="15"/>
        <v>-1.8189894035458565E-12</v>
      </c>
      <c r="AQ27" s="335">
        <f t="shared" si="16"/>
        <v>-6.499999999998181</v>
      </c>
      <c r="AR27" s="15">
        <f t="shared" si="1"/>
        <v>43.030000000002474</v>
      </c>
      <c r="AS27" s="25">
        <f t="shared" si="17"/>
        <v>7.0399999999999636</v>
      </c>
      <c r="AT27" s="25">
        <f t="shared" si="18"/>
        <v>7.0400000000008731</v>
      </c>
      <c r="AU27" s="350">
        <f t="shared" si="2"/>
        <v>3.0220094712573734E-3</v>
      </c>
      <c r="AV27" s="350">
        <f t="shared" si="19"/>
        <v>1.4441321873269127E-2</v>
      </c>
      <c r="AW27" s="350">
        <f t="shared" si="8"/>
        <v>3.0265826519772828E-3</v>
      </c>
      <c r="AX27" s="356">
        <f t="shared" si="20"/>
        <v>1.8930059356289508E-15</v>
      </c>
      <c r="BP27" s="121">
        <f t="shared" si="3"/>
        <v>0.18471775059027959</v>
      </c>
      <c r="BT27">
        <f>19/31</f>
        <v>0.61290322580645162</v>
      </c>
      <c r="BU27">
        <f t="shared" si="21"/>
        <v>612.90322580645159</v>
      </c>
      <c r="BW27">
        <f ca="1">Health!N38</f>
        <v>162.4</v>
      </c>
    </row>
    <row r="28" spans="2:75">
      <c r="B28" s="65">
        <v>44652</v>
      </c>
      <c r="C28" s="6">
        <f>SUM(Data!C204:C212)</f>
        <v>3000</v>
      </c>
      <c r="D28" s="334">
        <f>Data!Q213</f>
        <v>10253.699999999997</v>
      </c>
      <c r="E28" s="6">
        <f>Data!Q210</f>
        <v>503.73999999999705</v>
      </c>
      <c r="F28" s="6">
        <f>Data!Q211</f>
        <v>3749.96</v>
      </c>
      <c r="G28" s="6">
        <f>Data!Q212</f>
        <v>6000</v>
      </c>
      <c r="H28" s="6"/>
      <c r="I28" s="6"/>
      <c r="J28" s="6"/>
      <c r="K28" s="334">
        <f>Data!U213</f>
        <v>10251.92</v>
      </c>
      <c r="L28" s="6">
        <f>Data!U210</f>
        <v>457.08000000000004</v>
      </c>
      <c r="M28" s="6">
        <f>Data!U212</f>
        <v>6000</v>
      </c>
      <c r="N28" s="6">
        <f>Data!U211</f>
        <v>3794.84</v>
      </c>
      <c r="O28" s="6">
        <f>Data!AD211</f>
        <v>54.47</v>
      </c>
      <c r="P28" s="6"/>
      <c r="Q28" s="6"/>
      <c r="R28" s="335">
        <f t="shared" si="4"/>
        <v>6986.9499999999989</v>
      </c>
      <c r="S28" s="25">
        <v>200</v>
      </c>
      <c r="T28" s="25">
        <v>400</v>
      </c>
      <c r="U28" s="25">
        <v>100</v>
      </c>
      <c r="V28" s="25">
        <v>150</v>
      </c>
      <c r="W28" s="25"/>
      <c r="X28" s="25"/>
      <c r="Y28" s="25"/>
      <c r="Z28" s="334">
        <f>Data!F205</f>
        <v>281.74</v>
      </c>
      <c r="AA28" s="6">
        <f>Data!F204</f>
        <v>383.9</v>
      </c>
      <c r="AB28" s="6">
        <f>Data!I204</f>
        <v>120</v>
      </c>
      <c r="AC28" s="6">
        <f>SUM(Data!I205:I212)</f>
        <v>300.01</v>
      </c>
      <c r="AD28" s="6">
        <f>SUM(Data!F204:F212)</f>
        <v>6522.13</v>
      </c>
      <c r="AE28" s="6">
        <f>SUM(Data!I204:I212)</f>
        <v>420.01</v>
      </c>
      <c r="AF28" s="335">
        <f t="shared" si="22"/>
        <v>6942.14</v>
      </c>
      <c r="AG28" s="15">
        <f t="shared" si="0"/>
        <v>-3942.1400000000003</v>
      </c>
      <c r="AH28" s="25">
        <f t="shared" si="5"/>
        <v>-3942.1399999999994</v>
      </c>
      <c r="AI28" s="25">
        <f t="shared" si="6"/>
        <v>-3986.9499999999989</v>
      </c>
      <c r="AJ28" s="25">
        <f t="shared" si="7"/>
        <v>-3986.9499999999989</v>
      </c>
      <c r="AK28" s="6">
        <f t="shared" si="10"/>
        <v>0</v>
      </c>
      <c r="AL28" s="354">
        <f t="shared" si="11"/>
        <v>0</v>
      </c>
      <c r="AM28" s="6">
        <f t="shared" si="12"/>
        <v>-4422.59</v>
      </c>
      <c r="AN28" s="6">
        <f t="shared" si="13"/>
        <v>-4422.5899999999983</v>
      </c>
      <c r="AO28" s="6">
        <f t="shared" si="14"/>
        <v>-4474.4399999999987</v>
      </c>
      <c r="AP28" s="6">
        <f t="shared" si="15"/>
        <v>0</v>
      </c>
      <c r="AQ28" s="335">
        <f t="shared" si="16"/>
        <v>-51.850000000000364</v>
      </c>
      <c r="AR28" s="15">
        <f t="shared" si="1"/>
        <v>-1.7799999999970169</v>
      </c>
      <c r="AS28" s="25">
        <f t="shared" si="17"/>
        <v>-44.809999999998581</v>
      </c>
      <c r="AT28" s="25">
        <f t="shared" si="18"/>
        <v>-44.809999999999491</v>
      </c>
      <c r="AU28" s="350">
        <f t="shared" si="2"/>
        <v>1.7362601346840561E-4</v>
      </c>
      <c r="AV28" s="350">
        <f t="shared" si="19"/>
        <v>1.1239167784897877E-2</v>
      </c>
      <c r="AW28" s="350">
        <f t="shared" si="8"/>
        <v>1.7361094178054771E-4</v>
      </c>
      <c r="AX28" s="356">
        <f t="shared" si="20"/>
        <v>2.3071090873812911E-16</v>
      </c>
      <c r="BP28" s="121">
        <f t="shared" si="3"/>
        <v>3.9634825205912324E-3</v>
      </c>
      <c r="BT28">
        <f>24/30</f>
        <v>0.8</v>
      </c>
      <c r="BU28">
        <f t="shared" si="21"/>
        <v>800</v>
      </c>
      <c r="BW28">
        <f ca="1">Health!N39</f>
        <v>162.55000000000001</v>
      </c>
    </row>
    <row r="29" spans="2:75">
      <c r="B29" s="65">
        <v>44682</v>
      </c>
      <c r="C29" s="6">
        <f>SUM(Data!C215:C224)</f>
        <v>2169</v>
      </c>
      <c r="D29" s="334">
        <f>Data!Q225</f>
        <v>9798.6399999999976</v>
      </c>
      <c r="E29" s="6">
        <f>Data!Q222</f>
        <v>1548.6799999999973</v>
      </c>
      <c r="F29" s="6">
        <f>Data!Q223</f>
        <v>2249.96</v>
      </c>
      <c r="G29" s="6">
        <f>Data!Q224</f>
        <v>6000</v>
      </c>
      <c r="H29" s="6"/>
      <c r="I29" s="6"/>
      <c r="J29" s="6"/>
      <c r="K29" s="334">
        <f>Data!U225</f>
        <v>9752.84</v>
      </c>
      <c r="L29" s="6">
        <f>Data!U222</f>
        <v>1455.98</v>
      </c>
      <c r="M29" s="6">
        <f>Data!U224</f>
        <v>6000</v>
      </c>
      <c r="N29" s="6">
        <f>Data!U223</f>
        <v>2296.8599999999997</v>
      </c>
      <c r="O29" s="6">
        <f>Data!AD223</f>
        <v>95.58</v>
      </c>
      <c r="P29" s="6"/>
      <c r="Q29" s="6"/>
      <c r="R29" s="335">
        <f t="shared" si="4"/>
        <v>2668.08</v>
      </c>
      <c r="S29" s="25">
        <v>200</v>
      </c>
      <c r="T29" s="25">
        <v>400</v>
      </c>
      <c r="U29" s="25">
        <v>100</v>
      </c>
      <c r="V29" s="25">
        <v>150</v>
      </c>
      <c r="W29" s="25"/>
      <c r="X29" s="25"/>
      <c r="Y29" s="25"/>
      <c r="Z29" s="334">
        <f>Data!F216</f>
        <v>239.45000000000002</v>
      </c>
      <c r="AA29" s="6">
        <f>Data!F215</f>
        <v>581.73999999999978</v>
      </c>
      <c r="AB29" s="6">
        <f>Data!I215</f>
        <v>140</v>
      </c>
      <c r="AC29" s="6">
        <f>SUM(Data!I216:I224)</f>
        <v>281.3</v>
      </c>
      <c r="AD29" s="6">
        <f>SUM(Data!F215:F224)</f>
        <v>2202.7599999999998</v>
      </c>
      <c r="AE29" s="6">
        <f>SUM(Data!I215:I224)</f>
        <v>421.3</v>
      </c>
      <c r="AF29" s="335">
        <f t="shared" si="22"/>
        <v>2624.06</v>
      </c>
      <c r="AG29" s="15">
        <f t="shared" si="0"/>
        <v>-455.05999999999995</v>
      </c>
      <c r="AH29" s="25">
        <f t="shared" si="5"/>
        <v>-455.05999999999949</v>
      </c>
      <c r="AI29" s="25">
        <f t="shared" si="6"/>
        <v>-499.07999999999993</v>
      </c>
      <c r="AJ29" s="25">
        <f t="shared" si="7"/>
        <v>-499.07999999999993</v>
      </c>
      <c r="AK29" s="6">
        <f t="shared" si="10"/>
        <v>-4.5474735088646412E-13</v>
      </c>
      <c r="AL29" s="354">
        <f t="shared" si="11"/>
        <v>0</v>
      </c>
      <c r="AM29" s="6">
        <f t="shared" si="12"/>
        <v>3487.0800000000004</v>
      </c>
      <c r="AN29" s="6">
        <f t="shared" si="13"/>
        <v>3487.08</v>
      </c>
      <c r="AO29" s="6">
        <f t="shared" si="14"/>
        <v>3487.869999999999</v>
      </c>
      <c r="AP29" s="6">
        <f t="shared" si="15"/>
        <v>0</v>
      </c>
      <c r="AQ29" s="335">
        <f t="shared" si="16"/>
        <v>0.78999999999905413</v>
      </c>
      <c r="AR29" s="15">
        <f t="shared" si="1"/>
        <v>-45.799999999997453</v>
      </c>
      <c r="AS29" s="25">
        <f t="shared" si="17"/>
        <v>-44.019999999999982</v>
      </c>
      <c r="AT29" s="25">
        <f t="shared" si="18"/>
        <v>-44.020000000000437</v>
      </c>
      <c r="AU29" s="350">
        <f t="shared" si="2"/>
        <v>4.6960680171106517E-3</v>
      </c>
      <c r="AV29" s="350">
        <f t="shared" si="19"/>
        <v>8.8202292217680514E-2</v>
      </c>
      <c r="AW29" s="350">
        <f t="shared" si="8"/>
        <v>4.6850673197115986E-3</v>
      </c>
      <c r="AX29" s="356">
        <f t="shared" si="20"/>
        <v>9.9931294969117133E-16</v>
      </c>
      <c r="BP29" s="121">
        <f t="shared" si="3"/>
        <v>9.3526648968752804E-2</v>
      </c>
      <c r="BT29">
        <f>24/31</f>
        <v>0.77419354838709675</v>
      </c>
      <c r="BU29">
        <f t="shared" si="21"/>
        <v>774.19354838709671</v>
      </c>
      <c r="BW29">
        <f ca="1">Health!N40</f>
        <v>164.5</v>
      </c>
    </row>
    <row r="30" spans="2:75">
      <c r="B30" s="65">
        <v>44713</v>
      </c>
      <c r="C30" s="6">
        <f>SUM(Data!C227:C232)</f>
        <v>1582.04</v>
      </c>
      <c r="D30" s="334">
        <f>Data!Q233</f>
        <v>9319.5399999999972</v>
      </c>
      <c r="E30" s="6">
        <f>Data!Q230</f>
        <v>2069.5799999999972</v>
      </c>
      <c r="F30" s="6">
        <f>Data!Q231</f>
        <v>1249.96</v>
      </c>
      <c r="G30" s="6">
        <f>Data!Q232</f>
        <v>6000</v>
      </c>
      <c r="H30" s="6"/>
      <c r="I30" s="6"/>
      <c r="J30" s="6"/>
      <c r="K30" s="15">
        <f>Data!U233</f>
        <v>9247.67</v>
      </c>
      <c r="L30" s="25">
        <f>Data!U230</f>
        <v>1947.8000000000002</v>
      </c>
      <c r="M30" s="25">
        <f>Data!U232</f>
        <v>6000</v>
      </c>
      <c r="N30" s="6">
        <f>Data!U231</f>
        <v>1299.8699999999999</v>
      </c>
      <c r="O30" s="25">
        <f>Data!AD231</f>
        <v>97.93</v>
      </c>
      <c r="P30" s="25"/>
      <c r="Q30" s="25"/>
      <c r="R30" s="335">
        <f t="shared" si="4"/>
        <v>2087.21</v>
      </c>
      <c r="S30" s="25">
        <v>200</v>
      </c>
      <c r="T30" s="25">
        <v>400</v>
      </c>
      <c r="U30" s="25">
        <v>80</v>
      </c>
      <c r="V30" s="25">
        <v>150</v>
      </c>
      <c r="W30" s="25"/>
      <c r="X30" s="25"/>
      <c r="Y30" s="25"/>
      <c r="Z30" s="15">
        <f>Data!F228</f>
        <v>293.08</v>
      </c>
      <c r="AA30" s="25">
        <f>Data!F227</f>
        <v>674.57999999999993</v>
      </c>
      <c r="AB30" s="25">
        <f>Data!I227</f>
        <v>160</v>
      </c>
      <c r="AC30" s="25">
        <f>SUM(Data!I227:I232)</f>
        <v>242.48000000000005</v>
      </c>
      <c r="AD30" s="6">
        <f>SUM(Data!F227:F232)</f>
        <v>1818.6599999999999</v>
      </c>
      <c r="AE30" s="6">
        <f>SUM(Data!I227:I233)</f>
        <v>242.48000000000005</v>
      </c>
      <c r="AF30" s="335">
        <f t="shared" ref="AF30:AF35" si="23">AD30+AE30</f>
        <v>2061.14</v>
      </c>
      <c r="AG30" s="15">
        <f t="shared" si="0"/>
        <v>-479.09999999999991</v>
      </c>
      <c r="AH30" s="25">
        <f t="shared" si="5"/>
        <v>-479.10000000000036</v>
      </c>
      <c r="AI30" s="25">
        <f t="shared" si="6"/>
        <v>-505.17000000000007</v>
      </c>
      <c r="AJ30" s="25">
        <f t="shared" si="7"/>
        <v>-505.17000000000007</v>
      </c>
      <c r="AK30" s="6">
        <f t="shared" si="10"/>
        <v>4.5474735088646412E-13</v>
      </c>
      <c r="AL30" s="354">
        <f t="shared" si="11"/>
        <v>0</v>
      </c>
      <c r="AM30" s="6">
        <f t="shared" si="12"/>
        <v>-24.039999999999964</v>
      </c>
      <c r="AN30" s="6">
        <f t="shared" si="13"/>
        <v>-24.040000000000873</v>
      </c>
      <c r="AO30" s="6">
        <f t="shared" si="14"/>
        <v>-6.0900000000001455</v>
      </c>
      <c r="AP30" s="6">
        <f t="shared" si="15"/>
        <v>-9.0949470177292824E-13</v>
      </c>
      <c r="AQ30" s="335">
        <f t="shared" si="16"/>
        <v>17.950000000000728</v>
      </c>
      <c r="AR30" s="15">
        <f t="shared" si="1"/>
        <v>-71.869999999997162</v>
      </c>
      <c r="AS30" s="25">
        <f t="shared" si="17"/>
        <v>-26.070000000000164</v>
      </c>
      <c r="AT30" s="25">
        <f t="shared" si="18"/>
        <v>-26.069999999999709</v>
      </c>
      <c r="AU30" s="350">
        <f t="shared" si="2"/>
        <v>7.7716873547604062E-3</v>
      </c>
      <c r="AV30" s="350">
        <f t="shared" si="19"/>
        <v>5.1606389928143315E-2</v>
      </c>
      <c r="AW30" s="350">
        <f t="shared" si="8"/>
        <v>7.7416046891263862E-3</v>
      </c>
      <c r="AX30" s="356">
        <f t="shared" si="20"/>
        <v>9.4917000811200992E-16</v>
      </c>
      <c r="BP30" s="121">
        <f t="shared" si="3"/>
        <v>0.2</v>
      </c>
      <c r="BT30">
        <f>24/30</f>
        <v>0.8</v>
      </c>
      <c r="BU30">
        <f t="shared" si="21"/>
        <v>800</v>
      </c>
      <c r="BW30">
        <f ca="1">Health!N41</f>
        <v>166.28</v>
      </c>
    </row>
    <row r="31" spans="2:75">
      <c r="B31" s="65">
        <v>44743</v>
      </c>
      <c r="C31" s="6">
        <f>SUM(Data!C235:C244)</f>
        <v>1567.04</v>
      </c>
      <c r="D31" s="334">
        <f>Data!Q245</f>
        <v>8643.5699999999979</v>
      </c>
      <c r="E31" s="6">
        <f>Data!Q242</f>
        <v>1793.6099999999974</v>
      </c>
      <c r="F31" s="6">
        <f>Data!Q243</f>
        <v>849.96</v>
      </c>
      <c r="G31" s="6">
        <f>Data!Q244</f>
        <v>6000</v>
      </c>
      <c r="H31" s="6"/>
      <c r="I31" s="6"/>
      <c r="J31" s="6"/>
      <c r="K31" s="15">
        <f>Data!U245</f>
        <v>8597.33</v>
      </c>
      <c r="L31" s="25">
        <f>Data!U242</f>
        <v>1688.45</v>
      </c>
      <c r="M31" s="25">
        <f>Data!U244</f>
        <v>6000</v>
      </c>
      <c r="N31" s="6">
        <f>Data!U243</f>
        <v>908.88</v>
      </c>
      <c r="O31" s="25">
        <f>Data!AD243</f>
        <v>113.49</v>
      </c>
      <c r="P31" s="25"/>
      <c r="Q31" s="25"/>
      <c r="R31" s="335">
        <f t="shared" si="4"/>
        <v>2217.38</v>
      </c>
      <c r="S31" s="25">
        <v>200</v>
      </c>
      <c r="T31" s="25">
        <v>500</v>
      </c>
      <c r="U31" s="25">
        <v>0</v>
      </c>
      <c r="V31" s="25">
        <v>150</v>
      </c>
      <c r="W31" s="25"/>
      <c r="X31" s="25"/>
      <c r="Y31" s="25"/>
      <c r="Z31" s="15">
        <f>Data!F236</f>
        <v>228.94</v>
      </c>
      <c r="AA31" s="25">
        <f>Data!F235</f>
        <v>543.71999999999991</v>
      </c>
      <c r="AB31" s="25">
        <f>Data!I235</f>
        <v>140</v>
      </c>
      <c r="AC31" s="25">
        <f>SUM(Data!I236:I244)</f>
        <v>367.34</v>
      </c>
      <c r="AD31" s="6">
        <f>SUM(Data!F235:F244)</f>
        <v>1735.6699999999998</v>
      </c>
      <c r="AE31" s="6">
        <f>SUM(AC31+AB31)</f>
        <v>507.34</v>
      </c>
      <c r="AF31" s="335">
        <f t="shared" si="23"/>
        <v>2243.0099999999998</v>
      </c>
      <c r="AG31" s="15">
        <f t="shared" si="0"/>
        <v>-675.9699999999998</v>
      </c>
      <c r="AH31" s="25">
        <f t="shared" si="5"/>
        <v>-675.96999999999935</v>
      </c>
      <c r="AI31" s="25">
        <f t="shared" si="6"/>
        <v>-650.34000000000015</v>
      </c>
      <c r="AJ31" s="25">
        <f t="shared" si="7"/>
        <v>-650.34000000000015</v>
      </c>
      <c r="AK31" s="6">
        <f t="shared" si="10"/>
        <v>0</v>
      </c>
      <c r="AL31" s="354">
        <f t="shared" si="11"/>
        <v>0</v>
      </c>
      <c r="AM31" s="6">
        <f t="shared" si="12"/>
        <v>-196.86999999999989</v>
      </c>
      <c r="AN31" s="6">
        <f t="shared" si="13"/>
        <v>-196.86999999999898</v>
      </c>
      <c r="AO31" s="6">
        <f t="shared" si="14"/>
        <v>-145.17000000000007</v>
      </c>
      <c r="AP31" s="6">
        <f t="shared" si="15"/>
        <v>9.0949470177292824E-13</v>
      </c>
      <c r="AQ31" s="335">
        <f t="shared" si="16"/>
        <v>51.699999999998909</v>
      </c>
      <c r="AR31" s="15">
        <f t="shared" si="1"/>
        <v>-46.239999999997963</v>
      </c>
      <c r="AS31" s="25">
        <f t="shared" si="17"/>
        <v>25.629999999999654</v>
      </c>
      <c r="AT31" s="25">
        <f t="shared" si="18"/>
        <v>25.6299999999992</v>
      </c>
      <c r="AU31" s="350">
        <f t="shared" si="2"/>
        <v>5.3784139959729312E-3</v>
      </c>
      <c r="AV31" s="350">
        <f t="shared" si="19"/>
        <v>3.9410154688316337E-2</v>
      </c>
      <c r="AW31" s="350">
        <f t="shared" si="8"/>
        <v>5.3639891188972701E-3</v>
      </c>
      <c r="AX31" s="356">
        <f t="shared" si="20"/>
        <v>6.7273303680113672E-16</v>
      </c>
      <c r="BP31" s="121">
        <f t="shared" si="3"/>
        <v>0.15418472824274659</v>
      </c>
      <c r="BT31">
        <f>25/30</f>
        <v>0.83333333333333337</v>
      </c>
      <c r="BU31">
        <f t="shared" si="21"/>
        <v>833.33333333333337</v>
      </c>
      <c r="BW31">
        <f ca="1">Health!N42</f>
        <v>168.55</v>
      </c>
    </row>
    <row r="32" spans="2:75">
      <c r="B32" s="65">
        <v>44774</v>
      </c>
      <c r="C32" s="6">
        <f>SUM(Data!C247:C256)</f>
        <v>0</v>
      </c>
      <c r="D32" s="334">
        <f>Data!Q257</f>
        <v>6215.3299999999981</v>
      </c>
      <c r="E32" s="6">
        <f>Data!Q254</f>
        <v>225.36999999999762</v>
      </c>
      <c r="F32" s="6">
        <f>Data!Q255</f>
        <v>289.96000000000004</v>
      </c>
      <c r="G32" s="6">
        <f>Data!Q256</f>
        <v>5700</v>
      </c>
      <c r="H32" s="6"/>
      <c r="I32" s="6"/>
      <c r="J32" s="6"/>
      <c r="K32" s="15">
        <f>Data!U257</f>
        <v>6162.22</v>
      </c>
      <c r="L32" s="25">
        <f>Data!U254</f>
        <v>149.32999999999998</v>
      </c>
      <c r="M32" s="25">
        <f>Data!U256</f>
        <v>5700</v>
      </c>
      <c r="N32" s="6">
        <f>Data!U255</f>
        <v>312.89</v>
      </c>
      <c r="O32" s="25">
        <f>Data!AD255</f>
        <v>105.55</v>
      </c>
      <c r="P32" s="25"/>
      <c r="Q32" s="25"/>
      <c r="R32" s="335">
        <f t="shared" si="4"/>
        <v>2435.1099999999997</v>
      </c>
      <c r="S32" s="25">
        <v>200</v>
      </c>
      <c r="T32" s="25">
        <v>500</v>
      </c>
      <c r="U32" s="25">
        <v>0</v>
      </c>
      <c r="V32" s="25">
        <v>150</v>
      </c>
      <c r="W32" s="25"/>
      <c r="X32" s="25"/>
      <c r="Y32" s="25"/>
      <c r="Z32" s="15">
        <f>Data!F248</f>
        <v>216.94000000000003</v>
      </c>
      <c r="AA32" s="25">
        <f>Data!F247</f>
        <v>498.76</v>
      </c>
      <c r="AB32" s="25">
        <f>Data!I247</f>
        <v>100</v>
      </c>
      <c r="AC32" s="25">
        <f>SUM(Data!I248:I256)</f>
        <v>600.46</v>
      </c>
      <c r="AD32" s="6">
        <f>SUM(Data!F247:F256)</f>
        <v>1727.78</v>
      </c>
      <c r="AE32" s="6">
        <f>SUM(Data!I247:I256)</f>
        <v>700.45999999999992</v>
      </c>
      <c r="AF32" s="335">
        <f t="shared" si="23"/>
        <v>2428.2399999999998</v>
      </c>
      <c r="AG32" s="15">
        <f t="shared" si="0"/>
        <v>-2428.2399999999998</v>
      </c>
      <c r="AH32" s="25">
        <f t="shared" si="5"/>
        <v>-2428.2399999999998</v>
      </c>
      <c r="AI32" s="25">
        <f t="shared" si="6"/>
        <v>-2435.1099999999997</v>
      </c>
      <c r="AJ32" s="25">
        <f t="shared" si="7"/>
        <v>-2435.1099999999997</v>
      </c>
      <c r="AK32" s="6">
        <f t="shared" si="10"/>
        <v>0</v>
      </c>
      <c r="AL32" s="354">
        <f t="shared" si="11"/>
        <v>0</v>
      </c>
      <c r="AM32" s="6">
        <f t="shared" si="12"/>
        <v>-1752.27</v>
      </c>
      <c r="AN32" s="6">
        <f t="shared" si="13"/>
        <v>-1752.2700000000004</v>
      </c>
      <c r="AO32" s="6">
        <f t="shared" si="14"/>
        <v>-1784.7699999999995</v>
      </c>
      <c r="AP32" s="6">
        <f t="shared" si="15"/>
        <v>0</v>
      </c>
      <c r="AQ32" s="335">
        <f t="shared" si="16"/>
        <v>-32.499999999999091</v>
      </c>
      <c r="AR32" s="15">
        <f t="shared" si="1"/>
        <v>-53.109999999997854</v>
      </c>
      <c r="AS32" s="25">
        <f t="shared" si="17"/>
        <v>-6.8699999999998909</v>
      </c>
      <c r="AT32" s="25">
        <f t="shared" si="18"/>
        <v>-6.8699999999998909</v>
      </c>
      <c r="AU32" s="350">
        <f t="shared" si="2"/>
        <v>8.6186471758551066E-3</v>
      </c>
      <c r="AV32" s="350">
        <f t="shared" si="19"/>
        <v>2.8212277884776833E-3</v>
      </c>
      <c r="AW32" s="350">
        <f t="shared" si="8"/>
        <v>8.5816660001369997E-3</v>
      </c>
      <c r="AX32" s="356">
        <f t="shared" si="20"/>
        <v>0</v>
      </c>
      <c r="BP32" s="121">
        <f t="shared" si="3"/>
        <v>0.2</v>
      </c>
      <c r="BT32">
        <f>27/31</f>
        <v>0.87096774193548387</v>
      </c>
      <c r="BU32">
        <f t="shared" si="21"/>
        <v>870.9677419354839</v>
      </c>
      <c r="BW32">
        <f ca="1">Health!N43</f>
        <v>169.95</v>
      </c>
    </row>
    <row r="33" spans="2:75">
      <c r="B33" s="65">
        <v>44805</v>
      </c>
      <c r="C33" s="6">
        <f>SUM(Data!C259:C265)</f>
        <v>1507.04</v>
      </c>
      <c r="D33" s="334">
        <f>Data!Q266</f>
        <v>5591.1499999999978</v>
      </c>
      <c r="E33" s="6">
        <f>Data!Q263</f>
        <v>1501.1899999999973</v>
      </c>
      <c r="F33" s="6">
        <f>Data!Q264</f>
        <v>489.96000000000004</v>
      </c>
      <c r="G33" s="6">
        <f>Data!Q265</f>
        <v>3600</v>
      </c>
      <c r="H33" s="6"/>
      <c r="I33" s="6"/>
      <c r="J33" s="6"/>
      <c r="K33" s="15">
        <f>Data!U266</f>
        <v>5542.64</v>
      </c>
      <c r="L33" s="25">
        <f>Data!U263</f>
        <v>1521.7500000000002</v>
      </c>
      <c r="M33" s="25">
        <f>Data!U265</f>
        <v>3600</v>
      </c>
      <c r="N33" s="6">
        <f>Data!U264</f>
        <v>420.89</v>
      </c>
      <c r="O33" s="25">
        <f>Data!AD264</f>
        <v>103.66</v>
      </c>
      <c r="P33" s="25"/>
      <c r="Q33" s="25"/>
      <c r="R33" s="335">
        <f t="shared" si="4"/>
        <v>2126.62</v>
      </c>
      <c r="S33" s="25">
        <v>200</v>
      </c>
      <c r="T33" s="25">
        <v>500</v>
      </c>
      <c r="U33" s="25">
        <v>0</v>
      </c>
      <c r="V33" s="25">
        <v>150</v>
      </c>
      <c r="W33" s="25"/>
      <c r="X33" s="25"/>
      <c r="Y33" s="25"/>
      <c r="Z33" s="15">
        <f>Data!F260</f>
        <v>184.94</v>
      </c>
      <c r="AA33" s="25">
        <f>Data!F259</f>
        <v>673.68000000000006</v>
      </c>
      <c r="AB33" s="25">
        <v>0</v>
      </c>
      <c r="AC33" s="25">
        <f>SUM(Data!I259:I265)</f>
        <v>332.44</v>
      </c>
      <c r="AD33" s="6">
        <f>SUM(Data!F259:F265)</f>
        <v>1798.7800000000002</v>
      </c>
      <c r="AE33" s="6">
        <f>SUM(Data!I259:I265)</f>
        <v>332.44</v>
      </c>
      <c r="AF33" s="335">
        <f t="shared" si="23"/>
        <v>2131.2200000000003</v>
      </c>
      <c r="AG33" s="15">
        <f t="shared" si="0"/>
        <v>-624.18000000000029</v>
      </c>
      <c r="AH33" s="25">
        <f t="shared" si="5"/>
        <v>-624.18000000000029</v>
      </c>
      <c r="AI33" s="25">
        <f t="shared" si="6"/>
        <v>-619.57999999999993</v>
      </c>
      <c r="AJ33" s="25">
        <f t="shared" si="7"/>
        <v>-619.57999999999993</v>
      </c>
      <c r="AK33" s="6">
        <f t="shared" si="10"/>
        <v>0</v>
      </c>
      <c r="AL33" s="354">
        <f t="shared" si="11"/>
        <v>0</v>
      </c>
      <c r="AM33" s="6">
        <f t="shared" si="12"/>
        <v>1804.0599999999995</v>
      </c>
      <c r="AN33" s="6">
        <f t="shared" si="13"/>
        <v>1804.0599999999995</v>
      </c>
      <c r="AO33" s="6">
        <f t="shared" si="14"/>
        <v>1815.5299999999997</v>
      </c>
      <c r="AP33" s="6">
        <f t="shared" si="15"/>
        <v>0</v>
      </c>
      <c r="AQ33" s="335">
        <f t="shared" si="16"/>
        <v>11.470000000000255</v>
      </c>
      <c r="AR33" s="15">
        <f t="shared" si="1"/>
        <v>-48.50999999999749</v>
      </c>
      <c r="AS33" s="25">
        <f t="shared" si="17"/>
        <v>4.6000000000003638</v>
      </c>
      <c r="AT33" s="25">
        <f t="shared" si="18"/>
        <v>4.6000000000003638</v>
      </c>
      <c r="AU33" s="350">
        <f t="shared" si="2"/>
        <v>8.7521469913249793E-3</v>
      </c>
      <c r="AV33" s="350">
        <f t="shared" si="19"/>
        <v>7.4243842603059565E-3</v>
      </c>
      <c r="AW33" s="350">
        <f t="shared" si="8"/>
        <v>8.7140138263785295E-3</v>
      </c>
      <c r="AX33" s="356">
        <f t="shared" si="20"/>
        <v>0</v>
      </c>
      <c r="BP33" s="121">
        <f t="shared" si="3"/>
        <v>6.5039887376815375E-2</v>
      </c>
      <c r="BT33">
        <f>26/30</f>
        <v>0.8666666666666667</v>
      </c>
      <c r="BU33">
        <f t="shared" si="21"/>
        <v>866.66666666666674</v>
      </c>
      <c r="BW33">
        <f ca="1">Health!N44</f>
        <v>171.68</v>
      </c>
    </row>
    <row r="34" spans="2:75">
      <c r="B34" s="65">
        <v>44835</v>
      </c>
      <c r="C34" s="6">
        <f>SUM(Data!C268:C276)</f>
        <v>1507.04</v>
      </c>
      <c r="D34" s="334">
        <f>Data!Q277</f>
        <v>4637.2599999999975</v>
      </c>
      <c r="E34" s="6">
        <f>Data!Q274</f>
        <v>1647.2999999999975</v>
      </c>
      <c r="F34" s="6">
        <f>Data!Q275</f>
        <v>489.96000000000004</v>
      </c>
      <c r="G34" s="6">
        <f>Data!Q276</f>
        <v>2500</v>
      </c>
      <c r="H34" s="6"/>
      <c r="I34" s="6"/>
      <c r="J34" s="6"/>
      <c r="K34" s="15">
        <f>Data!U277</f>
        <v>4538.42</v>
      </c>
      <c r="L34" s="25">
        <f>Data!Q274</f>
        <v>1647.2999999999975</v>
      </c>
      <c r="M34" s="25">
        <f>Data!Q276</f>
        <v>2500</v>
      </c>
      <c r="N34" s="6">
        <f>Data!Q275</f>
        <v>489.96000000000004</v>
      </c>
      <c r="O34" s="25">
        <f>Data!AD275</f>
        <v>109.32</v>
      </c>
      <c r="P34" s="25"/>
      <c r="Q34" s="25"/>
      <c r="R34" s="335">
        <f t="shared" si="4"/>
        <v>2511.2600000000002</v>
      </c>
      <c r="S34" s="25">
        <v>200</v>
      </c>
      <c r="T34" s="25">
        <v>400</v>
      </c>
      <c r="U34" s="25">
        <v>0</v>
      </c>
      <c r="V34" s="25">
        <v>150</v>
      </c>
      <c r="W34" s="25"/>
      <c r="X34" s="25"/>
      <c r="Y34" s="25"/>
      <c r="Z34" s="15">
        <f>Data!F269</f>
        <v>205.16</v>
      </c>
      <c r="AA34" s="25">
        <f>Data!F268</f>
        <v>619.19999999999982</v>
      </c>
      <c r="AB34" s="25">
        <v>0</v>
      </c>
      <c r="AC34" s="25">
        <f>SUM(Data!I268:I276)</f>
        <v>428.4</v>
      </c>
      <c r="AD34" s="6">
        <f>SUM(Data!F268:F276)</f>
        <v>2032.5299999999997</v>
      </c>
      <c r="AE34" s="6">
        <f>SUM(Data!I268:I276)</f>
        <v>428.4</v>
      </c>
      <c r="AF34" s="335">
        <f t="shared" si="23"/>
        <v>2460.9299999999998</v>
      </c>
      <c r="AG34" s="15">
        <f t="shared" si="0"/>
        <v>-953.88999999999987</v>
      </c>
      <c r="AH34" s="25">
        <f t="shared" si="5"/>
        <v>-953.89000000000033</v>
      </c>
      <c r="AI34" s="25">
        <f t="shared" si="6"/>
        <v>-1004.2200000000003</v>
      </c>
      <c r="AJ34" s="25">
        <f t="shared" si="7"/>
        <v>-1004.2200000000003</v>
      </c>
      <c r="AK34" s="6">
        <f t="shared" si="10"/>
        <v>0</v>
      </c>
      <c r="AL34" s="354">
        <f t="shared" si="11"/>
        <v>0</v>
      </c>
      <c r="AM34" s="6">
        <f t="shared" si="12"/>
        <v>-329.70999999999958</v>
      </c>
      <c r="AN34" s="6">
        <f t="shared" si="13"/>
        <v>-329.71000000000004</v>
      </c>
      <c r="AO34" s="6">
        <f t="shared" si="14"/>
        <v>-384.64000000000033</v>
      </c>
      <c r="AP34" s="6">
        <f t="shared" si="15"/>
        <v>-4.5474735088646412E-13</v>
      </c>
      <c r="AQ34" s="335">
        <f t="shared" si="16"/>
        <v>-54.930000000000291</v>
      </c>
      <c r="AR34" s="15">
        <f t="shared" si="1"/>
        <v>-98.839999999997417</v>
      </c>
      <c r="AS34" s="25">
        <f t="shared" si="17"/>
        <v>-50.330000000000382</v>
      </c>
      <c r="AT34" s="25">
        <f t="shared" si="18"/>
        <v>-50.329999999999927</v>
      </c>
      <c r="AU34" s="350">
        <f t="shared" si="2"/>
        <v>2.1778504413429656E-2</v>
      </c>
      <c r="AV34" s="350">
        <f t="shared" si="19"/>
        <v>5.0118499930294526E-2</v>
      </c>
      <c r="AW34" s="350">
        <f t="shared" si="8"/>
        <v>2.1543907372532051E-2</v>
      </c>
      <c r="AX34" s="356">
        <f t="shared" si="20"/>
        <v>4.7672934079030499E-16</v>
      </c>
      <c r="BP34" s="121">
        <f t="shared" si="3"/>
        <v>0.12891613408112496</v>
      </c>
      <c r="BT34">
        <f>22/31</f>
        <v>0.70967741935483875</v>
      </c>
      <c r="BU34">
        <f t="shared" si="21"/>
        <v>709.67741935483878</v>
      </c>
      <c r="BW34">
        <f ca="1">Health!N45</f>
        <v>178.06666666666669</v>
      </c>
    </row>
    <row r="35" spans="2:75">
      <c r="B35" s="65">
        <v>44866</v>
      </c>
      <c r="C35" s="6">
        <f>SUM(Data!C279:C288)</f>
        <v>1507.04</v>
      </c>
      <c r="D35" s="334">
        <f>Data!Q289</f>
        <v>3809.6399999999976</v>
      </c>
      <c r="E35" s="6">
        <f>Data!Q286</f>
        <v>1519.6799999999973</v>
      </c>
      <c r="F35" s="6">
        <f>Data!Q287</f>
        <v>489.96000000000004</v>
      </c>
      <c r="G35" s="6">
        <f>Data!Q288</f>
        <v>1800</v>
      </c>
      <c r="H35" s="6"/>
      <c r="I35" s="6"/>
      <c r="J35" s="6"/>
      <c r="K35" s="15">
        <f>Data!U289</f>
        <v>3683.5499999999997</v>
      </c>
      <c r="L35" s="25">
        <f>Data!U286</f>
        <v>1443.6599999999999</v>
      </c>
      <c r="M35" s="25">
        <f>Data!U288</f>
        <v>1800</v>
      </c>
      <c r="N35" s="6">
        <f>Data!U287</f>
        <v>439.89</v>
      </c>
      <c r="O35" s="25">
        <f>Data!AD287</f>
        <v>91.37</v>
      </c>
      <c r="P35" s="25"/>
      <c r="Q35" s="25"/>
      <c r="R35" s="335">
        <f t="shared" si="4"/>
        <v>2361.9100000000003</v>
      </c>
      <c r="S35" s="25">
        <v>160</v>
      </c>
      <c r="T35" s="25">
        <v>350</v>
      </c>
      <c r="U35" s="25">
        <v>0</v>
      </c>
      <c r="V35" s="25">
        <v>150</v>
      </c>
      <c r="W35" s="25"/>
      <c r="X35" s="25"/>
      <c r="Y35" s="25"/>
      <c r="Z35" s="15">
        <f>Data!F280</f>
        <v>178.95</v>
      </c>
      <c r="AA35" s="25">
        <f>Data!F279</f>
        <v>523.5200000000001</v>
      </c>
      <c r="AB35" s="25">
        <v>0</v>
      </c>
      <c r="AC35" s="25">
        <f>SUM(Data!I279:I288)</f>
        <v>281.02999999999997</v>
      </c>
      <c r="AD35" s="6">
        <f>SUM(Data!F279:F288)</f>
        <v>2053.63</v>
      </c>
      <c r="AE35" s="6">
        <f>SUM(Data!I279:I288)</f>
        <v>281.02999999999997</v>
      </c>
      <c r="AF35" s="335">
        <f t="shared" si="23"/>
        <v>2334.66</v>
      </c>
      <c r="AG35" s="15">
        <f t="shared" si="0"/>
        <v>-827.61999999999989</v>
      </c>
      <c r="AH35" s="25">
        <f t="shared" si="5"/>
        <v>-827.61999999999989</v>
      </c>
      <c r="AI35" s="25">
        <f t="shared" si="6"/>
        <v>-854.87000000000035</v>
      </c>
      <c r="AJ35" s="25">
        <f t="shared" si="7"/>
        <v>-854.87000000000035</v>
      </c>
      <c r="AK35" s="6">
        <f t="shared" si="10"/>
        <v>0</v>
      </c>
      <c r="AL35" s="354">
        <f t="shared" si="11"/>
        <v>0</v>
      </c>
      <c r="AM35" s="6">
        <f t="shared" si="12"/>
        <v>126.26999999999998</v>
      </c>
      <c r="AN35" s="6">
        <f t="shared" si="13"/>
        <v>126.27000000000044</v>
      </c>
      <c r="AO35" s="6">
        <f t="shared" si="14"/>
        <v>149.34999999999991</v>
      </c>
      <c r="AP35" s="6">
        <f t="shared" si="15"/>
        <v>4.5474735088646412E-13</v>
      </c>
      <c r="AQ35" s="335">
        <f t="shared" si="16"/>
        <v>23.079999999999472</v>
      </c>
      <c r="AR35" s="15">
        <f t="shared" si="1"/>
        <v>-126.08999999999787</v>
      </c>
      <c r="AS35" s="25">
        <f t="shared" si="17"/>
        <v>-27.250000000000455</v>
      </c>
      <c r="AT35" s="25">
        <f t="shared" si="18"/>
        <v>-27.250000000000455</v>
      </c>
      <c r="AU35" s="350">
        <f t="shared" si="2"/>
        <v>3.4230565622836093E-2</v>
      </c>
      <c r="AV35" s="350">
        <f t="shared" si="19"/>
        <v>3.1876191701662761E-2</v>
      </c>
      <c r="AW35" s="350">
        <f t="shared" si="8"/>
        <v>3.3654558338971234E-2</v>
      </c>
      <c r="AX35" s="356">
        <f t="shared" si="20"/>
        <v>0</v>
      </c>
      <c r="BP35" s="121">
        <f t="shared" si="3"/>
        <v>0.12645814839956032</v>
      </c>
      <c r="BT35">
        <f>22/30</f>
        <v>0.73333333333333328</v>
      </c>
      <c r="BU35">
        <f t="shared" si="21"/>
        <v>733.33333333333326</v>
      </c>
      <c r="BW35">
        <f ca="1">Health!N46</f>
        <v>180.75</v>
      </c>
    </row>
    <row r="36" spans="2:75">
      <c r="B36" s="65">
        <v>44896</v>
      </c>
      <c r="C36" s="6">
        <f>SUM(Data!C291:C300)</f>
        <v>1557.04</v>
      </c>
      <c r="D36" s="334">
        <f>Data!Q301</f>
        <v>2792.5299999999975</v>
      </c>
      <c r="E36" s="6">
        <f>Data!Q298</f>
        <v>807.56999999999755</v>
      </c>
      <c r="F36" s="6">
        <f>Data!Q299</f>
        <v>484.96000000000004</v>
      </c>
      <c r="G36" s="6">
        <f>Data!Q300</f>
        <v>1500</v>
      </c>
      <c r="H36" s="6"/>
      <c r="I36" s="6"/>
      <c r="J36" s="6"/>
      <c r="K36" s="15">
        <f>Data!U301</f>
        <v>2636.23</v>
      </c>
      <c r="L36" s="25">
        <f>Data!U298</f>
        <v>693.32999999999993</v>
      </c>
      <c r="M36" s="25">
        <f>Data!U300</f>
        <v>1500</v>
      </c>
      <c r="N36" s="6">
        <f>Data!U299</f>
        <v>442.9</v>
      </c>
      <c r="O36" s="25">
        <f>Data!AD299</f>
        <v>88.54</v>
      </c>
      <c r="P36" s="25"/>
      <c r="Q36" s="25"/>
      <c r="R36" s="335">
        <f t="shared" si="4"/>
        <v>2604.3599999999997</v>
      </c>
      <c r="S36" s="25">
        <v>160</v>
      </c>
      <c r="T36" s="25">
        <v>350</v>
      </c>
      <c r="U36" s="25">
        <v>0</v>
      </c>
      <c r="V36" s="25">
        <v>150</v>
      </c>
      <c r="W36" s="25"/>
      <c r="X36" s="25"/>
      <c r="Y36" s="25"/>
      <c r="Z36" s="15">
        <f>Data!F292</f>
        <v>157</v>
      </c>
      <c r="AA36" s="6">
        <f>Data!F291</f>
        <v>397.55999999999995</v>
      </c>
      <c r="AB36" s="25">
        <f>Data!I299</f>
        <v>70</v>
      </c>
      <c r="AC36" s="25">
        <f>SUM(Data!I291:I299)</f>
        <v>521.12</v>
      </c>
      <c r="AD36" s="6">
        <f>SUM(Data!F291:F300)</f>
        <v>2048.0299999999997</v>
      </c>
      <c r="AE36" s="6">
        <f>SUM(Data!I291:I299)</f>
        <v>521.12</v>
      </c>
      <c r="AF36" s="335">
        <f t="shared" ref="AF36:AF73" si="24">AD36+AE36</f>
        <v>2569.1499999999996</v>
      </c>
      <c r="AG36" s="15">
        <f t="shared" si="0"/>
        <v>-1012.1099999999997</v>
      </c>
      <c r="AH36" s="25">
        <f t="shared" si="5"/>
        <v>-1017.1100000000001</v>
      </c>
      <c r="AI36" s="25">
        <f t="shared" si="6"/>
        <v>-1047.3199999999997</v>
      </c>
      <c r="AJ36" s="25">
        <f t="shared" si="7"/>
        <v>-1047.3199999999997</v>
      </c>
      <c r="AK36" s="6">
        <f t="shared" si="10"/>
        <v>5.0000000000004547</v>
      </c>
      <c r="AL36" s="354">
        <f t="shared" si="11"/>
        <v>0</v>
      </c>
      <c r="AM36" s="6">
        <f t="shared" si="12"/>
        <v>-184.48999999999978</v>
      </c>
      <c r="AN36" s="6">
        <f t="shared" si="13"/>
        <v>-189.49000000000024</v>
      </c>
      <c r="AO36" s="6">
        <f t="shared" si="14"/>
        <v>-192.44999999999936</v>
      </c>
      <c r="AP36" s="6">
        <f t="shared" si="15"/>
        <v>-5.0000000000004547</v>
      </c>
      <c r="AQ36" s="335">
        <f t="shared" si="16"/>
        <v>-2.9599999999991269</v>
      </c>
      <c r="AR36" s="15">
        <f t="shared" si="1"/>
        <v>-156.29999999999745</v>
      </c>
      <c r="AS36" s="25">
        <f t="shared" si="17"/>
        <v>-35.210000000000036</v>
      </c>
      <c r="AT36" s="25">
        <f t="shared" si="18"/>
        <v>-30.209999999999582</v>
      </c>
      <c r="AU36" s="350">
        <f t="shared" si="2"/>
        <v>5.9289212246274967E-2</v>
      </c>
      <c r="AV36" s="350">
        <f t="shared" si="19"/>
        <v>3.3619142191498343E-2</v>
      </c>
      <c r="AW36" s="350">
        <f t="shared" si="8"/>
        <v>5.7582210302167543E-2</v>
      </c>
      <c r="AX36" s="356">
        <f t="shared" si="20"/>
        <v>4.9280018923531753E-3</v>
      </c>
      <c r="BP36" s="121">
        <f t="shared" si="3"/>
        <v>0.2</v>
      </c>
      <c r="BT36">
        <f>26/31</f>
        <v>0.83870967741935487</v>
      </c>
      <c r="BU36">
        <f t="shared" si="21"/>
        <v>838.70967741935488</v>
      </c>
      <c r="BW36">
        <f ca="1">Health!N47</f>
        <v>180.05</v>
      </c>
    </row>
    <row r="37" spans="2:75">
      <c r="B37" s="65">
        <v>44927</v>
      </c>
      <c r="C37" s="6">
        <f>SUM(Data!C303:C311)</f>
        <v>0</v>
      </c>
      <c r="D37" s="334">
        <f>Data!Q312</f>
        <v>988.78999999999735</v>
      </c>
      <c r="E37" s="6">
        <f>Data!Q309</f>
        <v>353.82999999999731</v>
      </c>
      <c r="F37" s="6">
        <f>Data!Q310</f>
        <v>434.96000000000004</v>
      </c>
      <c r="G37" s="6">
        <f>Data!Q311</f>
        <v>200</v>
      </c>
      <c r="H37" s="6"/>
      <c r="I37" s="6"/>
      <c r="J37" s="6"/>
      <c r="K37" s="15">
        <f>Data!U312</f>
        <v>872.24</v>
      </c>
      <c r="L37" s="25">
        <f>Data!U309</f>
        <v>274.34000000000003</v>
      </c>
      <c r="M37" s="25">
        <f>Data!U311</f>
        <v>200</v>
      </c>
      <c r="N37" s="6">
        <f>Data!U310</f>
        <v>397.9</v>
      </c>
      <c r="O37" s="25">
        <f>Data!AD310</f>
        <v>123.28</v>
      </c>
      <c r="P37" s="25"/>
      <c r="Q37" s="25"/>
      <c r="R37" s="335">
        <f t="shared" si="4"/>
        <v>1763.99</v>
      </c>
      <c r="S37" s="25">
        <v>160</v>
      </c>
      <c r="T37" s="25">
        <v>350</v>
      </c>
      <c r="U37" s="25">
        <v>0</v>
      </c>
      <c r="V37" s="25">
        <v>150</v>
      </c>
      <c r="W37" s="25"/>
      <c r="X37" s="25"/>
      <c r="Y37" s="25"/>
      <c r="Z37" s="15">
        <f>Data!F304</f>
        <v>169.01</v>
      </c>
      <c r="AA37" s="6">
        <f>Data!F303</f>
        <v>408.37</v>
      </c>
      <c r="AB37" s="25">
        <v>0</v>
      </c>
      <c r="AC37" s="6">
        <f>SUM(Data!I303:I311)</f>
        <v>338.2</v>
      </c>
      <c r="AD37" s="6">
        <f>SUM(Data!F303:F311)</f>
        <v>1465.5400000000002</v>
      </c>
      <c r="AE37" s="6">
        <f>SUM(Data!I303:I311)</f>
        <v>338.2</v>
      </c>
      <c r="AF37" s="335">
        <f t="shared" si="24"/>
        <v>1803.7400000000002</v>
      </c>
      <c r="AG37" s="15">
        <f t="shared" ref="AG37:AG55" si="25">C37-AF37</f>
        <v>-1803.7400000000002</v>
      </c>
      <c r="AH37" s="25">
        <f t="shared" si="5"/>
        <v>-1803.7400000000002</v>
      </c>
      <c r="AI37" s="25">
        <f t="shared" si="6"/>
        <v>-1763.99</v>
      </c>
      <c r="AJ37" s="25">
        <f t="shared" si="7"/>
        <v>-1763.99</v>
      </c>
      <c r="AK37" s="6">
        <f t="shared" si="10"/>
        <v>0</v>
      </c>
      <c r="AL37" s="354">
        <f t="shared" si="11"/>
        <v>0</v>
      </c>
      <c r="AM37" s="6">
        <f t="shared" si="12"/>
        <v>-791.63000000000056</v>
      </c>
      <c r="AN37" s="6">
        <f t="shared" si="13"/>
        <v>-786.63000000000011</v>
      </c>
      <c r="AO37" s="6">
        <f t="shared" si="14"/>
        <v>-716.6700000000003</v>
      </c>
      <c r="AP37" s="6">
        <f t="shared" si="15"/>
        <v>5.0000000000004547</v>
      </c>
      <c r="AQ37" s="335">
        <f t="shared" si="16"/>
        <v>69.959999999999809</v>
      </c>
      <c r="AR37" s="15">
        <f t="shared" ref="AR37:AR55" si="26">K37-D37</f>
        <v>-116.54999999999734</v>
      </c>
      <c r="AS37" s="25">
        <f t="shared" si="17"/>
        <v>39.750000000000227</v>
      </c>
      <c r="AT37" s="25">
        <f t="shared" si="18"/>
        <v>39.750000000000227</v>
      </c>
      <c r="AU37" s="350">
        <f t="shared" si="2"/>
        <v>0.13362148032651258</v>
      </c>
      <c r="AV37" s="350">
        <f t="shared" si="19"/>
        <v>2.253414135000778E-2</v>
      </c>
      <c r="AW37" s="350">
        <f t="shared" ref="AW37:AW55" si="27">ABS(AR37/AVERAGE(K37,D37))</f>
        <v>0.12525321999107752</v>
      </c>
      <c r="AX37" s="356">
        <f t="shared" si="20"/>
        <v>0</v>
      </c>
      <c r="BP37" s="121">
        <f t="shared" si="3"/>
        <v>0.2</v>
      </c>
      <c r="BT37">
        <f>25/31</f>
        <v>0.80645161290322576</v>
      </c>
      <c r="BU37">
        <f t="shared" si="21"/>
        <v>806.45161290322574</v>
      </c>
      <c r="BW37">
        <f ca="1">Health!N48</f>
        <v>178.2</v>
      </c>
    </row>
    <row r="38" spans="2:75">
      <c r="B38" s="65">
        <v>44958</v>
      </c>
      <c r="C38" s="6">
        <f>SUM(Data!C314:C319)</f>
        <v>1917.79</v>
      </c>
      <c r="D38" s="15">
        <f>Data!Q320</f>
        <v>1469.3299999999974</v>
      </c>
      <c r="E38" s="25">
        <f>Data!Q317</f>
        <v>1134.3699999999974</v>
      </c>
      <c r="F38" s="6">
        <f>Data!Q318</f>
        <v>334.96000000000004</v>
      </c>
      <c r="G38" s="6">
        <f>Data!Q319</f>
        <v>0</v>
      </c>
      <c r="H38" s="6"/>
      <c r="I38" s="6"/>
      <c r="J38" s="6"/>
      <c r="K38" s="15">
        <f>Data!U320</f>
        <v>1435.6799999999998</v>
      </c>
      <c r="L38" s="25">
        <f>Data!U317</f>
        <v>1138.78</v>
      </c>
      <c r="M38" s="25">
        <f>Data!U319</f>
        <v>0</v>
      </c>
      <c r="N38" s="6">
        <f>Data!U318</f>
        <v>296.89999999999998</v>
      </c>
      <c r="O38" s="25">
        <f>Data!AD318</f>
        <v>125.51</v>
      </c>
      <c r="P38" s="25"/>
      <c r="Q38" s="25"/>
      <c r="R38" s="335">
        <f t="shared" ref="R38:R55" si="28">K37-K38+C38</f>
        <v>1354.3500000000001</v>
      </c>
      <c r="S38" s="25">
        <v>160</v>
      </c>
      <c r="T38" s="25">
        <v>350</v>
      </c>
      <c r="U38" s="25">
        <v>0</v>
      </c>
      <c r="V38" s="25">
        <v>150</v>
      </c>
      <c r="W38" s="25"/>
      <c r="X38" s="25"/>
      <c r="Y38" s="25"/>
      <c r="Z38" s="15">
        <f>Data!F315</f>
        <v>170.38</v>
      </c>
      <c r="AA38" s="6">
        <f>Data!F314</f>
        <v>232.7</v>
      </c>
      <c r="AB38" s="25">
        <v>0</v>
      </c>
      <c r="AC38" s="6">
        <f>SUM(Data!I314:I319)</f>
        <v>289.17</v>
      </c>
      <c r="AD38" s="6">
        <f>SUM(Data!F314:F319)</f>
        <v>1148.08</v>
      </c>
      <c r="AE38" s="6">
        <f>AC38</f>
        <v>289.17</v>
      </c>
      <c r="AF38" s="335">
        <f t="shared" si="24"/>
        <v>1437.25</v>
      </c>
      <c r="AG38" s="15">
        <f t="shared" si="25"/>
        <v>480.53999999999996</v>
      </c>
      <c r="AH38" s="25">
        <f t="shared" ref="AH38:AH63" si="29">D38-D37</f>
        <v>480.54000000000008</v>
      </c>
      <c r="AI38" s="25">
        <f t="shared" ref="AI38:AI55" si="30">C38-R38</f>
        <v>563.43999999999983</v>
      </c>
      <c r="AJ38" s="25">
        <f t="shared" si="7"/>
        <v>563.43999999999983</v>
      </c>
      <c r="AK38" s="6">
        <f t="shared" si="10"/>
        <v>0</v>
      </c>
      <c r="AL38" s="354">
        <f t="shared" si="11"/>
        <v>0</v>
      </c>
      <c r="AM38" s="6">
        <f t="shared" si="12"/>
        <v>2284.2800000000002</v>
      </c>
      <c r="AN38" s="6">
        <f t="shared" si="13"/>
        <v>2284.2800000000002</v>
      </c>
      <c r="AO38" s="6">
        <f t="shared" si="14"/>
        <v>2327.4299999999998</v>
      </c>
      <c r="AP38" s="6">
        <f t="shared" si="15"/>
        <v>0</v>
      </c>
      <c r="AQ38" s="335">
        <f t="shared" si="16"/>
        <v>43.149999999999636</v>
      </c>
      <c r="AR38" s="15">
        <f t="shared" si="26"/>
        <v>-33.64999999999759</v>
      </c>
      <c r="AS38" s="25">
        <f t="shared" si="17"/>
        <v>82.899999999999864</v>
      </c>
      <c r="AT38" s="25">
        <f t="shared" si="18"/>
        <v>82.89999999999975</v>
      </c>
      <c r="AU38" s="350">
        <f t="shared" si="2"/>
        <v>2.3438370667556555E-2</v>
      </c>
      <c r="AV38" s="350">
        <f t="shared" si="19"/>
        <v>0.14713190401817389</v>
      </c>
      <c r="AW38" s="350">
        <f t="shared" si="27"/>
        <v>2.3166873780123044E-2</v>
      </c>
      <c r="AX38" s="356">
        <f t="shared" si="20"/>
        <v>2.3658142448415535E-16</v>
      </c>
      <c r="BP38" s="121">
        <f t="shared" si="3"/>
        <v>3.5057561077249437E-2</v>
      </c>
      <c r="BT38">
        <f>24/29</f>
        <v>0.82758620689655171</v>
      </c>
      <c r="BU38">
        <f t="shared" si="21"/>
        <v>827.58620689655174</v>
      </c>
      <c r="BW38">
        <f ca="1">Health!N49</f>
        <v>175.8</v>
      </c>
    </row>
    <row r="39" spans="2:75">
      <c r="B39" s="65">
        <v>44986</v>
      </c>
      <c r="C39" s="6">
        <f>SUM(Data!C322:C328)</f>
        <v>1917.79</v>
      </c>
      <c r="D39" s="334">
        <f>Data!Q329</f>
        <v>1951.4299999999971</v>
      </c>
      <c r="E39" s="6">
        <f>Data!Q326</f>
        <v>1456.4699999999971</v>
      </c>
      <c r="F39" s="6">
        <f>Data!Q327</f>
        <v>494.96000000000004</v>
      </c>
      <c r="G39" s="6">
        <f>Data!Q328</f>
        <v>0</v>
      </c>
      <c r="H39" s="6"/>
      <c r="I39" s="6"/>
      <c r="J39" s="6"/>
      <c r="K39" s="15">
        <f>Data!U329</f>
        <v>1838.62</v>
      </c>
      <c r="L39" s="25">
        <f>Data!U326</f>
        <v>1373.71</v>
      </c>
      <c r="M39" s="25">
        <f>Data!U328</f>
        <v>0</v>
      </c>
      <c r="N39" s="6">
        <f>Data!U327</f>
        <v>464.90999999999997</v>
      </c>
      <c r="O39" s="25">
        <f>Data!AD327</f>
        <v>151.18</v>
      </c>
      <c r="P39" s="25"/>
      <c r="Q39" s="25"/>
      <c r="R39" s="335">
        <f t="shared" si="28"/>
        <v>1514.85</v>
      </c>
      <c r="S39" s="25">
        <v>160</v>
      </c>
      <c r="T39" s="25">
        <v>350</v>
      </c>
      <c r="U39" s="25">
        <v>0</v>
      </c>
      <c r="V39" s="25">
        <v>150</v>
      </c>
      <c r="W39" s="25"/>
      <c r="X39" s="25"/>
      <c r="Y39" s="25"/>
      <c r="Z39" s="15">
        <f>Data!F323</f>
        <v>250.6</v>
      </c>
      <c r="AA39" s="6">
        <f>Data!F322</f>
        <v>473.38000000000011</v>
      </c>
      <c r="AB39" s="25">
        <f>Data!I325</f>
        <v>40</v>
      </c>
      <c r="AC39" s="6">
        <f>SUM(Data!I322:I328)</f>
        <v>476.63</v>
      </c>
      <c r="AD39" s="6">
        <f>SUM(Data!F322:F328)</f>
        <v>959.06000000000017</v>
      </c>
      <c r="AE39" s="6">
        <f>SUM(Data!I322:I328)</f>
        <v>476.63</v>
      </c>
      <c r="AF39" s="335">
        <f t="shared" si="24"/>
        <v>1435.69</v>
      </c>
      <c r="AG39" s="15">
        <f t="shared" si="25"/>
        <v>482.09999999999991</v>
      </c>
      <c r="AH39" s="25">
        <f t="shared" si="29"/>
        <v>482.09999999999968</v>
      </c>
      <c r="AI39" s="25">
        <f t="shared" si="30"/>
        <v>402.94000000000005</v>
      </c>
      <c r="AJ39" s="25">
        <f t="shared" si="7"/>
        <v>402.94000000000005</v>
      </c>
      <c r="AK39" s="6">
        <f t="shared" si="10"/>
        <v>0</v>
      </c>
      <c r="AL39" s="354">
        <f t="shared" si="11"/>
        <v>0</v>
      </c>
      <c r="AM39" s="6">
        <f t="shared" si="12"/>
        <v>1.5599999999999454</v>
      </c>
      <c r="AN39" s="6">
        <f t="shared" si="13"/>
        <v>1.5599999999996044</v>
      </c>
      <c r="AO39" s="6">
        <f t="shared" si="14"/>
        <v>-160.49999999999977</v>
      </c>
      <c r="AP39" s="6">
        <f t="shared" si="15"/>
        <v>-3.4106051316484809E-13</v>
      </c>
      <c r="AQ39" s="335">
        <f t="shared" si="16"/>
        <v>-162.05999999999938</v>
      </c>
      <c r="AR39" s="15">
        <f t="shared" si="26"/>
        <v>-112.80999999999722</v>
      </c>
      <c r="AS39" s="25">
        <f t="shared" si="17"/>
        <v>-79.159999999999854</v>
      </c>
      <c r="AT39" s="25">
        <f t="shared" si="18"/>
        <v>-79.159999999999627</v>
      </c>
      <c r="AU39" s="350">
        <f t="shared" si="2"/>
        <v>6.1355799458287862E-2</v>
      </c>
      <c r="AV39" s="350">
        <f t="shared" si="19"/>
        <v>0.19645604804685524</v>
      </c>
      <c r="AW39" s="350">
        <f t="shared" si="27"/>
        <v>5.9529557657549269E-2</v>
      </c>
      <c r="AX39" s="356">
        <f t="shared" si="20"/>
        <v>4.7163176818757966E-16</v>
      </c>
      <c r="BP39" s="121">
        <f t="shared" si="3"/>
        <v>8.3098228426207801E-2</v>
      </c>
      <c r="BT39">
        <f>25/31</f>
        <v>0.80645161290322576</v>
      </c>
      <c r="BU39">
        <f t="shared" si="21"/>
        <v>806.45161290322574</v>
      </c>
      <c r="BW39">
        <f ca="1">Health!N50</f>
        <v>177.25</v>
      </c>
    </row>
    <row r="40" spans="2:75">
      <c r="B40" s="65">
        <v>45017</v>
      </c>
      <c r="C40" s="6">
        <f>SUM(Data!C331:C335)</f>
        <v>1917.79</v>
      </c>
      <c r="D40" s="15">
        <f>Data!Q337</f>
        <v>2535.8799999999974</v>
      </c>
      <c r="E40" s="25">
        <f>Data!Q334</f>
        <v>2035.9199999999971</v>
      </c>
      <c r="F40" s="6">
        <f>Data!Q335</f>
        <v>499.96000000000004</v>
      </c>
      <c r="G40" s="6">
        <f>Data!Q336</f>
        <v>0</v>
      </c>
      <c r="H40" s="6"/>
      <c r="I40" s="6"/>
      <c r="J40" s="6"/>
      <c r="K40" s="15">
        <f>Data!U337</f>
        <v>2343.7199999999998</v>
      </c>
      <c r="L40" s="25">
        <f>Data!U334</f>
        <v>1874.79</v>
      </c>
      <c r="M40" s="25">
        <f>Data!U336</f>
        <v>0</v>
      </c>
      <c r="N40" s="6">
        <f>Data!U335</f>
        <v>468.93</v>
      </c>
      <c r="O40" s="25">
        <f>Data!AD335</f>
        <v>152.55000000000001</v>
      </c>
      <c r="P40" s="25"/>
      <c r="Q40" s="25"/>
      <c r="R40" s="335">
        <f t="shared" si="28"/>
        <v>1412.69</v>
      </c>
      <c r="S40" s="25">
        <v>160</v>
      </c>
      <c r="T40" s="25">
        <v>350</v>
      </c>
      <c r="U40" s="25">
        <v>0</v>
      </c>
      <c r="V40" s="25">
        <v>150</v>
      </c>
      <c r="W40" s="25"/>
      <c r="X40" s="25"/>
      <c r="Y40" s="25"/>
      <c r="Z40" s="15">
        <f>Data!F332</f>
        <v>153.17000000000002</v>
      </c>
      <c r="AA40" s="6">
        <f>Data!F331</f>
        <v>296</v>
      </c>
      <c r="AB40" s="25">
        <f>Data!I333</f>
        <v>90</v>
      </c>
      <c r="AC40" s="6">
        <f>SUM(Data!I331:I336)</f>
        <v>703.32999999999993</v>
      </c>
      <c r="AD40" s="6">
        <f>SUM(Data!F331:F336)</f>
        <v>630.01</v>
      </c>
      <c r="AE40" s="6">
        <f>SUM(Data!I331:I336)</f>
        <v>703.32999999999993</v>
      </c>
      <c r="AF40" s="335">
        <f t="shared" si="24"/>
        <v>1333.34</v>
      </c>
      <c r="AG40" s="15">
        <f t="shared" si="25"/>
        <v>584.45000000000005</v>
      </c>
      <c r="AH40" s="25">
        <f t="shared" si="29"/>
        <v>584.45000000000027</v>
      </c>
      <c r="AI40" s="25">
        <f t="shared" si="30"/>
        <v>505.09999999999991</v>
      </c>
      <c r="AJ40" s="25">
        <f t="shared" si="7"/>
        <v>505.09999999999991</v>
      </c>
      <c r="AK40" s="6">
        <f t="shared" si="10"/>
        <v>0</v>
      </c>
      <c r="AL40" s="354">
        <f t="shared" si="11"/>
        <v>0</v>
      </c>
      <c r="AM40" s="6">
        <f t="shared" si="12"/>
        <v>102.35000000000014</v>
      </c>
      <c r="AN40" s="6">
        <f t="shared" si="13"/>
        <v>102.35000000000059</v>
      </c>
      <c r="AO40" s="6">
        <f t="shared" si="14"/>
        <v>102.15999999999985</v>
      </c>
      <c r="AP40" s="6">
        <f t="shared" si="15"/>
        <v>4.5474735088646412E-13</v>
      </c>
      <c r="AQ40" s="335">
        <f t="shared" si="16"/>
        <v>-0.19000000000073669</v>
      </c>
      <c r="AR40" s="15">
        <f t="shared" si="26"/>
        <v>-192.15999999999758</v>
      </c>
      <c r="AS40" s="25">
        <f t="shared" si="17"/>
        <v>-79.350000000000136</v>
      </c>
      <c r="AT40" s="25">
        <f t="shared" si="18"/>
        <v>-79.350000000000364</v>
      </c>
      <c r="AU40" s="350">
        <f t="shared" si="2"/>
        <v>8.1989316129912101E-2</v>
      </c>
      <c r="AV40" s="350">
        <f t="shared" si="19"/>
        <v>0.1570976044347657</v>
      </c>
      <c r="AW40" s="350">
        <f t="shared" si="27"/>
        <v>7.8760554143781344E-2</v>
      </c>
      <c r="AX40" s="356">
        <f t="shared" si="20"/>
        <v>3.8903871236757978E-16</v>
      </c>
      <c r="BP40" s="121">
        <f t="shared" si="3"/>
        <v>0.17753141167775308</v>
      </c>
      <c r="BT40">
        <f>21/30</f>
        <v>0.7</v>
      </c>
      <c r="BU40">
        <f t="shared" si="21"/>
        <v>700</v>
      </c>
      <c r="BW40">
        <f ca="1">Health!N51</f>
        <v>177.32</v>
      </c>
    </row>
    <row r="41" spans="2:75">
      <c r="B41" s="65">
        <v>45047</v>
      </c>
      <c r="C41" s="6">
        <f>SUM(Data!C339:C343)</f>
        <v>1917.79</v>
      </c>
      <c r="D41" s="334">
        <f>Data!Q344</f>
        <v>2893.1099999999969</v>
      </c>
      <c r="E41" s="6">
        <f>Data!Q341</f>
        <v>2393.1499999999969</v>
      </c>
      <c r="F41" s="6">
        <f>Data!Q342</f>
        <v>499.96000000000004</v>
      </c>
      <c r="G41" s="6">
        <f>Data!Q343</f>
        <v>0</v>
      </c>
      <c r="H41" s="6"/>
      <c r="I41" s="6"/>
      <c r="J41" s="6"/>
      <c r="K41" s="334">
        <f>Data!U344</f>
        <v>2688.79</v>
      </c>
      <c r="L41" s="25">
        <f>Data!U341</f>
        <v>2212.8200000000002</v>
      </c>
      <c r="M41" s="25">
        <f>Data!U343</f>
        <v>0</v>
      </c>
      <c r="N41" s="6">
        <f>Data!U342</f>
        <v>475.97</v>
      </c>
      <c r="O41" s="25">
        <f>Data!AD342</f>
        <v>145.25</v>
      </c>
      <c r="P41" s="25"/>
      <c r="Q41" s="25"/>
      <c r="R41" s="335">
        <f t="shared" si="28"/>
        <v>1572.7199999999998</v>
      </c>
      <c r="S41" s="25">
        <v>160</v>
      </c>
      <c r="T41" s="25">
        <v>350</v>
      </c>
      <c r="U41" s="25">
        <v>0</v>
      </c>
      <c r="V41" s="25">
        <v>150</v>
      </c>
      <c r="W41" s="25"/>
      <c r="X41" s="25"/>
      <c r="Y41" s="25"/>
      <c r="Z41" s="15">
        <f>Data!F340</f>
        <v>203.83</v>
      </c>
      <c r="AA41" s="6">
        <f>Data!F339</f>
        <v>337.46</v>
      </c>
      <c r="AB41" s="25">
        <f>Data!I340</f>
        <v>200</v>
      </c>
      <c r="AC41" s="6">
        <f>SUM(Data!I339:I343)-AB41</f>
        <v>654.27</v>
      </c>
      <c r="AD41" s="6">
        <f>SUM(Data!F339:F342)</f>
        <v>706.29</v>
      </c>
      <c r="AE41" s="6">
        <f>SUM(Data!I339:I343)</f>
        <v>854.27</v>
      </c>
      <c r="AF41" s="335">
        <f t="shared" si="24"/>
        <v>1560.56</v>
      </c>
      <c r="AG41" s="15">
        <f t="shared" si="25"/>
        <v>357.23</v>
      </c>
      <c r="AH41" s="25">
        <f t="shared" si="29"/>
        <v>357.22999999999956</v>
      </c>
      <c r="AI41" s="25">
        <f t="shared" si="30"/>
        <v>345.07000000000016</v>
      </c>
      <c r="AJ41" s="25">
        <f t="shared" si="7"/>
        <v>345.07000000000016</v>
      </c>
      <c r="AK41" s="6">
        <f t="shared" si="10"/>
        <v>4.5474735088646412E-13</v>
      </c>
      <c r="AL41" s="354">
        <f t="shared" si="11"/>
        <v>0</v>
      </c>
      <c r="AM41" s="6">
        <f t="shared" si="12"/>
        <v>-227.22000000000003</v>
      </c>
      <c r="AN41" s="6">
        <f t="shared" si="13"/>
        <v>-227.22000000000071</v>
      </c>
      <c r="AO41" s="6">
        <f t="shared" si="14"/>
        <v>-160.02999999999975</v>
      </c>
      <c r="AP41" s="6">
        <f t="shared" si="15"/>
        <v>-6.8212102632969618E-13</v>
      </c>
      <c r="AQ41" s="335">
        <f t="shared" si="16"/>
        <v>67.190000000000964</v>
      </c>
      <c r="AR41" s="15">
        <f t="shared" si="26"/>
        <v>-204.31999999999698</v>
      </c>
      <c r="AS41" s="25">
        <f t="shared" si="17"/>
        <v>-12.159999999999854</v>
      </c>
      <c r="AT41" s="25">
        <f t="shared" si="18"/>
        <v>-12.1599999999994</v>
      </c>
      <c r="AU41" s="350">
        <f t="shared" si="2"/>
        <v>7.5989571517298488E-2</v>
      </c>
      <c r="AV41" s="350">
        <f t="shared" si="19"/>
        <v>3.5239226823542608E-2</v>
      </c>
      <c r="AW41" s="350">
        <f t="shared" si="27"/>
        <v>7.3208047439043009E-2</v>
      </c>
      <c r="AX41" s="356">
        <f t="shared" si="20"/>
        <v>1.2729819748802295E-15</v>
      </c>
      <c r="BP41" s="121">
        <f t="shared" si="3"/>
        <v>0.14667623833452909</v>
      </c>
      <c r="BT41">
        <f>19/31</f>
        <v>0.61290322580645162</v>
      </c>
      <c r="BU41">
        <f t="shared" si="21"/>
        <v>612.90322580645159</v>
      </c>
      <c r="BW41">
        <f ca="1">Health!N52</f>
        <v>178</v>
      </c>
    </row>
    <row r="42" spans="2:75">
      <c r="B42" s="65">
        <v>45078</v>
      </c>
      <c r="C42" s="6">
        <f>SUM(Data!C347:C350)</f>
        <v>2154.54</v>
      </c>
      <c r="D42" s="15">
        <f>Data!Q351</f>
        <v>3259.4699999999966</v>
      </c>
      <c r="E42" s="25">
        <f>Data!Q348</f>
        <v>1825.7599999999966</v>
      </c>
      <c r="F42" s="6">
        <f>Data!Q349</f>
        <v>1233.71</v>
      </c>
      <c r="G42" s="6">
        <f>Data!Q350</f>
        <v>200</v>
      </c>
      <c r="H42" s="6"/>
      <c r="I42" s="6"/>
      <c r="J42" s="6"/>
      <c r="K42" s="15">
        <f>Data!U351</f>
        <v>3018.0099999999998</v>
      </c>
      <c r="L42" s="25">
        <f>Data!U348</f>
        <v>1710.85</v>
      </c>
      <c r="M42" s="25">
        <f>Data!U350</f>
        <v>200</v>
      </c>
      <c r="N42" s="6">
        <f>Data!U349</f>
        <v>1107.1599999999999</v>
      </c>
      <c r="O42" s="25">
        <f>Data!AD349</f>
        <v>160.33000000000001</v>
      </c>
      <c r="P42" s="25"/>
      <c r="Q42" s="25"/>
      <c r="R42" s="335">
        <f t="shared" si="28"/>
        <v>1825.3200000000002</v>
      </c>
      <c r="S42" s="25">
        <v>160</v>
      </c>
      <c r="T42" s="25">
        <v>350</v>
      </c>
      <c r="U42" s="25">
        <v>0</v>
      </c>
      <c r="V42" s="25">
        <v>150</v>
      </c>
      <c r="W42" s="25"/>
      <c r="X42" s="25"/>
      <c r="Y42" s="25"/>
      <c r="Z42" s="15">
        <f>Data!F347</f>
        <v>263.52</v>
      </c>
      <c r="AA42" s="6">
        <f>Data!F346</f>
        <v>531</v>
      </c>
      <c r="AB42" s="25">
        <v>40</v>
      </c>
      <c r="AC42" s="6">
        <f>SUM(Data!I346:I350)</f>
        <v>444.70000000000005</v>
      </c>
      <c r="AD42" s="6">
        <f>SUM(Data!F346:F350)</f>
        <v>1343.48</v>
      </c>
      <c r="AE42" s="6">
        <f>SUM(Data!I346:I350)</f>
        <v>444.70000000000005</v>
      </c>
      <c r="AF42" s="335">
        <f t="shared" si="24"/>
        <v>1788.18</v>
      </c>
      <c r="AG42" s="15">
        <f t="shared" si="25"/>
        <v>366.3599999999999</v>
      </c>
      <c r="AH42" s="25">
        <f t="shared" si="29"/>
        <v>366.35999999999967</v>
      </c>
      <c r="AI42" s="25">
        <f t="shared" si="30"/>
        <v>329.2199999999998</v>
      </c>
      <c r="AJ42" s="25">
        <f t="shared" si="7"/>
        <v>329.2199999999998</v>
      </c>
      <c r="AK42" s="6">
        <f t="shared" si="10"/>
        <v>0</v>
      </c>
      <c r="AL42" s="354">
        <f t="shared" si="11"/>
        <v>0</v>
      </c>
      <c r="AM42" s="6">
        <f t="shared" si="12"/>
        <v>9.1299999999998818</v>
      </c>
      <c r="AN42" s="6">
        <f t="shared" si="13"/>
        <v>9.1300000000001091</v>
      </c>
      <c r="AO42" s="6">
        <f t="shared" si="14"/>
        <v>-15.850000000000364</v>
      </c>
      <c r="AP42" s="6">
        <f t="shared" si="15"/>
        <v>2.2737367544323206E-13</v>
      </c>
      <c r="AQ42" s="335">
        <f t="shared" si="16"/>
        <v>-24.980000000000473</v>
      </c>
      <c r="AR42" s="15">
        <f t="shared" si="26"/>
        <v>-241.45999999999685</v>
      </c>
      <c r="AS42" s="25">
        <f t="shared" si="17"/>
        <v>-37.1400000000001</v>
      </c>
      <c r="AT42" s="25">
        <f t="shared" si="18"/>
        <v>-37.139999999999873</v>
      </c>
      <c r="AU42" s="350">
        <f t="shared" si="2"/>
        <v>8.0006361807945264E-2</v>
      </c>
      <c r="AV42" s="350">
        <f t="shared" si="19"/>
        <v>0.11281210133041772</v>
      </c>
      <c r="AW42" s="350">
        <f t="shared" si="27"/>
        <v>7.6928958754148805E-2</v>
      </c>
      <c r="AX42" s="356">
        <f t="shared" si="20"/>
        <v>6.2062909554326943E-16</v>
      </c>
      <c r="BP42" s="121">
        <f t="shared" si="3"/>
        <v>0.17532674992738889</v>
      </c>
      <c r="BT42">
        <f>17/30</f>
        <v>0.56666666666666665</v>
      </c>
      <c r="BU42">
        <f t="shared" si="21"/>
        <v>566.66666666666663</v>
      </c>
      <c r="BW42">
        <f ca="1">Health!N53</f>
        <v>175.53333333333333</v>
      </c>
    </row>
    <row r="43" spans="2:75">
      <c r="B43" s="65">
        <v>45108</v>
      </c>
      <c r="C43" s="6">
        <f>SUM(Data!C354:C358)</f>
        <v>1799.55</v>
      </c>
      <c r="D43" s="334">
        <f>Data!Q359</f>
        <v>2177.0599999999963</v>
      </c>
      <c r="E43" s="6">
        <f>Data!Q356</f>
        <v>1543.3499999999963</v>
      </c>
      <c r="F43" s="6">
        <f>Data!Q357</f>
        <v>433.71000000000004</v>
      </c>
      <c r="G43" s="6">
        <f>Data!Q358</f>
        <v>200</v>
      </c>
      <c r="H43" s="6"/>
      <c r="I43" s="6"/>
      <c r="J43" s="6"/>
      <c r="K43" s="15">
        <f>Data!U359</f>
        <v>1918.61</v>
      </c>
      <c r="L43" s="25">
        <f>Data!U356</f>
        <v>1404.1799999999998</v>
      </c>
      <c r="M43" s="25">
        <f>Data!U358</f>
        <v>200</v>
      </c>
      <c r="N43" s="6">
        <f>Data!U357</f>
        <v>314.43</v>
      </c>
      <c r="O43" s="25">
        <f>Data!AD357</f>
        <v>154.07</v>
      </c>
      <c r="P43" s="25"/>
      <c r="Q43" s="25"/>
      <c r="R43" s="335">
        <f t="shared" si="28"/>
        <v>2898.95</v>
      </c>
      <c r="S43" s="25">
        <v>160</v>
      </c>
      <c r="T43" s="25">
        <v>350</v>
      </c>
      <c r="U43" s="25">
        <v>0</v>
      </c>
      <c r="V43" s="25">
        <v>150</v>
      </c>
      <c r="W43" s="25"/>
      <c r="X43" s="25"/>
      <c r="Y43" s="25"/>
      <c r="Z43" s="15">
        <f>Data!F354</f>
        <v>380.46999999999997</v>
      </c>
      <c r="AA43" s="6">
        <f>Data!F353</f>
        <v>832.00000000000011</v>
      </c>
      <c r="AB43" s="25">
        <v>0</v>
      </c>
      <c r="AC43" s="6">
        <f>SUM(Data!I353:I358)</f>
        <v>504.49</v>
      </c>
      <c r="AD43" s="6">
        <f>SUM(Data!F353:F358)</f>
        <v>2377.4700000000003</v>
      </c>
      <c r="AE43" s="6">
        <f>AC43</f>
        <v>504.49</v>
      </c>
      <c r="AF43" s="335">
        <f t="shared" si="24"/>
        <v>2881.96</v>
      </c>
      <c r="AG43" s="15">
        <f t="shared" si="25"/>
        <v>-1082.4100000000001</v>
      </c>
      <c r="AH43" s="25">
        <f t="shared" si="29"/>
        <v>-1082.4100000000003</v>
      </c>
      <c r="AI43" s="25">
        <f t="shared" si="30"/>
        <v>-1099.3999999999999</v>
      </c>
      <c r="AJ43" s="25">
        <f t="shared" si="7"/>
        <v>-1099.3999999999999</v>
      </c>
      <c r="AK43" s="6">
        <f t="shared" si="10"/>
        <v>0</v>
      </c>
      <c r="AL43" s="354">
        <f t="shared" si="11"/>
        <v>0</v>
      </c>
      <c r="AM43" s="6">
        <f t="shared" si="12"/>
        <v>-1448.77</v>
      </c>
      <c r="AN43" s="6">
        <f t="shared" si="13"/>
        <v>-1448.77</v>
      </c>
      <c r="AO43" s="6">
        <f t="shared" si="14"/>
        <v>-1428.6199999999997</v>
      </c>
      <c r="AP43" s="6">
        <f t="shared" si="15"/>
        <v>0</v>
      </c>
      <c r="AQ43" s="335">
        <f t="shared" si="16"/>
        <v>20.150000000000318</v>
      </c>
      <c r="AR43" s="15">
        <f t="shared" si="26"/>
        <v>-258.44999999999641</v>
      </c>
      <c r="AS43" s="25">
        <f t="shared" si="17"/>
        <v>-16.989999999999782</v>
      </c>
      <c r="AT43" s="25">
        <f t="shared" si="18"/>
        <v>-16.989999999999554</v>
      </c>
      <c r="AU43" s="350">
        <f t="shared" si="2"/>
        <v>0.13470689718076964</v>
      </c>
      <c r="AV43" s="350">
        <f t="shared" si="19"/>
        <v>1.5453883936692545E-2</v>
      </c>
      <c r="AW43" s="350">
        <f t="shared" si="27"/>
        <v>0.12620645706318948</v>
      </c>
      <c r="AX43" s="356">
        <f t="shared" si="20"/>
        <v>2.1006243054224554E-16</v>
      </c>
      <c r="BP43" s="121">
        <f t="shared" si="3"/>
        <v>0.2</v>
      </c>
      <c r="BT43">
        <f>17/30</f>
        <v>0.56666666666666665</v>
      </c>
      <c r="BU43">
        <f t="shared" si="21"/>
        <v>566.66666666666663</v>
      </c>
      <c r="BW43">
        <f ca="1">Health!N54</f>
        <v>171.7</v>
      </c>
    </row>
    <row r="44" spans="2:75">
      <c r="B44" s="65">
        <v>45139</v>
      </c>
      <c r="C44" s="6">
        <f>SUM(Data!C361:C365)</f>
        <v>2668.82</v>
      </c>
      <c r="D44" s="15">
        <f>Data!Q366</f>
        <v>3319.9199999999964</v>
      </c>
      <c r="E44" s="25">
        <f>Data!Q363</f>
        <v>2686.2099999999964</v>
      </c>
      <c r="F44" s="6">
        <f>Data!Q364</f>
        <v>433.71000000000004</v>
      </c>
      <c r="G44" s="6">
        <f>Data!Q365</f>
        <v>200</v>
      </c>
      <c r="H44" s="6"/>
      <c r="I44" s="6"/>
      <c r="J44" s="6"/>
      <c r="K44" s="15">
        <f>Data!U366</f>
        <v>3111.71</v>
      </c>
      <c r="L44" s="25">
        <f>Data!U363</f>
        <v>2593.19</v>
      </c>
      <c r="M44" s="25">
        <f>Data!U365</f>
        <v>200</v>
      </c>
      <c r="N44" s="6">
        <f>Data!U364</f>
        <v>318.52</v>
      </c>
      <c r="O44" s="25">
        <f>Data!AD364</f>
        <v>154.07</v>
      </c>
      <c r="P44" s="25"/>
      <c r="Q44" s="25"/>
      <c r="R44" s="335">
        <f t="shared" si="28"/>
        <v>1475.72</v>
      </c>
      <c r="S44" s="25">
        <v>160</v>
      </c>
      <c r="T44" s="25">
        <v>350</v>
      </c>
      <c r="U44" s="25">
        <v>0</v>
      </c>
      <c r="V44" s="25">
        <v>150</v>
      </c>
      <c r="W44" s="25"/>
      <c r="X44" s="25"/>
      <c r="Y44" s="25"/>
      <c r="Z44" s="15">
        <f>Data!F362</f>
        <v>291.97000000000003</v>
      </c>
      <c r="AA44" s="6">
        <f>Data!F361</f>
        <v>481.11</v>
      </c>
      <c r="AB44" s="25">
        <f>0</f>
        <v>0</v>
      </c>
      <c r="AC44" s="6">
        <f>SUM(Data!I361:I365)</f>
        <v>580.72</v>
      </c>
      <c r="AD44" s="6">
        <f>SUM(Data!F361:F365)</f>
        <v>945.24</v>
      </c>
      <c r="AE44" s="6">
        <f>AC44</f>
        <v>580.72</v>
      </c>
      <c r="AF44" s="335">
        <f t="shared" si="24"/>
        <v>1525.96</v>
      </c>
      <c r="AG44" s="15">
        <f t="shared" si="25"/>
        <v>1142.8600000000001</v>
      </c>
      <c r="AH44" s="25">
        <f t="shared" si="29"/>
        <v>1142.8600000000001</v>
      </c>
      <c r="AI44" s="25">
        <f t="shared" si="30"/>
        <v>1193.1000000000001</v>
      </c>
      <c r="AJ44" s="25">
        <f t="shared" si="7"/>
        <v>1193.1000000000001</v>
      </c>
      <c r="AK44" s="6">
        <f t="shared" si="10"/>
        <v>0</v>
      </c>
      <c r="AL44" s="354">
        <f t="shared" si="11"/>
        <v>0</v>
      </c>
      <c r="AM44" s="6">
        <f t="shared" si="12"/>
        <v>2225.2700000000004</v>
      </c>
      <c r="AN44" s="6">
        <f t="shared" si="13"/>
        <v>2225.2700000000004</v>
      </c>
      <c r="AO44" s="6">
        <f t="shared" si="14"/>
        <v>2292.5</v>
      </c>
      <c r="AP44" s="6">
        <f t="shared" si="15"/>
        <v>0</v>
      </c>
      <c r="AQ44" s="335">
        <f t="shared" si="16"/>
        <v>67.229999999999563</v>
      </c>
      <c r="AR44" s="15">
        <f t="shared" si="26"/>
        <v>-208.2099999999964</v>
      </c>
      <c r="AS44" s="25">
        <f t="shared" si="17"/>
        <v>50.240000000000009</v>
      </c>
      <c r="AT44" s="25">
        <f t="shared" si="18"/>
        <v>50.240000000000009</v>
      </c>
      <c r="AU44" s="350">
        <f t="shared" si="2"/>
        <v>6.6911762342890688E-2</v>
      </c>
      <c r="AV44" s="350">
        <f t="shared" si="19"/>
        <v>4.2108792221942838E-2</v>
      </c>
      <c r="AW44" s="350">
        <f t="shared" si="27"/>
        <v>6.4745639907767244E-2</v>
      </c>
      <c r="AX44" s="356">
        <f t="shared" si="20"/>
        <v>0</v>
      </c>
      <c r="BP44" s="121">
        <f t="shared" si="3"/>
        <v>0.12811740454727152</v>
      </c>
      <c r="BT44">
        <f>27/31</f>
        <v>0.87096774193548387</v>
      </c>
      <c r="BU44">
        <f t="shared" si="21"/>
        <v>870.9677419354839</v>
      </c>
      <c r="BW44">
        <f ca="1">Health!N55</f>
        <v>172.72</v>
      </c>
    </row>
    <row r="45" spans="2:75">
      <c r="B45" s="65">
        <v>45170</v>
      </c>
      <c r="C45" s="6">
        <f>SUM(Data!C368:C374)</f>
        <v>2790.04</v>
      </c>
      <c r="D45" s="15">
        <f>Data!Q375</f>
        <v>3608.8199999999965</v>
      </c>
      <c r="E45" s="25">
        <f>Data!Q372</f>
        <v>2970.1099999999965</v>
      </c>
      <c r="F45" s="6">
        <f>Data!Q373</f>
        <v>538.71</v>
      </c>
      <c r="G45" s="6">
        <f>Data!Q374</f>
        <v>100</v>
      </c>
      <c r="H45" s="6"/>
      <c r="I45" s="6"/>
      <c r="J45" s="6"/>
      <c r="K45" s="15">
        <f>Data!U375</f>
        <v>3342.2</v>
      </c>
      <c r="L45" s="25">
        <f>Data!U372</f>
        <v>2807.56</v>
      </c>
      <c r="M45" s="25">
        <f>Data!U374</f>
        <v>100</v>
      </c>
      <c r="N45" s="6">
        <f>Data!U373</f>
        <v>434.64</v>
      </c>
      <c r="O45" s="25">
        <f>Data!AD373</f>
        <v>144.47999999999999</v>
      </c>
      <c r="P45" s="25"/>
      <c r="Q45" s="25"/>
      <c r="R45" s="335">
        <f t="shared" si="28"/>
        <v>2559.5500000000002</v>
      </c>
      <c r="S45" s="25">
        <v>160</v>
      </c>
      <c r="T45" s="25">
        <v>350</v>
      </c>
      <c r="U45" s="25">
        <v>0</v>
      </c>
      <c r="V45" s="25">
        <v>150</v>
      </c>
      <c r="W45" s="25"/>
      <c r="X45" s="25"/>
      <c r="Y45" s="25"/>
      <c r="Z45" s="15">
        <f>Data!F369</f>
        <v>251.67</v>
      </c>
      <c r="AA45" s="6">
        <f>Data!F368</f>
        <v>631.79</v>
      </c>
      <c r="AB45" s="25">
        <f>0</f>
        <v>0</v>
      </c>
      <c r="AC45" s="6">
        <f>SUM(Data!I368:I374)</f>
        <v>451.67999999999995</v>
      </c>
      <c r="AD45" s="6">
        <f>SUM(Data!F368:F374)</f>
        <v>2049.46</v>
      </c>
      <c r="AE45" s="6">
        <f>SUM(Data!I368:I374)</f>
        <v>451.67999999999995</v>
      </c>
      <c r="AF45" s="335">
        <f t="shared" si="24"/>
        <v>2501.14</v>
      </c>
      <c r="AG45" s="15">
        <f t="shared" si="25"/>
        <v>288.90000000000009</v>
      </c>
      <c r="AH45" s="25">
        <f t="shared" si="29"/>
        <v>288.90000000000009</v>
      </c>
      <c r="AI45" s="25">
        <f t="shared" si="30"/>
        <v>230.48999999999978</v>
      </c>
      <c r="AJ45" s="25">
        <f t="shared" si="7"/>
        <v>230.48999999999978</v>
      </c>
      <c r="AK45" s="6">
        <f t="shared" si="10"/>
        <v>0</v>
      </c>
      <c r="AL45" s="354">
        <f t="shared" si="11"/>
        <v>0</v>
      </c>
      <c r="AM45" s="6">
        <f t="shared" si="12"/>
        <v>-853.96</v>
      </c>
      <c r="AN45" s="6">
        <f t="shared" si="13"/>
        <v>-853.96</v>
      </c>
      <c r="AO45" s="6">
        <f t="shared" si="14"/>
        <v>-962.61000000000035</v>
      </c>
      <c r="AP45" s="6">
        <f t="shared" si="15"/>
        <v>0</v>
      </c>
      <c r="AQ45" s="335">
        <f t="shared" si="16"/>
        <v>-108.65000000000032</v>
      </c>
      <c r="AR45" s="15">
        <f t="shared" si="26"/>
        <v>-266.61999999999671</v>
      </c>
      <c r="AS45" s="25">
        <f t="shared" si="17"/>
        <v>-58.410000000000309</v>
      </c>
      <c r="AT45" s="25">
        <f t="shared" si="18"/>
        <v>-58.410000000000309</v>
      </c>
      <c r="AU45" s="350">
        <f t="shared" si="2"/>
        <v>7.9773801687510235E-2</v>
      </c>
      <c r="AV45" s="350">
        <f t="shared" si="19"/>
        <v>0.25341663412729559</v>
      </c>
      <c r="AW45" s="350">
        <f t="shared" si="27"/>
        <v>7.6713921122366746E-2</v>
      </c>
      <c r="AX45" s="356">
        <f t="shared" si="20"/>
        <v>0</v>
      </c>
      <c r="BP45" s="121">
        <f t="shared" si="3"/>
        <v>0.17452379393860071</v>
      </c>
      <c r="BT45">
        <f>23/30</f>
        <v>0.76666666666666672</v>
      </c>
      <c r="BU45">
        <f t="shared" si="21"/>
        <v>766.66666666666674</v>
      </c>
      <c r="BW45">
        <f ca="1">Health!N56</f>
        <v>175.95</v>
      </c>
    </row>
    <row r="46" spans="2:75">
      <c r="B46" s="65">
        <v>45200</v>
      </c>
      <c r="C46" s="6">
        <f>SUM(Data!C377:C383)</f>
        <v>2870.05</v>
      </c>
      <c r="D46" s="334">
        <f>Data!Q384</f>
        <v>2908.9499999999966</v>
      </c>
      <c r="E46" s="6">
        <f>Data!Q381</f>
        <v>2470.2399999999966</v>
      </c>
      <c r="F46" s="6">
        <f>Data!Q382</f>
        <v>338.71000000000004</v>
      </c>
      <c r="G46" s="6">
        <f>Data!Q383</f>
        <v>100</v>
      </c>
      <c r="H46" s="6"/>
      <c r="I46" s="6"/>
      <c r="J46" s="6"/>
      <c r="K46" s="15">
        <f>Data!U384</f>
        <v>2622.8700000000003</v>
      </c>
      <c r="L46" s="25">
        <f>Data!U381</f>
        <v>2285.1200000000003</v>
      </c>
      <c r="M46" s="25">
        <f>Data!U383</f>
        <v>100</v>
      </c>
      <c r="N46" s="6">
        <f>Data!U382</f>
        <v>237.75</v>
      </c>
      <c r="O46" s="25">
        <f>Data!AD382</f>
        <v>184.07</v>
      </c>
      <c r="P46" s="25"/>
      <c r="Q46" s="25"/>
      <c r="R46" s="335">
        <f t="shared" si="28"/>
        <v>3589.3799999999997</v>
      </c>
      <c r="S46" s="25">
        <v>160</v>
      </c>
      <c r="T46" s="25">
        <v>350</v>
      </c>
      <c r="U46" s="25">
        <v>0</v>
      </c>
      <c r="V46" s="25">
        <v>150</v>
      </c>
      <c r="W46" s="25"/>
      <c r="X46" s="25"/>
      <c r="Y46" s="25"/>
      <c r="Z46" s="15">
        <f>Data!F378</f>
        <v>211.77999999999997</v>
      </c>
      <c r="AA46" s="6">
        <f>Data!F377</f>
        <v>610.11000000000013</v>
      </c>
      <c r="AB46" s="25">
        <v>0</v>
      </c>
      <c r="AC46" s="6">
        <f>SUM(Data!I377:I383)</f>
        <v>537.27</v>
      </c>
      <c r="AD46" s="6">
        <f>SUM(Data!F377:F383)</f>
        <v>3032.65</v>
      </c>
      <c r="AE46" s="6">
        <f>AC46</f>
        <v>537.27</v>
      </c>
      <c r="AF46" s="335">
        <f t="shared" si="24"/>
        <v>3569.92</v>
      </c>
      <c r="AG46" s="15">
        <f t="shared" si="25"/>
        <v>-699.86999999999989</v>
      </c>
      <c r="AH46" s="25">
        <f t="shared" si="29"/>
        <v>-699.86999999999989</v>
      </c>
      <c r="AI46" s="25">
        <f t="shared" si="30"/>
        <v>-719.32999999999947</v>
      </c>
      <c r="AJ46" s="25">
        <f t="shared" si="7"/>
        <v>-719.32999999999947</v>
      </c>
      <c r="AK46" s="6">
        <f t="shared" si="10"/>
        <v>0</v>
      </c>
      <c r="AL46" s="354">
        <f t="shared" si="11"/>
        <v>0</v>
      </c>
      <c r="AM46" s="6">
        <f t="shared" si="12"/>
        <v>-988.77</v>
      </c>
      <c r="AN46" s="6">
        <f t="shared" si="13"/>
        <v>-988.77</v>
      </c>
      <c r="AO46" s="6">
        <f t="shared" si="14"/>
        <v>-949.81999999999925</v>
      </c>
      <c r="AP46" s="6">
        <f t="shared" si="15"/>
        <v>0</v>
      </c>
      <c r="AQ46" s="335">
        <f t="shared" si="16"/>
        <v>38.950000000000728</v>
      </c>
      <c r="AR46" s="15">
        <f t="shared" si="26"/>
        <v>-286.07999999999629</v>
      </c>
      <c r="AS46" s="25">
        <f t="shared" si="17"/>
        <v>-19.459999999999582</v>
      </c>
      <c r="AT46" s="25">
        <f t="shared" si="18"/>
        <v>-19.459999999999582</v>
      </c>
      <c r="AU46" s="350">
        <f t="shared" si="2"/>
        <v>0.10907136076130203</v>
      </c>
      <c r="AV46" s="350">
        <f t="shared" si="19"/>
        <v>2.7052952052603944E-2</v>
      </c>
      <c r="AW46" s="350">
        <f t="shared" si="27"/>
        <v>0.10343069731119105</v>
      </c>
      <c r="AX46" s="356">
        <f t="shared" si="20"/>
        <v>0</v>
      </c>
      <c r="BP46" s="121">
        <f t="shared" si="3"/>
        <v>0.16768067522419455</v>
      </c>
      <c r="BT46">
        <f>21/31</f>
        <v>0.67741935483870963</v>
      </c>
      <c r="BU46">
        <f t="shared" si="21"/>
        <v>677.41935483870964</v>
      </c>
      <c r="BW46">
        <f ca="1">Health!N57</f>
        <v>179.73333333333335</v>
      </c>
    </row>
    <row r="47" spans="2:75">
      <c r="B47" s="65">
        <v>45231</v>
      </c>
      <c r="C47" s="6">
        <f>SUM(Data!C386:C394)</f>
        <v>2790.04</v>
      </c>
      <c r="D47" s="15">
        <f>Data!Q395</f>
        <v>2540.8499999999967</v>
      </c>
      <c r="E47" s="25">
        <f>Data!Q392</f>
        <v>1802.1399999999967</v>
      </c>
      <c r="F47" s="6">
        <f>Data!Q393</f>
        <v>438.71000000000004</v>
      </c>
      <c r="G47" s="6">
        <f>Data!Q394</f>
        <v>300</v>
      </c>
      <c r="H47" s="6">
        <v>0</v>
      </c>
      <c r="I47" s="6"/>
      <c r="J47" s="6"/>
      <c r="K47" s="15">
        <f>Data!U395</f>
        <v>2227.1999999999998</v>
      </c>
      <c r="L47" s="25">
        <f>Data!U392</f>
        <v>1584.41</v>
      </c>
      <c r="M47" s="25">
        <f>Data!U394</f>
        <v>300</v>
      </c>
      <c r="N47" s="6">
        <f>Data!U393</f>
        <v>342.78999999999996</v>
      </c>
      <c r="O47" s="25">
        <f>Data!AD393</f>
        <v>201.48</v>
      </c>
      <c r="P47" s="6">
        <v>0</v>
      </c>
      <c r="Q47" s="25">
        <v>0</v>
      </c>
      <c r="R47" s="335">
        <f t="shared" si="28"/>
        <v>3185.7100000000005</v>
      </c>
      <c r="S47" s="25">
        <v>160</v>
      </c>
      <c r="T47" s="25">
        <v>350</v>
      </c>
      <c r="U47" s="25">
        <v>0</v>
      </c>
      <c r="V47" s="25">
        <v>150</v>
      </c>
      <c r="W47" s="25"/>
      <c r="X47" s="25"/>
      <c r="Y47" s="25"/>
      <c r="Z47" s="15">
        <f>Data!F387</f>
        <v>195.75</v>
      </c>
      <c r="AA47" s="6">
        <f>Data!F386</f>
        <v>455.66000000000008</v>
      </c>
      <c r="AB47" s="6">
        <f>Data!I390</f>
        <v>60</v>
      </c>
      <c r="AC47" s="6">
        <f>SUM(Data!I386:I394)</f>
        <v>961.73</v>
      </c>
      <c r="AD47" s="6">
        <f>SUM(Data!F386:F394)</f>
        <v>2196.41</v>
      </c>
      <c r="AE47" s="6">
        <f>SUM(Data!I386:I394)</f>
        <v>961.73</v>
      </c>
      <c r="AF47" s="335">
        <f t="shared" si="24"/>
        <v>3158.14</v>
      </c>
      <c r="AG47" s="15">
        <f t="shared" si="25"/>
        <v>-368.09999999999991</v>
      </c>
      <c r="AH47" s="25">
        <f t="shared" si="29"/>
        <v>-368.09999999999991</v>
      </c>
      <c r="AI47" s="25">
        <f t="shared" si="30"/>
        <v>-395.67000000000053</v>
      </c>
      <c r="AJ47" s="25">
        <f t="shared" si="7"/>
        <v>-395.67000000000053</v>
      </c>
      <c r="AK47" s="6">
        <f t="shared" si="10"/>
        <v>0</v>
      </c>
      <c r="AL47" s="354">
        <f t="shared" si="11"/>
        <v>0</v>
      </c>
      <c r="AM47" s="6">
        <f t="shared" si="12"/>
        <v>331.77</v>
      </c>
      <c r="AN47" s="6">
        <f t="shared" si="13"/>
        <v>331.77</v>
      </c>
      <c r="AO47" s="6">
        <f t="shared" si="14"/>
        <v>323.65999999999894</v>
      </c>
      <c r="AP47" s="6">
        <f t="shared" si="15"/>
        <v>0</v>
      </c>
      <c r="AQ47" s="335">
        <f t="shared" si="16"/>
        <v>-8.1100000000010368</v>
      </c>
      <c r="AR47" s="15">
        <f t="shared" si="26"/>
        <v>-313.64999999999691</v>
      </c>
      <c r="AS47" s="25">
        <f t="shared" si="17"/>
        <v>-27.570000000000618</v>
      </c>
      <c r="AT47" s="25">
        <f t="shared" si="18"/>
        <v>-27.570000000000618</v>
      </c>
      <c r="AU47" s="350">
        <f t="shared" si="2"/>
        <v>0.14082704741379173</v>
      </c>
      <c r="AV47" s="350">
        <f t="shared" si="19"/>
        <v>6.9679278186368904E-2</v>
      </c>
      <c r="AW47" s="350">
        <f t="shared" si="27"/>
        <v>0.13156321766759876</v>
      </c>
      <c r="AX47" s="356">
        <f t="shared" si="20"/>
        <v>0</v>
      </c>
      <c r="AZ47" t="s">
        <v>602</v>
      </c>
      <c r="BD47" t="s">
        <v>603</v>
      </c>
      <c r="BH47" t="s">
        <v>5</v>
      </c>
      <c r="BL47" t="s">
        <v>604</v>
      </c>
      <c r="BP47" s="121">
        <f t="shared" si="3"/>
        <v>0.2</v>
      </c>
      <c r="BT47">
        <f>19/30</f>
        <v>0.6333333333333333</v>
      </c>
      <c r="BU47">
        <f t="shared" si="21"/>
        <v>633.33333333333326</v>
      </c>
      <c r="BW47">
        <f ca="1">Health!N58</f>
        <v>183.83999999999997</v>
      </c>
    </row>
    <row r="48" spans="2:75">
      <c r="B48" s="65">
        <v>45261</v>
      </c>
      <c r="C48" s="6">
        <f>SUM(Data!C398:C400)</f>
        <v>3130.1800000000003</v>
      </c>
      <c r="D48" s="334">
        <f>Data!Q406</f>
        <v>1619.999999999997</v>
      </c>
      <c r="E48" s="6">
        <f>Data!Q402</f>
        <v>332.97999999999706</v>
      </c>
      <c r="F48" s="6">
        <f>Data!Q403</f>
        <v>193.71000000000004</v>
      </c>
      <c r="G48" s="6">
        <f>Data!Q404</f>
        <v>345</v>
      </c>
      <c r="H48" s="6">
        <f>Data!Q405+Data!C401</f>
        <v>748.31</v>
      </c>
      <c r="I48" s="6"/>
      <c r="J48" s="6"/>
      <c r="K48" s="15">
        <f>Data!U406</f>
        <v>1597.87</v>
      </c>
      <c r="L48" s="25">
        <f>Data!U402</f>
        <v>202.9</v>
      </c>
      <c r="M48" s="25">
        <f>Data!U404</f>
        <v>200</v>
      </c>
      <c r="N48" s="6">
        <f>Data!U403</f>
        <v>248.87</v>
      </c>
      <c r="O48" s="25">
        <f>Data!AD404</f>
        <v>292.73</v>
      </c>
      <c r="P48" s="25">
        <f>Data!AD405</f>
        <v>653.37</v>
      </c>
      <c r="Q48" s="25">
        <f>Data!U405</f>
        <v>946.1</v>
      </c>
      <c r="R48" s="335">
        <f t="shared" si="28"/>
        <v>3759.51</v>
      </c>
      <c r="S48" s="25">
        <v>160</v>
      </c>
      <c r="T48" s="25">
        <v>350</v>
      </c>
      <c r="U48" s="25">
        <v>0</v>
      </c>
      <c r="V48" s="25">
        <v>150</v>
      </c>
      <c r="W48" s="25"/>
      <c r="X48" s="25"/>
      <c r="Y48" s="25"/>
      <c r="Z48" s="15">
        <f>Data!F398</f>
        <v>146.61000000000001</v>
      </c>
      <c r="AA48" s="6">
        <f>Data!F397</f>
        <v>400.14</v>
      </c>
      <c r="AB48" s="6">
        <f>Data!I398</f>
        <v>315</v>
      </c>
      <c r="AC48" s="6">
        <f>SUM(Data!I397:I405)-Data!I398</f>
        <v>1467.5</v>
      </c>
      <c r="AD48" s="6">
        <f>SUM(Data!F397:F405)</f>
        <v>1986.66</v>
      </c>
      <c r="AE48" s="6">
        <f>SUM(Data!I397:I405)</f>
        <v>1782.5</v>
      </c>
      <c r="AF48" s="335">
        <f t="shared" si="24"/>
        <v>3769.16</v>
      </c>
      <c r="AG48" s="15">
        <f t="shared" si="25"/>
        <v>-638.97999999999956</v>
      </c>
      <c r="AH48" s="25">
        <f t="shared" si="29"/>
        <v>-920.84999999999968</v>
      </c>
      <c r="AI48" s="25">
        <f t="shared" si="30"/>
        <v>-629.32999999999993</v>
      </c>
      <c r="AJ48" s="25">
        <f t="shared" si="7"/>
        <v>-629.32999999999993</v>
      </c>
      <c r="AK48" s="6">
        <f t="shared" si="10"/>
        <v>281.87000000000012</v>
      </c>
      <c r="AL48" s="354">
        <f t="shared" si="11"/>
        <v>0</v>
      </c>
      <c r="AM48" s="6">
        <f t="shared" si="12"/>
        <v>-270.87999999999965</v>
      </c>
      <c r="AN48" s="6">
        <f t="shared" si="13"/>
        <v>-552.74999999999977</v>
      </c>
      <c r="AO48" s="6">
        <f t="shared" si="14"/>
        <v>-233.6599999999994</v>
      </c>
      <c r="AP48" s="6">
        <f t="shared" si="15"/>
        <v>-281.87000000000012</v>
      </c>
      <c r="AQ48" s="335">
        <f t="shared" si="16"/>
        <v>319.09000000000037</v>
      </c>
      <c r="AR48" s="15">
        <f t="shared" si="26"/>
        <v>-22.129999999997153</v>
      </c>
      <c r="AS48" s="25">
        <f t="shared" si="17"/>
        <v>9.6499999999996362</v>
      </c>
      <c r="AT48" s="25">
        <f t="shared" si="18"/>
        <v>291.51999999999975</v>
      </c>
      <c r="AU48" s="350">
        <f t="shared" si="2"/>
        <v>1.3849687396344606E-2</v>
      </c>
      <c r="AV48" s="350">
        <f t="shared" si="19"/>
        <v>1.5333767657667101E-2</v>
      </c>
      <c r="AW48" s="350">
        <f t="shared" si="27"/>
        <v>1.3754440048850434E-2</v>
      </c>
      <c r="AX48" s="356">
        <f>ABS((AG48-AH48)/AVERAGE(AG48,AH48))</f>
        <v>0.36141117942339901</v>
      </c>
      <c r="AZ48" s="63">
        <v>0</v>
      </c>
      <c r="BA48" s="118">
        <v>0</v>
      </c>
      <c r="BB48" s="63">
        <v>0</v>
      </c>
      <c r="BC48" s="118">
        <v>0</v>
      </c>
      <c r="BD48" s="63">
        <v>0</v>
      </c>
      <c r="BE48" s="118">
        <v>0</v>
      </c>
      <c r="BF48" s="63">
        <v>0</v>
      </c>
      <c r="BG48" s="118">
        <v>0</v>
      </c>
      <c r="BH48" s="63">
        <v>0</v>
      </c>
      <c r="BI48" s="118">
        <v>0</v>
      </c>
      <c r="BJ48" s="63">
        <v>0</v>
      </c>
      <c r="BK48" s="118">
        <v>0</v>
      </c>
      <c r="BL48" s="6">
        <v>0</v>
      </c>
      <c r="BM48" s="118">
        <v>0</v>
      </c>
      <c r="BP48" s="121">
        <f ca="1">ABS((AR49-AS49)/((ABS(AR49)+ABS(AS49))/2))/10</f>
        <v>0.19999999999997115</v>
      </c>
      <c r="BT48">
        <f>17/30</f>
        <v>0.56666666666666665</v>
      </c>
      <c r="BU48">
        <f t="shared" si="21"/>
        <v>566.66666666666663</v>
      </c>
      <c r="BW48">
        <f ca="1">Health!N59</f>
        <v>188.8</v>
      </c>
    </row>
    <row r="49" spans="2:75">
      <c r="B49" s="65">
        <v>45292</v>
      </c>
      <c r="C49" s="6">
        <f ca="1">SUM((OFFSET(Data!$C$410,17*(ROW(Data!Y434)-434),0)):(OFFSET(Data!$C$419,17*(ROW(Data!Y434)-434),0)))</f>
        <v>2788.91</v>
      </c>
      <c r="D49" s="334">
        <f ca="1">(OFFSET(Data!$P$409,17*(ROW(Data!Y434)-434),0))</f>
        <v>1881.8473044585264</v>
      </c>
      <c r="E49" s="6">
        <f ca="1">(OFFSET(Data!$P$412,17*(ROW(Data!Y434)-434),0))</f>
        <v>1016.6099999999972</v>
      </c>
      <c r="F49" s="6">
        <f ca="1">(OFFSET(Data!$P$418,17*(ROW(Data!Y434)-434),0))</f>
        <v>3.8800000000000239</v>
      </c>
      <c r="G49" s="25">
        <f ca="1">(OFFSET(Data!$P$415,17*(ROW(Data!Y434)-434),0))</f>
        <v>145</v>
      </c>
      <c r="H49" s="25">
        <f ca="1">(OFFSET(Data!$P$421,17*(ROW(Data!Y434)-434),0))</f>
        <v>716.35730445852914</v>
      </c>
      <c r="I49" s="25"/>
      <c r="J49" s="25"/>
      <c r="K49" s="15">
        <f ca="1">(OFFSET(Data!$Q$409,17*(ROW(Data!Y434)-434),0))</f>
        <v>1881.8473044585289</v>
      </c>
      <c r="L49" s="25">
        <f>Data!Q412</f>
        <v>1014.6099999999999</v>
      </c>
      <c r="M49" s="25">
        <f>Data!Q415</f>
        <v>147</v>
      </c>
      <c r="N49" s="6">
        <f>Data!Q418</f>
        <v>3.88</v>
      </c>
      <c r="O49" s="25">
        <f>Data!U410</f>
        <v>137.8773044585291</v>
      </c>
      <c r="P49" s="25">
        <f>Data!S410</f>
        <v>578.48</v>
      </c>
      <c r="Q49" s="25">
        <f>Data!Q421</f>
        <v>716.35730445852914</v>
      </c>
      <c r="R49" s="335">
        <f t="shared" ca="1" si="28"/>
        <v>2504.9326955414708</v>
      </c>
      <c r="S49" s="25">
        <v>150</v>
      </c>
      <c r="T49" s="25">
        <v>400</v>
      </c>
      <c r="U49" s="25">
        <v>0</v>
      </c>
      <c r="V49" s="25">
        <v>200</v>
      </c>
      <c r="W49" s="25"/>
      <c r="X49" s="25"/>
      <c r="Y49" s="25"/>
      <c r="Z49" s="15">
        <f ca="1">(OFFSET(Data!$F$412,17*(ROW(Data!Y434)-434),0))</f>
        <v>115.4</v>
      </c>
      <c r="AA49" s="6">
        <f ca="1">(OFFSET(Data!$F$411,17*(ROW(Data!Y434)-434),0))</f>
        <v>170.99</v>
      </c>
      <c r="AB49" s="25">
        <f>Data!I415</f>
        <v>232</v>
      </c>
      <c r="AC49" s="25">
        <f ca="1">SUM((OFFSET(Data!$I$410,17*(ROW(Data!Y434)-434),0)):(OFFSET(Data!$I$423,17*(ROW(Data!Y434)-434),0)))</f>
        <v>884.5899999999998</v>
      </c>
      <c r="AD49" s="25">
        <f ca="1">SUM((OFFSET(Data!$F$410,17*(ROW(Data!Y434)-434),0)):(OFFSET(Data!$F$423,17*(ROW(Data!Y434)-434),0)))</f>
        <v>1654.9899999999998</v>
      </c>
      <c r="AE49" s="25">
        <f>SUM(Data!I410:I423)</f>
        <v>884.5899999999998</v>
      </c>
      <c r="AF49" s="335">
        <f t="shared" ca="1" si="24"/>
        <v>2539.5799999999995</v>
      </c>
      <c r="AG49" s="15">
        <f t="shared" ca="1" si="25"/>
        <v>249.33000000000038</v>
      </c>
      <c r="AH49" s="25">
        <f t="shared" ca="1" si="29"/>
        <v>261.84730445852938</v>
      </c>
      <c r="AI49" s="25">
        <f t="shared" ca="1" si="30"/>
        <v>283.97730445852903</v>
      </c>
      <c r="AJ49" s="25">
        <f t="shared" ca="1" si="7"/>
        <v>283.97730445852903</v>
      </c>
      <c r="AK49" s="6">
        <f t="shared" ca="1" si="10"/>
        <v>-12.517304458528997</v>
      </c>
      <c r="AL49" s="354">
        <f t="shared" ca="1" si="11"/>
        <v>0</v>
      </c>
      <c r="AM49" s="6">
        <f t="shared" ca="1" si="12"/>
        <v>888.31</v>
      </c>
      <c r="AN49" s="6">
        <f t="shared" ca="1" si="13"/>
        <v>1182.6973044585291</v>
      </c>
      <c r="AO49" s="6">
        <f t="shared" ca="1" si="14"/>
        <v>913.30730445852896</v>
      </c>
      <c r="AP49" s="6">
        <f t="shared" ca="1" si="15"/>
        <v>294.38730445852912</v>
      </c>
      <c r="AQ49" s="335">
        <f t="shared" ca="1" si="16"/>
        <v>-269.3900000000001</v>
      </c>
      <c r="AR49" s="15">
        <f t="shared" ca="1" si="26"/>
        <v>2.5011104298755527E-12</v>
      </c>
      <c r="AS49" s="25">
        <f t="shared" ca="1" si="17"/>
        <v>34.647304458528652</v>
      </c>
      <c r="AT49" s="25">
        <f t="shared" ca="1" si="18"/>
        <v>22.129999999999654</v>
      </c>
      <c r="AU49" s="350">
        <f t="shared" ca="1" si="2"/>
        <v>1.3290719305173417E-15</v>
      </c>
      <c r="AV49" s="350">
        <f t="shared" ref="AV49:AV54" ca="1" si="31">ABS(AS49/AI49)</f>
        <v>0.12200730098692944</v>
      </c>
      <c r="AW49" s="350">
        <f t="shared" ca="1" si="27"/>
        <v>1.3290719305173426E-15</v>
      </c>
      <c r="AX49" s="356">
        <f t="shared" ca="1" si="20"/>
        <v>4.8974413963030268E-2</v>
      </c>
      <c r="AZ49" s="63">
        <f>Data!S421</f>
        <v>40.129999999999995</v>
      </c>
      <c r="BA49" s="118">
        <f>Data!T421</f>
        <v>8.6544889904893341E-2</v>
      </c>
      <c r="BB49" s="63">
        <f>Data!U421</f>
        <v>59.426574940532191</v>
      </c>
      <c r="BC49" s="118">
        <f>Data!V421</f>
        <v>0.1710248055095486</v>
      </c>
      <c r="BD49" s="63">
        <f>Data!S422</f>
        <v>-66.8599999999999</v>
      </c>
      <c r="BE49" s="118">
        <f>Data!T422</f>
        <v>-0.10360430160845431</v>
      </c>
      <c r="BF49" s="63">
        <f>Data!U422</f>
        <v>28.900729517996837</v>
      </c>
      <c r="BG49" s="118">
        <f>Data!V422</f>
        <v>0.26520130159869459</v>
      </c>
      <c r="BH49" s="63">
        <f>Data!S423</f>
        <v>-26.729999999999905</v>
      </c>
      <c r="BI49" s="118">
        <f>Data!T423</f>
        <v>-2.4102143314427837E-2</v>
      </c>
      <c r="BJ49" s="63">
        <f>Data!U423</f>
        <v>88.327304458529028</v>
      </c>
      <c r="BK49" s="118">
        <f>Data!V423</f>
        <v>0.19350926598428966</v>
      </c>
      <c r="BL49" s="6">
        <f>Data!W423</f>
        <v>61.597304458529123</v>
      </c>
      <c r="BM49" s="118">
        <f>Data!X423</f>
        <v>3.9347231812945083E-2</v>
      </c>
      <c r="BP49" s="121">
        <f t="shared" ca="1" si="3"/>
        <v>1.9245817239697105E-14</v>
      </c>
      <c r="BT49">
        <f>23/31</f>
        <v>0.74193548387096775</v>
      </c>
      <c r="BU49">
        <f t="shared" si="21"/>
        <v>741.9354838709678</v>
      </c>
      <c r="BW49">
        <f ca="1">Health!N60</f>
        <v>186.5333333333333</v>
      </c>
    </row>
    <row r="50" spans="2:75">
      <c r="B50" s="65">
        <v>45323</v>
      </c>
      <c r="C50" s="6">
        <f ca="1">SUM((OFFSET(Data!$C$410,17*(ROW(Data!Y435)-434),0)):(OFFSET(Data!$C$423,17*(ROW(Data!Y435)-434),0)))</f>
        <v>2526.4899999999998</v>
      </c>
      <c r="D50" s="334">
        <f ca="1">(OFFSET(Data!$P$409,17*(ROW(Data!Y435)-434),0))</f>
        <v>1434.2373044585261</v>
      </c>
      <c r="E50" s="6">
        <f ca="1">(OFFSET(Data!$P$412,17*(ROW(Data!Y435)-434),0))</f>
        <v>578.74999999999682</v>
      </c>
      <c r="F50" s="6">
        <f ca="1">(OFFSET(Data!$P$418,17*(ROW(Data!Y435)-434),0))</f>
        <v>3.8800000000000239</v>
      </c>
      <c r="G50" s="25">
        <f ca="1">(OFFSET(Data!$P$415,17*(ROW(Data!Y435)-434),0))</f>
        <v>145</v>
      </c>
      <c r="H50" s="25">
        <f ca="1">(OFFSET(Data!$P$421,17*(ROW(Data!Y435)-434),0))</f>
        <v>706.60730445852914</v>
      </c>
      <c r="I50" s="25"/>
      <c r="J50" s="25"/>
      <c r="K50" s="15">
        <f ca="1">(OFFSET(Data!$Q$409,17*(ROW(Data!Y435)-434),0))</f>
        <v>1447.2329096787446</v>
      </c>
      <c r="L50" s="25">
        <f ca="1">(OFFSET(Data!$Q$412,17*(ROW(Data!Y435)-434),0))</f>
        <v>797.37000000000012</v>
      </c>
      <c r="M50" s="25">
        <f ca="1">(OFFSET(Data!$Q$415,17*(ROW(Data!Y435)-434),0))</f>
        <v>147</v>
      </c>
      <c r="N50" s="25">
        <f ca="1">(OFFSET(Data!$Q$418,17*(ROW(Data!Y435)-434),0))</f>
        <v>3.88</v>
      </c>
      <c r="O50" s="25">
        <f ca="1">(OFFSET(Data!$U$410,17*(ROW(Data!Y435)-434),0))</f>
        <v>54.342909678744562</v>
      </c>
      <c r="P50" s="25">
        <f ca="1">(OFFSET(Data!$S$410,17*(ROW(Data!Y435)-434),0))</f>
        <v>444.64</v>
      </c>
      <c r="Q50" s="25">
        <f ca="1">(OFFSET(Data!$Q$421,17*(ROW(Data!Y435)-434),0))</f>
        <v>498.98290967874453</v>
      </c>
      <c r="R50" s="335">
        <f t="shared" ca="1" si="28"/>
        <v>2961.1043947797843</v>
      </c>
      <c r="S50" s="25">
        <v>150</v>
      </c>
      <c r="T50" s="25">
        <v>400</v>
      </c>
      <c r="U50" s="25">
        <v>0</v>
      </c>
      <c r="V50" s="25">
        <v>200</v>
      </c>
      <c r="W50" s="25"/>
      <c r="X50" s="25"/>
      <c r="Y50" s="25"/>
      <c r="Z50" s="15">
        <f ca="1">(OFFSET(Data!$F$412,17*(ROW(Data!Y435)-434),0))</f>
        <v>119.50999999999999</v>
      </c>
      <c r="AA50" s="6">
        <f ca="1">(OFFSET(Data!$F$411,17*(ROW(Data!Y435)-434),0))</f>
        <v>131.58000000000001</v>
      </c>
      <c r="AB50" s="6">
        <f>Data!I432</f>
        <v>295</v>
      </c>
      <c r="AC50" s="6">
        <f t="shared" ref="AC50:AC57" ca="1" si="32">AE50-AB50</f>
        <v>1063.01</v>
      </c>
      <c r="AD50" s="25">
        <f ca="1">SUM((OFFSET(Data!$F$410,17*(ROW(Data!Y435)-434),0)):(OFFSET(Data!$F$423,17*(ROW(Data!Y435)-434),0)))</f>
        <v>1616.0900000000001</v>
      </c>
      <c r="AE50" s="25">
        <f ca="1">SUM((OFFSET(Data!$I$410,17*(ROW(Data!Y435)-434),0)):(OFFSET(Data!$I$423,17*(ROW(Data!Y435)-434),0)))</f>
        <v>1358.01</v>
      </c>
      <c r="AF50" s="335">
        <f t="shared" ca="1" si="24"/>
        <v>2974.1000000000004</v>
      </c>
      <c r="AG50" s="15">
        <f t="shared" ca="1" si="25"/>
        <v>-447.61000000000058</v>
      </c>
      <c r="AH50" s="25">
        <f t="shared" ca="1" si="29"/>
        <v>-447.61000000000035</v>
      </c>
      <c r="AI50" s="25">
        <f t="shared" ca="1" si="30"/>
        <v>-434.61439477978456</v>
      </c>
      <c r="AJ50" s="25">
        <f t="shared" ca="1" si="7"/>
        <v>-434.61439477978433</v>
      </c>
      <c r="AK50" s="6">
        <f t="shared" ca="1" si="10"/>
        <v>0</v>
      </c>
      <c r="AL50" s="354">
        <f t="shared" ca="1" si="11"/>
        <v>0</v>
      </c>
      <c r="AM50" s="6">
        <f t="shared" ca="1" si="12"/>
        <v>-696.94000000000096</v>
      </c>
      <c r="AN50" s="6">
        <f t="shared" ca="1" si="13"/>
        <v>-709.45730445852973</v>
      </c>
      <c r="AO50" s="6">
        <f t="shared" ca="1" si="14"/>
        <v>-718.59169923831337</v>
      </c>
      <c r="AP50" s="6">
        <f t="shared" ca="1" si="15"/>
        <v>-12.51730445852877</v>
      </c>
      <c r="AQ50" s="335">
        <f t="shared" ca="1" si="16"/>
        <v>-9.1343947797836336</v>
      </c>
      <c r="AR50" s="15">
        <f t="shared" ca="1" si="26"/>
        <v>12.995605220218522</v>
      </c>
      <c r="AS50" s="25">
        <f t="shared" ca="1" si="17"/>
        <v>12.995605220216021</v>
      </c>
      <c r="AT50" s="25">
        <f t="shared" ca="1" si="18"/>
        <v>12.995605220216021</v>
      </c>
      <c r="AU50" s="350">
        <f t="shared" ca="1" si="2"/>
        <v>8.9796225150126485E-3</v>
      </c>
      <c r="AV50" s="350">
        <f t="shared" ca="1" si="31"/>
        <v>2.9901460642602011E-2</v>
      </c>
      <c r="AW50" s="350">
        <f t="shared" ca="1" si="27"/>
        <v>9.0201211565252865E-3</v>
      </c>
      <c r="AX50" s="356">
        <f t="shared" ca="1" si="20"/>
        <v>5.0797273394971478E-16</v>
      </c>
      <c r="AZ50" s="63">
        <f>Data!S438</f>
        <v>81.889999999999986</v>
      </c>
      <c r="BA50" s="118">
        <f>Data!T438</f>
        <v>9.3731042613343696E-2</v>
      </c>
      <c r="BB50" s="63">
        <f>Data!U438</f>
        <v>77.617040085747533</v>
      </c>
      <c r="BC50" s="118">
        <f>Data!V438</f>
        <v>0.17379817205504161</v>
      </c>
      <c r="BD50" s="63">
        <f>Data!S439</f>
        <v>-75.720000000000027</v>
      </c>
      <c r="BE50" s="118">
        <f>Data!T439</f>
        <v>-0.14551464370820205</v>
      </c>
      <c r="BF50" s="63">
        <f>Data!U439</f>
        <v>44.485869592996906</v>
      </c>
      <c r="BG50" s="118">
        <f>Data!V439</f>
        <v>4.5131062880954751</v>
      </c>
      <c r="BH50" s="63">
        <f>Data!S440</f>
        <v>6.1699999999999591</v>
      </c>
      <c r="BI50" s="118">
        <f>Data!T440</f>
        <v>4.4260166567433694E-3</v>
      </c>
      <c r="BJ50" s="63">
        <f>Data!U440</f>
        <v>122.10290967874444</v>
      </c>
      <c r="BK50" s="118">
        <f>Data!V440</f>
        <v>0.26750555302605855</v>
      </c>
      <c r="BL50" s="6">
        <f>Data!W440</f>
        <v>128.27290967874438</v>
      </c>
      <c r="BM50" s="118">
        <f>Data!X440</f>
        <v>6.9318722536176658E-2</v>
      </c>
      <c r="BP50" s="121">
        <f t="shared" ca="1" si="3"/>
        <v>0.2</v>
      </c>
      <c r="BT50">
        <f>15/29</f>
        <v>0.51724137931034486</v>
      </c>
      <c r="BU50">
        <f t="shared" si="21"/>
        <v>517.24137931034488</v>
      </c>
      <c r="BW50">
        <f ca="1">Health!N61</f>
        <v>183.99999999999997</v>
      </c>
    </row>
    <row r="51" spans="2:75">
      <c r="B51" s="65">
        <v>45352</v>
      </c>
      <c r="C51" s="6">
        <f ca="1">SUM((OFFSET(Data!$C$410,17*(ROW(Data!Y436)-434),0)):(OFFSET(Data!$C$423,17*(ROW(Data!Y436)-434),0)))</f>
        <v>2562.4899999999998</v>
      </c>
      <c r="D51" s="334">
        <f ca="1">(OFFSET(Data!$P$409,17*(ROW(Data!Y436)-434),0))</f>
        <v>1425.8873044585257</v>
      </c>
      <c r="E51" s="6">
        <f ca="1">(OFFSET(Data!$P$412,17*(ROW(Data!Y436)-434),0))</f>
        <v>470.39999999999668</v>
      </c>
      <c r="F51" s="6">
        <f ca="1">(OFFSET(Data!$P$418,17*(ROW(Data!Y436)-434),0))</f>
        <v>103.88000000000002</v>
      </c>
      <c r="G51" s="25">
        <f ca="1">(OFFSET(Data!$P$415,17*(ROW(Data!Y436)-434),0))</f>
        <v>145</v>
      </c>
      <c r="H51" s="25">
        <f ca="1">(OFFSET(Data!$P$421,17*(ROW(Data!Y436)-434),0))</f>
        <v>706.60730445852914</v>
      </c>
      <c r="I51" s="25"/>
      <c r="J51" s="25"/>
      <c r="K51" s="15">
        <f ca="1">(OFFSET(Data!$Q$409,17*(ROW(Data!Y436)-434),0))</f>
        <v>1432.4183028019122</v>
      </c>
      <c r="L51" s="25">
        <f ca="1">(OFFSET(Data!$Q$412,17*(ROW(Data!Y436)-434),0))</f>
        <v>706.02</v>
      </c>
      <c r="M51" s="25">
        <f ca="1">(OFFSET(Data!$Q$415,17*(ROW(Data!Y436)-434),0))</f>
        <v>147</v>
      </c>
      <c r="N51" s="25">
        <f ca="1">(OFFSET(Data!$Q$418,17*(ROW(Data!Y436)-434),0))</f>
        <v>103.9</v>
      </c>
      <c r="O51" s="25">
        <f ca="1">(OFFSET(Data!$U$410,17*(ROW(Data!Y436)-434),0))</f>
        <v>73.69830280191222</v>
      </c>
      <c r="P51" s="25">
        <f ca="1">(OFFSET(Data!$S$410,17*(ROW(Data!Y436)-434),0))</f>
        <v>401.8</v>
      </c>
      <c r="Q51" s="25">
        <f ca="1">(OFFSET(Data!$Q$421,17*(ROW(Data!Y436)-434),0))</f>
        <v>475.49830280191225</v>
      </c>
      <c r="R51" s="335">
        <f t="shared" ca="1" si="28"/>
        <v>2577.3046068768322</v>
      </c>
      <c r="S51" s="25">
        <v>150</v>
      </c>
      <c r="T51" s="25">
        <v>400</v>
      </c>
      <c r="U51" s="25">
        <v>0</v>
      </c>
      <c r="V51" s="25">
        <v>200</v>
      </c>
      <c r="W51" s="25"/>
      <c r="X51" s="25"/>
      <c r="Y51" s="25"/>
      <c r="Z51" s="15">
        <f ca="1">(OFFSET(Data!$F$412,17*(ROW(Data!Y436)-434),0))</f>
        <v>145.36000000000001</v>
      </c>
      <c r="AA51" s="6">
        <f ca="1">(OFFSET(Data!$F$411,17*(ROW(Data!Y436)-434),0))</f>
        <v>56.28</v>
      </c>
      <c r="AB51" s="6">
        <f>Data!I453</f>
        <v>300</v>
      </c>
      <c r="AC51" s="6">
        <f t="shared" ca="1" si="32"/>
        <v>785.2</v>
      </c>
      <c r="AD51" s="25">
        <f ca="1">SUM((OFFSET(Data!$F$410,17*(ROW(Data!Y436)-434),0)):(OFFSET(Data!$F$423,17*(ROW(Data!Y436)-434),0)))</f>
        <v>1485.6399999999999</v>
      </c>
      <c r="AE51" s="25">
        <f ca="1">SUM((OFFSET(Data!$I$410,17*(ROW(Data!Y436)-434),0)):(OFFSET(Data!$I$423,17*(ROW(Data!Y436)-434),0)))</f>
        <v>1085.2</v>
      </c>
      <c r="AF51" s="335">
        <f t="shared" ca="1" si="24"/>
        <v>2570.84</v>
      </c>
      <c r="AG51" s="15">
        <f t="shared" ca="1" si="25"/>
        <v>-8.3500000000003638</v>
      </c>
      <c r="AH51" s="25">
        <f t="shared" ca="1" si="29"/>
        <v>-8.3500000000003638</v>
      </c>
      <c r="AI51" s="25">
        <f t="shared" ca="1" si="30"/>
        <v>-14.814606876832386</v>
      </c>
      <c r="AJ51" s="25">
        <f t="shared" ca="1" si="7"/>
        <v>-14.814606876832386</v>
      </c>
      <c r="AK51" s="6">
        <f t="shared" ca="1" si="10"/>
        <v>0</v>
      </c>
      <c r="AL51" s="354">
        <f t="shared" ca="1" si="11"/>
        <v>0</v>
      </c>
      <c r="AM51" s="6">
        <f ca="1">AG51-AG50</f>
        <v>439.26000000000022</v>
      </c>
      <c r="AN51" s="6">
        <f ca="1">AH51-AH50</f>
        <v>439.26</v>
      </c>
      <c r="AO51" s="6">
        <f ca="1">AJ51-AJ50</f>
        <v>419.79978790295195</v>
      </c>
      <c r="AP51" s="6">
        <f ca="1">AN51-AM51</f>
        <v>0</v>
      </c>
      <c r="AQ51" s="335">
        <f ca="1">AO51-AN51</f>
        <v>-19.460212097048043</v>
      </c>
      <c r="AR51" s="15">
        <f t="shared" ca="1" si="26"/>
        <v>6.5309983433865</v>
      </c>
      <c r="AS51" s="25">
        <f t="shared" ref="AS51:AS56" ca="1" si="33">AI51-AG51</f>
        <v>-6.464606876832022</v>
      </c>
      <c r="AT51" s="25">
        <f t="shared" ca="1" si="18"/>
        <v>-6.464606876832022</v>
      </c>
      <c r="AU51" s="350">
        <f t="shared" ca="1" si="2"/>
        <v>4.5594211764897179E-3</v>
      </c>
      <c r="AV51" s="350">
        <f t="shared" ca="1" si="31"/>
        <v>0.43636708895337656</v>
      </c>
      <c r="AW51" s="350">
        <f t="shared" ca="1" si="27"/>
        <v>4.5698390870430256E-3</v>
      </c>
      <c r="AX51" s="356">
        <f t="shared" ca="1" si="20"/>
        <v>0</v>
      </c>
      <c r="AZ51" s="63">
        <f>Data!S455</f>
        <v>101.30999999999995</v>
      </c>
      <c r="BA51" s="118">
        <f>Data!T455</f>
        <v>8.8582470621152723E-2</v>
      </c>
      <c r="BB51" s="63">
        <f>Data!U455</f>
        <v>57.593507758785563</v>
      </c>
      <c r="BC51" s="118">
        <f>Data!V455</f>
        <v>0.11061921787058278</v>
      </c>
      <c r="BD51" s="63">
        <f>Data!S456</f>
        <v>-78.549999999999898</v>
      </c>
      <c r="BE51" s="118">
        <f>Data!T456</f>
        <v>-0.16352659519100637</v>
      </c>
      <c r="BF51" s="63">
        <f>Data!U456</f>
        <v>70.124795043126412</v>
      </c>
      <c r="BG51" s="118">
        <f>Data!V456</f>
        <v>19.62351834012895</v>
      </c>
      <c r="BH51" s="63">
        <f>Data!S457</f>
        <v>22.760000000000048</v>
      </c>
      <c r="BI51" s="118">
        <f>Data!T457</f>
        <v>1.4014519436217341E-2</v>
      </c>
      <c r="BJ51" s="63">
        <f>Data!U457</f>
        <v>127.71830280191197</v>
      </c>
      <c r="BK51" s="118">
        <f>Data!V457</f>
        <v>0.24363492961335312</v>
      </c>
      <c r="BL51" s="6">
        <f>Data!W457</f>
        <v>150.47830280191204</v>
      </c>
      <c r="BM51" s="118">
        <f>Data!X457</f>
        <v>7.0046923217461643E-2</v>
      </c>
      <c r="BP51" s="121">
        <f t="shared" ca="1" si="3"/>
        <v>1.7781548066306146E-2</v>
      </c>
      <c r="BT51">
        <f>12/30</f>
        <v>0.4</v>
      </c>
      <c r="BU51">
        <f t="shared" si="21"/>
        <v>400</v>
      </c>
      <c r="BW51">
        <f ca="1">Health!N62</f>
        <v>184.39999999999998</v>
      </c>
    </row>
    <row r="52" spans="2:75">
      <c r="B52" s="65">
        <v>45383</v>
      </c>
      <c r="C52" s="6">
        <f ca="1">SUM((OFFSET(Data!$C$410,17*(ROW(Data!Y437)-434),0)):(OFFSET(Data!$C$423,17*(ROW(Data!Y437)-434),0)))</f>
        <v>2938.48</v>
      </c>
      <c r="D52" s="334">
        <f ca="1">(OFFSET(Data!$P$409,17*(ROW(Data!Y437)-434),0))</f>
        <v>1690.1373044585257</v>
      </c>
      <c r="E52" s="6">
        <f ca="1">(OFFSET(Data!$P$412,17*(ROW(Data!Y437)-434),0))</f>
        <v>709.94999999999663</v>
      </c>
      <c r="F52" s="6">
        <f ca="1">(OFFSET(Data!$P$418,17*(ROW(Data!Y437)-434),0))</f>
        <v>103.88000000000002</v>
      </c>
      <c r="G52" s="25">
        <f ca="1">(OFFSET(Data!$P$415,17*(ROW(Data!Y437)-434),0))</f>
        <v>85</v>
      </c>
      <c r="H52" s="25">
        <f ca="1">(OFFSET(Data!$P$421,17*(ROW(Data!Y437)-434),0))</f>
        <v>791.30730445852919</v>
      </c>
      <c r="I52" s="25"/>
      <c r="J52" s="25"/>
      <c r="K52" s="15">
        <f ca="1">(OFFSET(Data!$Q$409,17*(ROW(Data!Y437)-434),0))</f>
        <v>1656.6737274045008</v>
      </c>
      <c r="L52" s="25">
        <f ca="1">(OFFSET(Data!$Q$412,17*(ROW(Data!Y437)-434),0))</f>
        <v>976.59999999999991</v>
      </c>
      <c r="M52" s="25">
        <f ca="1">(OFFSET(Data!$Q$415,17*(ROW(Data!Y437)-434),0))</f>
        <v>89</v>
      </c>
      <c r="N52" s="25">
        <f ca="1">(OFFSET(Data!$Q$418,17*(ROW(Data!Y437)-434),0))</f>
        <v>103.91</v>
      </c>
      <c r="O52" s="25">
        <f ca="1">(OFFSET(Data!$U$410,17*(ROW(Data!Y437)-434),0))</f>
        <v>62.6437274045009</v>
      </c>
      <c r="P52" s="25">
        <f ca="1">(OFFSET(Data!$S$410,17*(ROW(Data!Y437)-434),0))</f>
        <v>424.52</v>
      </c>
      <c r="Q52" s="25">
        <f ca="1">(OFFSET(Data!$Q$421,17*(ROW(Data!Y437)-434),0))</f>
        <v>487.16372740450089</v>
      </c>
      <c r="R52" s="335">
        <f t="shared" ca="1" si="28"/>
        <v>2714.2245753974112</v>
      </c>
      <c r="S52" s="25">
        <v>150</v>
      </c>
      <c r="T52" s="25">
        <v>400</v>
      </c>
      <c r="U52" s="25">
        <v>0</v>
      </c>
      <c r="V52" s="25">
        <v>200</v>
      </c>
      <c r="W52" s="25">
        <f ca="1">SUM((OFFSET(Data!$F$410,17*(ROW(Data!Y437)-434),0)):(OFFSET(Data!$F$423,17*(ROW(Data!Y437)-434),0)))</f>
        <v>1469.96</v>
      </c>
      <c r="X52" s="25">
        <f ca="1">SUM((OFFSET(Data!$I$410,17*(ROW(Data!Y437)-434),0)):(OFFSET(Data!$I$423,17*(ROW(Data!Y437)-434),0)))</f>
        <v>1204.27</v>
      </c>
      <c r="Y52" s="25">
        <f t="shared" ref="Y52:Y60" ca="1" si="34">W52+X52</f>
        <v>2674.23</v>
      </c>
      <c r="Z52" s="15">
        <f ca="1">(OFFSET(Data!$F$412,17*(ROW(Data!Y437)-434),0))</f>
        <v>138.89999999999998</v>
      </c>
      <c r="AA52" s="6">
        <f ca="1">(OFFSET(Data!$F$411,17*(ROW(Data!Y437)-434),0))</f>
        <v>107.05000000000001</v>
      </c>
      <c r="AB52" s="6">
        <f>Data!I467</f>
        <v>321</v>
      </c>
      <c r="AC52" s="6">
        <f t="shared" ca="1" si="32"/>
        <v>883.27</v>
      </c>
      <c r="AD52" s="25">
        <f ca="1">SUM((OFFSET(Data!$F$410,17*(ROW(Data!Y437)-434),0)):(OFFSET(Data!$F$423,17*(ROW(Data!Y437)-434),0)))</f>
        <v>1469.96</v>
      </c>
      <c r="AE52" s="25">
        <f ca="1">SUM((OFFSET(Data!$I$410,17*(ROW(Data!Y437)-434),0)):(OFFSET(Data!$I$423,17*(ROW(Data!Y437)-434),0)))</f>
        <v>1204.27</v>
      </c>
      <c r="AF52" s="335">
        <f t="shared" ca="1" si="24"/>
        <v>2674.23</v>
      </c>
      <c r="AG52" s="15">
        <f t="shared" ca="1" si="25"/>
        <v>264.25</v>
      </c>
      <c r="AH52" s="25">
        <f t="shared" ca="1" si="29"/>
        <v>264.25</v>
      </c>
      <c r="AI52" s="25">
        <f t="shared" ca="1" si="30"/>
        <v>224.25542460258885</v>
      </c>
      <c r="AJ52" s="25">
        <f t="shared" ref="AJ52:AJ73" ca="1" si="35">K52-K51</f>
        <v>224.25542460258862</v>
      </c>
      <c r="AK52" s="6">
        <f t="shared" ref="AK52:AK72" ca="1" si="36">AG52-AH52</f>
        <v>0</v>
      </c>
      <c r="AL52" s="354">
        <f t="shared" ref="AL52:AL72" ca="1" si="37">AI52-AJ52</f>
        <v>2.2737367544323206E-13</v>
      </c>
      <c r="AM52" s="6">
        <f ca="1">AG52-AG51</f>
        <v>272.60000000000036</v>
      </c>
      <c r="AN52" s="6">
        <f ca="1">AH52-AH51</f>
        <v>272.60000000000036</v>
      </c>
      <c r="AO52" s="6">
        <f t="shared" ref="AO52:AO57" ca="1" si="38">AJ52-AJ51</f>
        <v>239.070031479421</v>
      </c>
      <c r="AP52" s="6">
        <f t="shared" ref="AP52:AQ54" ca="1" si="39">AN52-AM52</f>
        <v>0</v>
      </c>
      <c r="AQ52" s="335">
        <f t="shared" ca="1" si="39"/>
        <v>-33.529968520579359</v>
      </c>
      <c r="AR52" s="15">
        <f t="shared" ca="1" si="26"/>
        <v>-33.463577054024881</v>
      </c>
      <c r="AS52" s="25">
        <f t="shared" ca="1" si="33"/>
        <v>-39.994575397411154</v>
      </c>
      <c r="AT52" s="25">
        <f t="shared" ref="AT52:AT73" ca="1" si="40">AJ52-AH52</f>
        <v>-39.994575397411381</v>
      </c>
      <c r="AU52" s="350">
        <f t="shared" ref="AU52:AU73" ca="1" si="41">ABS(AR52/K52)</f>
        <v>2.0199256196603076E-2</v>
      </c>
      <c r="AV52" s="350">
        <f t="shared" ca="1" si="31"/>
        <v>0.17834384817351459</v>
      </c>
      <c r="AW52" s="350">
        <f t="shared" ca="1" si="27"/>
        <v>1.9997290994584263E-2</v>
      </c>
      <c r="AX52" s="356">
        <f t="shared" ref="AX52:AX57" ca="1" si="42">ABS((AG52-AH52)/AVERAGE(AG52,AH52))</f>
        <v>0</v>
      </c>
      <c r="AZ52" s="63">
        <f>Data!S472</f>
        <v>110.78999999999996</v>
      </c>
      <c r="BA52" s="118">
        <f>Data!T472</f>
        <v>9.2971929677338111E-2</v>
      </c>
      <c r="BB52" s="63">
        <f>Data!U472</f>
        <v>57.593507758785563</v>
      </c>
      <c r="BC52" s="118">
        <f>Data!V472</f>
        <v>0.11061921787058278</v>
      </c>
      <c r="BD52" s="63">
        <f>Data!S473</f>
        <v>-127.8599999999999</v>
      </c>
      <c r="BE52" s="118">
        <f>Data!T473</f>
        <v>-0.23147108874325631</v>
      </c>
      <c r="BF52" s="63">
        <f>Data!U473</f>
        <v>59.070219645715092</v>
      </c>
      <c r="BG52" s="118">
        <f>Data!V473</f>
        <v>16.530038167815739</v>
      </c>
      <c r="BH52" s="63">
        <f>Data!S474</f>
        <v>-17.069999999999936</v>
      </c>
      <c r="BI52" s="118">
        <f>Data!T474</f>
        <v>-9.7876756707166376E-3</v>
      </c>
      <c r="BJ52" s="63">
        <f>Data!U474</f>
        <v>116.66372740450066</v>
      </c>
      <c r="BK52" s="118">
        <f>Data!V474</f>
        <v>0.22254726527889179</v>
      </c>
      <c r="BL52" s="6">
        <f>Data!W474</f>
        <v>99.593727404500726</v>
      </c>
      <c r="BM52" s="118">
        <f>Data!X474</f>
        <v>4.3907738302436217E-2</v>
      </c>
      <c r="BP52" s="121">
        <f t="shared" ca="1" si="3"/>
        <v>0.2</v>
      </c>
      <c r="BT52">
        <f>11/30</f>
        <v>0.36666666666666664</v>
      </c>
      <c r="BU52">
        <f t="shared" si="21"/>
        <v>366.66666666666663</v>
      </c>
      <c r="BW52">
        <f ca="1">Health!N63</f>
        <v>181.35</v>
      </c>
    </row>
    <row r="53" spans="2:75">
      <c r="B53" s="65">
        <v>45413</v>
      </c>
      <c r="C53" s="6">
        <f ca="1">SUM((OFFSET(Data!$C$410,17*(ROW(Data!Y438)-434),0)):(OFFSET(Data!$C$423,17*(ROW(Data!Y438)-434),0)))</f>
        <v>2554.25</v>
      </c>
      <c r="D53" s="334">
        <f ca="1">(OFFSET(Data!$P$409,17*(ROW(Data!Y438)-434),0))</f>
        <v>1636.0073044585261</v>
      </c>
      <c r="E53" s="6">
        <f ca="1">(OFFSET(Data!$P$412,17*(ROW(Data!Y438)-434),0))</f>
        <v>648.1399999999968</v>
      </c>
      <c r="F53" s="6">
        <f ca="1">(OFFSET(Data!$P$418,17*(ROW(Data!Y438)-434),0))</f>
        <v>103.88000000000002</v>
      </c>
      <c r="G53" s="25">
        <f ca="1">(OFFSET(Data!$P$415,17*(ROW(Data!Y438)-434),0))</f>
        <v>85</v>
      </c>
      <c r="H53" s="25">
        <f ca="1">(OFFSET(Data!$P$421,17*(ROW(Data!Y438)-434),0))</f>
        <v>798.98730445852914</v>
      </c>
      <c r="I53" s="25"/>
      <c r="J53" s="25"/>
      <c r="K53" s="15">
        <f ca="1">(OFFSET(Data!$Q$409,17*(ROW(Data!Y438)-434),0))</f>
        <v>1634.777754436926</v>
      </c>
      <c r="L53" s="25">
        <f ca="1">(OFFSET(Data!$Q$412,17*(ROW(Data!Y438)-434),0))</f>
        <v>1014.75</v>
      </c>
      <c r="M53" s="25">
        <f ca="1">(OFFSET(Data!$Q$415,17*(ROW(Data!Y438)-434),0))</f>
        <v>89</v>
      </c>
      <c r="N53" s="25">
        <f ca="1">(OFFSET(Data!$Q$418,17*(ROW(Data!Y438)-434),0))</f>
        <v>103.94</v>
      </c>
      <c r="O53" s="25">
        <f ca="1">(OFFSET(Data!$U$410,17*(ROW(Data!Y438)-434),0))</f>
        <v>70.68775443692607</v>
      </c>
      <c r="P53" s="25">
        <f ca="1">(OFFSET(Data!$S$410,17*(ROW(Data!Y438)-434),0))</f>
        <v>356.4</v>
      </c>
      <c r="Q53" s="25">
        <f ca="1">(OFFSET(Data!$Q$421,17*(ROW(Data!Y438)-434),0))</f>
        <v>427.08775443692605</v>
      </c>
      <c r="R53" s="335">
        <f t="shared" ca="1" si="28"/>
        <v>2576.1459729675748</v>
      </c>
      <c r="S53" s="25">
        <v>150</v>
      </c>
      <c r="T53" s="25">
        <v>400</v>
      </c>
      <c r="U53" s="25">
        <v>0</v>
      </c>
      <c r="V53" s="25">
        <v>200</v>
      </c>
      <c r="W53" s="25">
        <f ca="1">SUM((OFFSET(Data!$F$410,17*(ROW(Data!Y438)-434),0)):(OFFSET(Data!$F$423,17*(ROW(Data!Y438)-434),0)))</f>
        <v>1428.41</v>
      </c>
      <c r="X53" s="25">
        <f ca="1">SUM((OFFSET(Data!$I$410,17*(ROW(Data!Y438)-434),0)):(OFFSET(Data!$I$423,17*(ROW(Data!Y438)-434),0)))</f>
        <v>1179.9699999999998</v>
      </c>
      <c r="Y53" s="25">
        <f t="shared" ca="1" si="34"/>
        <v>2608.38</v>
      </c>
      <c r="Z53" s="15">
        <f ca="1">(OFFSET(Data!$F$412,17*(ROW(Data!Y438)-434),0))</f>
        <v>161.00000000000003</v>
      </c>
      <c r="AA53" s="6">
        <f ca="1">(OFFSET(Data!$F$411,17*(ROW(Data!Y438)-434),0))</f>
        <v>187.41</v>
      </c>
      <c r="AB53" s="6">
        <f>Data!I484</f>
        <v>440</v>
      </c>
      <c r="AC53" s="6">
        <f t="shared" ca="1" si="32"/>
        <v>739.9699999999998</v>
      </c>
      <c r="AD53" s="25">
        <f ca="1">SUM((OFFSET(Data!$F$410,17*(ROW(Data!Y438)-434),0)):(OFFSET(Data!$F$423,17*(ROW(Data!Y438)-434),0)))</f>
        <v>1428.41</v>
      </c>
      <c r="AE53" s="25">
        <f ca="1">SUM((OFFSET(Data!$I$410,17*(ROW(Data!Y438)-434),0)):(OFFSET(Data!$I$423,17*(ROW(Data!Y438)-434),0)))</f>
        <v>1179.9699999999998</v>
      </c>
      <c r="AF53" s="335">
        <f t="shared" ca="1" si="24"/>
        <v>2608.38</v>
      </c>
      <c r="AG53" s="15">
        <f t="shared" ca="1" si="25"/>
        <v>-54.130000000000109</v>
      </c>
      <c r="AH53" s="25">
        <f t="shared" ca="1" si="29"/>
        <v>-54.129999999999654</v>
      </c>
      <c r="AI53" s="25">
        <f t="shared" ca="1" si="30"/>
        <v>-21.895972967574835</v>
      </c>
      <c r="AJ53" s="25">
        <f t="shared" ca="1" si="35"/>
        <v>-21.895972967574835</v>
      </c>
      <c r="AK53" s="6">
        <f t="shared" ca="1" si="36"/>
        <v>-4.5474735088646412E-13</v>
      </c>
      <c r="AL53" s="354">
        <f t="shared" ca="1" si="37"/>
        <v>0</v>
      </c>
      <c r="AM53" s="6">
        <f t="shared" ref="AM53:AM65" ca="1" si="43">AG53-AG52</f>
        <v>-318.38000000000011</v>
      </c>
      <c r="AN53" s="6">
        <f t="shared" ref="AN53:AN65" ca="1" si="44">AH53-AH52</f>
        <v>-318.37999999999965</v>
      </c>
      <c r="AO53" s="6">
        <f t="shared" ca="1" si="38"/>
        <v>-246.15139757016345</v>
      </c>
      <c r="AP53" s="6">
        <f t="shared" ca="1" si="39"/>
        <v>4.5474735088646412E-13</v>
      </c>
      <c r="AQ53" s="335">
        <f t="shared" ca="1" si="39"/>
        <v>72.228602429836201</v>
      </c>
      <c r="AR53" s="15">
        <f t="shared" ca="1" si="26"/>
        <v>-1.2295500216000619</v>
      </c>
      <c r="AS53" s="25">
        <f t="shared" ca="1" si="33"/>
        <v>32.234027032425274</v>
      </c>
      <c r="AT53" s="25">
        <f t="shared" ca="1" si="40"/>
        <v>32.234027032424819</v>
      </c>
      <c r="AU53" s="350">
        <f t="shared" ca="1" si="41"/>
        <v>7.5212059759374532E-4</v>
      </c>
      <c r="AV53" s="350">
        <f t="shared" ca="1" si="31"/>
        <v>1.4721440823917618</v>
      </c>
      <c r="AW53" s="350">
        <f t="shared" ca="1" si="27"/>
        <v>7.5183786122300707E-4</v>
      </c>
      <c r="AX53" s="356">
        <f t="shared" ca="1" si="42"/>
        <v>8.4010225547102361E-15</v>
      </c>
      <c r="AZ53" s="63">
        <f>Data!S489</f>
        <v>114.52999999999997</v>
      </c>
      <c r="BA53" s="118">
        <f>Data!T489</f>
        <v>8.879946656742338E-2</v>
      </c>
      <c r="BB53" s="63">
        <f>Data!U489</f>
        <v>56.564775927084611</v>
      </c>
      <c r="BC53" s="118">
        <f>Data!V489</f>
        <v>0.10643375653284383</v>
      </c>
      <c r="BD53" s="63">
        <f>Data!S490</f>
        <v>-107.87</v>
      </c>
      <c r="BE53" s="118">
        <f>Data!T490</f>
        <v>-0.23234324854071986</v>
      </c>
      <c r="BF53" s="63">
        <f>Data!U490</f>
        <v>67.922978509841187</v>
      </c>
      <c r="BG53" s="118">
        <f>Data!V490</f>
        <v>24.567263424294069</v>
      </c>
      <c r="BH53" s="63">
        <f>Data!S491</f>
        <v>6.6599999999999682</v>
      </c>
      <c r="BI53" s="118">
        <f>Data!T491</f>
        <v>3.7969704052952164E-3</v>
      </c>
      <c r="BJ53" s="63">
        <f>Data!U491</f>
        <v>124.4877544369258</v>
      </c>
      <c r="BK53" s="118">
        <f>Data!V491</f>
        <v>0.23302713196234845</v>
      </c>
      <c r="BL53" s="6">
        <f>Data!W491</f>
        <v>131.14775443692577</v>
      </c>
      <c r="BM53" s="118">
        <f>Data!X491</f>
        <v>5.7313560335157998E-2</v>
      </c>
      <c r="BP53" s="121">
        <f t="shared" ca="1" si="3"/>
        <v>3.7349988314491732E-3</v>
      </c>
      <c r="BT53">
        <f>8/31</f>
        <v>0.25806451612903225</v>
      </c>
      <c r="BU53">
        <f t="shared" si="21"/>
        <v>258.06451612903226</v>
      </c>
      <c r="BW53">
        <f ca="1">Health!N64</f>
        <v>180.05</v>
      </c>
    </row>
    <row r="54" spans="2:75">
      <c r="B54" s="65">
        <v>45444</v>
      </c>
      <c r="C54" s="6">
        <f ca="1">SUM((OFFSET(Data!$C$410,17*(ROW(Data!Y439)-434),0)):(OFFSET(Data!$C$423,17*(ROW(Data!Y439)-434),0)))</f>
        <v>3573.27</v>
      </c>
      <c r="D54" s="334">
        <f ca="1">(OFFSET(Data!$P$409,17*(ROW(Data!Y439)-434),0))</f>
        <v>2355.3473044585262</v>
      </c>
      <c r="E54" s="6">
        <f ca="1">(OFFSET(Data!$P$412,17*(ROW(Data!Y439)-434),0))</f>
        <v>126.31999999999687</v>
      </c>
      <c r="F54" s="6">
        <f ca="1">(OFFSET(Data!$P$418,17*(ROW(Data!Y439)-434),0))</f>
        <v>503.88</v>
      </c>
      <c r="G54" s="25">
        <f ca="1">(OFFSET(Data!$P$415,17*(ROW(Data!Y439)-434),0))</f>
        <v>585</v>
      </c>
      <c r="H54" s="25">
        <f ca="1">(OFFSET(Data!$P$421,17*(ROW(Data!Y439)-434),0))</f>
        <v>1140.1473044585291</v>
      </c>
      <c r="I54" s="25"/>
      <c r="J54" s="25"/>
      <c r="K54" s="15">
        <f ca="1">(OFFSET(Data!$Q$409,17*(ROW(Data!Y439)-434),0))</f>
        <v>2387.6522190403316</v>
      </c>
      <c r="L54" s="25">
        <f ca="1">(OFFSET(Data!$Q$412,17*(ROW(Data!Y439)-434),0))</f>
        <v>559.70000000000005</v>
      </c>
      <c r="M54" s="25">
        <f ca="1">(OFFSET(Data!$Q$415,17*(ROW(Data!Y439)-434),0))</f>
        <v>589</v>
      </c>
      <c r="N54" s="25">
        <f ca="1">(OFFSET(Data!$Q$418,17*(ROW(Data!Y439)-434),0))</f>
        <v>503.98</v>
      </c>
      <c r="O54" s="25">
        <f ca="1">(OFFSET(Data!$U$410,17*(ROW(Data!Y439)-434),0))</f>
        <v>73.582219040331566</v>
      </c>
      <c r="P54" s="25">
        <f ca="1">(OFFSET(Data!$S$410,17*(ROW(Data!Y439)-434),0))</f>
        <v>661.39</v>
      </c>
      <c r="Q54" s="25">
        <f ca="1">(OFFSET(Data!$Q$421,17*(ROW(Data!Y439)-434),0))</f>
        <v>734.97221904033154</v>
      </c>
      <c r="R54" s="335">
        <f t="shared" ca="1" si="28"/>
        <v>2820.3955353965944</v>
      </c>
      <c r="S54" s="25">
        <v>150</v>
      </c>
      <c r="T54" s="25">
        <v>400</v>
      </c>
      <c r="U54" s="25">
        <v>0</v>
      </c>
      <c r="V54" s="25">
        <v>200</v>
      </c>
      <c r="W54" s="25">
        <f ca="1">SUM((OFFSET(Data!$F$410,17*(ROW(Data!Y439)-434),0)):(OFFSET(Data!$F$423,17*(ROW(Data!Y439)-434),0)))</f>
        <v>1791.26</v>
      </c>
      <c r="X54" s="25">
        <f ca="1">SUM((OFFSET(Data!$I$410,17*(ROW(Data!Y439)-434),0)):(OFFSET(Data!$I$423,17*(ROW(Data!Y439)-434),0)))</f>
        <v>1062.67</v>
      </c>
      <c r="Y54" s="25">
        <f t="shared" ca="1" si="34"/>
        <v>2853.9300000000003</v>
      </c>
      <c r="Z54" s="15">
        <f ca="1">(OFFSET(Data!$F$412,17*(ROW(Data!Y439)-434),0))</f>
        <v>131.88999999999999</v>
      </c>
      <c r="AA54" s="6">
        <f ca="1">(OFFSET(Data!$F$411,17*(ROW(Data!Y439)-434),0))</f>
        <v>144.37</v>
      </c>
      <c r="AB54" s="6">
        <f>Data!I501</f>
        <v>425</v>
      </c>
      <c r="AC54" s="6">
        <f t="shared" ca="1" si="32"/>
        <v>637.67000000000007</v>
      </c>
      <c r="AD54" s="25">
        <f ca="1">SUM((OFFSET(Data!$F$410,17*(ROW(Data!Y439)-434),0)):(OFFSET(Data!$F$423,17*(ROW(Data!Y439)-434),0)))</f>
        <v>1791.26</v>
      </c>
      <c r="AE54" s="25">
        <f ca="1">SUM((OFFSET(Data!$I$410,17*(ROW(Data!Y439)-434),0)):(OFFSET(Data!$I$423,17*(ROW(Data!Y439)-434),0)))</f>
        <v>1062.67</v>
      </c>
      <c r="AF54" s="335">
        <f t="shared" ca="1" si="24"/>
        <v>2853.9300000000003</v>
      </c>
      <c r="AG54" s="15">
        <f t="shared" ca="1" si="25"/>
        <v>719.33999999999969</v>
      </c>
      <c r="AH54" s="25">
        <f t="shared" ca="1" si="29"/>
        <v>719.34000000000015</v>
      </c>
      <c r="AI54" s="25">
        <f t="shared" ca="1" si="30"/>
        <v>752.87446460340561</v>
      </c>
      <c r="AJ54" s="25">
        <f t="shared" ca="1" si="35"/>
        <v>752.87446460340561</v>
      </c>
      <c r="AK54" s="6">
        <f t="shared" ca="1" si="36"/>
        <v>0</v>
      </c>
      <c r="AL54" s="354">
        <f t="shared" ca="1" si="37"/>
        <v>0</v>
      </c>
      <c r="AM54" s="6">
        <f ca="1">AG54-AG53</f>
        <v>773.4699999999998</v>
      </c>
      <c r="AN54" s="6">
        <f t="shared" ca="1" si="44"/>
        <v>773.4699999999998</v>
      </c>
      <c r="AO54" s="6">
        <f t="shared" ca="1" si="38"/>
        <v>774.77043757098045</v>
      </c>
      <c r="AP54" s="6">
        <f t="shared" ca="1" si="39"/>
        <v>0</v>
      </c>
      <c r="AQ54" s="335">
        <f t="shared" ca="1" si="39"/>
        <v>1.3004375709806482</v>
      </c>
      <c r="AR54" s="15">
        <f t="shared" ca="1" si="26"/>
        <v>32.304914581805406</v>
      </c>
      <c r="AS54" s="25">
        <f t="shared" ca="1" si="33"/>
        <v>33.534464603405922</v>
      </c>
      <c r="AT54" s="25">
        <f t="shared" ca="1" si="40"/>
        <v>33.534464603405468</v>
      </c>
      <c r="AU54" s="350">
        <f t="shared" ca="1" si="41"/>
        <v>1.3529991647941806E-2</v>
      </c>
      <c r="AV54" s="350">
        <f t="shared" ca="1" si="31"/>
        <v>4.4541907290043356E-2</v>
      </c>
      <c r="AW54" s="350">
        <f t="shared" ca="1" si="27"/>
        <v>1.3622145404718247E-2</v>
      </c>
      <c r="AX54" s="356">
        <f t="shared" ca="1" si="42"/>
        <v>6.3217303484647615E-16</v>
      </c>
      <c r="AZ54" s="63">
        <f>Data!S506</f>
        <v>130.28999999999974</v>
      </c>
      <c r="BA54" s="118">
        <f>Data!T506</f>
        <v>8.8149330879666421E-2</v>
      </c>
      <c r="BB54" s="63">
        <f>Data!U506</f>
        <v>47.242186191883889</v>
      </c>
      <c r="BC54" s="118">
        <f>Data!V506</f>
        <v>7.8555276823346801E-2</v>
      </c>
      <c r="BD54" s="63">
        <f>Data!S507</f>
        <v>-135.04999999999961</v>
      </c>
      <c r="BE54" s="118">
        <f>Data!T507</f>
        <v>-0.16956707347697214</v>
      </c>
      <c r="BF54" s="63">
        <f>Data!U507</f>
        <v>70.750032848447418</v>
      </c>
      <c r="BG54" s="118">
        <f>Data!V507</f>
        <v>24.980713856732724</v>
      </c>
      <c r="BH54" s="63">
        <f>Data!S508</f>
        <v>-4.7599999999998772</v>
      </c>
      <c r="BI54" s="118">
        <f>Data!T508</f>
        <v>-2.0927676412397793E-3</v>
      </c>
      <c r="BJ54" s="63">
        <f>Data!U508</f>
        <v>117.99221904033131</v>
      </c>
      <c r="BK54" s="118">
        <f>Data!V508</f>
        <v>0.19528022746736504</v>
      </c>
      <c r="BL54" s="6">
        <f>Data!W508</f>
        <v>113.23221904033143</v>
      </c>
      <c r="BM54" s="118">
        <f>Data!X508</f>
        <v>3.9334224599937517E-2</v>
      </c>
      <c r="BP54" s="121">
        <f t="shared" ca="1" si="3"/>
        <v>7.6253012805813397E-2</v>
      </c>
      <c r="BT54">
        <f>9/30</f>
        <v>0.3</v>
      </c>
      <c r="BU54">
        <f t="shared" si="21"/>
        <v>300</v>
      </c>
      <c r="BW54">
        <f ca="1">Health!N65</f>
        <v>178.35999999999999</v>
      </c>
    </row>
    <row r="55" spans="2:75">
      <c r="B55" s="65">
        <v>45474</v>
      </c>
      <c r="C55" s="6">
        <f ca="1">SUM((OFFSET(Data!$C$410,17*(ROW(Data!Y440)-434),0)):(OFFSET(Data!$C$423,17*(ROW(Data!Y440)-434),0)))</f>
        <v>3579.38</v>
      </c>
      <c r="D55" s="334">
        <f ca="1">(OFFSET(Data!$P$409,17*(ROW(Data!Y440)-434),0))</f>
        <v>3121.7073044585259</v>
      </c>
      <c r="E55" s="6">
        <f ca="1">(OFFSET(Data!$P$412,17*(ROW(Data!Y440)-434),0))</f>
        <v>1185.7199999999966</v>
      </c>
      <c r="F55" s="6">
        <f ca="1">(OFFSET(Data!$P$418,17*(ROW(Data!Y440)-434),0))</f>
        <v>513.88</v>
      </c>
      <c r="G55" s="25">
        <f ca="1">(OFFSET(Data!$P$415,17*(ROW(Data!Y440)-434),0))</f>
        <v>85</v>
      </c>
      <c r="H55" s="25">
        <f ca="1">(OFFSET(Data!$P$421,17*(ROW(Data!Y440)-434),0))</f>
        <v>1337.1073044585291</v>
      </c>
      <c r="I55" s="25"/>
      <c r="J55" s="25"/>
      <c r="K55" s="15">
        <f ca="1">(OFFSET(Data!$Q$409,17*(ROW(Data!Y440)-434),0))</f>
        <v>3095.4943346100795</v>
      </c>
      <c r="L55" s="25">
        <f ca="1">(OFFSET(Data!$Q$412,17*(ROW(Data!Y440)-434),0))</f>
        <v>1592.48</v>
      </c>
      <c r="M55" s="25">
        <f ca="1">(OFFSET(Data!$Q$415,17*(ROW(Data!Y440)-434),0))</f>
        <v>94</v>
      </c>
      <c r="N55" s="25">
        <f ca="1">(OFFSET(Data!$Q$418,17*(ROW(Data!Y440)-434),0))</f>
        <v>514.03</v>
      </c>
      <c r="O55" s="25">
        <f ca="1">(OFFSET(Data!$U$410,17*(ROW(Data!Y440)-434),0))</f>
        <v>98.224334610079239</v>
      </c>
      <c r="P55" s="25">
        <f ca="1">(OFFSET(Data!$S$410,17*(ROW(Data!Y440)-434),0))</f>
        <v>796.76</v>
      </c>
      <c r="Q55" s="25">
        <f ca="1">(OFFSET(Data!$Q$421,17*(ROW(Data!Y440)-434),0))</f>
        <v>894.98433461007926</v>
      </c>
      <c r="R55" s="335">
        <f t="shared" ca="1" si="28"/>
        <v>2871.5378844302522</v>
      </c>
      <c r="S55" s="25">
        <v>150</v>
      </c>
      <c r="T55" s="25">
        <v>400</v>
      </c>
      <c r="U55" s="25">
        <v>0</v>
      </c>
      <c r="V55" s="25">
        <v>200</v>
      </c>
      <c r="W55" s="25">
        <f ca="1">SUM((OFFSET(Data!$F$410,17*(ROW(Data!Y440)-434),0)):(OFFSET(Data!$F$423,17*(ROW(Data!Y440)-434),0)))</f>
        <v>1660.39</v>
      </c>
      <c r="X55" s="25">
        <f ca="1">SUM((OFFSET(Data!$I$410,17*(ROW(Data!Y440)-434),0)):(OFFSET(Data!$I$423,17*(ROW(Data!Y440)-434),0)))</f>
        <v>1152.6300000000001</v>
      </c>
      <c r="Y55" s="25">
        <f t="shared" ca="1" si="34"/>
        <v>2813.0200000000004</v>
      </c>
      <c r="Z55" s="15">
        <f ca="1">(OFFSET(Data!$F$412,17*(ROW(Data!Y440)-434),0))</f>
        <v>164.39000000000001</v>
      </c>
      <c r="AA55" s="6">
        <f ca="1">(OFFSET(Data!$F$411,17*(ROW(Data!Y440)-434),0))</f>
        <v>211.00000000000003</v>
      </c>
      <c r="AB55" s="6">
        <f>Data!I517</f>
        <v>536</v>
      </c>
      <c r="AC55" s="6">
        <f t="shared" ca="1" si="32"/>
        <v>616.63000000000011</v>
      </c>
      <c r="AD55" s="25">
        <f ca="1">SUM((OFFSET(Data!$F$410,17*(ROW(Data!Y440)-434),0)):(OFFSET(Data!$F$423,17*(ROW(Data!Y440)-434),0)))</f>
        <v>1660.39</v>
      </c>
      <c r="AE55" s="25">
        <f ca="1">SUM((OFFSET(Data!$I$410,17*(ROW(Data!Y440)-434),0)):(OFFSET(Data!$I$423,17*(ROW(Data!Y440)-434),0)))</f>
        <v>1152.6300000000001</v>
      </c>
      <c r="AF55" s="335">
        <f t="shared" ca="1" si="24"/>
        <v>2813.0200000000004</v>
      </c>
      <c r="AG55" s="15">
        <f t="shared" ca="1" si="25"/>
        <v>766.35999999999967</v>
      </c>
      <c r="AH55" s="25">
        <f t="shared" ca="1" si="29"/>
        <v>766.35999999999967</v>
      </c>
      <c r="AI55" s="25">
        <f t="shared" ca="1" si="30"/>
        <v>707.84211556974788</v>
      </c>
      <c r="AJ55" s="25">
        <f t="shared" ca="1" si="35"/>
        <v>707.84211556974788</v>
      </c>
      <c r="AK55" s="6">
        <f t="shared" ca="1" si="36"/>
        <v>0</v>
      </c>
      <c r="AL55" s="354">
        <f t="shared" ca="1" si="37"/>
        <v>0</v>
      </c>
      <c r="AM55" s="6">
        <f t="shared" ca="1" si="43"/>
        <v>47.019999999999982</v>
      </c>
      <c r="AN55" s="6">
        <f t="shared" ca="1" si="44"/>
        <v>47.019999999999527</v>
      </c>
      <c r="AO55" s="6">
        <f t="shared" ca="1" si="38"/>
        <v>-45.032349033657738</v>
      </c>
      <c r="AP55" s="6">
        <f t="shared" ref="AP55:AP72" ca="1" si="45">AN55-AM55</f>
        <v>-4.5474735088646412E-13</v>
      </c>
      <c r="AQ55" s="335">
        <f t="shared" ref="AQ55:AQ72" ca="1" si="46">AO55-AN55</f>
        <v>-92.052349033657265</v>
      </c>
      <c r="AR55" s="15">
        <f t="shared" ca="1" si="26"/>
        <v>-26.212969848446392</v>
      </c>
      <c r="AS55" s="25">
        <f t="shared" ca="1" si="33"/>
        <v>-58.517884430251797</v>
      </c>
      <c r="AT55" s="25">
        <f t="shared" ca="1" si="40"/>
        <v>-58.517884430251797</v>
      </c>
      <c r="AU55" s="350">
        <f t="shared" ca="1" si="41"/>
        <v>8.4681046110679694E-3</v>
      </c>
      <c r="AV55" s="350">
        <f t="shared" ref="AV55:AV73" ca="1" si="47">ABS(AS55/AI55)</f>
        <v>8.2670814780708937E-2</v>
      </c>
      <c r="AW55" s="350">
        <f t="shared" ca="1" si="27"/>
        <v>8.4324013825529832E-3</v>
      </c>
      <c r="AX55" s="356">
        <f t="shared" ca="1" si="42"/>
        <v>0</v>
      </c>
      <c r="AZ55" s="63">
        <f>Data!S523</f>
        <v>153.21000000000004</v>
      </c>
      <c r="BA55" s="118">
        <f>Data!T523</f>
        <v>9.5900700430022745E-2</v>
      </c>
      <c r="BB55" s="63">
        <f>Data!U523</f>
        <v>38.397858361885824</v>
      </c>
      <c r="BC55" s="118">
        <f>Data!V523</f>
        <v>6.2923362671147065E-2</v>
      </c>
      <c r="BD55" s="63">
        <f>Data!S524</f>
        <v>-168.81999999999971</v>
      </c>
      <c r="BE55" s="118">
        <f>Data!T524</f>
        <v>-0.17483792124940425</v>
      </c>
      <c r="BF55" s="63">
        <f>Data!U524</f>
        <v>79.236476248193156</v>
      </c>
      <c r="BG55" s="118">
        <f>Data!V524</f>
        <v>4.1730075471409043</v>
      </c>
      <c r="BH55" s="63">
        <f>Data!S525</f>
        <v>-15.609999999999673</v>
      </c>
      <c r="BI55" s="118">
        <f>Data!T525</f>
        <v>-6.0901149748162136E-3</v>
      </c>
      <c r="BJ55" s="63">
        <f>Data!U525</f>
        <v>117.63433461007898</v>
      </c>
      <c r="BK55" s="118">
        <f>Data!V525</f>
        <v>0.18695263121019512</v>
      </c>
      <c r="BL55" s="6">
        <f>Data!W525</f>
        <v>102.02433461007931</v>
      </c>
      <c r="BM55" s="118">
        <f>Data!X525</f>
        <v>3.1958606125843003E-2</v>
      </c>
      <c r="BP55" s="121">
        <f t="shared" ca="1" si="3"/>
        <v>3.6821825821884549E-2</v>
      </c>
      <c r="BT55">
        <f>11/31</f>
        <v>0.35483870967741937</v>
      </c>
      <c r="BU55">
        <f t="shared" si="21"/>
        <v>354.83870967741939</v>
      </c>
      <c r="BW55">
        <f ca="1">Health!N66</f>
        <v>175.45</v>
      </c>
    </row>
    <row r="56" spans="2:75">
      <c r="B56" s="65">
        <v>45505</v>
      </c>
      <c r="C56" s="6">
        <f ca="1">SUM((OFFSET(Data!$C$410,17*(ROW(Data!Y441)-434),0)):(OFFSET(Data!$C$423,17*(ROW(Data!Y441)-434),0)))</f>
        <v>2526.5</v>
      </c>
      <c r="D56" s="334">
        <f ca="1">(OFFSET(Data!$P$409,17*(ROW(Data!Y441)-434),0))</f>
        <v>3071.1173044585257</v>
      </c>
      <c r="E56" s="6">
        <f ca="1">(OFFSET(Data!$P$412,17*(ROW(Data!Y441)-434),0))</f>
        <v>737.9599999999964</v>
      </c>
      <c r="F56" s="6">
        <f ca="1">(OFFSET(Data!$P$418,17*(ROW(Data!Y441)-434),0))</f>
        <v>513.88</v>
      </c>
      <c r="G56" s="25">
        <f ca="1">(OFFSET(Data!$P$415,17*(ROW(Data!Y441)-434),0))</f>
        <v>85</v>
      </c>
      <c r="H56" s="25">
        <f ca="1">(OFFSET(Data!$P$421,17*(ROW(Data!Y441)-434),0))</f>
        <v>1734.2773044585292</v>
      </c>
      <c r="I56" s="25"/>
      <c r="J56" s="25"/>
      <c r="K56" s="15">
        <f ca="1">(OFFSET(Data!$Q$409,17*(ROW(Data!Y441)-434),0))</f>
        <v>2986.8221447107226</v>
      </c>
      <c r="L56" s="25">
        <f ca="1">(OFFSET(Data!$Q$412,17*(ROW(Data!Y441)-434),0))</f>
        <v>1151.33</v>
      </c>
      <c r="M56" s="25">
        <f ca="1">(OFFSET(Data!$Q$415,17*(ROW(Data!Y441)-434),0))</f>
        <v>74</v>
      </c>
      <c r="N56" s="25">
        <f ca="1">(OFFSET(Data!$Q$418,17*(ROW(Data!Y441)-434),0))</f>
        <v>514.25</v>
      </c>
      <c r="O56" s="25">
        <f ca="1">(OFFSET(Data!$U$410,17*(ROW(Data!Y441)-434),0))</f>
        <v>148.96214471072261</v>
      </c>
      <c r="P56" s="25">
        <f ca="1">(OFFSET(Data!$S$410,17*(ROW(Data!Y441)-434),0))</f>
        <v>1098.28</v>
      </c>
      <c r="Q56" s="25">
        <f ca="1">(OFFSET(Data!$Q$421,17*(ROW(Data!Y441)-434),0))</f>
        <v>1247.2421447107226</v>
      </c>
      <c r="R56" s="335">
        <f ca="1">K55-K56+C56</f>
        <v>2635.1721898993569</v>
      </c>
      <c r="S56" s="25">
        <v>150</v>
      </c>
      <c r="T56" s="25">
        <v>400</v>
      </c>
      <c r="U56" s="25">
        <v>0</v>
      </c>
      <c r="V56" s="25">
        <v>200</v>
      </c>
      <c r="W56" s="25">
        <f ca="1">SUM((OFFSET(Data!$F$410,17*(ROW(Data!Y441)-434),0)):(OFFSET(Data!$F$423,17*(ROW(Data!Y441)-434),0)))</f>
        <v>1442.3700000000001</v>
      </c>
      <c r="X56" s="25">
        <f ca="1">SUM((OFFSET(Data!$I$410,17*(ROW(Data!Y441)-434),0)):(OFFSET(Data!$I$423,17*(ROW(Data!Y441)-434),0)))</f>
        <v>1134.72</v>
      </c>
      <c r="Y56" s="25">
        <f t="shared" ca="1" si="34"/>
        <v>2577.09</v>
      </c>
      <c r="Z56" s="15">
        <f ca="1">(OFFSET(Data!$F$412,17*(ROW(Data!Y441)-434),0))</f>
        <v>84.86</v>
      </c>
      <c r="AA56" s="6">
        <f ca="1">(OFFSET(Data!$F$411,17*(ROW(Data!Y441)-434),0))</f>
        <v>88.83</v>
      </c>
      <c r="AB56" s="6">
        <f>Data!I534</f>
        <v>360</v>
      </c>
      <c r="AC56" s="6">
        <f t="shared" ca="1" si="32"/>
        <v>774.72</v>
      </c>
      <c r="AD56" s="25">
        <f ca="1">SUM((OFFSET(Data!$F$410,17*(ROW(Data!Y441)-434),0)):(OFFSET(Data!$F$423,17*(ROW(Data!Y441)-434),0)))</f>
        <v>1442.3700000000001</v>
      </c>
      <c r="AE56" s="25">
        <f ca="1">SUM((OFFSET(Data!$I$410,17*(ROW(Data!Y441)-434),0)):(OFFSET(Data!$I$423,17*(ROW(Data!Y441)-434),0)))</f>
        <v>1134.72</v>
      </c>
      <c r="AF56" s="335">
        <f t="shared" ca="1" si="24"/>
        <v>2577.09</v>
      </c>
      <c r="AG56" s="15">
        <f t="shared" ref="AG56:AG72" ca="1" si="48">C56-AF56</f>
        <v>-50.590000000000146</v>
      </c>
      <c r="AH56" s="25">
        <f ca="1">D56-D55</f>
        <v>-50.590000000000146</v>
      </c>
      <c r="AI56" s="25">
        <f t="shared" ref="AI56:AI73" ca="1" si="49">C56-R56</f>
        <v>-108.67218989935691</v>
      </c>
      <c r="AJ56" s="25">
        <f t="shared" ca="1" si="35"/>
        <v>-108.67218989935691</v>
      </c>
      <c r="AK56" s="6">
        <f t="shared" ca="1" si="36"/>
        <v>0</v>
      </c>
      <c r="AL56" s="354">
        <f t="shared" ca="1" si="37"/>
        <v>0</v>
      </c>
      <c r="AM56" s="6">
        <f t="shared" ca="1" si="43"/>
        <v>-816.94999999999982</v>
      </c>
      <c r="AN56" s="6">
        <f t="shared" ca="1" si="44"/>
        <v>-816.94999999999982</v>
      </c>
      <c r="AO56" s="6">
        <f t="shared" ca="1" si="38"/>
        <v>-816.51430546910478</v>
      </c>
      <c r="AP56" s="6">
        <f t="shared" ca="1" si="45"/>
        <v>0</v>
      </c>
      <c r="AQ56" s="335">
        <f t="shared" ca="1" si="46"/>
        <v>0.4356945308950344</v>
      </c>
      <c r="AR56" s="15">
        <f t="shared" ref="AR56:AR73" ca="1" si="50">K56-D56</f>
        <v>-84.295159747803154</v>
      </c>
      <c r="AS56" s="25">
        <f t="shared" ca="1" si="33"/>
        <v>-58.082189899356763</v>
      </c>
      <c r="AT56" s="25">
        <f t="shared" ca="1" si="40"/>
        <v>-58.082189899356763</v>
      </c>
      <c r="AU56" s="350">
        <f t="shared" ca="1" si="41"/>
        <v>2.8222356626449629E-2</v>
      </c>
      <c r="AV56" s="350">
        <f t="shared" ca="1" si="47"/>
        <v>0.53447151431426598</v>
      </c>
      <c r="AW56" s="350">
        <f t="shared" ref="AW56:AW73" ca="1" si="51">ABS(AR56/AVERAGE(K56,D56))</f>
        <v>2.7829647508069075E-2</v>
      </c>
      <c r="AX56" s="356">
        <f t="shared" ca="1" si="42"/>
        <v>0</v>
      </c>
      <c r="AZ56" s="63">
        <f>Data!S540</f>
        <v>149.22999999999979</v>
      </c>
      <c r="BA56" s="118">
        <f>Data!T540</f>
        <v>8.2815378809740381E-2</v>
      </c>
      <c r="BB56" s="63">
        <f>Data!U540</f>
        <v>26.557935108077913</v>
      </c>
      <c r="BC56" s="118">
        <f>Data!V540</f>
        <v>4.2692698494172149E-2</v>
      </c>
      <c r="BD56" s="63">
        <f>Data!S541</f>
        <v>-149.92999999999961</v>
      </c>
      <c r="BE56" s="118">
        <f>Data!T541</f>
        <v>-0.12011600612076466</v>
      </c>
      <c r="BF56" s="63">
        <f>Data!U541</f>
        <v>81.814209602644439</v>
      </c>
      <c r="BG56" s="118">
        <f>Data!V541</f>
        <v>1.218417356705908</v>
      </c>
      <c r="BH56" s="63">
        <f>Data!S542</f>
        <v>-0.6999999999998181</v>
      </c>
      <c r="BI56" s="118">
        <f>Data!T542</f>
        <v>-2.2949540517407823E-4</v>
      </c>
      <c r="BJ56" s="63">
        <f>Data!U542</f>
        <v>108.37214471072235</v>
      </c>
      <c r="BK56" s="118">
        <f>Data!V542</f>
        <v>0.1572388275307193</v>
      </c>
      <c r="BL56" s="6">
        <f>Data!W542</f>
        <v>107.67214471072253</v>
      </c>
      <c r="BM56" s="118">
        <f>Data!X542</f>
        <v>2.8794039859635578E-2</v>
      </c>
      <c r="BP56" s="121">
        <f t="shared" ca="1" si="3"/>
        <v>5.0834354930473891E-2</v>
      </c>
      <c r="BT56">
        <f>13/31</f>
        <v>0.41935483870967744</v>
      </c>
      <c r="BU56">
        <f t="shared" si="21"/>
        <v>419.35483870967744</v>
      </c>
      <c r="BW56">
        <f ca="1">Health!N67</f>
        <v>173.95000000000002</v>
      </c>
    </row>
    <row r="57" spans="2:75">
      <c r="B57" s="65">
        <v>45536</v>
      </c>
      <c r="C57" s="6">
        <f ca="1">SUM((OFFSET(Data!$C$410,17*(ROW(Data!Y442)-434),0)):(OFFSET(Data!$C$423,17*(ROW(Data!Y442)-434),0)))</f>
        <v>2910.46</v>
      </c>
      <c r="D57" s="334">
        <f ca="1">(OFFSET(Data!$P$409,17*(ROW(Data!Y442)-434),0))</f>
        <v>2948.0073044585256</v>
      </c>
      <c r="E57" s="6">
        <f ca="1">(OFFSET(Data!$P$412,17*(ROW(Data!Y442)-434),0))</f>
        <v>415.69999999999629</v>
      </c>
      <c r="F57" s="6">
        <f ca="1">(OFFSET(Data!$P$418,17*(ROW(Data!Y442)-434),0))</f>
        <v>513.88</v>
      </c>
      <c r="G57" s="25">
        <f ca="1">(OFFSET(Data!$P$415,17*(ROW(Data!Y442)-434),0))</f>
        <v>85</v>
      </c>
      <c r="H57" s="25">
        <f ca="1">(OFFSET(Data!$P$421,17*(ROW(Data!Y442)-434),0))</f>
        <v>1933.4273044585293</v>
      </c>
      <c r="I57" s="25"/>
      <c r="J57" s="25"/>
      <c r="K57" s="15">
        <f ca="1">(OFFSET(Data!$Q$409,17*(ROW(Data!Y442)-434),0))</f>
        <v>3071.6829358028908</v>
      </c>
      <c r="L57" s="25">
        <f ca="1">(OFFSET(Data!$Q$412,17*(ROW(Data!Y442)-434),0))</f>
        <v>937.78</v>
      </c>
      <c r="M57" s="25">
        <f ca="1">(OFFSET(Data!$Q$415,17*(ROW(Data!Y442)-434),0))</f>
        <v>74</v>
      </c>
      <c r="N57" s="25">
        <f ca="1">(OFFSET(Data!$Q$418,17*(ROW(Data!Y442)-434),0))</f>
        <v>514.4</v>
      </c>
      <c r="O57" s="25">
        <f ca="1">(OFFSET(Data!$U$410,17*(ROW(Data!Y442)-434),0))</f>
        <v>218.72293580289116</v>
      </c>
      <c r="P57" s="25">
        <f ca="1">(OFFSET(Data!$S$410,17*(ROW(Data!Y442)-434),0))</f>
        <v>1326.78</v>
      </c>
      <c r="Q57" s="25">
        <f ca="1">(OFFSET(Data!$Q$421,17*(ROW(Data!Y442)-434),0))</f>
        <v>1545.5029358028912</v>
      </c>
      <c r="R57" s="335">
        <f ca="1">K56-K57+C57</f>
        <v>2825.5992089078318</v>
      </c>
      <c r="S57" s="25">
        <v>150</v>
      </c>
      <c r="T57" s="25">
        <v>400</v>
      </c>
      <c r="U57" s="25">
        <v>0</v>
      </c>
      <c r="V57" s="25">
        <v>200</v>
      </c>
      <c r="W57" s="25">
        <f ca="1">SUM((OFFSET(Data!$F$410,17*(ROW(Data!Y442)-434),0)):(OFFSET(Data!$F$423,17*(ROW(Data!Y442)-434),0)))</f>
        <v>1578.48</v>
      </c>
      <c r="X57" s="25">
        <f ca="1">SUM((OFFSET(Data!$I$410,17*(ROW(Data!Y442)-434),0)):(OFFSET(Data!$I$423,17*(ROW(Data!Y442)-434),0)))</f>
        <v>1455.0900000000001</v>
      </c>
      <c r="Y57" s="25">
        <f t="shared" ca="1" si="34"/>
        <v>3033.57</v>
      </c>
      <c r="Z57" s="15">
        <f ca="1">(OFFSET(Data!$F$412,17*(ROW(Data!Y442)-434),0))</f>
        <v>128.73000000000002</v>
      </c>
      <c r="AA57" s="6">
        <f ca="1">(OFFSET(Data!$F$411,17*(ROW(Data!Y442)-434),0))</f>
        <v>141.15</v>
      </c>
      <c r="AB57" s="6">
        <f>Data!I553</f>
        <v>331</v>
      </c>
      <c r="AC57" s="6">
        <f t="shared" ca="1" si="32"/>
        <v>1124.0900000000001</v>
      </c>
      <c r="AD57" s="25">
        <f ca="1">SUM((OFFSET(Data!$F$410,17*(ROW(Data!Y442)-434),0)):(OFFSET(Data!$F$423,17*(ROW(Data!Y442)-434),0)))</f>
        <v>1578.48</v>
      </c>
      <c r="AE57" s="25">
        <f ca="1">SUM((OFFSET(Data!$I$410,17*(ROW(Data!Y442)-434),0)):(OFFSET(Data!$I$423,17*(ROW(Data!Y442)-434),0)))</f>
        <v>1455.0900000000001</v>
      </c>
      <c r="AF57" s="335">
        <f t="shared" ca="1" si="24"/>
        <v>3033.57</v>
      </c>
      <c r="AG57" s="15">
        <f t="shared" ca="1" si="48"/>
        <v>-123.11000000000013</v>
      </c>
      <c r="AH57" s="25">
        <f t="shared" ca="1" si="29"/>
        <v>-123.11000000000013</v>
      </c>
      <c r="AI57" s="25">
        <f t="shared" ca="1" si="49"/>
        <v>84.860791092168256</v>
      </c>
      <c r="AJ57" s="25">
        <f t="shared" ca="1" si="35"/>
        <v>84.860791092168256</v>
      </c>
      <c r="AK57" s="6">
        <f t="shared" ca="1" si="36"/>
        <v>0</v>
      </c>
      <c r="AL57" s="354">
        <f t="shared" ca="1" si="37"/>
        <v>0</v>
      </c>
      <c r="AM57" s="6">
        <f t="shared" ca="1" si="43"/>
        <v>-72.519999999999982</v>
      </c>
      <c r="AN57" s="6">
        <f t="shared" ca="1" si="44"/>
        <v>-72.519999999999982</v>
      </c>
      <c r="AO57" s="6">
        <f t="shared" ca="1" si="38"/>
        <v>193.53298099152516</v>
      </c>
      <c r="AP57" s="6">
        <f t="shared" ca="1" si="45"/>
        <v>0</v>
      </c>
      <c r="AQ57" s="335">
        <f t="shared" ca="1" si="46"/>
        <v>266.05298099152515</v>
      </c>
      <c r="AR57" s="15">
        <f t="shared" ca="1" si="50"/>
        <v>123.67563134436523</v>
      </c>
      <c r="AS57" s="25">
        <f t="shared" ref="AS57:AS73" ca="1" si="52">AI57-AG57</f>
        <v>207.97079109216838</v>
      </c>
      <c r="AT57" s="25">
        <f t="shared" ca="1" si="40"/>
        <v>207.97079109216838</v>
      </c>
      <c r="AU57" s="350">
        <f t="shared" ca="1" si="41"/>
        <v>4.0263150178303904E-2</v>
      </c>
      <c r="AV57" s="350">
        <f t="shared" ca="1" si="47"/>
        <v>2.4507288750854204</v>
      </c>
      <c r="AW57" s="350">
        <f t="shared" ca="1" si="51"/>
        <v>4.1090363925102694E-2</v>
      </c>
      <c r="AX57" s="356">
        <f t="shared" ca="1" si="42"/>
        <v>0</v>
      </c>
      <c r="AZ57" s="63">
        <f>Data!S557</f>
        <v>109.94999999999982</v>
      </c>
      <c r="BA57" s="118">
        <f>Data!T557</f>
        <v>5.9690553745928243E-2</v>
      </c>
      <c r="BB57" s="63">
        <f>Data!U557</f>
        <v>20.787058131127083</v>
      </c>
      <c r="BC57" s="118">
        <f>Data!V557</f>
        <v>3.3108691274367365E-2</v>
      </c>
      <c r="BD57" s="63">
        <f>Data!S558</f>
        <v>-31.389999999999645</v>
      </c>
      <c r="BE57" s="118">
        <f>Data!T558</f>
        <v>-2.3111981563427003E-2</v>
      </c>
      <c r="BF57" s="63">
        <f>Data!U558</f>
        <v>107.34587767176382</v>
      </c>
      <c r="BG57" s="118">
        <f>Data!V558</f>
        <v>0.96380600702689145</v>
      </c>
      <c r="BH57" s="63">
        <f>Data!S559</f>
        <v>78.560000000000173</v>
      </c>
      <c r="BI57" s="118">
        <f>Data!T559</f>
        <v>2.4548695850532997E-2</v>
      </c>
      <c r="BJ57" s="63">
        <f>Data!U559</f>
        <v>128.1329358028909</v>
      </c>
      <c r="BK57" s="118">
        <f>Data!V559</f>
        <v>0.1733353207473971</v>
      </c>
      <c r="BL57" s="6">
        <f>Data!W559</f>
        <v>206.69293580289107</v>
      </c>
      <c r="BM57" s="118">
        <f>Data!X559</f>
        <v>5.2468259248993121E-2</v>
      </c>
      <c r="BP57" s="121">
        <f t="shared" ref="BP57:BP73" ca="1" si="53">ABS((AR58-AS58)/((ABS(AR58)+ABS(AS58))/2))/10</f>
        <v>9.2977351929535296E-2</v>
      </c>
      <c r="BT57">
        <f>12/30</f>
        <v>0.4</v>
      </c>
      <c r="BU57">
        <f t="shared" si="21"/>
        <v>400</v>
      </c>
      <c r="BW57">
        <f ca="1">Health!N68</f>
        <v>171.25</v>
      </c>
    </row>
    <row r="58" spans="2:75">
      <c r="B58" s="65">
        <v>45566</v>
      </c>
      <c r="C58" s="6">
        <f ca="1">SUM((OFFSET(Data!$C$410,17*(ROW(Data!Y443)-434),0)):(OFFSET(Data!$C$423,17*(ROW(Data!Y443)-434),0)))</f>
        <v>3436.62</v>
      </c>
      <c r="D58" s="334">
        <f ca="1">(OFFSET(Data!$P$409,17*(ROW(Data!Y443)-434),0))</f>
        <v>2965.7673044585254</v>
      </c>
      <c r="E58" s="6">
        <f ca="1">(OFFSET(Data!$P$412,17*(ROW(Data!Y443)-434),0))</f>
        <v>236.07999999999606</v>
      </c>
      <c r="F58" s="6">
        <f ca="1">(OFFSET(Data!$P$418,17*(ROW(Data!Y443)-434),0))</f>
        <v>513.88</v>
      </c>
      <c r="G58" s="25">
        <f ca="1">(OFFSET(Data!$P$415,17*(ROW(Data!Y443)-434),0))</f>
        <v>85</v>
      </c>
      <c r="H58" s="25">
        <f ca="1">(OFFSET(Data!$P$421,17*(ROW(Data!Y443)-434),0))</f>
        <v>2130.8073044585294</v>
      </c>
      <c r="I58" s="25"/>
      <c r="J58" s="25"/>
      <c r="K58" s="15">
        <f ca="1">(OFFSET(Data!$Q$409,17*(ROW(Data!Y443)-434),0))</f>
        <v>3160.6220632655213</v>
      </c>
      <c r="L58" s="25">
        <f ca="1">(OFFSET(Data!$Q$412,17*(ROW(Data!Y443)-434),0))</f>
        <v>908.55999999999972</v>
      </c>
      <c r="M58" s="25">
        <f ca="1">(OFFSET(Data!$Q$415,17*(ROW(Data!Y443)-434),0))</f>
        <v>77</v>
      </c>
      <c r="N58" s="25">
        <f ca="1">(OFFSET(Data!$Q$418,17*(ROW(Data!Y443)-434),0))</f>
        <v>514.59</v>
      </c>
      <c r="O58" s="25">
        <f ca="1">(OFFSET(Data!$U$410,17*(ROW(Data!Y443)-434),0))</f>
        <v>293.24206326552167</v>
      </c>
      <c r="P58" s="25">
        <f ca="1">(OFFSET(Data!$S$410,17*(ROW(Data!Y443)-434),0))</f>
        <v>1367.23</v>
      </c>
      <c r="Q58" s="25">
        <f ca="1">(OFFSET(Data!$Q$421,17*(ROW(Data!Y443)-434),0))</f>
        <v>1660.4720632655217</v>
      </c>
      <c r="R58" s="335">
        <f ca="1">K57-K58+C58</f>
        <v>3347.6808725373694</v>
      </c>
      <c r="S58" s="25">
        <v>150</v>
      </c>
      <c r="T58" s="25">
        <v>400</v>
      </c>
      <c r="U58" s="25">
        <v>0</v>
      </c>
      <c r="V58" s="25">
        <v>200</v>
      </c>
      <c r="W58" s="25">
        <f ca="1">SUM((OFFSET(Data!$F$410,17*(ROW(Data!Y443)-434),0)):(OFFSET(Data!$F$423,17*(ROW(Data!Y443)-434),0)))</f>
        <v>1964.19</v>
      </c>
      <c r="X58" s="25">
        <f ca="1">SUM((OFFSET(Data!$I$410,17*(ROW(Data!Y443)-434),0)):(OFFSET(Data!$I$423,17*(ROW(Data!Y443)-434),0)))</f>
        <v>1454.67</v>
      </c>
      <c r="Y58" s="25">
        <f t="shared" ca="1" si="34"/>
        <v>3418.86</v>
      </c>
      <c r="Z58" s="15">
        <f ca="1">(OFFSET(Data!$F$412,17*(ROW(Data!Y443)-434),0))</f>
        <v>127.4</v>
      </c>
      <c r="AA58" s="6">
        <f ca="1">(OFFSET(Data!$F$411,17*(ROW(Data!Y443)-434),0))</f>
        <v>273.12</v>
      </c>
      <c r="AB58" s="6">
        <f>Data!I569</f>
        <v>207</v>
      </c>
      <c r="AC58" s="6">
        <f t="shared" ref="AC58:AC63" ca="1" si="54">AE58-AB58</f>
        <v>1247.67</v>
      </c>
      <c r="AD58" s="25">
        <f ca="1">SUM((OFFSET(Data!$F$410,17*(ROW(Data!Y443)-434),0)):(OFFSET(Data!$F$423,17*(ROW(Data!Y443)-434),0)))</f>
        <v>1964.19</v>
      </c>
      <c r="AE58" s="25">
        <f ca="1">SUM((OFFSET(Data!$I$410,17*(ROW(Data!Y443)-434),0)):(OFFSET(Data!$I$423,17*(ROW(Data!Y443)-434),0)))</f>
        <v>1454.67</v>
      </c>
      <c r="AF58" s="335">
        <f t="shared" ca="1" si="24"/>
        <v>3418.86</v>
      </c>
      <c r="AG58" s="15">
        <f t="shared" ca="1" si="48"/>
        <v>17.759999999999764</v>
      </c>
      <c r="AH58" s="25">
        <f ca="1">D58-D57</f>
        <v>17.759999999999764</v>
      </c>
      <c r="AI58" s="25">
        <f t="shared" ca="1" si="49"/>
        <v>88.939127462630495</v>
      </c>
      <c r="AJ58" s="25">
        <f t="shared" ca="1" si="35"/>
        <v>88.939127462630495</v>
      </c>
      <c r="AK58" s="6">
        <f t="shared" ca="1" si="36"/>
        <v>0</v>
      </c>
      <c r="AL58" s="354">
        <f t="shared" ca="1" si="37"/>
        <v>0</v>
      </c>
      <c r="AM58" s="6">
        <f ca="1">AG58-AG57</f>
        <v>140.86999999999989</v>
      </c>
      <c r="AN58" s="6">
        <f ca="1">AH58-AH57</f>
        <v>140.86999999999989</v>
      </c>
      <c r="AO58" s="6">
        <f t="shared" ref="AO58:AO72" ca="1" si="55">AJ58-AJ57</f>
        <v>4.0783363704622388</v>
      </c>
      <c r="AP58" s="6">
        <f t="shared" ca="1" si="45"/>
        <v>0</v>
      </c>
      <c r="AQ58" s="335">
        <f t="shared" ca="1" si="46"/>
        <v>-136.79166362953765</v>
      </c>
      <c r="AR58" s="15">
        <f t="shared" ca="1" si="50"/>
        <v>194.85475880699596</v>
      </c>
      <c r="AS58" s="25">
        <f t="shared" ca="1" si="52"/>
        <v>71.179127462630731</v>
      </c>
      <c r="AT58" s="25">
        <f t="shared" ca="1" si="40"/>
        <v>71.179127462630731</v>
      </c>
      <c r="AU58" s="350">
        <f t="shared" ca="1" si="41"/>
        <v>6.1650762067285605E-2</v>
      </c>
      <c r="AV58" s="350">
        <f t="shared" ca="1" si="47"/>
        <v>0.80031285996748758</v>
      </c>
      <c r="AW58" s="350">
        <f t="shared" ca="1" si="51"/>
        <v>6.3611614316765014E-2</v>
      </c>
      <c r="AX58" s="356">
        <f t="shared" ref="AX58:AX73" ca="1" si="56">ABS((AG58-AH58)/AVERAGE(AG58,AH58))</f>
        <v>0</v>
      </c>
      <c r="AZ58" s="63">
        <f>Data!S574</f>
        <v>173.47000000000003</v>
      </c>
      <c r="BA58" s="118">
        <f>Data!T574</f>
        <v>8.8424797887632675E-2</v>
      </c>
      <c r="BB58" s="63">
        <f>Data!U574</f>
        <v>10.629431107603295</v>
      </c>
      <c r="BC58" s="118">
        <f>Data!V574</f>
        <v>1.6660535469516215E-2</v>
      </c>
      <c r="BD58" s="63">
        <f>Data!S575</f>
        <v>-81.159999999999627</v>
      </c>
      <c r="BE58" s="118">
        <f>Data!T575</f>
        <v>-5.6034631556417573E-2</v>
      </c>
      <c r="BF58" s="63">
        <f>Data!U575</f>
        <v>142.02263215791811</v>
      </c>
      <c r="BG58" s="118">
        <f>Data!V575</f>
        <v>0.93918242594669421</v>
      </c>
      <c r="BH58" s="63">
        <f>Data!S576</f>
        <v>92.3100000000004</v>
      </c>
      <c r="BI58" s="118">
        <f>Data!T576</f>
        <v>2.7069031749150457E-2</v>
      </c>
      <c r="BJ58" s="63">
        <f>Data!U576</f>
        <v>152.65206326552141</v>
      </c>
      <c r="BK58" s="118">
        <f>Data!V576</f>
        <v>0.19342143289009578</v>
      </c>
      <c r="BL58" s="6">
        <f>Data!W576</f>
        <v>244.96206326552181</v>
      </c>
      <c r="BM58" s="118">
        <f>Data!X576</f>
        <v>5.8332772918334053E-2</v>
      </c>
      <c r="BP58" s="121">
        <f t="shared" ca="1" si="53"/>
        <v>0.2</v>
      </c>
      <c r="BT58">
        <f>22/31</f>
        <v>0.70967741935483875</v>
      </c>
      <c r="BU58">
        <f t="shared" si="21"/>
        <v>709.67741935483878</v>
      </c>
      <c r="BW58">
        <f ca="1">Health!N69</f>
        <v>169.2</v>
      </c>
    </row>
    <row r="59" spans="2:75">
      <c r="B59" s="65">
        <v>45597</v>
      </c>
      <c r="C59" s="6">
        <f ca="1">SUM((OFFSET(Data!$C$410,17*(ROW(Data!Y444)-434),0)):(OFFSET(Data!$C$423,17*(ROW(Data!Y444)-434),0)))</f>
        <v>2929.9700000000003</v>
      </c>
      <c r="D59" s="334">
        <f ca="1">(OFFSET(Data!$P$409,17*(ROW(Data!Y444)-434),0))</f>
        <v>2711.4873044585261</v>
      </c>
      <c r="E59" s="6">
        <f ca="1">(OFFSET(Data!$P$412,17*(ROW(Data!Y444)-434),0))</f>
        <v>276.85999999999655</v>
      </c>
      <c r="F59" s="6">
        <f ca="1">(OFFSET(Data!$P$418,17*(ROW(Data!Y444)-434),0))</f>
        <v>213.88</v>
      </c>
      <c r="G59" s="25">
        <f ca="1">(OFFSET(Data!$P$415,17*(ROW(Data!Y444)-434),0))</f>
        <v>85</v>
      </c>
      <c r="H59" s="25">
        <f ca="1">(OFFSET(Data!$P$421,17*(ROW(Data!Y444)-434),0))</f>
        <v>2135.7473044585295</v>
      </c>
      <c r="I59" s="25"/>
      <c r="J59" s="25"/>
      <c r="K59" s="15">
        <f ca="1">(OFFSET(Data!$Q$409,17*(ROW(Data!Y444)-434),0))</f>
        <v>2837.1333418842196</v>
      </c>
      <c r="L59" s="25">
        <f ca="1">(OFFSET(Data!$Q$412,17*(ROW(Data!Y444)-434),0))</f>
        <v>944.51</v>
      </c>
      <c r="M59" s="25">
        <f ca="1">(OFFSET(Data!$Q$415,17*(ROW(Data!Y444)-434),0))</f>
        <v>77</v>
      </c>
      <c r="N59" s="25">
        <f ca="1">(OFFSET(Data!$Q$418,17*(ROW(Data!Y444)-434),0))</f>
        <v>214.71</v>
      </c>
      <c r="O59" s="25">
        <f ca="1">(OFFSET(Data!$U$410,17*(ROW(Data!Y444)-434),0))</f>
        <v>100.47334188421932</v>
      </c>
      <c r="P59" s="25">
        <f ca="1">(OFFSET(Data!$S$410,17*(ROW(Data!Y444)-434),0))</f>
        <v>1500.44</v>
      </c>
      <c r="Q59" s="25">
        <f ca="1">(OFFSET(Data!$Q$421,17*(ROW(Data!Y444)-434),0))</f>
        <v>1600.9133418842193</v>
      </c>
      <c r="R59" s="335">
        <f ca="1">K58-K59+C59</f>
        <v>3253.458721381302</v>
      </c>
      <c r="S59" s="25">
        <v>150</v>
      </c>
      <c r="T59" s="25">
        <v>400</v>
      </c>
      <c r="U59" s="25">
        <v>0</v>
      </c>
      <c r="V59" s="25">
        <v>200</v>
      </c>
      <c r="W59" s="25">
        <f ca="1">SUM((OFFSET(Data!$F$410,17*(ROW(Data!Y444)-434),0)):(OFFSET(Data!$F$423,17*(ROW(Data!Y444)-434),0)))</f>
        <v>1692.4899999999998</v>
      </c>
      <c r="X59" s="25">
        <f ca="1">SUM((OFFSET(Data!$I$410,17*(ROW(Data!Y444)-434),0)):(OFFSET(Data!$I$423,17*(ROW(Data!Y444)-434),0)))</f>
        <v>1491.76</v>
      </c>
      <c r="Y59" s="25">
        <f t="shared" ca="1" si="34"/>
        <v>3184.25</v>
      </c>
      <c r="Z59" s="15">
        <f ca="1">(OFFSET(Data!$F$412,17*(ROW(Data!Y444)-434),0))</f>
        <v>113.97</v>
      </c>
      <c r="AA59" s="6">
        <f ca="1">(OFFSET(Data!$F$411,17*(ROW(Data!Y444)-434),0))</f>
        <v>147.35</v>
      </c>
      <c r="AB59" s="6">
        <f>Data!I585</f>
        <v>289</v>
      </c>
      <c r="AC59" s="6">
        <f t="shared" ca="1" si="54"/>
        <v>1202.76</v>
      </c>
      <c r="AD59" s="25">
        <f ca="1">SUM((OFFSET(Data!$F$410,17*(ROW(Data!Y444)-434),0)):(OFFSET(Data!$F$423,17*(ROW(Data!Y444)-434),0)))</f>
        <v>1692.4899999999998</v>
      </c>
      <c r="AE59" s="25">
        <f ca="1">SUM((OFFSET(Data!$I$410,17*(ROW(Data!Y444)-434),0)):(OFFSET(Data!$I$423,17*(ROW(Data!Y444)-434),0)))</f>
        <v>1491.76</v>
      </c>
      <c r="AF59" s="335">
        <f t="shared" ca="1" si="24"/>
        <v>3184.25</v>
      </c>
      <c r="AG59" s="15">
        <f t="shared" ca="1" si="48"/>
        <v>-254.27999999999975</v>
      </c>
      <c r="AH59" s="25">
        <f ca="1">D59-D58</f>
        <v>-254.27999999999929</v>
      </c>
      <c r="AI59" s="25">
        <f t="shared" ca="1" si="49"/>
        <v>-323.48872138130173</v>
      </c>
      <c r="AJ59" s="25">
        <f t="shared" ca="1" si="35"/>
        <v>-323.48872138130173</v>
      </c>
      <c r="AK59" s="6">
        <f t="shared" ca="1" si="36"/>
        <v>-4.5474735088646412E-13</v>
      </c>
      <c r="AL59" s="354">
        <f t="shared" ca="1" si="37"/>
        <v>0</v>
      </c>
      <c r="AM59" s="6">
        <f ca="1">AG59-AG58</f>
        <v>-272.03999999999951</v>
      </c>
      <c r="AN59" s="6">
        <f ca="1">AH59-AH58</f>
        <v>-272.03999999999905</v>
      </c>
      <c r="AO59" s="6">
        <f t="shared" ca="1" si="55"/>
        <v>-412.42784884393222</v>
      </c>
      <c r="AP59" s="6">
        <f t="shared" ca="1" si="45"/>
        <v>4.5474735088646412E-13</v>
      </c>
      <c r="AQ59" s="335">
        <f t="shared" ca="1" si="46"/>
        <v>-140.38784884393317</v>
      </c>
      <c r="AR59" s="15">
        <f t="shared" ca="1" si="50"/>
        <v>125.64603742569352</v>
      </c>
      <c r="AS59" s="25">
        <f t="shared" ca="1" si="52"/>
        <v>-69.208721381301984</v>
      </c>
      <c r="AT59" s="25">
        <f t="shared" ca="1" si="40"/>
        <v>-69.208721381302439</v>
      </c>
      <c r="AU59" s="350">
        <f t="shared" ca="1" si="41"/>
        <v>4.4286264438402625E-2</v>
      </c>
      <c r="AV59" s="350">
        <f t="shared" ca="1" si="47"/>
        <v>0.21394477398092798</v>
      </c>
      <c r="AW59" s="350">
        <f t="shared" ca="1" si="51"/>
        <v>4.5289107125573776E-2</v>
      </c>
      <c r="AX59" s="356">
        <f t="shared" ca="1" si="56"/>
        <v>1.788372466912321E-15</v>
      </c>
      <c r="AZ59" s="63">
        <f>Data!S591</f>
        <v>182.87999999999988</v>
      </c>
      <c r="BA59" s="118">
        <f>Data!T591</f>
        <v>9.1817369388185383E-2</v>
      </c>
      <c r="BB59" s="63">
        <f>Data!U591</f>
        <v>106.61206736155248</v>
      </c>
      <c r="BC59" s="118">
        <f>Data!V594</f>
        <v>0</v>
      </c>
      <c r="BD59" s="63">
        <f>Data!S592</f>
        <v>-67.949999999999591</v>
      </c>
      <c r="BE59" s="118">
        <f>Data!T592</f>
        <v>-4.3324683273930339E-2</v>
      </c>
      <c r="BF59" s="63">
        <f>Data!U592</f>
        <v>141.61127452266663</v>
      </c>
      <c r="BG59" s="118">
        <f>Data!V592</f>
        <v>-3.4423527250933725</v>
      </c>
      <c r="BH59" s="63">
        <f>Data!S593</f>
        <v>114.93000000000029</v>
      </c>
      <c r="BI59" s="118">
        <f>Data!T593</f>
        <v>3.2282166301047507E-2</v>
      </c>
      <c r="BJ59" s="63">
        <f>Data!U593</f>
        <v>248.22334188421911</v>
      </c>
      <c r="BK59" s="118">
        <f>Data!V593</f>
        <v>0.27914727725896754</v>
      </c>
      <c r="BL59" s="6">
        <f>Data!W593</f>
        <v>363.1533418842194</v>
      </c>
      <c r="BM59" s="118">
        <f>Data!X593</f>
        <v>8.1618680736959437E-2</v>
      </c>
      <c r="BP59" s="121">
        <f t="shared" ca="1" si="53"/>
        <v>6.271563559846656E-2</v>
      </c>
      <c r="BT59">
        <f>19/30</f>
        <v>0.6333333333333333</v>
      </c>
      <c r="BU59">
        <f t="shared" si="21"/>
        <v>633.33333333333326</v>
      </c>
      <c r="BW59">
        <f ca="1">Health!N70</f>
        <v>175.15</v>
      </c>
    </row>
    <row r="60" spans="2:75">
      <c r="B60" s="65">
        <v>45627</v>
      </c>
      <c r="C60" s="6">
        <f ca="1">SUM((OFFSET(Data!$C$410,17*(ROW(Data!Y445)-434),0)):(OFFSET(Data!$C$423,17*(ROW(Data!Y445)-434),0)))</f>
        <v>3491.27</v>
      </c>
      <c r="D60" s="334">
        <f ca="1">(OFFSET(Data!$P$409,17*(ROW(Data!Y445)-434),0))</f>
        <v>2758.3873044585262</v>
      </c>
      <c r="E60" s="6">
        <f ca="1">(OFFSET(Data!$P$412,17*(ROW(Data!Y445)-434),0))</f>
        <v>-33.960000000003362</v>
      </c>
      <c r="F60" s="6">
        <f ca="1">(OFFSET(Data!$P$418,17*(ROW(Data!Y445)-434),0))</f>
        <v>313.88</v>
      </c>
      <c r="G60" s="25">
        <f ca="1">(OFFSET(Data!$P$415,17*(ROW(Data!Y445)-434),0))</f>
        <v>235</v>
      </c>
      <c r="H60" s="25">
        <f ca="1">(OFFSET(Data!$P$421,17*(ROW(Data!Y445)-434),0))</f>
        <v>2243.4673044585293</v>
      </c>
      <c r="I60" s="25"/>
      <c r="J60" s="25"/>
      <c r="K60" s="15">
        <f ca="1">(OFFSET(Data!$Q$409,17*(ROW(Data!Y445)-434),0))</f>
        <v>3021.5527676458823</v>
      </c>
      <c r="L60" s="25">
        <f ca="1">(OFFSET(Data!$Q$412,17*(ROW(Data!Y445)-434),0))</f>
        <v>574.57999999999993</v>
      </c>
      <c r="M60" s="25">
        <f ca="1">(OFFSET(Data!$Q$415,17*(ROW(Data!Y445)-434),0))</f>
        <v>227</v>
      </c>
      <c r="N60" s="25">
        <f ca="1">(OFFSET(Data!$Q$418,17*(ROW(Data!Y445)-434),0))</f>
        <v>314.8</v>
      </c>
      <c r="O60" s="25">
        <f ca="1">(OFFSET(Data!$U$410,17*(ROW(Data!Y445)-434),0))</f>
        <v>221.81276764588259</v>
      </c>
      <c r="P60" s="25">
        <f ca="1">(OFFSET(Data!$S$410,17*(ROW(Data!Y445)-434),0))</f>
        <v>1683.36</v>
      </c>
      <c r="Q60" s="25">
        <f ca="1">(OFFSET(Data!$Q$421,17*(ROW(Data!Y445)-434),0))</f>
        <v>1905.1727676458825</v>
      </c>
      <c r="R60" s="335">
        <f ca="1">K59-K60+C60</f>
        <v>3306.8505742383372</v>
      </c>
      <c r="S60" s="25">
        <v>150</v>
      </c>
      <c r="T60" s="25">
        <v>400</v>
      </c>
      <c r="U60" s="25">
        <v>0</v>
      </c>
      <c r="V60" s="25">
        <v>200</v>
      </c>
      <c r="W60" s="25">
        <f ca="1">SUM((OFFSET(Data!$F$410,17*(ROW(Data!Y445)-434),0)):(OFFSET(Data!$F$423,17*(ROW(Data!Y445)-434),0)))</f>
        <v>1990.04</v>
      </c>
      <c r="X60" s="25">
        <f ca="1">SUM((OFFSET(Data!$I$410,17*(ROW(Data!Y445)-434),0)):(OFFSET(Data!$I$423,17*(ROW(Data!Y445)-434),0)))</f>
        <v>1454.33</v>
      </c>
      <c r="Y60" s="25">
        <f t="shared" ca="1" si="34"/>
        <v>3444.37</v>
      </c>
      <c r="Z60" s="15">
        <f ca="1">(OFFSET(Data!$F$412,17*(ROW(Data!Y445)-434),0))</f>
        <v>76.11</v>
      </c>
      <c r="AA60" s="6">
        <f ca="1">(OFFSET(Data!$F$411,17*(ROW(Data!Y445)-434),0))</f>
        <v>92.64</v>
      </c>
      <c r="AB60" s="6">
        <f>Data!I604</f>
        <v>312</v>
      </c>
      <c r="AC60" s="6">
        <f t="shared" ca="1" si="54"/>
        <v>1142.33</v>
      </c>
      <c r="AD60" s="25">
        <f ca="1">SUM((OFFSET(Data!$F$410,17*(ROW(Data!Y445)-434),0)):(OFFSET(Data!$F$423,17*(ROW(Data!Y445)-434),0)))</f>
        <v>1990.04</v>
      </c>
      <c r="AE60" s="25">
        <f ca="1">SUM((OFFSET(Data!$I$410,17*(ROW(Data!Y445)-434),0)):(OFFSET(Data!$I$423,17*(ROW(Data!Y445)-434),0)))</f>
        <v>1454.33</v>
      </c>
      <c r="AF60" s="335">
        <f t="shared" ca="1" si="24"/>
        <v>3444.37</v>
      </c>
      <c r="AG60" s="15">
        <f t="shared" ca="1" si="48"/>
        <v>46.900000000000091</v>
      </c>
      <c r="AH60" s="25">
        <f ca="1">D60-D59</f>
        <v>46.900000000000091</v>
      </c>
      <c r="AI60" s="25">
        <f t="shared" ca="1" si="49"/>
        <v>184.41942576166275</v>
      </c>
      <c r="AJ60" s="25">
        <f t="shared" ca="1" si="35"/>
        <v>184.41942576166275</v>
      </c>
      <c r="AK60" s="6">
        <f t="shared" ca="1" si="36"/>
        <v>0</v>
      </c>
      <c r="AL60" s="354">
        <f t="shared" ca="1" si="37"/>
        <v>0</v>
      </c>
      <c r="AM60" s="6">
        <f t="shared" ca="1" si="43"/>
        <v>301.17999999999984</v>
      </c>
      <c r="AN60" s="6">
        <f t="shared" ca="1" si="44"/>
        <v>301.17999999999938</v>
      </c>
      <c r="AO60" s="6">
        <f t="shared" ca="1" si="55"/>
        <v>507.90814714296448</v>
      </c>
      <c r="AP60" s="6">
        <f t="shared" ca="1" si="45"/>
        <v>-4.5474735088646412E-13</v>
      </c>
      <c r="AQ60" s="335">
        <f t="shared" ca="1" si="46"/>
        <v>206.7281471429651</v>
      </c>
      <c r="AR60" s="15">
        <f t="shared" ca="1" si="50"/>
        <v>263.16546318735618</v>
      </c>
      <c r="AS60" s="25">
        <f t="shared" ca="1" si="52"/>
        <v>137.51942576166266</v>
      </c>
      <c r="AT60" s="25">
        <f t="shared" ca="1" si="40"/>
        <v>137.51942576166266</v>
      </c>
      <c r="AU60" s="350">
        <f t="shared" ca="1" si="41"/>
        <v>8.709610039092272E-2</v>
      </c>
      <c r="AV60" s="350">
        <f t="shared" ca="1" si="47"/>
        <v>0.74568839586014102</v>
      </c>
      <c r="AW60" s="350">
        <f t="shared" ca="1" si="51"/>
        <v>9.1061658046409713E-2</v>
      </c>
      <c r="AX60" s="356">
        <f t="shared" ca="1" si="56"/>
        <v>0</v>
      </c>
      <c r="AZ60" s="63">
        <f>Data!S608</f>
        <v>234.13000000000011</v>
      </c>
      <c r="BA60" s="118">
        <f>Data!T608</f>
        <v>0.11199766561906545</v>
      </c>
      <c r="BB60" s="63">
        <f>Data!U608</f>
        <v>-6.7535393378586832</v>
      </c>
      <c r="BC60" s="118">
        <f>Data!V611</f>
        <v>0</v>
      </c>
      <c r="BD60" s="63">
        <f>Data!S609</f>
        <v>-16.319999999999936</v>
      </c>
      <c r="BE60" s="118">
        <f>Data!T609</f>
        <v>-9.6018073990397825E-3</v>
      </c>
      <c r="BF60" s="63">
        <f>Data!U609</f>
        <v>240.10630698374078</v>
      </c>
      <c r="BG60" s="118">
        <f>Data!V609</f>
        <v>-13.125196964309938</v>
      </c>
      <c r="BH60" s="63">
        <f>Data!S610</f>
        <v>217.81000000000017</v>
      </c>
      <c r="BI60" s="118">
        <f>Data!T610</f>
        <v>5.7467079313065161E-2</v>
      </c>
      <c r="BJ60" s="63">
        <f>Data!U610</f>
        <v>233.3527676458821</v>
      </c>
      <c r="BK60" s="118">
        <f>Data!V610</f>
        <v>0.21899748265767169</v>
      </c>
      <c r="BL60" s="6">
        <f>Data!W610</f>
        <v>451.16276764588224</v>
      </c>
      <c r="BM60" s="118">
        <f>Data!X610</f>
        <v>9.291367040230547E-2</v>
      </c>
      <c r="BP60" s="121">
        <f t="shared" ca="1" si="53"/>
        <v>0.15182658859190573</v>
      </c>
      <c r="BT60">
        <f>21/31</f>
        <v>0.67741935483870963</v>
      </c>
      <c r="BU60">
        <f t="shared" si="21"/>
        <v>677.41935483870964</v>
      </c>
      <c r="BW60">
        <f ca="1">Health!N71</f>
        <v>180.5</v>
      </c>
    </row>
    <row r="61" spans="2:75">
      <c r="B61" s="65">
        <v>45658</v>
      </c>
      <c r="C61" s="6">
        <f ca="1">SUM((OFFSET(Data!$C$410,17*(ROW(Data!Y446)-434),0)):(OFFSET(Data!$C$423,17*(ROW(Data!Y446)-434),0)))</f>
        <v>2932.32</v>
      </c>
      <c r="D61" s="334">
        <f ca="1">(OFFSET(Data!$P$409,17*(ROW(Data!Y446)-434),0))</f>
        <v>3187.6473044585264</v>
      </c>
      <c r="E61" s="6">
        <f ca="1">(OFFSET(Data!$P$412,17*(ROW(Data!Y446)-434),0))</f>
        <v>295.29999999999688</v>
      </c>
      <c r="F61" s="6">
        <f ca="1">(OFFSET(Data!$P$418,17*(ROW(Data!Y446)-434),0))</f>
        <v>213.88</v>
      </c>
      <c r="G61" s="25">
        <f ca="1">(OFFSET(Data!$P$415,17*(ROW(Data!Y446)-434),0))</f>
        <v>435</v>
      </c>
      <c r="H61" s="25">
        <f ca="1">(OFFSET(Data!$P$421,17*(ROW(Data!Y446)-434),0))</f>
        <v>2243.4673044585293</v>
      </c>
      <c r="I61" s="25"/>
      <c r="J61" s="25"/>
      <c r="K61" s="15">
        <f ca="1">(OFFSET(Data!$Q$409,17*(ROW(Data!Y446)-434),0))</f>
        <v>3492.5629585844481</v>
      </c>
      <c r="L61" s="25">
        <f ca="1">(OFFSET(Data!$Q$412,17*(ROW(Data!Y446)-434),0))</f>
        <v>883.49</v>
      </c>
      <c r="M61" s="25">
        <f ca="1">(OFFSET(Data!$Q$415,17*(ROW(Data!Y446)-434),0))</f>
        <v>427</v>
      </c>
      <c r="N61" s="25">
        <f ca="1">(OFFSET(Data!$Q$418,17*(ROW(Data!Y446)-434),0))</f>
        <v>214.84</v>
      </c>
      <c r="O61" s="25">
        <f ca="1">(OFFSET(Data!$U$410,17*(ROW(Data!Y446)-434),0))</f>
        <v>242.22295858444826</v>
      </c>
      <c r="P61" s="25">
        <f ca="1">(OFFSET(Data!$S$410,17*(ROW(Data!Y446)-434),0))</f>
        <v>1725.01</v>
      </c>
      <c r="Q61" s="25">
        <f ca="1">(OFFSET(Data!$Q$421,17*(ROW(Data!Y446)-434),0))</f>
        <v>1967.2329585844482</v>
      </c>
      <c r="R61" s="335">
        <f t="shared" ref="R61:R66" ca="1" si="57">K60-K61+C61</f>
        <v>2461.3098090614344</v>
      </c>
      <c r="S61" s="25">
        <v>150</v>
      </c>
      <c r="T61" s="25">
        <v>400</v>
      </c>
      <c r="U61" s="25">
        <v>0</v>
      </c>
      <c r="V61" s="25">
        <v>200</v>
      </c>
      <c r="W61" s="25">
        <f ca="1">SUM((OFFSET(Data!$F$410,17*(ROW(Data!Y446)-434),0)):(OFFSET(Data!$F$423,17*(ROW(Data!Y446)-434),0)))</f>
        <v>1404.28</v>
      </c>
      <c r="X61" s="25">
        <f ca="1">SUM((OFFSET(Data!$I$410,17*(ROW(Data!Y446)-434),0)):(OFFSET(Data!$I$423,17*(ROW(Data!Y446)-434),0)))</f>
        <v>1098.78</v>
      </c>
      <c r="Y61" s="25">
        <f t="shared" ref="Y61:Y72" ca="1" si="58">W61+X61</f>
        <v>2503.06</v>
      </c>
      <c r="Z61" s="15">
        <f ca="1">(OFFSET(Data!$F$412,17*(ROW(Data!Y446)-434),0))</f>
        <v>131.44</v>
      </c>
      <c r="AA61" s="6">
        <f ca="1">(OFFSET(Data!$F$411,17*(ROW(Data!Y446)-434),0))</f>
        <v>37.840000000000003</v>
      </c>
      <c r="AB61" s="6">
        <f>Data!I619</f>
        <v>287</v>
      </c>
      <c r="AC61" s="6">
        <f t="shared" ca="1" si="54"/>
        <v>811.78</v>
      </c>
      <c r="AD61" s="25">
        <f ca="1">SUM((OFFSET(Data!$F$410,17*(ROW(Data!Y446)-434),0)):(OFFSET(Data!$F$423,17*(ROW(Data!Y446)-434),0)))</f>
        <v>1404.28</v>
      </c>
      <c r="AE61" s="25">
        <f ca="1">SUM((OFFSET(Data!$I$410,17*(ROW(Data!Y446)-434),0)):(OFFSET(Data!$I$423,17*(ROW(Data!Y446)-434),0)))</f>
        <v>1098.78</v>
      </c>
      <c r="AF61" s="335">
        <f t="shared" ca="1" si="24"/>
        <v>2503.06</v>
      </c>
      <c r="AG61" s="15">
        <f t="shared" ca="1" si="48"/>
        <v>429.26000000000022</v>
      </c>
      <c r="AH61" s="25">
        <f ca="1">D61-D60</f>
        <v>429.26000000000022</v>
      </c>
      <c r="AI61" s="25">
        <f t="shared" ca="1" si="49"/>
        <v>471.01019093856576</v>
      </c>
      <c r="AJ61" s="25">
        <f t="shared" ca="1" si="35"/>
        <v>471.01019093856576</v>
      </c>
      <c r="AK61" s="6">
        <f t="shared" ca="1" si="36"/>
        <v>0</v>
      </c>
      <c r="AL61" s="354">
        <f t="shared" ca="1" si="37"/>
        <v>0</v>
      </c>
      <c r="AM61" s="6">
        <f ca="1">AG61-AG60</f>
        <v>382.36000000000013</v>
      </c>
      <c r="AN61" s="6">
        <f ca="1">AH61-AH60</f>
        <v>382.36000000000013</v>
      </c>
      <c r="AO61" s="6">
        <f t="shared" ca="1" si="55"/>
        <v>286.59076517690301</v>
      </c>
      <c r="AP61" s="6">
        <f t="shared" ca="1" si="45"/>
        <v>0</v>
      </c>
      <c r="AQ61" s="335">
        <f t="shared" ca="1" si="46"/>
        <v>-95.769234823097122</v>
      </c>
      <c r="AR61" s="15">
        <f t="shared" ca="1" si="50"/>
        <v>304.91565412592172</v>
      </c>
      <c r="AS61" s="25">
        <f t="shared" ca="1" si="52"/>
        <v>41.750190938565538</v>
      </c>
      <c r="AT61" s="25">
        <f t="shared" ca="1" si="40"/>
        <v>41.750190938565538</v>
      </c>
      <c r="AU61" s="350">
        <f t="shared" ca="1" si="41"/>
        <v>8.7304268453189296E-2</v>
      </c>
      <c r="AV61" s="350">
        <f t="shared" ca="1" si="47"/>
        <v>8.8639676469359135E-2</v>
      </c>
      <c r="AW61" s="350">
        <f t="shared" ca="1" si="51"/>
        <v>9.1289238547717894E-2</v>
      </c>
      <c r="AX61" s="356">
        <f t="shared" ca="1" si="56"/>
        <v>0</v>
      </c>
      <c r="AZ61" s="63">
        <f>Data!S625</f>
        <v>234.13000000000011</v>
      </c>
      <c r="BA61" s="118">
        <f>Data!T625</f>
        <v>0.11199766561906545</v>
      </c>
      <c r="BB61" s="63">
        <f>Data!U625</f>
        <v>-6.7535393378586832</v>
      </c>
      <c r="BC61" s="118">
        <f>Data!V628</f>
        <v>0</v>
      </c>
      <c r="BD61" s="63">
        <f>Data!S626</f>
        <v>-34.669999999999845</v>
      </c>
      <c r="BE61" s="118">
        <f>Data!T626</f>
        <v>-1.9702445899254323E-2</v>
      </c>
      <c r="BF61" s="63">
        <f>Data!U626</f>
        <v>260.51649792230648</v>
      </c>
      <c r="BG61" s="118">
        <f>Data!V626</f>
        <v>-14.240901834844594</v>
      </c>
      <c r="BH61" s="63">
        <f>Data!S627</f>
        <v>199.46000000000026</v>
      </c>
      <c r="BI61" s="118">
        <f>Data!T627</f>
        <v>5.1805504692000688E-2</v>
      </c>
      <c r="BJ61" s="63">
        <f>Data!U627</f>
        <v>253.7629585844478</v>
      </c>
      <c r="BK61" s="118">
        <f>Data!V627</f>
        <v>0.2381520891412395</v>
      </c>
      <c r="BL61" s="6">
        <f>Data!W627</f>
        <v>453.22295858444807</v>
      </c>
      <c r="BM61" s="118">
        <f>Data!X627</f>
        <v>9.219869288414495E-2</v>
      </c>
      <c r="BP61" s="121">
        <f t="shared" ca="1" si="53"/>
        <v>0.2</v>
      </c>
      <c r="BW61">
        <f ca="1">Health!N72</f>
        <v>182.08</v>
      </c>
    </row>
    <row r="62" spans="2:75">
      <c r="B62" s="65">
        <v>45689</v>
      </c>
      <c r="C62" s="6">
        <f ca="1">SUM((OFFSET(Data!$C$410,17*(ROW(Data!Y447)-434),0)):(OFFSET(Data!$C$423,17*(ROW(Data!Y447)-434),0)))</f>
        <v>3406.2999999999997</v>
      </c>
      <c r="D62" s="334">
        <f ca="1">(OFFSET(Data!$P$409,17*(ROW(Data!Y447)-434),0))</f>
        <v>4023.4973044585263</v>
      </c>
      <c r="E62" s="6">
        <f ca="1">(OFFSET(Data!$P$412,17*(ROW(Data!Y447)-434),0))</f>
        <v>681.14999999999691</v>
      </c>
      <c r="F62" s="6">
        <f ca="1">(OFFSET(Data!$P$418,17*(ROW(Data!Y447)-434),0))</f>
        <v>563.88</v>
      </c>
      <c r="G62" s="25">
        <f ca="1">(OFFSET(Data!$P$415,17*(ROW(Data!Y447)-434),0))</f>
        <v>535</v>
      </c>
      <c r="H62" s="25">
        <f ca="1">(OFFSET(Data!$P$421,17*(ROW(Data!Y447)-434),0))</f>
        <v>2243.4673044585293</v>
      </c>
      <c r="I62" s="25"/>
      <c r="J62" s="25"/>
      <c r="K62" s="15">
        <f ca="1">(OFFSET(Data!$Q$409,17*(ROW(Data!Y447)-434),0))</f>
        <v>4240.9214397242749</v>
      </c>
      <c r="L62" s="25">
        <f ca="1">(OFFSET(Data!$Q$412,17*(ROW(Data!Y447)-434),0))</f>
        <v>1257.6399999999999</v>
      </c>
      <c r="M62" s="25">
        <f ca="1">(OFFSET(Data!$Q$415,17*(ROW(Data!Y447)-434),0))</f>
        <v>527</v>
      </c>
      <c r="N62" s="25">
        <f ca="1">(OFFSET(Data!$Q$418,17*(ROW(Data!Y447)-434),0))</f>
        <v>564.89</v>
      </c>
      <c r="O62" s="25">
        <f ca="1">(OFFSET(Data!$U$410,17*(ROW(Data!Y447)-434),0))</f>
        <v>228.17143972427542</v>
      </c>
      <c r="P62" s="25">
        <f ca="1">(OFFSET(Data!$S$410,17*(ROW(Data!Y447)-434),0))</f>
        <v>1663.22</v>
      </c>
      <c r="Q62" s="25">
        <f ca="1">(OFFSET(Data!$Q$421,17*(ROW(Data!Y447)-434),0))</f>
        <v>1891.3914397242754</v>
      </c>
      <c r="R62" s="335">
        <f t="shared" ca="1" si="57"/>
        <v>2657.9415188601729</v>
      </c>
      <c r="S62" s="25">
        <v>150</v>
      </c>
      <c r="T62" s="25">
        <v>400</v>
      </c>
      <c r="U62" s="25">
        <v>0</v>
      </c>
      <c r="V62" s="25">
        <v>200</v>
      </c>
      <c r="W62" s="25">
        <f ca="1">SUM((OFFSET(Data!$F$410,17*(ROW(Data!Y447)-434),0)):(OFFSET(Data!$F$423,17*(ROW(Data!Y447)-434),0)))</f>
        <v>1442.9099999999999</v>
      </c>
      <c r="X62" s="25">
        <f ca="1">SUM((OFFSET(Data!$I$410,17*(ROW(Data!Y447)-434),0)):(OFFSET(Data!$I$423,17*(ROW(Data!Y447)-434),0)))</f>
        <v>1127.54</v>
      </c>
      <c r="Y62" s="25">
        <f t="shared" ca="1" si="58"/>
        <v>2570.4499999999998</v>
      </c>
      <c r="Z62" s="15">
        <f ca="1">(OFFSET(Data!$F$412,17*(ROW(Data!Y447)-434),0))</f>
        <v>79.16</v>
      </c>
      <c r="AA62" s="6">
        <f ca="1">(OFFSET(Data!$F$411,17*(ROW(Data!Y447)-434),0))</f>
        <v>43.75</v>
      </c>
      <c r="AB62" s="6">
        <f>Data!I639</f>
        <v>141</v>
      </c>
      <c r="AC62" s="6">
        <f t="shared" ca="1" si="54"/>
        <v>986.54</v>
      </c>
      <c r="AD62" s="25">
        <f ca="1">SUM((OFFSET(Data!$F$410,17*(ROW(Data!Y447)-434),0)):(OFFSET(Data!$F$423,17*(ROW(Data!Y447)-434),0)))</f>
        <v>1442.9099999999999</v>
      </c>
      <c r="AE62" s="25">
        <f ca="1">SUM((OFFSET(Data!$I$410,17*(ROW(Data!Y447)-434),0)):(OFFSET(Data!$I$423,17*(ROW(Data!Y447)-434),0)))</f>
        <v>1127.54</v>
      </c>
      <c r="AF62" s="335">
        <f t="shared" ca="1" si="24"/>
        <v>2570.4499999999998</v>
      </c>
      <c r="AG62" s="15">
        <f t="shared" ca="1" si="48"/>
        <v>835.84999999999991</v>
      </c>
      <c r="AH62" s="25">
        <f ca="1">D62-D61</f>
        <v>835.84999999999991</v>
      </c>
      <c r="AI62" s="25">
        <f t="shared" ca="1" si="49"/>
        <v>748.35848113982684</v>
      </c>
      <c r="AJ62" s="25">
        <f t="shared" ca="1" si="35"/>
        <v>748.35848113982684</v>
      </c>
      <c r="AK62" s="6">
        <f t="shared" ca="1" si="36"/>
        <v>0</v>
      </c>
      <c r="AL62" s="354">
        <f t="shared" ca="1" si="37"/>
        <v>0</v>
      </c>
      <c r="AM62" s="6">
        <f t="shared" ca="1" si="43"/>
        <v>406.58999999999969</v>
      </c>
      <c r="AN62" s="6">
        <f t="shared" ca="1" si="44"/>
        <v>406.58999999999969</v>
      </c>
      <c r="AO62" s="6">
        <f t="shared" ca="1" si="55"/>
        <v>277.34829020126108</v>
      </c>
      <c r="AP62" s="6">
        <f t="shared" ca="1" si="45"/>
        <v>0</v>
      </c>
      <c r="AQ62" s="335">
        <f t="shared" ca="1" si="46"/>
        <v>-129.24170979873861</v>
      </c>
      <c r="AR62" s="15">
        <f t="shared" ca="1" si="50"/>
        <v>217.42413526574865</v>
      </c>
      <c r="AS62" s="25">
        <f t="shared" ca="1" si="52"/>
        <v>-87.491518860173073</v>
      </c>
      <c r="AT62" s="25">
        <f t="shared" ca="1" si="40"/>
        <v>-87.491518860173073</v>
      </c>
      <c r="AU62" s="350">
        <f t="shared" ca="1" si="41"/>
        <v>5.1268135558739457E-2</v>
      </c>
      <c r="AV62" s="350">
        <f t="shared" ca="1" si="47"/>
        <v>0.11691124115666399</v>
      </c>
      <c r="AW62" s="350">
        <f t="shared" ca="1" si="51"/>
        <v>5.2616921285308822E-2</v>
      </c>
      <c r="AX62" s="356">
        <f t="shared" ca="1" si="56"/>
        <v>0</v>
      </c>
      <c r="AZ62" s="63">
        <f>Data!S642</f>
        <v>237.43000000000029</v>
      </c>
      <c r="BA62" s="118">
        <f>Data!T642</f>
        <v>0.11223404506757315</v>
      </c>
      <c r="BB62" s="63">
        <f>Data!U642</f>
        <v>-18.770827165766605</v>
      </c>
      <c r="BC62" s="118">
        <f>Data!V645</f>
        <v>0</v>
      </c>
      <c r="BD62" s="63">
        <f>Data!S643</f>
        <v>-71.459999999999809</v>
      </c>
      <c r="BE62" s="118">
        <f>Data!T643</f>
        <v>-4.1194917794636368E-2</v>
      </c>
      <c r="BF62" s="63">
        <f>Data!U643</f>
        <v>228.48226689004153</v>
      </c>
      <c r="BG62" s="118">
        <f>Data!V643</f>
        <v>-735.07817866204914</v>
      </c>
      <c r="BH62" s="63">
        <f>Data!S644</f>
        <v>165.97000000000048</v>
      </c>
      <c r="BI62" s="118">
        <f>Data!T644</f>
        <v>4.3107187474838903E-2</v>
      </c>
      <c r="BJ62" s="63">
        <f>Data!U644</f>
        <v>209.71143972427492</v>
      </c>
      <c r="BK62" s="118">
        <f>Data!V644</f>
        <v>0.19142114894279119</v>
      </c>
      <c r="BL62" s="6">
        <f>Data!W644</f>
        <v>375.68143972427538</v>
      </c>
      <c r="BM62" s="118">
        <f>Data!X644</f>
        <v>7.5960919688998985E-2</v>
      </c>
      <c r="BP62" s="121">
        <f t="shared" ca="1" si="53"/>
        <v>0.2</v>
      </c>
    </row>
    <row r="63" spans="2:75">
      <c r="B63" s="65">
        <v>45717</v>
      </c>
      <c r="C63" s="6">
        <f ca="1">SUM((OFFSET(Data!$C$410,17*(ROW(Data!Y448)-434),0)):(OFFSET(Data!$C$423,17*(ROW(Data!Y448)-434),0)))</f>
        <v>3301.88</v>
      </c>
      <c r="D63" s="334">
        <f ca="1">(OFFSET(Data!$P$409,17*(ROW(Data!Y448)-434),0))</f>
        <v>4559.2373044585265</v>
      </c>
      <c r="E63" s="6">
        <f ca="1">(OFFSET(Data!$P$412,17*(ROW(Data!Y448)-434),0))</f>
        <v>526.88999999999714</v>
      </c>
      <c r="F63" s="6">
        <f ca="1">(OFFSET(Data!$P$418,17*(ROW(Data!Y448)-434),0))</f>
        <v>1063.8800000000001</v>
      </c>
      <c r="G63" s="25">
        <f ca="1">(OFFSET(Data!$P$415,17*(ROW(Data!Y448)-434),0))</f>
        <v>535</v>
      </c>
      <c r="H63" s="25">
        <f ca="1">(OFFSET(Data!$P$421,17*(ROW(Data!Y448)-434),0))</f>
        <v>2433.4673044585293</v>
      </c>
      <c r="I63" s="25"/>
      <c r="J63" s="25"/>
      <c r="K63" s="15">
        <f ca="1">(OFFSET(Data!$Q$409,17*(ROW(Data!Y448)-434),0))</f>
        <v>4587.2582649474243</v>
      </c>
      <c r="L63" s="25">
        <f ca="1">(OFFSET(Data!$Q$412,17*(ROW(Data!Y448)-434),0))</f>
        <v>1079.45</v>
      </c>
      <c r="M63" s="25">
        <f ca="1">(OFFSET(Data!$Q$415,17*(ROW(Data!Y448)-434),0))</f>
        <v>530</v>
      </c>
      <c r="N63" s="25">
        <f ca="1">(OFFSET(Data!$Q$418,17*(ROW(Data!Y448)-434),0))</f>
        <v>1065.1199999999999</v>
      </c>
      <c r="O63" s="25">
        <f ca="1">(OFFSET(Data!$U$410,17*(ROW(Data!Y448)-434),0))</f>
        <v>224.61826494742434</v>
      </c>
      <c r="P63" s="25">
        <f ca="1">(OFFSET(Data!$S$410,17*(ROW(Data!Y448)-434),0))</f>
        <v>1688.07</v>
      </c>
      <c r="Q63" s="25">
        <f ca="1">(OFFSET(Data!$Q$421,17*(ROW(Data!Y448)-434),0))</f>
        <v>1912.6882649474242</v>
      </c>
      <c r="R63" s="335">
        <f t="shared" ca="1" si="57"/>
        <v>2955.5431747768507</v>
      </c>
      <c r="S63" s="25">
        <v>150</v>
      </c>
      <c r="T63" s="25">
        <v>400</v>
      </c>
      <c r="U63" s="25">
        <v>0</v>
      </c>
      <c r="V63" s="25">
        <v>200</v>
      </c>
      <c r="W63" s="25">
        <f ca="1">SUM((OFFSET(Data!$F$410,17*(ROW(Data!Y448)-434),0)):(OFFSET(Data!$F$423,17*(ROW(Data!Y448)-434),0)))</f>
        <v>1488.1599999999999</v>
      </c>
      <c r="X63" s="25">
        <f ca="1">SUM((OFFSET(Data!$I$410,17*(ROW(Data!Y448)-434),0)):(OFFSET(Data!$I$423,17*(ROW(Data!Y448)-434),0)))</f>
        <v>1277.98</v>
      </c>
      <c r="Y63" s="25">
        <f t="shared" ca="1" si="58"/>
        <v>2766.14</v>
      </c>
      <c r="Z63" s="15">
        <f ca="1">(OFFSET(Data!$F$412,17*(ROW(Data!Y448)-434),0))</f>
        <v>79.199999999999989</v>
      </c>
      <c r="AA63" s="6">
        <f ca="1">(OFFSET(Data!$F$411,17*(ROW(Data!Y448)-434),0))</f>
        <v>28.96</v>
      </c>
      <c r="AB63" s="6">
        <f>Data!I654</f>
        <v>289</v>
      </c>
      <c r="AC63" s="6">
        <f t="shared" ca="1" si="54"/>
        <v>988.98</v>
      </c>
      <c r="AD63" s="25">
        <f ca="1">SUM((OFFSET(Data!$F$410,17*(ROW(Data!Y448)-434),0)):(OFFSET(Data!$F$423,17*(ROW(Data!Y448)-434),0)))</f>
        <v>1488.1599999999999</v>
      </c>
      <c r="AE63" s="25">
        <f ca="1">SUM((OFFSET(Data!$I$410,17*(ROW(Data!Y448)-434),0)):(OFFSET(Data!$I$423,17*(ROW(Data!Y448)-434),0)))</f>
        <v>1277.98</v>
      </c>
      <c r="AF63" s="335">
        <f t="shared" ca="1" si="24"/>
        <v>2766.14</v>
      </c>
      <c r="AG63" s="15">
        <f t="shared" ca="1" si="48"/>
        <v>535.74000000000024</v>
      </c>
      <c r="AH63" s="25">
        <f t="shared" ca="1" si="29"/>
        <v>535.74000000000024</v>
      </c>
      <c r="AI63" s="25">
        <f t="shared" ca="1" si="49"/>
        <v>346.33682522314939</v>
      </c>
      <c r="AJ63" s="25">
        <f t="shared" ca="1" si="35"/>
        <v>346.33682522314939</v>
      </c>
      <c r="AK63" s="6">
        <f t="shared" ca="1" si="36"/>
        <v>0</v>
      </c>
      <c r="AL63" s="354">
        <f t="shared" ca="1" si="37"/>
        <v>0</v>
      </c>
      <c r="AM63" s="6">
        <f t="shared" ca="1" si="43"/>
        <v>-300.10999999999967</v>
      </c>
      <c r="AN63" s="6">
        <f t="shared" ca="1" si="44"/>
        <v>-300.10999999999967</v>
      </c>
      <c r="AO63" s="6">
        <f t="shared" ca="1" si="55"/>
        <v>-402.02165591667745</v>
      </c>
      <c r="AP63" s="6">
        <f t="shared" ca="1" si="45"/>
        <v>0</v>
      </c>
      <c r="AQ63" s="335">
        <f t="shared" ca="1" si="46"/>
        <v>-101.91165591667777</v>
      </c>
      <c r="AR63" s="15">
        <f t="shared" ca="1" si="50"/>
        <v>28.020960488897799</v>
      </c>
      <c r="AS63" s="25">
        <f t="shared" ca="1" si="52"/>
        <v>-189.40317477685085</v>
      </c>
      <c r="AT63" s="25">
        <f t="shared" ca="1" si="40"/>
        <v>-189.40317477685085</v>
      </c>
      <c r="AU63" s="350">
        <f t="shared" ca="1" si="41"/>
        <v>6.1084331577783866E-3</v>
      </c>
      <c r="AV63" s="350">
        <f t="shared" ca="1" si="47"/>
        <v>0.54687564527628818</v>
      </c>
      <c r="AW63" s="350">
        <f t="shared" ca="1" si="51"/>
        <v>6.1271467910890189E-3</v>
      </c>
      <c r="AX63" s="356">
        <f t="shared" ca="1" si="56"/>
        <v>0</v>
      </c>
      <c r="AZ63" s="63">
        <f>Data!S659</f>
        <v>237.43000000000029</v>
      </c>
      <c r="BA63" s="118">
        <f>Data!T659</f>
        <v>0.11223404506757315</v>
      </c>
      <c r="BB63" s="63">
        <f>Data!U659</f>
        <v>-18.770827165766605</v>
      </c>
      <c r="BC63" s="301">
        <f>Data!V662</f>
        <v>0</v>
      </c>
      <c r="BD63" s="63">
        <f>Data!S660</f>
        <v>-236.6099999999999</v>
      </c>
      <c r="BE63" s="118">
        <f>Data!T660</f>
        <v>-0.12293472161606081</v>
      </c>
      <c r="BF63" s="63">
        <f>Data!U660</f>
        <v>224.92909211319045</v>
      </c>
      <c r="BG63" s="118">
        <f>Data!V660</f>
        <v>-723.64682655325464</v>
      </c>
      <c r="BH63" s="63">
        <f>Data!S661</f>
        <v>0.82000000000039108</v>
      </c>
      <c r="BI63" s="118">
        <f>Data!T661</f>
        <v>2.0296175655984554E-4</v>
      </c>
      <c r="BJ63" s="63">
        <f>Data!U661</f>
        <v>206.15826494742385</v>
      </c>
      <c r="BK63" s="118">
        <f>Data!V661</f>
        <v>0.1881778695152424</v>
      </c>
      <c r="BL63" s="6">
        <f>Data!W661</f>
        <v>206.97826494742424</v>
      </c>
      <c r="BM63" s="118">
        <f>Data!X661</f>
        <v>4.0301703548367929E-2</v>
      </c>
      <c r="BP63" s="121">
        <f t="shared" ca="1" si="53"/>
        <v>0.16336800081303177</v>
      </c>
    </row>
    <row r="64" spans="2:75">
      <c r="B64" s="65">
        <v>45748</v>
      </c>
      <c r="C64" s="6">
        <f ca="1">SUM((OFFSET(Data!$C$410,17*(ROW(Data!Y449)-434),0)):(OFFSET(Data!$C$423,17*(ROW(Data!Y449)-434),0)))</f>
        <v>3270.95</v>
      </c>
      <c r="D64" s="334">
        <f ca="1">(OFFSET(Data!$P$409,17*(ROW(Data!Y449)-434),0))</f>
        <v>4987.7873044585267</v>
      </c>
      <c r="E64" s="6">
        <f ca="1">(OFFSET(Data!$P$412,17*(ROW(Data!Y449)-434),0))</f>
        <v>656.65999999999713</v>
      </c>
      <c r="F64" s="6">
        <f ca="1">(OFFSET(Data!$P$418,17*(ROW(Data!Y449)-434),0))</f>
        <v>1063.8800000000001</v>
      </c>
      <c r="G64" s="25">
        <f ca="1">(OFFSET(Data!$P$415,17*(ROW(Data!Y449)-434),0))</f>
        <v>635</v>
      </c>
      <c r="H64" s="25">
        <f ca="1">(OFFSET(Data!$P$421,17*(ROW(Data!Y449)-434),0))</f>
        <v>2632.2473044585295</v>
      </c>
      <c r="I64" s="25"/>
      <c r="J64" s="25"/>
      <c r="K64" s="15">
        <f ca="1">(OFFSET(Data!$Q$409,17*(ROW(Data!Y449)-434),0))</f>
        <v>4984.6457351281224</v>
      </c>
      <c r="L64" s="25">
        <f ca="1">(OFFSET(Data!$Q$412,17*(ROW(Data!Y449)-434),0))</f>
        <v>1083.46</v>
      </c>
      <c r="M64" s="25">
        <f ca="1">(OFFSET(Data!$Q$415,17*(ROW(Data!Y449)-434),0))</f>
        <v>630</v>
      </c>
      <c r="N64" s="25">
        <f ca="1">(OFFSET(Data!$Q$418,17*(ROW(Data!Y449)-434),0))</f>
        <v>1065.48</v>
      </c>
      <c r="O64" s="25">
        <f ca="1">(OFFSET(Data!$U$410,17*(ROW(Data!Y449)-434),0))</f>
        <v>313.32573512812166</v>
      </c>
      <c r="P64" s="25">
        <f ca="1">(OFFSET(Data!$S$410,17*(ROW(Data!Y449)-434),0))</f>
        <v>1892.38</v>
      </c>
      <c r="Q64" s="25">
        <f ca="1">(OFFSET(Data!$Q$421,17*(ROW(Data!Y449)-434),0))</f>
        <v>2205.7057351281219</v>
      </c>
      <c r="R64" s="335">
        <f t="shared" ca="1" si="57"/>
        <v>2873.5625298193017</v>
      </c>
      <c r="S64" s="25">
        <v>150</v>
      </c>
      <c r="T64" s="25">
        <v>400</v>
      </c>
      <c r="U64" s="25">
        <v>0</v>
      </c>
      <c r="V64" s="25">
        <v>200</v>
      </c>
      <c r="W64" s="25">
        <f ca="1">SUM((OFFSET(Data!$F$410,17*(ROW(Data!Y449)-434),0)):(OFFSET(Data!$F$423,17*(ROW(Data!Y449)-434),0)))</f>
        <v>1653.2199999999998</v>
      </c>
      <c r="X64" s="25">
        <f ca="1">SUM((OFFSET(Data!$I$410,17*(ROW(Data!Y449)-434),0)):(OFFSET(Data!$I$423,17*(ROW(Data!Y449)-434),0)))</f>
        <v>1189.18</v>
      </c>
      <c r="Y64" s="25">
        <f t="shared" ca="1" si="58"/>
        <v>2842.3999999999996</v>
      </c>
      <c r="Z64" s="15">
        <f ca="1">(OFFSET(Data!$F$412,17*(ROW(Data!Y449)-434),0))</f>
        <v>113.74000000000001</v>
      </c>
      <c r="AA64" s="6">
        <f ca="1">(OFFSET(Data!$F$411,17*(ROW(Data!Y449)-434),0))</f>
        <v>56.800000000000004</v>
      </c>
      <c r="AB64" s="6">
        <f>Data!I671</f>
        <v>180</v>
      </c>
      <c r="AC64" s="6">
        <f t="shared" ref="AC64:AC73" ca="1" si="59">AE64-AB64</f>
        <v>1009.1800000000001</v>
      </c>
      <c r="AD64" s="25">
        <f ca="1">SUM((OFFSET(Data!$F$410,17*(ROW(Data!Y449)-434),0)):(OFFSET(Data!$F$423,17*(ROW(Data!Y449)-434),0)))</f>
        <v>1653.2199999999998</v>
      </c>
      <c r="AE64" s="25">
        <f ca="1">SUM((OFFSET(Data!$I$410,17*(ROW(Data!Y449)-434),0)):(OFFSET(Data!$I$423,17*(ROW(Data!Y449)-434),0)))</f>
        <v>1189.18</v>
      </c>
      <c r="AF64" s="335">
        <f t="shared" ca="1" si="24"/>
        <v>2842.3999999999996</v>
      </c>
      <c r="AG64" s="15">
        <f t="shared" ca="1" si="48"/>
        <v>428.55000000000018</v>
      </c>
      <c r="AH64" s="25">
        <f t="shared" ref="AH64:AH72" ca="1" si="60">D64-D63</f>
        <v>428.55000000000018</v>
      </c>
      <c r="AI64" s="25">
        <f t="shared" ca="1" si="49"/>
        <v>397.38747018069807</v>
      </c>
      <c r="AJ64" s="25">
        <f t="shared" ca="1" si="35"/>
        <v>397.38747018069807</v>
      </c>
      <c r="AK64" s="6">
        <f t="shared" ca="1" si="36"/>
        <v>0</v>
      </c>
      <c r="AL64" s="354">
        <f t="shared" ca="1" si="37"/>
        <v>0</v>
      </c>
      <c r="AM64" s="6">
        <f t="shared" ca="1" si="43"/>
        <v>-107.19000000000005</v>
      </c>
      <c r="AN64" s="6">
        <f t="shared" ca="1" si="44"/>
        <v>-107.19000000000005</v>
      </c>
      <c r="AO64" s="6">
        <f t="shared" ca="1" si="55"/>
        <v>51.050644957548684</v>
      </c>
      <c r="AP64" s="6">
        <f t="shared" ca="1" si="45"/>
        <v>0</v>
      </c>
      <c r="AQ64" s="335">
        <f t="shared" ca="1" si="46"/>
        <v>158.24064495754874</v>
      </c>
      <c r="AR64" s="15">
        <f t="shared" ca="1" si="50"/>
        <v>-3.1415693304043089</v>
      </c>
      <c r="AS64" s="25">
        <f t="shared" ca="1" si="52"/>
        <v>-31.162529819302108</v>
      </c>
      <c r="AT64" s="25">
        <f t="shared" ca="1" si="40"/>
        <v>-31.162529819302108</v>
      </c>
      <c r="AU64" s="350">
        <f t="shared" ca="1" si="41"/>
        <v>6.3024926892293171E-4</v>
      </c>
      <c r="AV64" s="350">
        <f t="shared" ca="1" si="47"/>
        <v>7.8418501230378593E-2</v>
      </c>
      <c r="AW64" s="350">
        <f t="shared" ca="1" si="51"/>
        <v>6.3005072441870715E-4</v>
      </c>
      <c r="AX64" s="356">
        <f t="shared" ca="1" si="56"/>
        <v>0</v>
      </c>
      <c r="AZ64" s="63">
        <f>Data!S676</f>
        <v>237.43000000000029</v>
      </c>
      <c r="BA64" s="118">
        <f>Data!T676</f>
        <v>0.11223404506757315</v>
      </c>
      <c r="BB64" s="63">
        <f>Data!U676</f>
        <v>-34.070107924816739</v>
      </c>
      <c r="BC64" s="301">
        <f>Data!V679</f>
        <v>0</v>
      </c>
      <c r="BD64" s="63">
        <f>Data!S677</f>
        <v>-182.30000000000018</v>
      </c>
      <c r="BE64" s="118">
        <f>Data!T677</f>
        <v>-8.7868972564443745E-2</v>
      </c>
      <c r="BF64" s="63">
        <f>Data!U677</f>
        <v>278.93584305293791</v>
      </c>
      <c r="BG64" s="118">
        <f>Data!V677</f>
        <v>8.1109833797420396</v>
      </c>
      <c r="BH64" s="63">
        <f>Data!S678</f>
        <v>55.130000000000109</v>
      </c>
      <c r="BI64" s="118">
        <f>Data!T678</f>
        <v>1.3156984084177994E-2</v>
      </c>
      <c r="BJ64" s="63">
        <f>Data!U678</f>
        <v>244.86573512812117</v>
      </c>
      <c r="BK64" s="118">
        <f>Data!V678</f>
        <v>0.21375386070282495</v>
      </c>
      <c r="BL64" s="6">
        <f>Data!W678</f>
        <v>299.99573512812128</v>
      </c>
      <c r="BM64" s="118">
        <f>Data!X678</f>
        <v>5.6224040078587612E-2</v>
      </c>
      <c r="BP64" s="121">
        <f t="shared" ca="1" si="53"/>
        <v>6.8680931371483984E-4</v>
      </c>
    </row>
    <row r="65" spans="2:68">
      <c r="B65" s="65">
        <v>45778</v>
      </c>
      <c r="C65" s="6">
        <f ca="1">SUM((OFFSET(Data!$C$410,17*(ROW(Data!Y450)-434),0)):(OFFSET(Data!$C$423,17*(ROW(Data!Y450)-434),0)))</f>
        <v>3255.71</v>
      </c>
      <c r="D65" s="334">
        <f ca="1">(OFFSET(Data!$P$409,17*(ROW(Data!Y450)-434),0))</f>
        <v>4924.6573044585266</v>
      </c>
      <c r="E65" s="6">
        <f ca="1">(OFFSET(Data!$P$412,17*(ROW(Data!Y450)-434),0))</f>
        <v>293.52999999999724</v>
      </c>
      <c r="F65" s="6">
        <f ca="1">(OFFSET(Data!$P$418,17*(ROW(Data!Y450)-434),0))</f>
        <v>1063.8800000000001</v>
      </c>
      <c r="G65" s="25">
        <f ca="1">(OFFSET(Data!$P$415,17*(ROW(Data!Y450)-434),0))</f>
        <v>635</v>
      </c>
      <c r="H65" s="25">
        <f ca="1">(OFFSET(Data!$P$421,17*(ROW(Data!Y450)-434),0))</f>
        <v>2932.2473044585295</v>
      </c>
      <c r="I65" s="25"/>
      <c r="J65" s="25"/>
      <c r="K65" s="15">
        <f ca="1">(OFFSET(Data!$Q$409,17*(ROW(Data!Y450)-434),0))</f>
        <v>5380.5015937695453</v>
      </c>
      <c r="L65" s="25">
        <f ca="1">(OFFSET(Data!$Q$412,17*(ROW(Data!Y450)-434),0))</f>
        <v>1011.1499999999999</v>
      </c>
      <c r="M65" s="25">
        <f ca="1">(OFFSET(Data!$Q$415,17*(ROW(Data!Y450)-434),0))</f>
        <v>630</v>
      </c>
      <c r="N65" s="25">
        <f ca="1">(OFFSET(Data!$Q$418,17*(ROW(Data!Y450)-434),0))</f>
        <v>1065.79</v>
      </c>
      <c r="O65" s="25">
        <f ca="1">(OFFSET(Data!$U$410,17*(ROW(Data!Y450)-434),0))</f>
        <v>274.72159376954562</v>
      </c>
      <c r="P65" s="25">
        <f ca="1">(OFFSET(Data!$S$410,17*(ROW(Data!Y450)-434),0))</f>
        <v>2398.84</v>
      </c>
      <c r="Q65" s="25">
        <f ca="1">(OFFSET(Data!$Q$421,17*(ROW(Data!Y450)-434),0))</f>
        <v>2673.5615937695457</v>
      </c>
      <c r="R65" s="335">
        <f t="shared" ca="1" si="57"/>
        <v>2859.8541413585772</v>
      </c>
      <c r="S65" s="25">
        <v>150</v>
      </c>
      <c r="T65" s="25">
        <v>400</v>
      </c>
      <c r="U65" s="25">
        <v>0</v>
      </c>
      <c r="V65" s="25">
        <v>200</v>
      </c>
      <c r="W65" s="25">
        <f ca="1">SUM((OFFSET(Data!$F$410,17*(ROW(Data!Y450)-434),0)):(OFFSET(Data!$F$423,17*(ROW(Data!Y450)-434),0)))</f>
        <v>1891.84</v>
      </c>
      <c r="X65" s="25">
        <f ca="1">SUM((OFFSET(Data!$I$410,17*(ROW(Data!Y450)-434),0)):(OFFSET(Data!$I$423,17*(ROW(Data!Y450)-434),0)))</f>
        <v>1427</v>
      </c>
      <c r="Y65" s="25">
        <f t="shared" ca="1" si="58"/>
        <v>3318.84</v>
      </c>
      <c r="Z65" s="15">
        <f ca="1">(OFFSET(Data!$F$412,17*(ROW(Data!Y450)-434),0))</f>
        <v>111.79999999999998</v>
      </c>
      <c r="AA65" s="6">
        <f ca="1">(OFFSET(Data!$F$411,17*(ROW(Data!Y450)-434),0))</f>
        <v>228.29999999999998</v>
      </c>
      <c r="AB65" s="6">
        <f>Data!I688</f>
        <v>542</v>
      </c>
      <c r="AC65" s="6">
        <f t="shared" ca="1" si="59"/>
        <v>885</v>
      </c>
      <c r="AD65" s="25">
        <f ca="1">SUM((OFFSET(Data!$F$410,17*(ROW(Data!Y450)-434),0)):(OFFSET(Data!$F$423,17*(ROW(Data!Y450)-434),0)))</f>
        <v>1891.84</v>
      </c>
      <c r="AE65" s="25">
        <f ca="1">SUM((OFFSET(Data!$I$410,17*(ROW(Data!Y450)-434),0)):(OFFSET(Data!$I$423,17*(ROW(Data!Y450)-434),0)))</f>
        <v>1427</v>
      </c>
      <c r="AF65" s="335">
        <f t="shared" ca="1" si="24"/>
        <v>3318.84</v>
      </c>
      <c r="AG65" s="15">
        <f t="shared" ca="1" si="48"/>
        <v>-63.130000000000109</v>
      </c>
      <c r="AH65" s="25">
        <f t="shared" ca="1" si="60"/>
        <v>-63.130000000000109</v>
      </c>
      <c r="AI65" s="25">
        <f t="shared" ca="1" si="49"/>
        <v>395.85585864142286</v>
      </c>
      <c r="AJ65" s="25">
        <f t="shared" ca="1" si="35"/>
        <v>395.85585864142286</v>
      </c>
      <c r="AK65" s="6">
        <f t="shared" ca="1" si="36"/>
        <v>0</v>
      </c>
      <c r="AL65" s="354">
        <f t="shared" ca="1" si="37"/>
        <v>0</v>
      </c>
      <c r="AM65" s="6">
        <f t="shared" ca="1" si="43"/>
        <v>-491.68000000000029</v>
      </c>
      <c r="AN65" s="6">
        <f t="shared" ca="1" si="44"/>
        <v>-491.68000000000029</v>
      </c>
      <c r="AO65" s="6">
        <f t="shared" ca="1" si="55"/>
        <v>-1.5316115392752181</v>
      </c>
      <c r="AP65" s="6">
        <f t="shared" ca="1" si="45"/>
        <v>0</v>
      </c>
      <c r="AQ65" s="335">
        <f t="shared" ca="1" si="46"/>
        <v>490.14838846072507</v>
      </c>
      <c r="AR65" s="15">
        <f t="shared" ca="1" si="50"/>
        <v>455.84428931101866</v>
      </c>
      <c r="AS65" s="25">
        <f t="shared" ca="1" si="52"/>
        <v>458.98585864142296</v>
      </c>
      <c r="AT65" s="25">
        <f t="shared" ca="1" si="40"/>
        <v>458.98585864142296</v>
      </c>
      <c r="AU65" s="350">
        <f t="shared" ca="1" si="41"/>
        <v>8.4721522959657194E-2</v>
      </c>
      <c r="AV65" s="350">
        <f t="shared" ca="1" si="47"/>
        <v>1.1594772405710054</v>
      </c>
      <c r="AW65" s="350">
        <f t="shared" ca="1" si="51"/>
        <v>8.8469143234540346E-2</v>
      </c>
      <c r="AX65" s="356">
        <f t="shared" ca="1" si="56"/>
        <v>0</v>
      </c>
      <c r="AZ65" s="63">
        <f>Data!S693</f>
        <v>267.49000000000024</v>
      </c>
      <c r="BA65" s="118">
        <f>Data!T693</f>
        <v>0.1208508215904112</v>
      </c>
      <c r="BB65" s="63">
        <f>Data!U693</f>
        <v>-5.9191137246407379</v>
      </c>
      <c r="BC65" s="301">
        <f>Data!V696</f>
        <v>0</v>
      </c>
      <c r="BD65" s="63">
        <f>Data!S694</f>
        <v>122.05999999999995</v>
      </c>
      <c r="BE65" s="118">
        <f>Data!T694</f>
        <v>5.3610801219265779E-2</v>
      </c>
      <c r="BF65" s="63">
        <f>Data!U694</f>
        <v>283.11070749418593</v>
      </c>
      <c r="BG65" s="118">
        <f>Data!V694</f>
        <v>-33.747391773059377</v>
      </c>
      <c r="BH65" s="63">
        <f>Data!S695</f>
        <v>389.55000000000018</v>
      </c>
      <c r="BI65" s="118">
        <f>Data!T695</f>
        <v>8.6756180723669737E-2</v>
      </c>
      <c r="BJ65" s="63">
        <f>Data!U695</f>
        <v>277.19159376954519</v>
      </c>
      <c r="BK65" s="118">
        <f>Data!V695</f>
        <v>0.24197249685264297</v>
      </c>
      <c r="BL65" s="6">
        <f>Data!W695</f>
        <v>666.74159376954537</v>
      </c>
      <c r="BM65" s="118">
        <f>Data!X695</f>
        <v>0.11830637323528226</v>
      </c>
      <c r="BP65" s="121">
        <f t="shared" ca="1" si="53"/>
        <v>7.1585786761529144E-2</v>
      </c>
    </row>
    <row r="66" spans="2:68">
      <c r="B66" s="65">
        <v>45809</v>
      </c>
      <c r="C66" s="6">
        <f ca="1">SUM((OFFSET(Data!$C$410,17*(ROW(Data!Y451)-434),0)):(OFFSET(Data!$C$423,17*(ROW(Data!Y451)-434),0)))</f>
        <v>4062.63</v>
      </c>
      <c r="D66" s="334">
        <f ca="1">(OFFSET(Data!$P$409,17*(ROW(Data!Y451)-434),0))</f>
        <v>5285.1573044585266</v>
      </c>
      <c r="E66" s="6">
        <f ca="1">(OFFSET(Data!$P$412,17*(ROW(Data!Y451)-434),0))</f>
        <v>664.02999999999724</v>
      </c>
      <c r="F66" s="6">
        <f ca="1">(OFFSET(Data!$P$418,17*(ROW(Data!Y451)-434),0))</f>
        <v>1063.8800000000001</v>
      </c>
      <c r="G66" s="25">
        <f ca="1">(OFFSET(Data!$P$415,17*(ROW(Data!Y451)-434),0))</f>
        <v>295</v>
      </c>
      <c r="H66" s="25">
        <f ca="1">(OFFSET(Data!$P$421,17*(ROW(Data!Y451)-434),0))</f>
        <v>3262.2473044585295</v>
      </c>
      <c r="I66" s="25"/>
      <c r="J66" s="25"/>
      <c r="K66" s="15">
        <f ca="1">(OFFSET(Data!$Q$409,17*(ROW(Data!Y451)-434),0))</f>
        <v>6149.8598910606397</v>
      </c>
      <c r="L66" s="25">
        <f ca="1">(OFFSET(Data!$Q$412,17*(ROW(Data!Y451)-434),0))</f>
        <v>1419.3600000000001</v>
      </c>
      <c r="M66" s="25">
        <f ca="1">(OFFSET(Data!$Q$415,17*(ROW(Data!Y451)-434),0))</f>
        <v>290</v>
      </c>
      <c r="N66" s="25">
        <f ca="1">(OFFSET(Data!$Q$418,17*(ROW(Data!Y451)-434),0))</f>
        <v>1066.0899999999999</v>
      </c>
      <c r="O66" s="25">
        <f ca="1">(OFFSET(Data!$U$410,17*(ROW(Data!Y451)-434),0))</f>
        <v>281.65989106064035</v>
      </c>
      <c r="P66" s="25">
        <f ca="1">(OFFSET(Data!$S$410,17*(ROW(Data!Y451)-434),0))</f>
        <v>3092.75</v>
      </c>
      <c r="Q66" s="25">
        <f ca="1">(OFFSET(Data!$Q$421,17*(ROW(Data!Y451)-434),0))</f>
        <v>3374.4098910606403</v>
      </c>
      <c r="R66" s="335">
        <f t="shared" ca="1" si="57"/>
        <v>3293.2717027089057</v>
      </c>
      <c r="S66" s="25">
        <v>150</v>
      </c>
      <c r="T66" s="25">
        <v>400</v>
      </c>
      <c r="U66" s="25">
        <v>0</v>
      </c>
      <c r="V66" s="25">
        <v>200</v>
      </c>
      <c r="W66" s="25">
        <f ca="1">SUM((OFFSET(Data!$F$410,17*(ROW(Data!Y451)-434),0)):(OFFSET(Data!$F$423,17*(ROW(Data!Y451)-434),0)))</f>
        <v>1783.79</v>
      </c>
      <c r="X66" s="25">
        <f ca="1">SUM((OFFSET(Data!$I$410,17*(ROW(Data!Y451)-434),0)):(OFFSET(Data!$I$423,17*(ROW(Data!Y451)-434),0)))</f>
        <v>1918.3400000000001</v>
      </c>
      <c r="Y66" s="25">
        <f t="shared" ca="1" si="58"/>
        <v>3702.13</v>
      </c>
      <c r="Z66" s="15">
        <f ca="1">(OFFSET(Data!$F$412,17*(ROW(Data!Y451)-434),0))</f>
        <v>84.37</v>
      </c>
      <c r="AA66" s="6">
        <f ca="1">(OFFSET(Data!$F$411,17*(ROW(Data!Y451)-434),0))</f>
        <v>197.93999999999997</v>
      </c>
      <c r="AB66" s="6">
        <f>Data!I705</f>
        <v>298</v>
      </c>
      <c r="AC66" s="6">
        <f t="shared" ca="1" si="59"/>
        <v>1620.3400000000001</v>
      </c>
      <c r="AD66" s="25">
        <f ca="1">SUM((OFFSET(Data!$F$410,17*(ROW(Data!Y451)-434),0)):(OFFSET(Data!$F$423,17*(ROW(Data!Y451)-434),0)))</f>
        <v>1783.79</v>
      </c>
      <c r="AE66" s="25">
        <f ca="1">SUM((OFFSET(Data!$I$410,17*(ROW(Data!Y451)-434),0)):(OFFSET(Data!$I$423,17*(ROW(Data!Y451)-434),0)))</f>
        <v>1918.3400000000001</v>
      </c>
      <c r="AF66" s="335">
        <f t="shared" ca="1" si="24"/>
        <v>3702.13</v>
      </c>
      <c r="AG66" s="15">
        <f t="shared" ca="1" si="48"/>
        <v>360.5</v>
      </c>
      <c r="AH66" s="25">
        <f t="shared" ca="1" si="60"/>
        <v>360.5</v>
      </c>
      <c r="AI66" s="25">
        <f t="shared" ca="1" si="49"/>
        <v>769.35829729109446</v>
      </c>
      <c r="AJ66" s="25">
        <f t="shared" ca="1" si="35"/>
        <v>769.35829729109446</v>
      </c>
      <c r="AK66" s="6">
        <f t="shared" ca="1" si="36"/>
        <v>0</v>
      </c>
      <c r="AL66" s="354">
        <f t="shared" ca="1" si="37"/>
        <v>0</v>
      </c>
      <c r="AM66" s="6">
        <f t="shared" ref="AM66:AN72" ca="1" si="61">AG66-AG65</f>
        <v>423.63000000000011</v>
      </c>
      <c r="AN66" s="6">
        <f t="shared" ca="1" si="61"/>
        <v>423.63000000000011</v>
      </c>
      <c r="AO66" s="6">
        <f t="shared" ca="1" si="55"/>
        <v>373.5024386496716</v>
      </c>
      <c r="AP66" s="6">
        <f t="shared" ca="1" si="45"/>
        <v>0</v>
      </c>
      <c r="AQ66" s="335">
        <f t="shared" ca="1" si="46"/>
        <v>-50.127561350328506</v>
      </c>
      <c r="AR66" s="15">
        <f t="shared" ca="1" si="50"/>
        <v>864.70258660211312</v>
      </c>
      <c r="AS66" s="25">
        <f t="shared" ca="1" si="52"/>
        <v>408.85829729109446</v>
      </c>
      <c r="AT66" s="25">
        <f t="shared" ca="1" si="40"/>
        <v>408.85829729109446</v>
      </c>
      <c r="AU66" s="350">
        <f t="shared" ca="1" si="41"/>
        <v>0.14060524986252682</v>
      </c>
      <c r="AV66" s="350">
        <f t="shared" ca="1" si="47"/>
        <v>0.53142768295432941</v>
      </c>
      <c r="AW66" s="350">
        <f t="shared" ca="1" si="51"/>
        <v>0.15123765392166591</v>
      </c>
      <c r="AX66" s="356">
        <f t="shared" ca="1" si="56"/>
        <v>0</v>
      </c>
      <c r="AZ66" s="63">
        <f>Data!S710</f>
        <v>349.62000000000035</v>
      </c>
      <c r="BA66" s="118">
        <f>Data!T710</f>
        <v>0.14301141244324472</v>
      </c>
      <c r="BB66" s="63">
        <f>Data!U710</f>
        <v>-5.9191137246407379</v>
      </c>
      <c r="BC66" s="118">
        <f>Data!V713</f>
        <v>0</v>
      </c>
      <c r="BD66" s="63">
        <f>Data!S711</f>
        <v>487.27999999999975</v>
      </c>
      <c r="BE66" s="118">
        <f>Data!T711</f>
        <v>0.18702191926984371</v>
      </c>
      <c r="BF66" s="63">
        <f>Data!U711</f>
        <v>290.04900478528066</v>
      </c>
      <c r="BG66" s="118">
        <f>Data!V711</f>
        <v>-34.574451402816898</v>
      </c>
      <c r="BH66" s="63">
        <f>Data!S712</f>
        <v>836.90000000000009</v>
      </c>
      <c r="BI66" s="118">
        <f>Data!T712</f>
        <v>0.16571719367862867</v>
      </c>
      <c r="BJ66" s="63">
        <f>Data!U712</f>
        <v>284.12989106063992</v>
      </c>
      <c r="BK66" s="118">
        <f>Data!V712</f>
        <v>0.24802923579122682</v>
      </c>
      <c r="BL66" s="6">
        <f>Data!W712</f>
        <v>1121.02989106064</v>
      </c>
      <c r="BM66" s="118">
        <f>Data!X712</f>
        <v>0.18093617708041032</v>
      </c>
      <c r="BP66" s="121">
        <f t="shared" ca="1" si="53"/>
        <v>0.13629174578799635</v>
      </c>
    </row>
    <row r="67" spans="2:68">
      <c r="B67" s="65">
        <v>45839</v>
      </c>
      <c r="C67" s="6">
        <f ca="1">SUM((OFFSET(Data!$C$410,17*(ROW(Data!Y452)-434),0)):(OFFSET(Data!$C$423,17*(ROW(Data!Y452)-434),0)))</f>
        <v>4045.7200000000003</v>
      </c>
      <c r="D67" s="334">
        <f ca="1">(OFFSET(Data!$P$409,17*(ROW(Data!Y452)-434),0))</f>
        <v>5308.2673044585263</v>
      </c>
      <c r="E67" s="6">
        <f ca="1">(OFFSET(Data!$P$412,17*(ROW(Data!Y452)-434),0))</f>
        <v>312.13999999999714</v>
      </c>
      <c r="F67" s="6">
        <f ca="1">(OFFSET(Data!$P$418,17*(ROW(Data!Y452)-434),0))</f>
        <v>1063.8800000000001</v>
      </c>
      <c r="G67" s="25">
        <f ca="1">(OFFSET(Data!$P$415,17*(ROW(Data!Y452)-434),0))</f>
        <v>135</v>
      </c>
      <c r="H67" s="25">
        <f ca="1">(OFFSET(Data!$P$421,17*(ROW(Data!Y452)-434),0))</f>
        <v>3797.2473044585295</v>
      </c>
      <c r="I67" s="25"/>
      <c r="J67" s="25"/>
      <c r="K67" s="15">
        <f ca="1">(OFFSET(Data!$Q$409,17*(ROW(Data!Y452)-434),0))</f>
        <v>6375.0683082704236</v>
      </c>
      <c r="L67" s="25">
        <f ca="1">(OFFSET(Data!$Q$412,17*(ROW(Data!Y452)-434),0))</f>
        <v>815.63999999999965</v>
      </c>
      <c r="M67" s="25">
        <f ca="1">(OFFSET(Data!$Q$415,17*(ROW(Data!Y452)-434),0))</f>
        <v>130</v>
      </c>
      <c r="N67" s="25">
        <f ca="1">(OFFSET(Data!$Q$418,17*(ROW(Data!Y452)-434),0))</f>
        <v>1066.3900000000001</v>
      </c>
      <c r="O67" s="25">
        <f ca="1">(OFFSET(Data!$U$410,17*(ROW(Data!Y452)-434),0))</f>
        <v>254.3783082704241</v>
      </c>
      <c r="P67" s="25">
        <f ca="1">(OFFSET(Data!$S$410,17*(ROW(Data!Y452)-434),0))</f>
        <v>4108.66</v>
      </c>
      <c r="Q67" s="25">
        <f ca="1">(OFFSET(Data!$Q$421,17*(ROW(Data!Y452)-434),0))</f>
        <v>4363.0383082704238</v>
      </c>
      <c r="R67" s="335">
        <f t="shared" ref="R67:R72" ca="1" si="62">K66-K67+C67</f>
        <v>3820.5115827902164</v>
      </c>
      <c r="S67" s="25">
        <v>150</v>
      </c>
      <c r="T67" s="25">
        <v>400</v>
      </c>
      <c r="U67" s="25">
        <v>0</v>
      </c>
      <c r="V67" s="25">
        <v>200</v>
      </c>
      <c r="W67" s="25">
        <f ca="1">SUM((OFFSET(Data!$F$410,17*(ROW(Data!Y452)-434),0)):(OFFSET(Data!$F$423,17*(ROW(Data!Y452)-434),0)))</f>
        <v>1990.97</v>
      </c>
      <c r="X67" s="25">
        <f ca="1">SUM((OFFSET(Data!$I$410,17*(ROW(Data!Y452)-434),0)):(OFFSET(Data!$I$423,17*(ROW(Data!Y452)-434),0)))</f>
        <v>2031.64</v>
      </c>
      <c r="Y67" s="25">
        <f t="shared" ca="1" si="58"/>
        <v>4022.61</v>
      </c>
      <c r="Z67" s="15">
        <f ca="1">(OFFSET(Data!$F$412,17*(ROW(Data!Y452)-434),0))</f>
        <v>111.87</v>
      </c>
      <c r="AA67" s="6">
        <f ca="1">(OFFSET(Data!$F$411,17*(ROW(Data!Y452)-434),0))</f>
        <v>324.09999999999997</v>
      </c>
      <c r="AB67" s="6">
        <f>Data!I722</f>
        <v>210</v>
      </c>
      <c r="AC67" s="6">
        <f t="shared" ca="1" si="59"/>
        <v>1821.64</v>
      </c>
      <c r="AD67" s="25">
        <f ca="1">SUM((OFFSET(Data!$F$410,17*(ROW(Data!Y452)-434),0)):(OFFSET(Data!$F$423,17*(ROW(Data!Y452)-434),0)))</f>
        <v>1990.97</v>
      </c>
      <c r="AE67" s="25">
        <f ca="1">SUM((OFFSET(Data!$I$410,17*(ROW(Data!Y452)-434),0)):(OFFSET(Data!$I$423,17*(ROW(Data!Y452)-434),0)))</f>
        <v>2031.64</v>
      </c>
      <c r="AF67" s="335">
        <f t="shared" ca="1" si="24"/>
        <v>4022.61</v>
      </c>
      <c r="AG67" s="15">
        <f t="shared" ca="1" si="48"/>
        <v>23.110000000000127</v>
      </c>
      <c r="AH67" s="25">
        <f t="shared" ca="1" si="60"/>
        <v>23.109999999999673</v>
      </c>
      <c r="AI67" s="25">
        <f t="shared" ca="1" si="49"/>
        <v>225.20841720978387</v>
      </c>
      <c r="AJ67" s="25">
        <f t="shared" ca="1" si="35"/>
        <v>225.20841720978387</v>
      </c>
      <c r="AK67" s="6">
        <f t="shared" ca="1" si="36"/>
        <v>4.5474735088646412E-13</v>
      </c>
      <c r="AL67" s="354">
        <f t="shared" ca="1" si="37"/>
        <v>0</v>
      </c>
      <c r="AM67" s="6">
        <f t="shared" ca="1" si="61"/>
        <v>-337.38999999999987</v>
      </c>
      <c r="AN67" s="6">
        <f t="shared" ca="1" si="61"/>
        <v>-337.39000000000033</v>
      </c>
      <c r="AO67" s="6">
        <f t="shared" ca="1" si="55"/>
        <v>-544.14988008131058</v>
      </c>
      <c r="AP67" s="6">
        <f t="shared" ca="1" si="45"/>
        <v>-4.5474735088646412E-13</v>
      </c>
      <c r="AQ67" s="335">
        <f t="shared" ca="1" si="46"/>
        <v>-206.75988008131026</v>
      </c>
      <c r="AR67" s="15">
        <f t="shared" ca="1" si="50"/>
        <v>1066.8010038118973</v>
      </c>
      <c r="AS67" s="25">
        <f t="shared" ca="1" si="52"/>
        <v>202.09841720978375</v>
      </c>
      <c r="AT67" s="25">
        <f t="shared" ca="1" si="40"/>
        <v>202.0984172097842</v>
      </c>
      <c r="AU67" s="350">
        <f t="shared" ca="1" si="41"/>
        <v>0.16733954088428016</v>
      </c>
      <c r="AV67" s="350">
        <f t="shared" ca="1" si="47"/>
        <v>0.89738394201104421</v>
      </c>
      <c r="AW67" s="350">
        <f t="shared" ca="1" si="51"/>
        <v>0.18261925175711322</v>
      </c>
      <c r="AX67" s="356">
        <f t="shared" ca="1" si="56"/>
        <v>1.9677514101534663E-14</v>
      </c>
      <c r="AZ67" s="63">
        <f>Data!S727</f>
        <v>382.27</v>
      </c>
      <c r="BA67" s="118">
        <f>Data!T727</f>
        <v>0.15278455008353251</v>
      </c>
      <c r="BB67" s="63">
        <f>Data!U727</f>
        <v>15.673139954890303</v>
      </c>
      <c r="BC67" s="118">
        <f>Data!V730</f>
        <v>0</v>
      </c>
      <c r="BD67" s="63">
        <f>Data!S728</f>
        <v>610.50999999999976</v>
      </c>
      <c r="BE67" s="118">
        <f>Data!T728</f>
        <v>0.17452367680059452</v>
      </c>
      <c r="BF67" s="63">
        <f>Data!U728</f>
        <v>289.68516831553336</v>
      </c>
      <c r="BG67" s="118">
        <f>Data!V728</f>
        <v>-8.2047842245224185</v>
      </c>
      <c r="BH67" s="63">
        <f>Data!S729</f>
        <v>992.77999999999975</v>
      </c>
      <c r="BI67" s="118">
        <f>Data!T729</f>
        <v>0.16545864533838203</v>
      </c>
      <c r="BJ67" s="63">
        <f>Data!U729</f>
        <v>305.35830827042366</v>
      </c>
      <c r="BK67" s="118">
        <f>Data!V729</f>
        <v>0.2665604367076283</v>
      </c>
      <c r="BL67" s="6">
        <f>Data!W729</f>
        <v>1298.1383082704233</v>
      </c>
      <c r="BM67" s="118">
        <f>Data!X729</f>
        <v>0.18166655120413666</v>
      </c>
      <c r="BP67" s="121">
        <f t="shared" ca="1" si="53"/>
        <v>0.2</v>
      </c>
    </row>
    <row r="68" spans="2:68">
      <c r="B68" s="65">
        <v>45870</v>
      </c>
      <c r="C68" s="6">
        <f ca="1">SUM((OFFSET(Data!$C$410,17*(ROW(Data!Y453)-434),0)):(OFFSET(Data!$C$423,17*(ROW(Data!Y453)-434),0)))</f>
        <v>4738.7499999999991</v>
      </c>
      <c r="D68" s="334">
        <f ca="1">(OFFSET(Data!$P$409,17*(ROW(Data!Y453)-434),0))</f>
        <v>7067.5773044585258</v>
      </c>
      <c r="E68" s="6">
        <f ca="1">(OFFSET(Data!$P$412,17*(ROW(Data!Y453)-434),0))</f>
        <v>822.41999999999666</v>
      </c>
      <c r="F68" s="6">
        <f ca="1">(OFFSET(Data!$P$418,17*(ROW(Data!Y453)-434),0))</f>
        <v>1063.8800000000001</v>
      </c>
      <c r="G68" s="25">
        <f ca="1">(OFFSET(Data!$P$415,17*(ROW(Data!Y453)-434),0))</f>
        <v>535</v>
      </c>
      <c r="H68" s="25">
        <f ca="1">(OFFSET(Data!$P$421,17*(ROW(Data!Y453)-434),0))</f>
        <v>4646.2773044585292</v>
      </c>
      <c r="I68" s="25"/>
      <c r="J68" s="25"/>
      <c r="K68" s="15">
        <f ca="1">(OFFSET(Data!$Q$409,17*(ROW(Data!Y453)-434),0))</f>
        <v>8117.7670232685396</v>
      </c>
      <c r="L68" s="25">
        <f ca="1">(OFFSET(Data!$Q$412,17*(ROW(Data!Y453)-434),0))</f>
        <v>1404.41</v>
      </c>
      <c r="M68" s="25">
        <f ca="1">(OFFSET(Data!$Q$415,17*(ROW(Data!Y453)-434),0))</f>
        <v>480</v>
      </c>
      <c r="N68" s="25">
        <f ca="1">(OFFSET(Data!$Q$418,17*(ROW(Data!Y453)-434),0))</f>
        <v>1066.49</v>
      </c>
      <c r="O68" s="25">
        <f ca="1">(OFFSET(Data!$U$410,17*(ROW(Data!Y453)-434),0))</f>
        <v>236.94702326853948</v>
      </c>
      <c r="P68" s="25">
        <f ca="1">(OFFSET(Data!$S$410,17*(ROW(Data!Y453)-434),0))</f>
        <v>4929.92</v>
      </c>
      <c r="Q68" s="25">
        <f ca="1">(OFFSET(Data!$Q$421,17*(ROW(Data!Y453)-434),0))</f>
        <v>5166.8670232685399</v>
      </c>
      <c r="R68" s="335">
        <f t="shared" ca="1" si="62"/>
        <v>2996.0512850018831</v>
      </c>
      <c r="S68" s="25">
        <v>150</v>
      </c>
      <c r="T68" s="25">
        <v>400</v>
      </c>
      <c r="U68" s="25">
        <v>0</v>
      </c>
      <c r="V68" s="25">
        <v>200</v>
      </c>
      <c r="W68" s="25">
        <f ca="1">SUM((OFFSET(Data!$F$410,17*(ROW(Data!Y453)-434),0)):(OFFSET(Data!$F$423,17*(ROW(Data!Y453)-434),0)))</f>
        <v>1982.74</v>
      </c>
      <c r="X68" s="25">
        <f ca="1">SUM((OFFSET(Data!$I$410,17*(ROW(Data!Y453)-434),0)):(OFFSET(Data!$I$423,17*(ROW(Data!Y453)-434),0)))</f>
        <v>996.69999999999993</v>
      </c>
      <c r="Y68" s="25">
        <f t="shared" ca="1" si="58"/>
        <v>2979.44</v>
      </c>
      <c r="Z68" s="15">
        <f ca="1">(OFFSET(Data!$F$412,17*(ROW(Data!Y453)-434),0))</f>
        <v>111.97999999999999</v>
      </c>
      <c r="AA68" s="6">
        <f ca="1">(OFFSET(Data!$F$411,17*(ROW(Data!Y453)-434),0))</f>
        <v>273.81</v>
      </c>
      <c r="AB68" s="6">
        <f>Data!I741</f>
        <v>160</v>
      </c>
      <c r="AC68" s="6">
        <f t="shared" ca="1" si="59"/>
        <v>836.69999999999993</v>
      </c>
      <c r="AD68" s="25">
        <f ca="1">SUM((OFFSET(Data!$F$410,17*(ROW(Data!Y453)-434),0)):(OFFSET(Data!$F$423,17*(ROW(Data!Y453)-434),0)))</f>
        <v>1982.74</v>
      </c>
      <c r="AE68" s="25">
        <f ca="1">SUM((OFFSET(Data!$I$410,17*(ROW(Data!Y453)-434),0)):(OFFSET(Data!$I$423,17*(ROW(Data!Y453)-434),0)))</f>
        <v>996.69999999999993</v>
      </c>
      <c r="AF68" s="335">
        <f t="shared" ca="1" si="24"/>
        <v>2979.44</v>
      </c>
      <c r="AG68" s="15">
        <f t="shared" ca="1" si="48"/>
        <v>1759.309999999999</v>
      </c>
      <c r="AH68" s="25">
        <f t="shared" ca="1" si="60"/>
        <v>1759.3099999999995</v>
      </c>
      <c r="AI68" s="25">
        <f t="shared" ca="1" si="49"/>
        <v>1742.698714998116</v>
      </c>
      <c r="AJ68" s="25">
        <f t="shared" ca="1" si="35"/>
        <v>1742.698714998116</v>
      </c>
      <c r="AK68" s="6">
        <f t="shared" ca="1" si="36"/>
        <v>0</v>
      </c>
      <c r="AL68" s="354">
        <f t="shared" ca="1" si="37"/>
        <v>0</v>
      </c>
      <c r="AM68" s="6">
        <f t="shared" ca="1" si="61"/>
        <v>1736.1999999999989</v>
      </c>
      <c r="AN68" s="6">
        <f t="shared" ca="1" si="61"/>
        <v>1736.1999999999998</v>
      </c>
      <c r="AO68" s="6">
        <f t="shared" ca="1" si="55"/>
        <v>1517.4902977883321</v>
      </c>
      <c r="AP68" s="6">
        <f t="shared" ca="1" si="45"/>
        <v>0</v>
      </c>
      <c r="AQ68" s="335">
        <f t="shared" ca="1" si="46"/>
        <v>-218.70970221166772</v>
      </c>
      <c r="AR68" s="15">
        <f t="shared" ca="1" si="50"/>
        <v>1050.1897188100138</v>
      </c>
      <c r="AS68" s="25">
        <f t="shared" ca="1" si="52"/>
        <v>-16.611285001883061</v>
      </c>
      <c r="AT68" s="25">
        <f t="shared" ca="1" si="40"/>
        <v>-16.611285001883516</v>
      </c>
      <c r="AU68" s="350">
        <f t="shared" ca="1" si="41"/>
        <v>0.12936928539582121</v>
      </c>
      <c r="AV68" s="350">
        <f t="shared" ca="1" si="47"/>
        <v>9.5319316293298699E-3</v>
      </c>
      <c r="AW68" s="350">
        <f t="shared" ca="1" si="51"/>
        <v>0.13831622071189553</v>
      </c>
      <c r="AX68" s="356">
        <f t="shared" ca="1" si="56"/>
        <v>2.584805127501488E-16</v>
      </c>
      <c r="AZ68" s="63">
        <f>Data!S744</f>
        <v>426.90999999999985</v>
      </c>
      <c r="BA68" s="118">
        <f>Data!T744</f>
        <v>0.15858233904399632</v>
      </c>
      <c r="BB68" s="63">
        <f>Data!U744</f>
        <v>15.673139954890303</v>
      </c>
      <c r="BC68" s="118">
        <f>Data!V747</f>
        <v>0</v>
      </c>
      <c r="BD68" s="63">
        <f>Data!S745</f>
        <v>587.79</v>
      </c>
      <c r="BE68" s="118">
        <f>Data!T745</f>
        <v>0.13536904698845956</v>
      </c>
      <c r="BF68" s="63">
        <f>Data!U745</f>
        <v>272.25388331364877</v>
      </c>
      <c r="BG68" s="118">
        <f>Data!V745</f>
        <v>7.7110760618703509</v>
      </c>
      <c r="BH68" s="63">
        <f>Data!S746</f>
        <v>1014.6999999999998</v>
      </c>
      <c r="BI68" s="118">
        <f>Data!T746</f>
        <v>0.14425298222818042</v>
      </c>
      <c r="BJ68" s="63">
        <f>Data!U746</f>
        <v>287.92702326853907</v>
      </c>
      <c r="BK68" s="118">
        <f>Data!V746</f>
        <v>0.25134391625729041</v>
      </c>
      <c r="BL68" s="6">
        <f>Data!W746</f>
        <v>1302.6270232685388</v>
      </c>
      <c r="BM68" s="118">
        <f>Data!X746</f>
        <v>0.15925080849571116</v>
      </c>
      <c r="BP68" s="121">
        <f t="shared" ca="1" si="53"/>
        <v>8.8409984367703337E-2</v>
      </c>
    </row>
    <row r="69" spans="2:68">
      <c r="B69" s="65">
        <v>45901</v>
      </c>
      <c r="C69" s="6">
        <f ca="1">SUM((OFFSET(Data!$C$410,17*(ROW(Data!Y454)-434),0)):(OFFSET(Data!$C$423,17*(ROW(Data!Y454)-434),0)))</f>
        <v>5292.21</v>
      </c>
      <c r="D69" s="334">
        <f ca="1">(OFFSET(Data!$P$409,17*(ROW(Data!Y454)-434),0))</f>
        <v>8252.8573044585264</v>
      </c>
      <c r="E69" s="6">
        <f ca="1">(OFFSET(Data!$P$412,17*(ROW(Data!Y454)-434),0))</f>
        <v>1221.5599999999968</v>
      </c>
      <c r="F69" s="6">
        <f ca="1">(OFFSET(Data!$P$418,17*(ROW(Data!Y454)-434),0))</f>
        <v>1063.8800000000001</v>
      </c>
      <c r="G69" s="25">
        <f ca="1">(OFFSET(Data!$P$415,17*(ROW(Data!Y454)-434),0))</f>
        <v>535</v>
      </c>
      <c r="H69" s="25">
        <f ca="1">(OFFSET(Data!$P$421,17*(ROW(Data!Y454)-434),0))</f>
        <v>5432.4173044585295</v>
      </c>
      <c r="I69" s="25"/>
      <c r="J69" s="25"/>
      <c r="K69" s="15">
        <f ca="1">(OFFSET(Data!$Q$409,17*(ROW(Data!Y454)-434),0))</f>
        <v>9965.8154197173062</v>
      </c>
      <c r="L69" s="25">
        <f ca="1">(OFFSET(Data!$Q$412,17*(ROW(Data!Y454)-434),0))</f>
        <v>1802.9299999999994</v>
      </c>
      <c r="M69" s="25">
        <f ca="1">(OFFSET(Data!$Q$415,17*(ROW(Data!Y454)-434),0))</f>
        <v>480</v>
      </c>
      <c r="N69" s="25">
        <f ca="1">(OFFSET(Data!$Q$418,17*(ROW(Data!Y454)-434),0))</f>
        <v>1066.67</v>
      </c>
      <c r="O69" s="25">
        <f ca="1">(OFFSET(Data!$U$410,17*(ROW(Data!Y454)-434),0))</f>
        <v>251.67541971730708</v>
      </c>
      <c r="P69" s="25">
        <f ca="1">(OFFSET(Data!$S$410,17*(ROW(Data!Y454)-434),0))</f>
        <v>6364.54</v>
      </c>
      <c r="Q69" s="25">
        <f ca="1">(OFFSET(Data!$Q$421,17*(ROW(Data!Y454)-434),0))</f>
        <v>6616.2154197173068</v>
      </c>
      <c r="R69" s="335">
        <f t="shared" ca="1" si="62"/>
        <v>3444.1616035512334</v>
      </c>
      <c r="S69" s="25">
        <v>150</v>
      </c>
      <c r="T69" s="25">
        <v>400</v>
      </c>
      <c r="U69" s="25">
        <v>0</v>
      </c>
      <c r="V69" s="25">
        <v>200</v>
      </c>
      <c r="W69" s="25">
        <f ca="1">SUM((OFFSET(Data!$F$410,17*(ROW(Data!Y454)-434),0)):(OFFSET(Data!$F$423,17*(ROW(Data!Y454)-434),0)))</f>
        <v>2680.99</v>
      </c>
      <c r="X69" s="25">
        <f ca="1">SUM((OFFSET(Data!$I$410,17*(ROW(Data!Y454)-434),0)):(OFFSET(Data!$I$423,17*(ROW(Data!Y454)-434),0)))</f>
        <v>1425.94</v>
      </c>
      <c r="Y69" s="25">
        <f t="shared" ca="1" si="58"/>
        <v>4106.93</v>
      </c>
      <c r="Z69" s="15">
        <f ca="1">(OFFSET(Data!$F$412,17*(ROW(Data!Y454)-434),0))</f>
        <v>77.72999999999999</v>
      </c>
      <c r="AA69" s="6">
        <f ca="1">(OFFSET(Data!$F$411,17*(ROW(Data!Y454)-434),0))</f>
        <v>254.91999999999996</v>
      </c>
      <c r="AB69" s="6">
        <f>Data!I759</f>
        <v>240</v>
      </c>
      <c r="AC69" s="6">
        <f t="shared" ca="1" si="59"/>
        <v>1185.94</v>
      </c>
      <c r="AD69" s="25">
        <f ca="1">SUM((OFFSET(Data!$F$410,17*(ROW(Data!Y454)-434),0)):(OFFSET(Data!$F$423,17*(ROW(Data!Y454)-434),0)))</f>
        <v>2680.99</v>
      </c>
      <c r="AE69" s="25">
        <f ca="1">SUM((OFFSET(Data!$I$410,17*(ROW(Data!Y454)-434),0)):(OFFSET(Data!$I$423,17*(ROW(Data!Y454)-434),0)))</f>
        <v>1425.94</v>
      </c>
      <c r="AF69" s="335">
        <f t="shared" ca="1" si="24"/>
        <v>4106.93</v>
      </c>
      <c r="AG69" s="15">
        <f t="shared" ca="1" si="48"/>
        <v>1185.2799999999997</v>
      </c>
      <c r="AH69" s="25">
        <f t="shared" ca="1" si="60"/>
        <v>1185.2800000000007</v>
      </c>
      <c r="AI69" s="25">
        <f t="shared" ca="1" si="49"/>
        <v>1848.0483964487667</v>
      </c>
      <c r="AJ69" s="25">
        <f t="shared" ca="1" si="35"/>
        <v>1848.0483964487667</v>
      </c>
      <c r="AK69" s="6">
        <f t="shared" ca="1" si="36"/>
        <v>0</v>
      </c>
      <c r="AL69" s="354">
        <f t="shared" ca="1" si="37"/>
        <v>0</v>
      </c>
      <c r="AM69" s="6">
        <f t="shared" ca="1" si="61"/>
        <v>-574.02999999999929</v>
      </c>
      <c r="AN69" s="6">
        <f t="shared" ca="1" si="61"/>
        <v>-574.02999999999884</v>
      </c>
      <c r="AO69" s="6">
        <f t="shared" ca="1" si="55"/>
        <v>105.34968145065068</v>
      </c>
      <c r="AP69" s="6">
        <f t="shared" ca="1" si="45"/>
        <v>0</v>
      </c>
      <c r="AQ69" s="335">
        <f t="shared" ca="1" si="46"/>
        <v>679.37968145064951</v>
      </c>
      <c r="AR69" s="15">
        <f t="shared" ca="1" si="50"/>
        <v>1712.9581152587798</v>
      </c>
      <c r="AS69" s="25">
        <f t="shared" ca="1" si="52"/>
        <v>662.76839644876691</v>
      </c>
      <c r="AT69" s="25">
        <f t="shared" ca="1" si="40"/>
        <v>662.768396448766</v>
      </c>
      <c r="AU69" s="350">
        <f t="shared" ca="1" si="41"/>
        <v>0.17188338767239281</v>
      </c>
      <c r="AV69" s="350">
        <f t="shared" ca="1" si="47"/>
        <v>0.35863151512825697</v>
      </c>
      <c r="AW69" s="350">
        <f t="shared" ca="1" si="51"/>
        <v>0.18804422706224003</v>
      </c>
      <c r="AX69" s="356">
        <f t="shared" ca="1" si="56"/>
        <v>7.6732476863941693E-16</v>
      </c>
      <c r="AZ69" s="63">
        <f>Data!S761</f>
        <v>523.14999999999964</v>
      </c>
      <c r="BA69" s="118">
        <f>Data!T761</f>
        <v>0.18983736002148197</v>
      </c>
      <c r="BB69" s="63">
        <f>Data!U761</f>
        <v>15.673139954890303</v>
      </c>
      <c r="BC69" s="118">
        <f>Data!V764</f>
        <v>0</v>
      </c>
      <c r="BD69" s="63">
        <f>Data!S762</f>
        <v>1135.1500000000005</v>
      </c>
      <c r="BE69" s="118">
        <f>Data!T762</f>
        <v>0.21707120715800518</v>
      </c>
      <c r="BF69" s="63">
        <f>Data!U762</f>
        <v>286.98227976241634</v>
      </c>
      <c r="BG69" s="118">
        <f>Data!V762</f>
        <v>8.1282300209012615</v>
      </c>
      <c r="BH69" s="63">
        <f>Data!S763</f>
        <v>1658.3000000000002</v>
      </c>
      <c r="BI69" s="118">
        <f>Data!T763</f>
        <v>0.20767247284653928</v>
      </c>
      <c r="BJ69" s="63">
        <f>Data!U763</f>
        <v>302.65541971730664</v>
      </c>
      <c r="BK69" s="118">
        <f>Data!V763</f>
        <v>0.26420096872009652</v>
      </c>
      <c r="BL69" s="6">
        <f>Data!W763</f>
        <v>1960.9554197173068</v>
      </c>
      <c r="BM69" s="118">
        <f>Data!X763</f>
        <v>0.21476459903680167</v>
      </c>
      <c r="BP69" s="121">
        <f t="shared" ca="1" si="53"/>
        <v>9.8462237702910169E-2</v>
      </c>
    </row>
    <row r="70" spans="2:68">
      <c r="B70" s="65">
        <v>45931</v>
      </c>
      <c r="C70" s="6">
        <f ca="1">SUM((OFFSET(Data!$C$410,17*(ROW(Data!Y455)-434),0)):(OFFSET(Data!$C$423,17*(ROW(Data!Y455)-434),0)))</f>
        <v>5290.05</v>
      </c>
      <c r="D70" s="334">
        <f ca="1">(OFFSET(Data!$P$409,17*(ROW(Data!Y455)-434),0))</f>
        <v>9248.2273044585272</v>
      </c>
      <c r="E70" s="6">
        <f ca="1">(OFFSET(Data!$P$412,17*(ROW(Data!Y455)-434),0))</f>
        <v>1459.4899999999975</v>
      </c>
      <c r="F70" s="6">
        <f ca="1">(OFFSET(Data!$P$418,17*(ROW(Data!Y455)-434),0))</f>
        <v>363.88000000000011</v>
      </c>
      <c r="G70" s="25">
        <f ca="1">(OFFSET(Data!$P$415,17*(ROW(Data!Y455)-434),0))</f>
        <v>295</v>
      </c>
      <c r="H70" s="25">
        <f ca="1">(OFFSET(Data!$P$421,17*(ROW(Data!Y455)-434),0))</f>
        <v>7129.8573044585301</v>
      </c>
      <c r="I70" s="25"/>
      <c r="J70" s="25"/>
      <c r="K70" s="15">
        <f ca="1">(OFFSET(Data!$Q$409,17*(ROW(Data!Y455)-434),0))</f>
        <v>11844.417093045793</v>
      </c>
      <c r="L70" s="25">
        <f ca="1">(OFFSET(Data!$Q$412,17*(ROW(Data!Y455)-434),0))</f>
        <v>1931.31</v>
      </c>
      <c r="M70" s="25">
        <f ca="1">(OFFSET(Data!$Q$415,17*(ROW(Data!Y455)-434),0))</f>
        <v>240</v>
      </c>
      <c r="N70" s="25">
        <f ca="1">(OFFSET(Data!$Q$418,17*(ROW(Data!Y455)-434),0))</f>
        <v>366.85</v>
      </c>
      <c r="O70" s="25">
        <f ca="1">(OFFSET(Data!$U$410,17*(ROW(Data!Y455)-434),0))</f>
        <v>242.60709304579424</v>
      </c>
      <c r="P70" s="25">
        <f ca="1">(OFFSET(Data!$S$410,17*(ROW(Data!Y455)-434),0))</f>
        <v>9063.65</v>
      </c>
      <c r="Q70" s="25">
        <f ca="1">(OFFSET(Data!$Q$421,17*(ROW(Data!Y455)-434),0))</f>
        <v>9306.2570930457932</v>
      </c>
      <c r="R70" s="335">
        <f t="shared" ca="1" si="62"/>
        <v>3411.4483266715133</v>
      </c>
      <c r="S70" s="25">
        <v>150</v>
      </c>
      <c r="T70" s="25">
        <v>400</v>
      </c>
      <c r="U70" s="25">
        <v>0</v>
      </c>
      <c r="V70" s="25">
        <v>200</v>
      </c>
      <c r="W70" s="25">
        <f ca="1">SUM((OFFSET(Data!$F$410,17*(ROW(Data!Y455)-434),0)):(OFFSET(Data!$F$423,17*(ROW(Data!Y455)-434),0)))</f>
        <v>2559.9899999999998</v>
      </c>
      <c r="X70" s="25">
        <f ca="1">SUM((OFFSET(Data!$I$410,17*(ROW(Data!Y455)-434),0)):(OFFSET(Data!$I$423,17*(ROW(Data!Y455)-434),0)))</f>
        <v>1734.6899999999998</v>
      </c>
      <c r="Y70" s="25">
        <f t="shared" ca="1" si="58"/>
        <v>4294.6799999999994</v>
      </c>
      <c r="Z70" s="15">
        <f ca="1">(OFFSET(Data!$F$412,17*(ROW(Data!Y455)-434),0))</f>
        <v>77.13</v>
      </c>
      <c r="AA70" s="6">
        <f ca="1">(OFFSET(Data!$F$411,17*(ROW(Data!Y455)-434),0))</f>
        <v>234.86</v>
      </c>
      <c r="AB70" s="6">
        <f>Data!I775</f>
        <v>240</v>
      </c>
      <c r="AC70" s="6">
        <f t="shared" ca="1" si="59"/>
        <v>1494.6899999999998</v>
      </c>
      <c r="AD70" s="25">
        <f ca="1">SUM((OFFSET(Data!$F$410,17*(ROW(Data!Y455)-434),0)):(OFFSET(Data!$F$423,17*(ROW(Data!Y455)-434),0)))</f>
        <v>2559.9899999999998</v>
      </c>
      <c r="AE70" s="25">
        <f ca="1">SUM((OFFSET(Data!$I$410,17*(ROW(Data!Y455)-434),0)):(OFFSET(Data!$I$423,17*(ROW(Data!Y455)-434),0)))</f>
        <v>1734.6899999999998</v>
      </c>
      <c r="AF70" s="335">
        <f t="shared" ca="1" si="24"/>
        <v>4294.6799999999994</v>
      </c>
      <c r="AG70" s="15">
        <f t="shared" ca="1" si="48"/>
        <v>995.3700000000008</v>
      </c>
      <c r="AH70" s="25">
        <f t="shared" ca="1" si="60"/>
        <v>995.3700000000008</v>
      </c>
      <c r="AI70" s="25">
        <f t="shared" ca="1" si="49"/>
        <v>1878.6016733284869</v>
      </c>
      <c r="AJ70" s="25">
        <f t="shared" ca="1" si="35"/>
        <v>1878.6016733284869</v>
      </c>
      <c r="AK70" s="6">
        <f t="shared" ca="1" si="36"/>
        <v>0</v>
      </c>
      <c r="AL70" s="354">
        <f t="shared" ca="1" si="37"/>
        <v>0</v>
      </c>
      <c r="AM70" s="6">
        <f t="shared" ca="1" si="61"/>
        <v>-189.90999999999894</v>
      </c>
      <c r="AN70" s="6">
        <f t="shared" ca="1" si="61"/>
        <v>-189.90999999999985</v>
      </c>
      <c r="AO70" s="6">
        <f t="shared" ca="1" si="55"/>
        <v>30.553276879720215</v>
      </c>
      <c r="AP70" s="6">
        <f t="shared" ca="1" si="45"/>
        <v>-9.0949470177292824E-13</v>
      </c>
      <c r="AQ70" s="335">
        <f t="shared" ca="1" si="46"/>
        <v>220.46327687972007</v>
      </c>
      <c r="AR70" s="15">
        <f t="shared" ca="1" si="50"/>
        <v>2596.1897885872659</v>
      </c>
      <c r="AS70" s="25">
        <f t="shared" ca="1" si="52"/>
        <v>883.23167332848607</v>
      </c>
      <c r="AT70" s="25">
        <f t="shared" ca="1" si="40"/>
        <v>883.23167332848607</v>
      </c>
      <c r="AU70" s="350">
        <f t="shared" ca="1" si="41"/>
        <v>0.21919101363895446</v>
      </c>
      <c r="AV70" s="350">
        <f t="shared" ca="1" si="47"/>
        <v>0.47015377760394805</v>
      </c>
      <c r="AW70" s="350">
        <f t="shared" ca="1" si="51"/>
        <v>0.2461701567295608</v>
      </c>
      <c r="AX70" s="356">
        <f t="shared" ca="1" si="56"/>
        <v>0</v>
      </c>
      <c r="AZ70" s="63">
        <f>Data!S778</f>
        <v>823.06999999999971</v>
      </c>
      <c r="BA70" s="118">
        <f>Data!T778</f>
        <v>0.28325268946719973</v>
      </c>
      <c r="BB70" s="63">
        <f>Data!U778</f>
        <v>15.673139954890303</v>
      </c>
      <c r="BC70" s="118">
        <f>Data!V781</f>
        <v>0</v>
      </c>
      <c r="BD70" s="63">
        <f>Data!S779</f>
        <v>1834.2600000000002</v>
      </c>
      <c r="BE70" s="118">
        <f>Data!T779</f>
        <v>0.25372265156534651</v>
      </c>
      <c r="BF70" s="63">
        <f>Data!U779</f>
        <v>277.91395309090353</v>
      </c>
      <c r="BG70" s="118">
        <f>Data!V779</f>
        <v>7.8713868278241419</v>
      </c>
      <c r="BH70" s="63">
        <f>Data!S780</f>
        <v>2657.33</v>
      </c>
      <c r="BI70" s="118">
        <f>Data!T780</f>
        <v>0.2621889914032029</v>
      </c>
      <c r="BJ70" s="63">
        <f>Data!U780</f>
        <v>293.58709304579384</v>
      </c>
      <c r="BK70" s="118">
        <f>Data!V780</f>
        <v>0.25628483527196</v>
      </c>
      <c r="BL70" s="6">
        <f>Data!W780</f>
        <v>2950.917093045794</v>
      </c>
      <c r="BM70" s="118">
        <f>Data!X780</f>
        <v>0.26158942807248042</v>
      </c>
      <c r="BP70" s="121">
        <f t="shared" ca="1" si="53"/>
        <v>0.2</v>
      </c>
    </row>
    <row r="71" spans="2:68">
      <c r="B71" s="65">
        <v>45962</v>
      </c>
      <c r="C71" s="6">
        <f ca="1">SUM((OFFSET(Data!$C$410,17*(ROW(Data!Y456)-434),0)):(OFFSET(Data!$C$423,17*(ROW(Data!Y456)-434),0)))</f>
        <v>5289.95</v>
      </c>
      <c r="D71" s="334">
        <f ca="1">(OFFSET(Data!$P$409,17*(ROW(Data!Y456)-434),0))</f>
        <v>10014.807304458529</v>
      </c>
      <c r="E71" s="6">
        <f ca="1">(OFFSET(Data!$P$412,17*(ROW(Data!Y456)-434),0))</f>
        <v>884.8899999999976</v>
      </c>
      <c r="F71" s="6">
        <f ca="1">(OFFSET(Data!$P$418,17*(ROW(Data!Y456)-434),0))</f>
        <v>508.88000000000011</v>
      </c>
      <c r="G71" s="25">
        <f ca="1">(OFFSET(Data!$P$415,17*(ROW(Data!Y456)-434),0))</f>
        <v>135</v>
      </c>
      <c r="H71" s="25">
        <f ca="1">(OFFSET(Data!$P$421,17*(ROW(Data!Y456)-434),0))</f>
        <v>8486.0373044585303</v>
      </c>
      <c r="I71" s="25"/>
      <c r="J71" s="25"/>
      <c r="K71" s="334">
        <f ca="1">(OFFSET(Data!$Q$409,17*(ROW(Data!Y456)-434),0))</f>
        <v>11578.014941589654</v>
      </c>
      <c r="L71" s="25">
        <f ca="1">(OFFSET(Data!$Q$412,17*(ROW(Data!Y456)-434),0))</f>
        <v>1727.5500000000009</v>
      </c>
      <c r="M71" s="25">
        <f ca="1">(OFFSET(Data!$Q$415,17*(ROW(Data!Y456)-434),0))</f>
        <v>80</v>
      </c>
      <c r="N71" s="25">
        <f ca="1">(OFFSET(Data!$Q$418,17*(ROW(Data!Y456)-434),0))</f>
        <v>511.9</v>
      </c>
      <c r="O71" s="25">
        <f ca="1">(OFFSET(Data!$U$410,17*(ROW(Data!Y456)-434),0))</f>
        <v>189.35494158965452</v>
      </c>
      <c r="P71" s="25">
        <f ca="1">(OFFSET(Data!$S$410,17*(ROW(Data!Y456)-434),0))</f>
        <v>9069.2099999999991</v>
      </c>
      <c r="Q71" s="25">
        <f ca="1">(OFFSET(Data!$Q$421,17*(ROW(Data!Y456)-434),0))</f>
        <v>9258.5649415896532</v>
      </c>
      <c r="R71" s="335">
        <f t="shared" ca="1" si="62"/>
        <v>5556.3521514561389</v>
      </c>
      <c r="S71" s="334">
        <v>150</v>
      </c>
      <c r="T71" s="25">
        <v>400</v>
      </c>
      <c r="U71" s="25">
        <v>0</v>
      </c>
      <c r="V71" s="25">
        <v>200</v>
      </c>
      <c r="W71" s="25">
        <f ca="1">SUM((OFFSET(Data!$F$410,17*(ROW(Data!Y456)-434),0)):(OFFSET(Data!$F$423,17*(ROW(Data!Y456)-434),0)))</f>
        <v>2722.08</v>
      </c>
      <c r="X71" s="25">
        <f ca="1">SUM((OFFSET(Data!$I$410,17*(ROW(Data!Y456)-434),0)):(OFFSET(Data!$I$423,17*(ROW(Data!Y456)-434),0)))</f>
        <v>1801.29</v>
      </c>
      <c r="Y71" s="25">
        <f t="shared" ca="1" si="58"/>
        <v>4523.37</v>
      </c>
      <c r="Z71" s="25">
        <f ca="1">(OFFSET(Data!$F$412,17*(ROW(Data!Y456)-434),0))</f>
        <v>37.71</v>
      </c>
      <c r="AA71" s="6">
        <f ca="1">(OFFSET(Data!$F$411,17*(ROW(Data!Y456)-434),0))</f>
        <v>209.14000000000001</v>
      </c>
      <c r="AB71" s="6">
        <f>Data!I792</f>
        <v>260</v>
      </c>
      <c r="AC71" s="6">
        <f t="shared" ca="1" si="59"/>
        <v>1541.29</v>
      </c>
      <c r="AD71" s="25">
        <f ca="1">SUM((OFFSET(Data!$F$410,17*(ROW(Data!Y456)-434),0)):(OFFSET(Data!$F$423,17*(ROW(Data!Y456)-434),0)))</f>
        <v>2722.08</v>
      </c>
      <c r="AE71" s="25">
        <f ca="1">SUM((OFFSET(Data!$I$410,17*(ROW(Data!Y456)-434),0)):(OFFSET(Data!$I$423,17*(ROW(Data!Y456)-434),0)))</f>
        <v>1801.29</v>
      </c>
      <c r="AF71" s="335">
        <f t="shared" ca="1" si="24"/>
        <v>4523.37</v>
      </c>
      <c r="AG71" s="15">
        <f t="shared" ca="1" si="48"/>
        <v>766.57999999999993</v>
      </c>
      <c r="AH71" s="25">
        <f t="shared" ca="1" si="60"/>
        <v>766.58000000000175</v>
      </c>
      <c r="AI71" s="25">
        <f t="shared" ca="1" si="49"/>
        <v>-266.40215145613911</v>
      </c>
      <c r="AJ71" s="25">
        <f t="shared" ca="1" si="35"/>
        <v>-266.40215145613911</v>
      </c>
      <c r="AK71" s="6">
        <f t="shared" ca="1" si="36"/>
        <v>-1.8189894035458565E-12</v>
      </c>
      <c r="AL71" s="354">
        <f t="shared" ca="1" si="37"/>
        <v>0</v>
      </c>
      <c r="AM71" s="6">
        <f t="shared" ca="1" si="61"/>
        <v>-228.79000000000087</v>
      </c>
      <c r="AN71" s="6">
        <f t="shared" ca="1" si="61"/>
        <v>-228.78999999999905</v>
      </c>
      <c r="AO71" s="6">
        <f t="shared" ca="1" si="55"/>
        <v>-2145.003824784626</v>
      </c>
      <c r="AP71" s="6">
        <f t="shared" ca="1" si="45"/>
        <v>1.8189894035458565E-12</v>
      </c>
      <c r="AQ71" s="335">
        <f t="shared" ca="1" si="46"/>
        <v>-1916.2138247846269</v>
      </c>
      <c r="AR71" s="15">
        <f t="shared" ca="1" si="50"/>
        <v>1563.207637131125</v>
      </c>
      <c r="AS71" s="25">
        <f t="shared" ca="1" si="52"/>
        <v>-1032.982151456139</v>
      </c>
      <c r="AT71" s="25">
        <f t="shared" ca="1" si="40"/>
        <v>-1032.9821514561409</v>
      </c>
      <c r="AU71" s="350">
        <f t="shared" ca="1" si="41"/>
        <v>0.13501516840472289</v>
      </c>
      <c r="AV71" s="350">
        <f t="shared" ca="1" si="47"/>
        <v>3.8775293135206188</v>
      </c>
      <c r="AW71" s="350">
        <f t="shared" ca="1" si="51"/>
        <v>0.14478956194966278</v>
      </c>
      <c r="AX71" s="356">
        <f t="shared" ca="1" si="56"/>
        <v>2.3728631108897368E-15</v>
      </c>
      <c r="AZ71" s="63">
        <f>Data!S795</f>
        <v>1070.0200000000004</v>
      </c>
      <c r="BA71" s="118">
        <f>Data!T795</f>
        <v>0.28254187878915915</v>
      </c>
      <c r="BB71" s="63">
        <f>Data!U795</f>
        <v>15.673139954890303</v>
      </c>
      <c r="BC71" s="118">
        <f>Data!V798</f>
        <v>0</v>
      </c>
      <c r="BD71" s="63">
        <f>Data!S796</f>
        <v>551.15999999999985</v>
      </c>
      <c r="BE71" s="118">
        <f>Data!T796</f>
        <v>6.4704950076602027E-2</v>
      </c>
      <c r="BF71" s="63">
        <f>Data!U796</f>
        <v>224.66180163476378</v>
      </c>
      <c r="BG71" s="118">
        <f>Data!V796</f>
        <v>6.3631204062816158</v>
      </c>
      <c r="BH71" s="63">
        <f>Data!S797</f>
        <v>1621.1800000000003</v>
      </c>
      <c r="BI71" s="118">
        <f>Data!T797</f>
        <v>0.13174787508014926</v>
      </c>
      <c r="BJ71" s="63">
        <f>Data!U797</f>
        <v>240.33494158965408</v>
      </c>
      <c r="BK71" s="118">
        <f>Data!V797</f>
        <v>0.20979873562014231</v>
      </c>
      <c r="BL71" s="6">
        <f>Data!W797</f>
        <v>1861.5149415896544</v>
      </c>
      <c r="BM71" s="118">
        <f>Data!X797</f>
        <v>0.1383951893719928</v>
      </c>
      <c r="BP71" s="121">
        <f t="shared" ca="1" si="53"/>
        <v>0.17975218614366398</v>
      </c>
    </row>
    <row r="72" spans="2:68">
      <c r="B72" s="65">
        <v>45992</v>
      </c>
      <c r="C72" s="6">
        <f ca="1">SUM((OFFSET(Data!$C$410,17*(ROW(Data!Y457)-434),0)):(OFFSET(Data!$C$423,17*(ROW(Data!Y457)-434),0)))</f>
        <v>5284.96</v>
      </c>
      <c r="D72" s="334">
        <f ca="1">(OFFSET(Data!$P$409,17*(ROW(Data!Y457)-434),0))</f>
        <v>10186.287304458527</v>
      </c>
      <c r="E72" s="6">
        <f ca="1">(OFFSET(Data!$P$412,17*(ROW(Data!Y457)-434),0))</f>
        <v>387.98999999999751</v>
      </c>
      <c r="F72" s="6">
        <f ca="1">(OFFSET(Data!$P$418,17*(ROW(Data!Y457)-434),0))</f>
        <v>158.88000000000011</v>
      </c>
      <c r="G72" s="25">
        <f ca="1">(OFFSET(Data!$P$415,17*(ROW(Data!Y457)-434),0))</f>
        <v>135</v>
      </c>
      <c r="H72" s="25">
        <f ca="1">(OFFSET(Data!$P$421,17*(ROW(Data!Y457)-434),0))</f>
        <v>9504.4173044585295</v>
      </c>
      <c r="I72" s="25"/>
      <c r="J72" s="25"/>
      <c r="K72" s="334">
        <f ca="1">(OFFSET(Data!$Q$409,17*(ROW(Data!Y457)-434),0))</f>
        <v>11837.537089878568</v>
      </c>
      <c r="L72" s="25">
        <f ca="1">(OFFSET(Data!$Q$412,17*(ROW(Data!Y457)-434),0))</f>
        <v>1319.8400000000001</v>
      </c>
      <c r="M72" s="25">
        <f ca="1">(OFFSET(Data!$Q$415,17*(ROW(Data!Y457)-434),0))</f>
        <v>80</v>
      </c>
      <c r="N72" s="25">
        <f ca="1">(OFFSET(Data!$Q$418,17*(ROW(Data!Y457)-434),0))</f>
        <v>161.97</v>
      </c>
      <c r="O72" s="25">
        <f ca="1">(OFFSET(Data!$U$410,17*(ROW(Data!Y457)-434),0))</f>
        <v>192.57708987856796</v>
      </c>
      <c r="P72" s="25">
        <f ca="1">(OFFSET(Data!$S$410,17*(ROW(Data!Y457)-434),0))</f>
        <v>10083.15</v>
      </c>
      <c r="Q72" s="25">
        <f ca="1">(OFFSET(Data!$Q$421,17*(ROW(Data!Y457)-434),0))</f>
        <v>10275.727089878568</v>
      </c>
      <c r="R72" s="335">
        <f t="shared" ca="1" si="62"/>
        <v>5025.4378517110863</v>
      </c>
      <c r="S72" s="334">
        <v>150</v>
      </c>
      <c r="T72" s="25">
        <v>400</v>
      </c>
      <c r="U72" s="25">
        <v>0</v>
      </c>
      <c r="V72" s="25">
        <v>200</v>
      </c>
      <c r="W72" s="25">
        <f ca="1">SUM((OFFSET(Data!$F$410,17*(ROW(Data!Y457)-434),0)):(OFFSET(Data!$F$423,17*(ROW(Data!Y457)-434),0)))</f>
        <v>3070.88</v>
      </c>
      <c r="X72" s="25">
        <f ca="1">SUM((OFFSET(Data!$I$410,17*(ROW(Data!Y457)-434),0)):(OFFSET(Data!$I$423,17*(ROW(Data!Y457)-434),0)))</f>
        <v>2042.6000000000001</v>
      </c>
      <c r="Y72" s="25">
        <f t="shared" ca="1" si="58"/>
        <v>5113.4800000000005</v>
      </c>
      <c r="Z72" s="25">
        <f ca="1">(OFFSET(Data!$F$412,17*(ROW(Data!Y457)-434),0))</f>
        <v>72.789999999999992</v>
      </c>
      <c r="AA72" s="6">
        <f ca="1">(OFFSET(Data!$F$411,17*(ROW(Data!Y457)-434),0))</f>
        <v>154.29000000000002</v>
      </c>
      <c r="AB72" s="6">
        <f>Data!I810</f>
        <v>560</v>
      </c>
      <c r="AC72" s="6">
        <f t="shared" ca="1" si="59"/>
        <v>1482.6000000000001</v>
      </c>
      <c r="AD72" s="25">
        <f ca="1">SUM((OFFSET(Data!$F$410,17*(ROW(Data!Y457)-434),0)):(OFFSET(Data!$F$423,17*(ROW(Data!Y457)-434),0)))</f>
        <v>3070.88</v>
      </c>
      <c r="AE72" s="25">
        <f ca="1">SUM((OFFSET(Data!$I$410,17*(ROW(Data!Y457)-434),0)):(OFFSET(Data!$I$423,17*(ROW(Data!Y457)-434),0)))</f>
        <v>2042.6000000000001</v>
      </c>
      <c r="AF72" s="335">
        <f t="shared" ca="1" si="24"/>
        <v>5113.4800000000005</v>
      </c>
      <c r="AG72" s="15">
        <f t="shared" ca="1" si="48"/>
        <v>171.47999999999956</v>
      </c>
      <c r="AH72" s="25">
        <f t="shared" ca="1" si="60"/>
        <v>171.47999999999774</v>
      </c>
      <c r="AI72" s="25">
        <f t="shared" ca="1" si="49"/>
        <v>259.52214828891374</v>
      </c>
      <c r="AJ72" s="25">
        <f t="shared" ca="1" si="35"/>
        <v>259.52214828891374</v>
      </c>
      <c r="AK72" s="6">
        <f t="shared" ca="1" si="36"/>
        <v>1.8189894035458565E-12</v>
      </c>
      <c r="AL72" s="354">
        <f t="shared" ca="1" si="37"/>
        <v>0</v>
      </c>
      <c r="AM72" s="6">
        <f t="shared" ca="1" si="61"/>
        <v>-595.10000000000036</v>
      </c>
      <c r="AN72" s="6">
        <f t="shared" ca="1" si="61"/>
        <v>-595.100000000004</v>
      </c>
      <c r="AO72" s="6">
        <f t="shared" ca="1" si="55"/>
        <v>525.92429974505285</v>
      </c>
      <c r="AP72" s="6">
        <f t="shared" ca="1" si="45"/>
        <v>-3.637978807091713E-12</v>
      </c>
      <c r="AQ72" s="335">
        <f t="shared" ca="1" si="46"/>
        <v>1121.0242997450569</v>
      </c>
      <c r="AR72" s="15">
        <f t="shared" ca="1" si="50"/>
        <v>1651.249785420041</v>
      </c>
      <c r="AS72" s="25">
        <f t="shared" ca="1" si="52"/>
        <v>88.042148288914177</v>
      </c>
      <c r="AT72" s="25">
        <f t="shared" ca="1" si="40"/>
        <v>88.042148288915996</v>
      </c>
      <c r="AU72" s="350">
        <f t="shared" ca="1" si="41"/>
        <v>0.13949268102668982</v>
      </c>
      <c r="AV72" s="350">
        <f t="shared" ca="1" si="47"/>
        <v>0.33924714660924049</v>
      </c>
      <c r="AW72" s="350">
        <f t="shared" ca="1" si="51"/>
        <v>0.14995123061775056</v>
      </c>
      <c r="AX72" s="356">
        <f t="shared" ca="1" si="56"/>
        <v>1.0607589243911073E-14</v>
      </c>
      <c r="AZ72" s="63">
        <f>Data!S812</f>
        <v>1181.5699999999997</v>
      </c>
      <c r="BA72" s="118">
        <f>Data!T812</f>
        <v>0.27793799397817082</v>
      </c>
      <c r="BB72" s="63">
        <f>Data!U812</f>
        <v>15.673139954890303</v>
      </c>
      <c r="BC72" s="118">
        <f>Data!V815</f>
        <v>0</v>
      </c>
      <c r="BD72" s="63">
        <f>Data!S813</f>
        <v>499.1200000000008</v>
      </c>
      <c r="BE72" s="118">
        <f>Data!T813</f>
        <v>5.2078301090459946E-2</v>
      </c>
      <c r="BF72" s="63">
        <f>Data!U813</f>
        <v>227.88394992367722</v>
      </c>
      <c r="BG72" s="118">
        <f>Data!V813</f>
        <v>6.4543816593297967</v>
      </c>
      <c r="BH72" s="63">
        <f>Data!S814</f>
        <v>1680.6900000000005</v>
      </c>
      <c r="BI72" s="118">
        <f>Data!T814</f>
        <v>0.12147900685424098</v>
      </c>
      <c r="BJ72" s="63">
        <f>Data!U814</f>
        <v>243.55708987856752</v>
      </c>
      <c r="BK72" s="118">
        <f>Data!V814</f>
        <v>0.21261148782555758</v>
      </c>
      <c r="BL72" s="6">
        <f>Data!W814</f>
        <v>1924.247089878568</v>
      </c>
      <c r="BM72" s="118">
        <f>Data!X814</f>
        <v>0.12844772367517376</v>
      </c>
      <c r="BP72" s="121">
        <f t="shared" ca="1" si="53"/>
        <v>0.12866226018727522</v>
      </c>
    </row>
    <row r="73" spans="2:68">
      <c r="B73" s="65">
        <v>46023</v>
      </c>
      <c r="C73" s="6">
        <f ca="1">SUM((OFFSET(Data!$C$410,17*(ROW(Data!Y458)-434),0)):(OFFSET(Data!$C$423,17*(ROW(Data!Y458)-434),0)))</f>
        <v>4949.0199999999995</v>
      </c>
      <c r="D73" s="334">
        <f ca="1">(OFFSET(Data!$P$409,17*(ROW(Data!Y458)-434),0))</f>
        <v>10659.787304458529</v>
      </c>
      <c r="E73" s="6">
        <f ca="1">(OFFSET(Data!$P$412,17*(ROW(Data!Y458)-434),0))</f>
        <v>943.46999999999753</v>
      </c>
      <c r="F73" s="6">
        <f ca="1">(OFFSET(Data!$P$418,17*(ROW(Data!Y458)-434),0))</f>
        <v>8.8800000000001091</v>
      </c>
      <c r="G73" s="25">
        <f ca="1">(OFFSET(Data!$P$415,17*(ROW(Data!Y458)-434),0))</f>
        <v>135</v>
      </c>
      <c r="H73" s="25">
        <f ca="1">(OFFSET(Data!$P$421,17*(ROW(Data!Y458)-434),0))</f>
        <v>9572.43730445853</v>
      </c>
      <c r="I73" s="25"/>
      <c r="J73" s="25"/>
      <c r="K73" s="334">
        <f ca="1">(OFFSET(Data!$Q$409,17*(ROW(Data!Y458)-434),0))</f>
        <v>12768.810905551683</v>
      </c>
      <c r="L73" s="25">
        <f ca="1">(OFFSET(Data!$Q$412,17*(ROW(Data!Y458)-434),0))</f>
        <v>1887.5300000000004</v>
      </c>
      <c r="M73" s="25">
        <f ca="1">(OFFSET(Data!$Q$415,17*(ROW(Data!Y458)-434),0))</f>
        <v>80</v>
      </c>
      <c r="N73" s="25">
        <f ca="1">(OFFSET(Data!$Q$418,17*(ROW(Data!Y458)-434),0))</f>
        <v>12.01</v>
      </c>
      <c r="O73" s="25">
        <f ca="1">(OFFSET(Data!$U$410,17*(ROW(Data!Y458)-434),0))</f>
        <v>173.65090555168163</v>
      </c>
      <c r="P73" s="25">
        <f ca="1">(OFFSET(Data!$S$410,17*(ROW(Data!Y458)-434),0))</f>
        <v>10615.62</v>
      </c>
      <c r="Q73" s="25">
        <f ca="1">(OFFSET(Data!$Q$421,17*(ROW(Data!Y458)-434),0))</f>
        <v>10789.270905551683</v>
      </c>
      <c r="R73" s="335">
        <f t="shared" ref="R73:R84" ca="1" si="63">K72-K73+C73</f>
        <v>4017.7461843268838</v>
      </c>
      <c r="S73" s="25">
        <v>150</v>
      </c>
      <c r="T73" s="25">
        <v>400</v>
      </c>
      <c r="U73" s="25">
        <v>0</v>
      </c>
      <c r="V73" s="25">
        <v>200</v>
      </c>
      <c r="W73" s="25">
        <f ca="1">SUM((OFFSET(Data!$F$410,17*(ROW(Data!Y458)-434),0)):(OFFSET(Data!$F$423,17*(ROW(Data!Y458)-434),0)))</f>
        <v>2714.7699999999995</v>
      </c>
      <c r="X73" s="25">
        <f ca="1">SUM((OFFSET(Data!$I$410,17*(ROW(Data!Y458)-434),0)):(OFFSET(Data!$I$423,17*(ROW(Data!Y458)-434),0)))</f>
        <v>1760.75</v>
      </c>
      <c r="Y73" s="25">
        <f t="shared" ref="Y73:Y84" ca="1" si="64">W73+X73</f>
        <v>4475.5199999999995</v>
      </c>
      <c r="Z73" s="25">
        <f ca="1">(OFFSET(Data!$F$412,17*(ROW(Data!Y458)-434),0))</f>
        <v>71.91</v>
      </c>
      <c r="AA73" s="6">
        <f ca="1">(OFFSET(Data!$F$411,17*(ROW(Data!Y458)-434),0))</f>
        <v>105.60999999999999</v>
      </c>
      <c r="AB73" s="6">
        <f>Data!I827</f>
        <v>485</v>
      </c>
      <c r="AC73" s="6">
        <f t="shared" ca="1" si="59"/>
        <v>1275.75</v>
      </c>
      <c r="AD73" s="25">
        <f ca="1">SUM((OFFSET(Data!$F$410,17*(ROW(Data!Y458)-434),0)):(OFFSET(Data!$F$423,17*(ROW(Data!Y458)-434),0)))</f>
        <v>2714.7699999999995</v>
      </c>
      <c r="AE73" s="25">
        <f ca="1">SUM((OFFSET(Data!$I$410,17*(ROW(Data!Y458)-434),0)):(OFFSET(Data!$I$423,17*(ROW(Data!Y458)-434),0)))</f>
        <v>1760.75</v>
      </c>
      <c r="AF73" s="335">
        <f t="shared" ca="1" si="24"/>
        <v>4475.5199999999995</v>
      </c>
      <c r="AG73" s="15">
        <f t="shared" ref="AG73" ca="1" si="65">C73-AF73</f>
        <v>473.5</v>
      </c>
      <c r="AH73" s="25">
        <f t="shared" ref="AH73:AH74" ca="1" si="66">D73-D72</f>
        <v>473.50000000000182</v>
      </c>
      <c r="AI73" s="25">
        <f t="shared" ca="1" si="49"/>
        <v>931.27381567311568</v>
      </c>
      <c r="AJ73" s="25">
        <f t="shared" ca="1" si="35"/>
        <v>931.27381567311568</v>
      </c>
      <c r="AK73" s="6">
        <f t="shared" ref="AK73:AK74" ca="1" si="67">AG73-AH73</f>
        <v>-1.8189894035458565E-12</v>
      </c>
      <c r="AL73" s="354">
        <f t="shared" ref="AL73:AL74" ca="1" si="68">AI73-AJ73</f>
        <v>0</v>
      </c>
      <c r="AM73" s="6">
        <f t="shared" ref="AM73:AM84" ca="1" si="69">AG73-AG72</f>
        <v>302.02000000000044</v>
      </c>
      <c r="AN73" s="6">
        <f t="shared" ref="AN73:AN84" ca="1" si="70">AH73-AH72</f>
        <v>302.02000000000407</v>
      </c>
      <c r="AO73" s="6">
        <f t="shared" ref="AO73:AO84" ca="1" si="71">AJ73-AJ72</f>
        <v>671.75166738420194</v>
      </c>
      <c r="AP73" s="6">
        <f t="shared" ref="AP73:AP84" ca="1" si="72">AN73-AM73</f>
        <v>3.637978807091713E-12</v>
      </c>
      <c r="AQ73" s="335">
        <f t="shared" ref="AQ73:AQ84" ca="1" si="73">AO73-AN73</f>
        <v>369.73166738419786</v>
      </c>
      <c r="AR73" s="15">
        <f t="shared" ca="1" si="50"/>
        <v>2109.0236010931549</v>
      </c>
      <c r="AS73" s="25">
        <f t="shared" ca="1" si="52"/>
        <v>457.77381567311568</v>
      </c>
      <c r="AT73" s="25">
        <f t="shared" ca="1" si="40"/>
        <v>457.77381567311386</v>
      </c>
      <c r="AU73" s="350">
        <f t="shared" ca="1" si="41"/>
        <v>0.16516992981517048</v>
      </c>
      <c r="AV73" s="350">
        <f t="shared" ca="1" si="47"/>
        <v>0.49155662702944269</v>
      </c>
      <c r="AW73" s="350">
        <f t="shared" ca="1" si="51"/>
        <v>0.18003839428959464</v>
      </c>
      <c r="AX73" s="356">
        <f t="shared" ca="1" si="56"/>
        <v>3.8415826896427729E-15</v>
      </c>
      <c r="AZ73" s="63">
        <f>Data!S829</f>
        <v>1181.5699999999997</v>
      </c>
      <c r="BA73" s="118">
        <f>Data!T829</f>
        <v>0.27793799397817082</v>
      </c>
      <c r="BB73" s="63">
        <f>Data!U829</f>
        <v>15.673139954890303</v>
      </c>
      <c r="BC73" s="118">
        <f>Data!V832</f>
        <v>0</v>
      </c>
      <c r="BD73" s="63">
        <f>Data!S830</f>
        <v>909.42000000000007</v>
      </c>
      <c r="BE73" s="118">
        <f>Data!T830</f>
        <v>9.3694751808122645E-2</v>
      </c>
      <c r="BF73" s="63">
        <f>Data!U830</f>
        <v>208.95776559679089</v>
      </c>
      <c r="BG73" s="118">
        <f>Data!V830</f>
        <v>5.918333302078385</v>
      </c>
      <c r="BH73" s="63">
        <f>Data!S831</f>
        <v>2090.9899999999998</v>
      </c>
      <c r="BI73" s="118">
        <f>Data!T831</f>
        <v>0.14981228595583704</v>
      </c>
      <c r="BJ73" s="63">
        <f>Data!U831</f>
        <v>224.6309055516812</v>
      </c>
      <c r="BK73" s="118">
        <f>Data!V831</f>
        <v>0.19609000528277348</v>
      </c>
      <c r="BL73" s="6">
        <f>Data!W831</f>
        <v>2315.6209055516811</v>
      </c>
      <c r="BM73" s="118">
        <f>Data!X831</f>
        <v>0.15332242413248287</v>
      </c>
      <c r="BP73" s="121">
        <f t="shared" ca="1" si="53"/>
        <v>0.2</v>
      </c>
    </row>
    <row r="74" spans="2:68">
      <c r="B74" s="65">
        <v>46054</v>
      </c>
      <c r="C74" s="6">
        <f ca="1">SUM((OFFSET(Data!$C$410,17*(ROW(Data!Y459)-434),0)):(OFFSET(Data!$C$423,17*(ROW(Data!Y459)-434),0)))</f>
        <v>4830.78</v>
      </c>
      <c r="D74" s="334">
        <f ca="1">(OFFSET(Data!$P$409,17*(ROW(Data!Y459)-434),0))</f>
        <v>11074.437304458528</v>
      </c>
      <c r="E74" s="6">
        <f ca="1">(OFFSET(Data!$P$412,17*(ROW(Data!Y459)-434),0))</f>
        <v>918.09999999999718</v>
      </c>
      <c r="F74" s="6">
        <f ca="1">(OFFSET(Data!$P$418,17*(ROW(Data!Y459)-434),0))</f>
        <v>108.88000000000011</v>
      </c>
      <c r="G74" s="25">
        <f ca="1">(OFFSET(Data!$P$415,17*(ROW(Data!Y459)-434),0))</f>
        <v>135</v>
      </c>
      <c r="H74" s="25">
        <f ca="1">(OFFSET(Data!$P$421,17*(ROW(Data!Y459)-434),0))</f>
        <v>9912.4573044585304</v>
      </c>
      <c r="I74" s="25"/>
      <c r="J74" s="25"/>
      <c r="K74" s="334">
        <f ca="1">(OFFSET(Data!$Q$409,17*(ROW(Data!Y459)-434),0))</f>
        <v>11384.587572923638</v>
      </c>
      <c r="L74" s="25">
        <f ca="1">(OFFSET(Data!$Q$412,17*(ROW(Data!Y459)-434),0))</f>
        <v>283.66000000000003</v>
      </c>
      <c r="M74" s="25">
        <f ca="1">(OFFSET(Data!$Q$415,17*(ROW(Data!Y459)-434),0))</f>
        <v>80</v>
      </c>
      <c r="N74" s="25">
        <f ca="1">(OFFSET(Data!$Q$418,17*(ROW(Data!Y459)-434),0))</f>
        <v>112.01</v>
      </c>
      <c r="O74" s="25">
        <f ca="1">(OFFSET(Data!$U$410,17*(ROW(Data!Y459)-434),0))</f>
        <v>153.5675729236367</v>
      </c>
      <c r="P74" s="25">
        <f ca="1">(OFFSET(Data!$S$410,17*(ROW(Data!Y459)-434),0))</f>
        <v>10755.35</v>
      </c>
      <c r="Q74" s="25">
        <f ca="1">(OFFSET(Data!$Q$421,17*(ROW(Data!Y459)-434),0))</f>
        <v>10908.917572923638</v>
      </c>
      <c r="R74" s="335">
        <f t="shared" ca="1" si="63"/>
        <v>6215.0033326280454</v>
      </c>
      <c r="S74" s="25">
        <v>150</v>
      </c>
      <c r="T74" s="25">
        <v>400</v>
      </c>
      <c r="U74" s="25">
        <v>0</v>
      </c>
      <c r="V74" s="25">
        <v>200</v>
      </c>
      <c r="W74" s="25">
        <f ca="1">SUM((OFFSET(Data!$F$410,17*(ROW(Data!Y459)-434),0)):(OFFSET(Data!$F$423,17*(ROW(Data!Y459)-434),0)))</f>
        <v>2884.17</v>
      </c>
      <c r="X74" s="25">
        <f ca="1">SUM((OFFSET(Data!$I$410,17*(ROW(Data!Y459)-434),0)):(OFFSET(Data!$I$423,17*(ROW(Data!Y459)-434),0)))</f>
        <v>1531.96</v>
      </c>
      <c r="Y74" s="25">
        <f t="shared" ca="1" si="64"/>
        <v>4416.13</v>
      </c>
      <c r="Z74" s="25">
        <f ca="1">(OFFSET(Data!$F$412,17*(ROW(Data!Y459)-434),0))</f>
        <v>0</v>
      </c>
      <c r="AA74" s="6">
        <f ca="1">(OFFSET(Data!$F$411,17*(ROW(Data!Y459)-434),0))</f>
        <v>62.830000000000013</v>
      </c>
      <c r="AB74" s="6">
        <v>0</v>
      </c>
      <c r="AC74" s="6">
        <f t="shared" ref="AC74" ca="1" si="74">AE74-AB74</f>
        <v>1531.96</v>
      </c>
      <c r="AD74" s="25">
        <f ca="1">SUM((OFFSET(Data!$F$410,17*(ROW(Data!Y459)-434),0)):(OFFSET(Data!$F$423,17*(ROW(Data!Y459)-434),0)))</f>
        <v>2884.17</v>
      </c>
      <c r="AE74" s="25">
        <f ca="1">SUM((OFFSET(Data!$I$410,17*(ROW(Data!Y459)-434),0)):(OFFSET(Data!$I$423,17*(ROW(Data!Y459)-434),0)))</f>
        <v>1531.96</v>
      </c>
      <c r="AF74" s="335">
        <f t="shared" ref="AF74" ca="1" si="75">AD74+AE74</f>
        <v>4416.13</v>
      </c>
      <c r="AG74" s="15">
        <f ca="1">C74-AF74</f>
        <v>414.64999999999964</v>
      </c>
      <c r="AH74" s="25">
        <f t="shared" ca="1" si="66"/>
        <v>414.64999999999964</v>
      </c>
      <c r="AI74" s="25">
        <f t="shared" ref="AI74" ca="1" si="76">C74-R74</f>
        <v>-1384.2233326280457</v>
      </c>
      <c r="AJ74" s="25">
        <f t="shared" ref="AJ74" ca="1" si="77">K74-K73</f>
        <v>-1384.2233326280457</v>
      </c>
      <c r="AK74" s="6">
        <f t="shared" ca="1" si="67"/>
        <v>0</v>
      </c>
      <c r="AL74" s="354">
        <f t="shared" ca="1" si="68"/>
        <v>0</v>
      </c>
      <c r="AM74" s="6">
        <f t="shared" ca="1" si="69"/>
        <v>-58.850000000000364</v>
      </c>
      <c r="AN74" s="6">
        <f t="shared" ca="1" si="70"/>
        <v>-58.850000000002183</v>
      </c>
      <c r="AO74" s="6">
        <f t="shared" ca="1" si="71"/>
        <v>-2315.4971483011614</v>
      </c>
      <c r="AP74" s="6">
        <f t="shared" ca="1" si="72"/>
        <v>-1.8189894035458565E-12</v>
      </c>
      <c r="AQ74" s="335">
        <f t="shared" ca="1" si="73"/>
        <v>-2256.6471483011592</v>
      </c>
      <c r="AR74" s="15">
        <f ca="1">K74-D74</f>
        <v>310.15026846510955</v>
      </c>
      <c r="AS74" s="25">
        <f t="shared" ref="AS74" ca="1" si="78">AI74-AG74</f>
        <v>-1798.8733326280453</v>
      </c>
      <c r="AT74" s="25">
        <f t="shared" ref="AT74" ca="1" si="79">AJ74-AH74</f>
        <v>-1798.8733326280453</v>
      </c>
      <c r="AU74" s="350">
        <f t="shared" ref="AU74" ca="1" si="80">ABS(AR74/K74)</f>
        <v>2.7242995539228033E-2</v>
      </c>
      <c r="AV74" s="350">
        <f t="shared" ref="AV74" ca="1" si="81">ABS(AS74/AI74)</f>
        <v>1.2995542628318202</v>
      </c>
      <c r="AW74" s="350">
        <f t="shared" ref="AW74" ca="1" si="82">ABS(AR74/AVERAGE(K74,D74))</f>
        <v>2.7619210554190438E-2</v>
      </c>
      <c r="AX74" s="356">
        <f t="shared" ref="AX74" ca="1" si="83">ABS((AG74-AH74)/AVERAGE(AG74,AH74))</f>
        <v>0</v>
      </c>
      <c r="BP74" s="121"/>
    </row>
    <row r="75" spans="2:68">
      <c r="B75" s="65">
        <v>46082</v>
      </c>
      <c r="C75" s="6">
        <f ca="1">SUM((OFFSET(Data!$C$410,17*(ROW(Data!Y460)-434),0)):(OFFSET(Data!$C$423,17*(ROW(Data!Y460)-434),0)))</f>
        <v>4775.66</v>
      </c>
      <c r="D75" s="334">
        <f ca="1">(OFFSET(Data!$P$409,17*(ROW(Data!Y460)-434),0))</f>
        <v>11136.677304458528</v>
      </c>
      <c r="E75" s="6">
        <f ca="1">(OFFSET(Data!$P$412,17*(ROW(Data!Y460)-434),0))</f>
        <v>430.33999999999696</v>
      </c>
      <c r="F75" s="6">
        <f ca="1">(OFFSET(Data!$P$418,17*(ROW(Data!Y460)-434),0))</f>
        <v>258.88000000000011</v>
      </c>
      <c r="G75" s="25">
        <f ca="1">(OFFSET(Data!$P$415,17*(ROW(Data!Y460)-434),0))</f>
        <v>335</v>
      </c>
      <c r="H75" s="25">
        <f ca="1">(OFFSET(Data!$P$421,17*(ROW(Data!Y460)-434),0))</f>
        <v>10112.45730445853</v>
      </c>
      <c r="I75" s="25"/>
      <c r="J75" s="25"/>
      <c r="K75" s="334"/>
      <c r="L75" s="25"/>
      <c r="M75" s="25"/>
      <c r="N75" s="25"/>
      <c r="O75" s="25"/>
      <c r="P75" s="25"/>
      <c r="Q75" s="25"/>
      <c r="R75" s="335">
        <f t="shared" ca="1" si="63"/>
        <v>16160.247572923638</v>
      </c>
      <c r="S75" s="334">
        <v>150</v>
      </c>
      <c r="T75" s="25">
        <v>400</v>
      </c>
      <c r="U75" s="25">
        <v>0</v>
      </c>
      <c r="V75" s="25">
        <v>200</v>
      </c>
      <c r="W75" s="25">
        <f ca="1">SUM((OFFSET(Data!$F$410,17*(ROW(Data!Y460)-434),0)):(OFFSET(Data!$F$423,17*(ROW(Data!Y460)-434),0)))</f>
        <v>3330.75</v>
      </c>
      <c r="X75" s="25">
        <f ca="1">SUM((OFFSET(Data!$I$410,17*(ROW(Data!Y460)-434),0)):(OFFSET(Data!$I$423,17*(ROW(Data!Y460)-434),0)))</f>
        <v>1382.67</v>
      </c>
      <c r="Y75" s="25">
        <f t="shared" ca="1" si="64"/>
        <v>4713.42</v>
      </c>
      <c r="Z75" s="25">
        <f ca="1">(OFFSET(Data!$F$412,17*(ROW(Data!Y460)-434),0))</f>
        <v>100</v>
      </c>
      <c r="AA75" s="6">
        <f ca="1">(OFFSET(Data!$F$411,17*(ROW(Data!Y460)-434),0))</f>
        <v>400</v>
      </c>
      <c r="AB75" s="6"/>
      <c r="AC75" s="6"/>
      <c r="AD75" s="25"/>
      <c r="AE75" s="25"/>
      <c r="AF75" s="335"/>
      <c r="AG75" s="15"/>
      <c r="AH75" s="25"/>
      <c r="AI75" s="25"/>
      <c r="AJ75" s="25"/>
      <c r="AK75" s="6"/>
      <c r="AL75" s="354"/>
      <c r="AM75" s="6">
        <f t="shared" ca="1" si="69"/>
        <v>-414.64999999999964</v>
      </c>
      <c r="AN75" s="6">
        <f t="shared" ca="1" si="70"/>
        <v>-414.64999999999964</v>
      </c>
      <c r="AO75" s="6">
        <f t="shared" ca="1" si="71"/>
        <v>1384.2233326280457</v>
      </c>
      <c r="AP75" s="6">
        <f t="shared" ca="1" si="72"/>
        <v>0</v>
      </c>
      <c r="AQ75" s="335">
        <f t="shared" ca="1" si="73"/>
        <v>1798.8733326280453</v>
      </c>
      <c r="AR75" s="15"/>
      <c r="AS75" s="25"/>
      <c r="AT75" s="25"/>
      <c r="AU75" s="350"/>
      <c r="AV75" s="350"/>
      <c r="AW75" s="350"/>
      <c r="AX75" s="356"/>
    </row>
    <row r="76" spans="2:68">
      <c r="B76" s="65">
        <v>46113</v>
      </c>
      <c r="C76" s="6">
        <f ca="1">SUM((OFFSET(Data!$C$410,17*(ROW(Data!Y461)-434),0)):(OFFSET(Data!$C$423,17*(ROW(Data!Y461)-434),0)))</f>
        <v>4775.66</v>
      </c>
      <c r="D76" s="334">
        <f ca="1">(OFFSET(Data!$P$409,17*(ROW(Data!Y461)-434),0))</f>
        <v>11825.707304458527</v>
      </c>
      <c r="E76" s="6">
        <f ca="1">(OFFSET(Data!$P$412,17*(ROW(Data!Y461)-434),0))</f>
        <v>569.36999999999671</v>
      </c>
      <c r="F76" s="6">
        <f ca="1">(OFFSET(Data!$P$418,17*(ROW(Data!Y461)-434),0))</f>
        <v>408.88000000000011</v>
      </c>
      <c r="G76" s="25">
        <f ca="1">(OFFSET(Data!$P$415,17*(ROW(Data!Y461)-434),0))</f>
        <v>535</v>
      </c>
      <c r="H76" s="25">
        <f ca="1">(OFFSET(Data!$P$421,17*(ROW(Data!Y461)-434),0))</f>
        <v>10312.45730445853</v>
      </c>
      <c r="K76" s="334"/>
      <c r="L76" s="25"/>
      <c r="M76" s="25"/>
      <c r="N76" s="25"/>
      <c r="O76" s="25"/>
      <c r="P76" s="25"/>
      <c r="Q76" s="25"/>
      <c r="R76" s="335">
        <f t="shared" ca="1" si="63"/>
        <v>4775.66</v>
      </c>
      <c r="S76" s="334">
        <v>150</v>
      </c>
      <c r="T76" s="25">
        <v>400</v>
      </c>
      <c r="U76" s="25">
        <v>0</v>
      </c>
      <c r="V76" s="25">
        <v>200</v>
      </c>
      <c r="W76" s="25">
        <f ca="1">SUM((OFFSET(Data!$F$410,17*(ROW(Data!Y461)-434),0)):(OFFSET(Data!$F$423,17*(ROW(Data!Y461)-434),0)))</f>
        <v>3330.75</v>
      </c>
      <c r="X76" s="25">
        <f ca="1">SUM((OFFSET(Data!$I$410,17*(ROW(Data!Y461)-434),0)):(OFFSET(Data!$I$423,17*(ROW(Data!Y461)-434),0)))</f>
        <v>755.88</v>
      </c>
      <c r="Y76" s="25">
        <f t="shared" ca="1" si="64"/>
        <v>4086.63</v>
      </c>
      <c r="Z76" s="25">
        <f ca="1">(OFFSET(Data!$F$412,17*(ROW(Data!Y461)-434),0))</f>
        <v>100</v>
      </c>
      <c r="AA76" s="6">
        <f ca="1">(OFFSET(Data!$F$411,17*(ROW(Data!Y461)-434),0))</f>
        <v>400</v>
      </c>
      <c r="AB76" s="6"/>
      <c r="AC76" s="6"/>
      <c r="AD76" s="25"/>
      <c r="AE76" s="25"/>
      <c r="AF76" s="335"/>
      <c r="AG76" s="15"/>
      <c r="AH76" s="25"/>
      <c r="AI76" s="25"/>
      <c r="AJ76" s="25"/>
      <c r="AK76" s="6"/>
      <c r="AL76" s="354"/>
      <c r="AM76" s="6">
        <f t="shared" si="69"/>
        <v>0</v>
      </c>
      <c r="AN76" s="6">
        <f t="shared" si="70"/>
        <v>0</v>
      </c>
      <c r="AO76" s="6">
        <f t="shared" si="71"/>
        <v>0</v>
      </c>
      <c r="AP76" s="6">
        <f t="shared" si="72"/>
        <v>0</v>
      </c>
      <c r="AQ76" s="335">
        <f t="shared" si="73"/>
        <v>0</v>
      </c>
      <c r="AR76" s="15"/>
      <c r="AS76" s="25"/>
      <c r="AT76" s="25"/>
      <c r="AU76" s="350"/>
      <c r="AV76" s="350"/>
      <c r="AW76" s="350"/>
      <c r="AX76" s="356"/>
    </row>
    <row r="77" spans="2:68">
      <c r="B77" s="65">
        <v>46143</v>
      </c>
      <c r="C77" s="6">
        <f ca="1">SUM((OFFSET(Data!$C$410,17*(ROW(Data!Y462)-434),0)):(OFFSET(Data!$C$423,17*(ROW(Data!Y462)-434),0)))</f>
        <v>4775.66</v>
      </c>
      <c r="D77" s="334">
        <f ca="1">(OFFSET(Data!$P$409,17*(ROW(Data!Y462)-434),0))</f>
        <v>12514.737304458527</v>
      </c>
      <c r="E77" s="6">
        <f ca="1">(OFFSET(Data!$P$412,17*(ROW(Data!Y462)-434),0))</f>
        <v>708.39999999999645</v>
      </c>
      <c r="F77" s="6">
        <f ca="1">(OFFSET(Data!$P$418,17*(ROW(Data!Y462)-434),0))</f>
        <v>558.88000000000011</v>
      </c>
      <c r="G77" s="25">
        <f ca="1">(OFFSET(Data!$P$415,17*(ROW(Data!Y462)-434),0))</f>
        <v>735</v>
      </c>
      <c r="H77" s="25">
        <f ca="1">(OFFSET(Data!$P$421,17*(ROW(Data!Y462)-434),0))</f>
        <v>10512.45730445853</v>
      </c>
      <c r="K77" s="334"/>
      <c r="L77" s="25"/>
      <c r="M77" s="25"/>
      <c r="N77" s="25"/>
      <c r="O77" s="25"/>
      <c r="P77" s="25"/>
      <c r="Q77" s="25"/>
      <c r="R77" s="335">
        <f t="shared" ca="1" si="63"/>
        <v>4775.66</v>
      </c>
      <c r="S77" s="25">
        <v>150</v>
      </c>
      <c r="T77" s="25">
        <v>400</v>
      </c>
      <c r="U77" s="25">
        <v>0</v>
      </c>
      <c r="V77" s="25">
        <v>200</v>
      </c>
      <c r="W77" s="25">
        <f ca="1">SUM((OFFSET(Data!$F$410,17*(ROW(Data!Y462)-434),0)):(OFFSET(Data!$F$423,17*(ROW(Data!Y462)-434),0)))</f>
        <v>3330.75</v>
      </c>
      <c r="X77" s="25">
        <f ca="1">SUM((OFFSET(Data!$I$410,17*(ROW(Data!Y462)-434),0)):(OFFSET(Data!$I$423,17*(ROW(Data!Y462)-434),0)))</f>
        <v>755.88</v>
      </c>
      <c r="Y77" s="25">
        <f t="shared" ca="1" si="64"/>
        <v>4086.63</v>
      </c>
      <c r="Z77" s="25">
        <f ca="1">(OFFSET(Data!$F$412,17*(ROW(Data!Y462)-434),0))</f>
        <v>100</v>
      </c>
      <c r="AA77" s="6">
        <f ca="1">(OFFSET(Data!$F$411,17*(ROW(Data!Y462)-434),0))</f>
        <v>400</v>
      </c>
      <c r="AB77" s="6"/>
      <c r="AC77" s="6"/>
      <c r="AD77" s="25"/>
      <c r="AE77" s="25"/>
      <c r="AF77" s="335"/>
      <c r="AG77" s="15"/>
      <c r="AH77" s="25"/>
      <c r="AI77" s="25"/>
      <c r="AJ77" s="25"/>
      <c r="AK77" s="6"/>
      <c r="AL77" s="354"/>
      <c r="AM77" s="6">
        <f t="shared" si="69"/>
        <v>0</v>
      </c>
      <c r="AN77" s="6">
        <f t="shared" si="70"/>
        <v>0</v>
      </c>
      <c r="AO77" s="6">
        <f t="shared" si="71"/>
        <v>0</v>
      </c>
      <c r="AP77" s="6">
        <f t="shared" si="72"/>
        <v>0</v>
      </c>
      <c r="AQ77" s="335">
        <f t="shared" si="73"/>
        <v>0</v>
      </c>
      <c r="AR77" s="15"/>
      <c r="AS77" s="25"/>
      <c r="AT77" s="25"/>
      <c r="AU77" s="350"/>
      <c r="AV77" s="350"/>
      <c r="AW77" s="350"/>
      <c r="AX77" s="356"/>
    </row>
    <row r="78" spans="2:68">
      <c r="B78" s="65">
        <v>46174</v>
      </c>
      <c r="C78" s="6">
        <f ca="1">SUM((OFFSET(Data!$C$410,17*(ROW(Data!Y463)-434),0)):(OFFSET(Data!$C$423,17*(ROW(Data!Y463)-434),0)))</f>
        <v>4775.66</v>
      </c>
      <c r="D78" s="334">
        <f ca="1">(OFFSET(Data!$P$409,17*(ROW(Data!Y463)-434),0))</f>
        <v>13203.767304458526</v>
      </c>
      <c r="E78" s="6">
        <f ca="1">(OFFSET(Data!$P$412,17*(ROW(Data!Y463)-434),0))</f>
        <v>847.4299999999962</v>
      </c>
      <c r="F78" s="6">
        <f ca="1">(OFFSET(Data!$P$418,17*(ROW(Data!Y463)-434),0))</f>
        <v>708.88000000000011</v>
      </c>
      <c r="G78" s="25">
        <f ca="1">(OFFSET(Data!$P$415,17*(ROW(Data!Y463)-434),0))</f>
        <v>935</v>
      </c>
      <c r="H78" s="25">
        <f ca="1">(OFFSET(Data!$P$421,17*(ROW(Data!Y463)-434),0))</f>
        <v>10712.45730445853</v>
      </c>
      <c r="K78" s="334"/>
      <c r="L78" s="25"/>
      <c r="M78" s="25"/>
      <c r="N78" s="25"/>
      <c r="O78" s="25"/>
      <c r="P78" s="25"/>
      <c r="Q78" s="25"/>
      <c r="R78" s="335">
        <f t="shared" ca="1" si="63"/>
        <v>4775.66</v>
      </c>
      <c r="S78" s="25">
        <v>150</v>
      </c>
      <c r="T78" s="25">
        <v>400</v>
      </c>
      <c r="U78" s="25">
        <v>0</v>
      </c>
      <c r="V78" s="25">
        <v>200</v>
      </c>
      <c r="W78" s="25">
        <f ca="1">SUM((OFFSET(Data!$F$410,17*(ROW(Data!Y463)-434),0)):(OFFSET(Data!$F$423,17*(ROW(Data!Y463)-434),0)))</f>
        <v>3330.75</v>
      </c>
      <c r="X78" s="25">
        <f ca="1">SUM((OFFSET(Data!$I$410,17*(ROW(Data!Y463)-434),0)):(OFFSET(Data!$I$423,17*(ROW(Data!Y463)-434),0)))</f>
        <v>755.88</v>
      </c>
      <c r="Y78" s="25">
        <f t="shared" ca="1" si="64"/>
        <v>4086.63</v>
      </c>
      <c r="Z78" s="25">
        <f ca="1">(OFFSET(Data!$F$412,17*(ROW(Data!Y463)-434),0))</f>
        <v>100</v>
      </c>
      <c r="AA78" s="6">
        <f ca="1">(OFFSET(Data!$F$411,17*(ROW(Data!Y463)-434),0))</f>
        <v>400</v>
      </c>
      <c r="AB78" s="6"/>
      <c r="AC78" s="6"/>
      <c r="AD78" s="25"/>
      <c r="AE78" s="25"/>
      <c r="AF78" s="335"/>
      <c r="AG78" s="15"/>
      <c r="AH78" s="25"/>
      <c r="AI78" s="25"/>
      <c r="AJ78" s="25"/>
      <c r="AK78" s="6"/>
      <c r="AL78" s="354"/>
      <c r="AM78" s="6">
        <f t="shared" si="69"/>
        <v>0</v>
      </c>
      <c r="AN78" s="6">
        <f t="shared" si="70"/>
        <v>0</v>
      </c>
      <c r="AO78" s="6">
        <f t="shared" si="71"/>
        <v>0</v>
      </c>
      <c r="AP78" s="6">
        <f t="shared" si="72"/>
        <v>0</v>
      </c>
      <c r="AQ78" s="335">
        <f t="shared" si="73"/>
        <v>0</v>
      </c>
      <c r="AR78" s="15"/>
      <c r="AS78" s="25"/>
      <c r="AT78" s="25"/>
      <c r="AU78" s="350"/>
      <c r="AV78" s="350"/>
      <c r="AW78" s="350"/>
      <c r="AX78" s="356"/>
    </row>
    <row r="79" spans="2:68">
      <c r="B79" s="65">
        <v>46204</v>
      </c>
      <c r="C79" s="6">
        <f ca="1">SUM((OFFSET(Data!$C$410,17*(ROW(Data!Y464)-434),0)):(OFFSET(Data!$C$423,17*(ROW(Data!Y464)-434),0)))</f>
        <v>4775.66</v>
      </c>
      <c r="D79" s="334">
        <f ca="1">(OFFSET(Data!$P$409,17*(ROW(Data!Y464)-434),0))</f>
        <v>13892.797304458527</v>
      </c>
      <c r="E79" s="6">
        <f ca="1">(OFFSET(Data!$P$412,17*(ROW(Data!Y464)-434),0))</f>
        <v>986.45999999999594</v>
      </c>
      <c r="F79" s="6">
        <f ca="1">(OFFSET(Data!$P$418,17*(ROW(Data!Y464)-434),0))</f>
        <v>858.88000000000011</v>
      </c>
      <c r="G79" s="25">
        <f ca="1">(OFFSET(Data!$P$415,17*(ROW(Data!Y464)-434),0))</f>
        <v>1135</v>
      </c>
      <c r="H79" s="25">
        <f ca="1">(OFFSET(Data!$P$421,17*(ROW(Data!Y464)-434),0))</f>
        <v>10912.45730445853</v>
      </c>
      <c r="K79" s="334"/>
      <c r="L79" s="25"/>
      <c r="M79" s="25"/>
      <c r="N79" s="25"/>
      <c r="O79" s="25"/>
      <c r="P79" s="25"/>
      <c r="Q79" s="25"/>
      <c r="R79" s="335">
        <f t="shared" ca="1" si="63"/>
        <v>4775.66</v>
      </c>
      <c r="S79" s="334">
        <v>150</v>
      </c>
      <c r="T79" s="25">
        <v>400</v>
      </c>
      <c r="U79" s="25">
        <v>0</v>
      </c>
      <c r="V79" s="25">
        <v>200</v>
      </c>
      <c r="W79" s="25">
        <f ca="1">SUM((OFFSET(Data!$F$410,17*(ROW(Data!Y464)-434),0)):(OFFSET(Data!$F$423,17*(ROW(Data!Y464)-434),0)))</f>
        <v>3330.75</v>
      </c>
      <c r="X79" s="25">
        <f ca="1">SUM((OFFSET(Data!$I$410,17*(ROW(Data!Y464)-434),0)):(OFFSET(Data!$I$423,17*(ROW(Data!Y464)-434),0)))</f>
        <v>755.88</v>
      </c>
      <c r="Y79" s="25">
        <f t="shared" ca="1" si="64"/>
        <v>4086.63</v>
      </c>
      <c r="Z79" s="25">
        <f ca="1">(OFFSET(Data!$F$412,17*(ROW(Data!Y464)-434),0))</f>
        <v>100</v>
      </c>
      <c r="AA79" s="6">
        <f ca="1">(OFFSET(Data!$F$411,17*(ROW(Data!Y464)-434),0))</f>
        <v>400</v>
      </c>
      <c r="AB79" s="6"/>
      <c r="AC79" s="6"/>
      <c r="AD79" s="25"/>
      <c r="AE79" s="25"/>
      <c r="AF79" s="335"/>
      <c r="AG79" s="15"/>
      <c r="AH79" s="25"/>
      <c r="AI79" s="25"/>
      <c r="AJ79" s="25"/>
      <c r="AK79" s="6"/>
      <c r="AL79" s="354"/>
      <c r="AM79" s="6">
        <f t="shared" si="69"/>
        <v>0</v>
      </c>
      <c r="AN79" s="6">
        <f t="shared" si="70"/>
        <v>0</v>
      </c>
      <c r="AO79" s="6">
        <f t="shared" si="71"/>
        <v>0</v>
      </c>
      <c r="AP79" s="6">
        <f t="shared" si="72"/>
        <v>0</v>
      </c>
      <c r="AQ79" s="335">
        <f t="shared" si="73"/>
        <v>0</v>
      </c>
      <c r="AR79" s="15"/>
      <c r="AS79" s="25"/>
      <c r="AT79" s="25"/>
      <c r="AU79" s="350"/>
      <c r="AV79" s="350"/>
      <c r="AW79" s="350"/>
      <c r="AX79" s="356"/>
    </row>
    <row r="80" spans="2:68">
      <c r="B80" s="65">
        <v>46235</v>
      </c>
      <c r="C80" s="6">
        <f ca="1">SUM((OFFSET(Data!$C$410,17*(ROW(Data!Y465)-434),0)):(OFFSET(Data!$C$423,17*(ROW(Data!Y465)-434),0)))</f>
        <v>4775.66</v>
      </c>
      <c r="D80" s="334">
        <f ca="1">(OFFSET(Data!$P$409,17*(ROW(Data!Y465)-434),0))</f>
        <v>14581.827304458526</v>
      </c>
      <c r="E80" s="6">
        <f ca="1">(OFFSET(Data!$P$412,17*(ROW(Data!Y465)-434),0))</f>
        <v>1125.4899999999957</v>
      </c>
      <c r="F80" s="6">
        <f ca="1">(OFFSET(Data!$P$418,17*(ROW(Data!Y465)-434),0))</f>
        <v>1008.8800000000001</v>
      </c>
      <c r="G80" s="25">
        <f ca="1">(OFFSET(Data!$P$415,17*(ROW(Data!Y465)-434),0))</f>
        <v>1335</v>
      </c>
      <c r="H80" s="25">
        <f ca="1">(OFFSET(Data!$P$421,17*(ROW(Data!Y465)-434),0))</f>
        <v>11112.45730445853</v>
      </c>
      <c r="K80" s="334"/>
      <c r="L80" s="25"/>
      <c r="M80" s="25"/>
      <c r="N80" s="25"/>
      <c r="O80" s="25"/>
      <c r="P80" s="25"/>
      <c r="Q80" s="25"/>
      <c r="R80" s="335">
        <f t="shared" ca="1" si="63"/>
        <v>4775.66</v>
      </c>
      <c r="S80" s="334">
        <v>150</v>
      </c>
      <c r="T80" s="25">
        <v>400</v>
      </c>
      <c r="U80" s="25">
        <v>0</v>
      </c>
      <c r="V80" s="25">
        <v>200</v>
      </c>
      <c r="W80" s="25">
        <f ca="1">SUM((OFFSET(Data!$F$410,17*(ROW(Data!Y465)-434),0)):(OFFSET(Data!$F$423,17*(ROW(Data!Y465)-434),0)))</f>
        <v>3330.75</v>
      </c>
      <c r="X80" s="25">
        <f ca="1">SUM((OFFSET(Data!$I$410,17*(ROW(Data!Y465)-434),0)):(OFFSET(Data!$I$423,17*(ROW(Data!Y465)-434),0)))</f>
        <v>755.88</v>
      </c>
      <c r="Y80" s="25">
        <f t="shared" ca="1" si="64"/>
        <v>4086.63</v>
      </c>
      <c r="Z80" s="25">
        <f ca="1">(OFFSET(Data!$F$412,17*(ROW(Data!Y465)-434),0))</f>
        <v>100</v>
      </c>
      <c r="AA80" s="6">
        <f ca="1">(OFFSET(Data!$F$411,17*(ROW(Data!Y465)-434),0))</f>
        <v>400</v>
      </c>
      <c r="AB80" s="6"/>
      <c r="AC80" s="6"/>
      <c r="AD80" s="25"/>
      <c r="AE80" s="25"/>
      <c r="AF80" s="335"/>
      <c r="AG80" s="15"/>
      <c r="AH80" s="25"/>
      <c r="AI80" s="25"/>
      <c r="AJ80" s="25"/>
      <c r="AK80" s="6"/>
      <c r="AL80" s="354"/>
      <c r="AM80" s="6">
        <f t="shared" si="69"/>
        <v>0</v>
      </c>
      <c r="AN80" s="6">
        <f t="shared" si="70"/>
        <v>0</v>
      </c>
      <c r="AO80" s="6">
        <f t="shared" si="71"/>
        <v>0</v>
      </c>
      <c r="AP80" s="6">
        <f t="shared" si="72"/>
        <v>0</v>
      </c>
      <c r="AQ80" s="335">
        <f t="shared" si="73"/>
        <v>0</v>
      </c>
      <c r="AR80" s="15"/>
      <c r="AS80" s="25"/>
      <c r="AT80" s="25"/>
      <c r="AU80" s="350"/>
      <c r="AV80" s="350"/>
      <c r="AW80" s="350"/>
      <c r="AX80" s="356"/>
    </row>
    <row r="81" spans="2:50">
      <c r="B81" s="65">
        <v>46266</v>
      </c>
      <c r="C81" s="6">
        <f ca="1">SUM((OFFSET(Data!$C$410,17*(ROW(Data!Y466)-434),0)):(OFFSET(Data!$C$423,17*(ROW(Data!Y466)-434),0)))</f>
        <v>4775.66</v>
      </c>
      <c r="D81" s="334">
        <f ca="1">(OFFSET(Data!$P$409,17*(ROW(Data!Y466)-434),0))</f>
        <v>15270.857304458526</v>
      </c>
      <c r="E81" s="6">
        <f ca="1">(OFFSET(Data!$P$412,17*(ROW(Data!Y466)-434),0))</f>
        <v>1264.5199999999954</v>
      </c>
      <c r="F81" s="6">
        <f ca="1">(OFFSET(Data!$P$418,17*(ROW(Data!Y466)-434),0))</f>
        <v>1158.8800000000001</v>
      </c>
      <c r="G81" s="25">
        <f ca="1">(OFFSET(Data!$P$415,17*(ROW(Data!Y466)-434),0))</f>
        <v>1535</v>
      </c>
      <c r="H81" s="25">
        <f ca="1">(OFFSET(Data!$P$421,17*(ROW(Data!Y466)-434),0))</f>
        <v>11312.45730445853</v>
      </c>
      <c r="K81" s="334"/>
      <c r="L81" s="25"/>
      <c r="M81" s="25"/>
      <c r="N81" s="25"/>
      <c r="O81" s="25"/>
      <c r="P81" s="25"/>
      <c r="Q81" s="25"/>
      <c r="R81" s="335">
        <f t="shared" ca="1" si="63"/>
        <v>4775.66</v>
      </c>
      <c r="S81" s="25">
        <v>150</v>
      </c>
      <c r="T81" s="25">
        <v>400</v>
      </c>
      <c r="U81" s="25">
        <v>0</v>
      </c>
      <c r="V81" s="25">
        <v>200</v>
      </c>
      <c r="W81" s="25">
        <f ca="1">SUM((OFFSET(Data!$F$410,17*(ROW(Data!Y466)-434),0)):(OFFSET(Data!$F$423,17*(ROW(Data!Y466)-434),0)))</f>
        <v>3330.75</v>
      </c>
      <c r="X81" s="25">
        <f ca="1">SUM((OFFSET(Data!$I$410,17*(ROW(Data!Y466)-434),0)):(OFFSET(Data!$I$423,17*(ROW(Data!Y466)-434),0)))</f>
        <v>755.88</v>
      </c>
      <c r="Y81" s="25">
        <f t="shared" ca="1" si="64"/>
        <v>4086.63</v>
      </c>
      <c r="Z81" s="25">
        <f ca="1">(OFFSET(Data!$F$412,17*(ROW(Data!Y466)-434),0))</f>
        <v>100</v>
      </c>
      <c r="AA81" s="6">
        <f ca="1">(OFFSET(Data!$F$411,17*(ROW(Data!Y466)-434),0))</f>
        <v>400</v>
      </c>
      <c r="AB81" s="6"/>
      <c r="AC81" s="6"/>
      <c r="AD81" s="25"/>
      <c r="AE81" s="25"/>
      <c r="AF81" s="335"/>
      <c r="AG81" s="15"/>
      <c r="AH81" s="25"/>
      <c r="AI81" s="25"/>
      <c r="AJ81" s="25"/>
      <c r="AK81" s="6"/>
      <c r="AL81" s="354"/>
      <c r="AM81" s="6">
        <f t="shared" si="69"/>
        <v>0</v>
      </c>
      <c r="AN81" s="6">
        <f t="shared" si="70"/>
        <v>0</v>
      </c>
      <c r="AO81" s="6">
        <f t="shared" si="71"/>
        <v>0</v>
      </c>
      <c r="AP81" s="6">
        <f t="shared" si="72"/>
        <v>0</v>
      </c>
      <c r="AQ81" s="335">
        <f t="shared" si="73"/>
        <v>0</v>
      </c>
      <c r="AR81" s="15"/>
      <c r="AS81" s="25"/>
      <c r="AT81" s="25"/>
      <c r="AU81" s="350"/>
      <c r="AV81" s="350"/>
      <c r="AW81" s="350"/>
      <c r="AX81" s="356"/>
    </row>
    <row r="82" spans="2:50">
      <c r="B82" s="65">
        <v>46296</v>
      </c>
      <c r="C82" s="6">
        <f ca="1">SUM((OFFSET(Data!$C$410,17*(ROW(Data!Y467)-434),0)):(OFFSET(Data!$C$423,17*(ROW(Data!Y467)-434),0)))</f>
        <v>4775.66</v>
      </c>
      <c r="D82" s="334">
        <f ca="1">(OFFSET(Data!$P$409,17*(ROW(Data!Y467)-434),0))</f>
        <v>15959.887304458525</v>
      </c>
      <c r="E82" s="6">
        <f ca="1">(OFFSET(Data!$P$412,17*(ROW(Data!Y467)-434),0))</f>
        <v>1403.5499999999952</v>
      </c>
      <c r="F82" s="6">
        <f ca="1">(OFFSET(Data!$P$418,17*(ROW(Data!Y467)-434),0))</f>
        <v>1308.8800000000001</v>
      </c>
      <c r="G82" s="25">
        <f ca="1">(OFFSET(Data!$P$415,17*(ROW(Data!Y467)-434),0))</f>
        <v>1735</v>
      </c>
      <c r="H82" s="25">
        <f ca="1">(OFFSET(Data!$P$421,17*(ROW(Data!Y467)-434),0))</f>
        <v>11512.45730445853</v>
      </c>
      <c r="K82" s="334"/>
      <c r="L82" s="25"/>
      <c r="M82" s="25"/>
      <c r="N82" s="25"/>
      <c r="O82" s="25"/>
      <c r="P82" s="25"/>
      <c r="Q82" s="25"/>
      <c r="R82" s="335">
        <f t="shared" ca="1" si="63"/>
        <v>4775.66</v>
      </c>
      <c r="S82" s="25">
        <v>150</v>
      </c>
      <c r="T82" s="25">
        <v>400</v>
      </c>
      <c r="U82" s="25">
        <v>0</v>
      </c>
      <c r="V82" s="25">
        <v>200</v>
      </c>
      <c r="W82" s="25">
        <f ca="1">SUM((OFFSET(Data!$F$410,17*(ROW(Data!Y467)-434),0)):(OFFSET(Data!$F$423,17*(ROW(Data!Y467)-434),0)))</f>
        <v>3330.75</v>
      </c>
      <c r="X82" s="25">
        <f ca="1">SUM((OFFSET(Data!$I$410,17*(ROW(Data!Y467)-434),0)):(OFFSET(Data!$I$423,17*(ROW(Data!Y467)-434),0)))</f>
        <v>755.88</v>
      </c>
      <c r="Y82" s="25">
        <f t="shared" ca="1" si="64"/>
        <v>4086.63</v>
      </c>
      <c r="Z82" s="25">
        <f ca="1">(OFFSET(Data!$F$412,17*(ROW(Data!Y467)-434),0))</f>
        <v>100</v>
      </c>
      <c r="AA82" s="6">
        <f ca="1">(OFFSET(Data!$F$411,17*(ROW(Data!Y467)-434),0))</f>
        <v>400</v>
      </c>
      <c r="AB82" s="6"/>
      <c r="AC82" s="6"/>
      <c r="AD82" s="25"/>
      <c r="AE82" s="25"/>
      <c r="AF82" s="335"/>
      <c r="AG82" s="15"/>
      <c r="AH82" s="25"/>
      <c r="AI82" s="25"/>
      <c r="AJ82" s="25"/>
      <c r="AK82" s="6"/>
      <c r="AL82" s="354"/>
      <c r="AM82" s="6">
        <f t="shared" si="69"/>
        <v>0</v>
      </c>
      <c r="AN82" s="6">
        <f t="shared" si="70"/>
        <v>0</v>
      </c>
      <c r="AO82" s="6">
        <f t="shared" si="71"/>
        <v>0</v>
      </c>
      <c r="AP82" s="6">
        <f t="shared" si="72"/>
        <v>0</v>
      </c>
      <c r="AQ82" s="335">
        <f t="shared" si="73"/>
        <v>0</v>
      </c>
      <c r="AR82" s="15"/>
      <c r="AS82" s="25"/>
      <c r="AT82" s="25"/>
      <c r="AU82" s="350"/>
      <c r="AV82" s="350"/>
      <c r="AW82" s="350"/>
      <c r="AX82" s="356"/>
    </row>
    <row r="83" spans="2:50">
      <c r="B83" s="65">
        <v>46327</v>
      </c>
      <c r="C83" s="6">
        <f ca="1">SUM((OFFSET(Data!$C$410,17*(ROW(Data!Y468)-434),0)):(OFFSET(Data!$C$423,17*(ROW(Data!Y468)-434),0)))</f>
        <v>4775.66</v>
      </c>
      <c r="D83" s="334">
        <f ca="1">(OFFSET(Data!$P$409,17*(ROW(Data!Y468)-434),0))</f>
        <v>16648.917304458526</v>
      </c>
      <c r="E83" s="6">
        <f ca="1">(OFFSET(Data!$P$412,17*(ROW(Data!Y468)-434),0))</f>
        <v>1542.5799999999949</v>
      </c>
      <c r="F83" s="6">
        <f ca="1">(OFFSET(Data!$P$418,17*(ROW(Data!Y468)-434),0))</f>
        <v>1458.88</v>
      </c>
      <c r="G83" s="25">
        <f ca="1">(OFFSET(Data!$P$415,17*(ROW(Data!Y468)-434),0))</f>
        <v>1935</v>
      </c>
      <c r="H83" s="25">
        <f ca="1">(OFFSET(Data!$P$421,17*(ROW(Data!Y468)-434),0))</f>
        <v>11712.45730445853</v>
      </c>
      <c r="K83" s="334"/>
      <c r="L83" s="25"/>
      <c r="M83" s="25"/>
      <c r="N83" s="25"/>
      <c r="O83" s="25"/>
      <c r="P83" s="25"/>
      <c r="Q83" s="25"/>
      <c r="R83" s="335">
        <f t="shared" ca="1" si="63"/>
        <v>4775.66</v>
      </c>
      <c r="S83" s="334">
        <v>150</v>
      </c>
      <c r="T83" s="25">
        <v>400</v>
      </c>
      <c r="U83" s="25">
        <v>0</v>
      </c>
      <c r="V83" s="25">
        <v>200</v>
      </c>
      <c r="W83" s="25">
        <f ca="1">SUM((OFFSET(Data!$F$410,17*(ROW(Data!Y468)-434),0)):(OFFSET(Data!$F$423,17*(ROW(Data!Y468)-434),0)))</f>
        <v>3330.75</v>
      </c>
      <c r="X83" s="25">
        <f ca="1">SUM((OFFSET(Data!$I$410,17*(ROW(Data!Y468)-434),0)):(OFFSET(Data!$I$423,17*(ROW(Data!Y468)-434),0)))</f>
        <v>755.88</v>
      </c>
      <c r="Y83" s="25">
        <f t="shared" ca="1" si="64"/>
        <v>4086.63</v>
      </c>
      <c r="Z83" s="25">
        <f ca="1">(OFFSET(Data!$F$412,17*(ROW(Data!Y468)-434),0))</f>
        <v>100</v>
      </c>
      <c r="AA83" s="6">
        <f ca="1">(OFFSET(Data!$F$411,17*(ROW(Data!Y468)-434),0))</f>
        <v>400</v>
      </c>
      <c r="AB83" s="6"/>
      <c r="AC83" s="6"/>
      <c r="AD83" s="25"/>
      <c r="AE83" s="25"/>
      <c r="AF83" s="335"/>
      <c r="AG83" s="15"/>
      <c r="AH83" s="25"/>
      <c r="AI83" s="25"/>
      <c r="AJ83" s="25"/>
      <c r="AK83" s="6"/>
      <c r="AL83" s="354"/>
      <c r="AM83" s="6">
        <f t="shared" si="69"/>
        <v>0</v>
      </c>
      <c r="AN83" s="6">
        <f t="shared" si="70"/>
        <v>0</v>
      </c>
      <c r="AO83" s="6">
        <f t="shared" si="71"/>
        <v>0</v>
      </c>
      <c r="AP83" s="6">
        <f t="shared" si="72"/>
        <v>0</v>
      </c>
      <c r="AQ83" s="335">
        <f t="shared" si="73"/>
        <v>0</v>
      </c>
      <c r="AR83" s="15"/>
      <c r="AS83" s="25"/>
      <c r="AT83" s="25"/>
      <c r="AU83" s="350"/>
      <c r="AV83" s="350"/>
      <c r="AW83" s="350"/>
      <c r="AX83" s="356"/>
    </row>
    <row r="84" spans="2:50">
      <c r="B84" s="65">
        <v>46357</v>
      </c>
      <c r="C84" s="6">
        <f ca="1">SUM((OFFSET(Data!$C$410,17*(ROW(Data!Y469)-434),0)):(OFFSET(Data!$C$423,17*(ROW(Data!Y469)-434),0)))</f>
        <v>4775.66</v>
      </c>
      <c r="D84" s="334">
        <f ca="1">(OFFSET(Data!$P$409,17*(ROW(Data!Y469)-434),0))</f>
        <v>17337.947304458525</v>
      </c>
      <c r="E84" s="6">
        <f ca="1">(OFFSET(Data!$P$412,17*(ROW(Data!Y469)-434),0))</f>
        <v>1681.6099999999947</v>
      </c>
      <c r="F84" s="6">
        <f ca="1">(OFFSET(Data!$P$418,17*(ROW(Data!Y469)-434),0))</f>
        <v>1608.88</v>
      </c>
      <c r="G84" s="25">
        <f ca="1">(OFFSET(Data!$P$415,17*(ROW(Data!Y469)-434),0))</f>
        <v>2135</v>
      </c>
      <c r="H84" s="25">
        <f ca="1">(OFFSET(Data!$P$421,17*(ROW(Data!Y469)-434),0))</f>
        <v>11912.45730445853</v>
      </c>
      <c r="K84" s="334"/>
      <c r="L84" s="25"/>
      <c r="M84" s="25"/>
      <c r="N84" s="25"/>
      <c r="O84" s="25"/>
      <c r="P84" s="25"/>
      <c r="Q84" s="25"/>
      <c r="R84" s="335">
        <f t="shared" ca="1" si="63"/>
        <v>4775.66</v>
      </c>
      <c r="S84" s="334">
        <v>150</v>
      </c>
      <c r="T84" s="25">
        <v>400</v>
      </c>
      <c r="U84" s="25">
        <v>0</v>
      </c>
      <c r="V84" s="25">
        <v>200</v>
      </c>
      <c r="W84" s="25">
        <f ca="1">SUM((OFFSET(Data!$F$410,17*(ROW(Data!Y469)-434),0)):(OFFSET(Data!$F$423,17*(ROW(Data!Y469)-434),0)))</f>
        <v>3330.75</v>
      </c>
      <c r="X84" s="25">
        <f ca="1">SUM((OFFSET(Data!$I$410,17*(ROW(Data!Y469)-434),0)):(OFFSET(Data!$I$423,17*(ROW(Data!Y469)-434),0)))</f>
        <v>755.88</v>
      </c>
      <c r="Y84" s="25">
        <f t="shared" ca="1" si="64"/>
        <v>4086.63</v>
      </c>
      <c r="Z84" s="25">
        <f ca="1">(OFFSET(Data!$F$412,17*(ROW(Data!Y469)-434),0))</f>
        <v>100</v>
      </c>
      <c r="AA84" s="6">
        <f ca="1">(OFFSET(Data!$F$411,17*(ROW(Data!Y469)-434),0))</f>
        <v>400</v>
      </c>
      <c r="AB84" s="6"/>
      <c r="AC84" s="6"/>
      <c r="AD84" s="25"/>
      <c r="AE84" s="25"/>
      <c r="AF84" s="335"/>
      <c r="AG84" s="15"/>
      <c r="AH84" s="25"/>
      <c r="AI84" s="25"/>
      <c r="AJ84" s="25"/>
      <c r="AK84" s="6"/>
      <c r="AL84" s="354"/>
      <c r="AM84" s="6">
        <f t="shared" si="69"/>
        <v>0</v>
      </c>
      <c r="AN84" s="6">
        <f t="shared" si="70"/>
        <v>0</v>
      </c>
      <c r="AO84" s="6">
        <f t="shared" si="71"/>
        <v>0</v>
      </c>
      <c r="AP84" s="6">
        <f t="shared" si="72"/>
        <v>0</v>
      </c>
      <c r="AQ84" s="335">
        <f t="shared" si="73"/>
        <v>0</v>
      </c>
      <c r="AR84" s="15"/>
      <c r="AS84" s="25"/>
      <c r="AT84" s="25"/>
      <c r="AU84" s="350"/>
      <c r="AV84" s="350"/>
      <c r="AW84" s="350"/>
      <c r="AX84" s="356"/>
    </row>
    <row r="85" spans="2:50">
      <c r="B85" s="65">
        <v>46388</v>
      </c>
      <c r="C85" s="6">
        <f ca="1">SUM((OFFSET(Data!$C$410,17*(ROW(Data!Y470)-434),0)):(OFFSET(Data!$C$423,17*(ROW(Data!Y470)-434),0)))</f>
        <v>4775.66</v>
      </c>
      <c r="D85" s="334">
        <f ca="1">(OFFSET(Data!$P$409,17*(ROW(Data!Y470)-434),0))</f>
        <v>18026.977304458524</v>
      </c>
      <c r="E85" s="6">
        <f ca="1">(OFFSET(Data!$P$412,17*(ROW(Data!Y470)-434),0))</f>
        <v>1820.6399999999944</v>
      </c>
      <c r="F85" s="6">
        <f ca="1">(OFFSET(Data!$P$418,17*(ROW(Data!Y470)-434),0))</f>
        <v>1758.88</v>
      </c>
      <c r="G85" s="25">
        <f ca="1">(OFFSET(Data!$P$415,17*(ROW(Data!Y470)-434),0))</f>
        <v>2335</v>
      </c>
      <c r="H85" s="25">
        <f ca="1">(OFFSET(Data!$P$421,17*(ROW(Data!Y470)-434),0))</f>
        <v>12112.45730445853</v>
      </c>
      <c r="I85" s="25"/>
      <c r="J85" s="25"/>
      <c r="K85" s="334"/>
      <c r="L85" s="25"/>
      <c r="M85" s="25"/>
      <c r="N85" s="25"/>
      <c r="O85" s="25"/>
      <c r="P85" s="25"/>
      <c r="Q85" s="25"/>
      <c r="R85" s="335">
        <f t="shared" ref="R85:R132" ca="1" si="84">K84-K85+C85</f>
        <v>4775.66</v>
      </c>
      <c r="S85" s="25">
        <v>150</v>
      </c>
      <c r="T85" s="25">
        <v>400</v>
      </c>
      <c r="U85" s="25">
        <v>0</v>
      </c>
      <c r="V85" s="25">
        <v>200</v>
      </c>
      <c r="W85" s="25">
        <f ca="1">SUM((OFFSET(Data!$F$410,17*(ROW(Data!Y470)-434),0)):(OFFSET(Data!$F$423,17*(ROW(Data!Y470)-434),0)))</f>
        <v>3330.75</v>
      </c>
      <c r="X85" s="25">
        <f ca="1">SUM((OFFSET(Data!$I$410,17*(ROW(Data!Y470)-434),0)):(OFFSET(Data!$I$423,17*(ROW(Data!Y470)-434),0)))</f>
        <v>755.88</v>
      </c>
      <c r="Y85" s="25">
        <f t="shared" ref="Y85:Y132" ca="1" si="85">W85+X85</f>
        <v>4086.63</v>
      </c>
      <c r="Z85" s="25">
        <f ca="1">(OFFSET(Data!$F$412,17*(ROW(Data!Y470)-434),0))</f>
        <v>100</v>
      </c>
      <c r="AA85" s="6">
        <f ca="1">(OFFSET(Data!$F$411,17*(ROW(Data!Y470)-434),0))</f>
        <v>400</v>
      </c>
      <c r="AB85" s="6"/>
      <c r="AC85" s="6"/>
      <c r="AD85" s="25"/>
      <c r="AE85" s="25"/>
      <c r="AF85" s="335"/>
      <c r="AG85" s="15"/>
      <c r="AH85" s="25"/>
      <c r="AI85" s="25"/>
      <c r="AJ85" s="25"/>
      <c r="AK85" s="6"/>
      <c r="AL85" s="354"/>
      <c r="AM85" s="6">
        <f t="shared" ref="AM85:AM132" si="86">AG85-AG84</f>
        <v>0</v>
      </c>
      <c r="AN85" s="6">
        <f t="shared" ref="AN85:AN132" si="87">AH85-AH84</f>
        <v>0</v>
      </c>
      <c r="AO85" s="6">
        <f t="shared" ref="AO85:AO132" si="88">AJ85-AJ84</f>
        <v>0</v>
      </c>
      <c r="AP85" s="6">
        <f t="shared" ref="AP85:AP132" si="89">AN85-AM85</f>
        <v>0</v>
      </c>
      <c r="AQ85" s="335">
        <f t="shared" ref="AQ85:AQ132" si="90">AO85-AN85</f>
        <v>0</v>
      </c>
      <c r="AR85" s="15"/>
      <c r="AS85" s="25"/>
      <c r="AT85" s="25"/>
      <c r="AU85" s="350"/>
      <c r="AV85" s="350"/>
      <c r="AW85" s="350"/>
      <c r="AX85" s="356"/>
    </row>
    <row r="86" spans="2:50">
      <c r="B86" s="65">
        <v>46419</v>
      </c>
      <c r="C86" s="6">
        <f ca="1">SUM((OFFSET(Data!$C$410,17*(ROW(Data!Y471)-434),0)):(OFFSET(Data!$C$423,17*(ROW(Data!Y471)-434),0)))</f>
        <v>4775.66</v>
      </c>
      <c r="D86" s="334">
        <f ca="1">(OFFSET(Data!$P$409,17*(ROW(Data!Y471)-434),0))</f>
        <v>18716.007304458526</v>
      </c>
      <c r="E86" s="6">
        <f ca="1">(OFFSET(Data!$P$412,17*(ROW(Data!Y471)-434),0))</f>
        <v>1959.6699999999942</v>
      </c>
      <c r="F86" s="6">
        <f ca="1">(OFFSET(Data!$P$418,17*(ROW(Data!Y471)-434),0))</f>
        <v>1908.88</v>
      </c>
      <c r="G86" s="25">
        <f ca="1">(OFFSET(Data!$P$415,17*(ROW(Data!Y471)-434),0))</f>
        <v>2535</v>
      </c>
      <c r="H86" s="25">
        <f ca="1">(OFFSET(Data!$P$421,17*(ROW(Data!Y471)-434),0))</f>
        <v>12312.45730445853</v>
      </c>
      <c r="I86" s="25"/>
      <c r="J86" s="25"/>
      <c r="K86" s="334"/>
      <c r="L86" s="25"/>
      <c r="M86" s="25"/>
      <c r="N86" s="25"/>
      <c r="O86" s="25"/>
      <c r="P86" s="25"/>
      <c r="Q86" s="25"/>
      <c r="R86" s="335">
        <f t="shared" ca="1" si="84"/>
        <v>4775.66</v>
      </c>
      <c r="S86" s="25">
        <v>150</v>
      </c>
      <c r="T86" s="25">
        <v>400</v>
      </c>
      <c r="U86" s="25">
        <v>0</v>
      </c>
      <c r="V86" s="25">
        <v>200</v>
      </c>
      <c r="W86" s="25">
        <f ca="1">SUM((OFFSET(Data!$F$410,17*(ROW(Data!Y471)-434),0)):(OFFSET(Data!$F$423,17*(ROW(Data!Y471)-434),0)))</f>
        <v>3330.75</v>
      </c>
      <c r="X86" s="25">
        <f ca="1">SUM((OFFSET(Data!$I$410,17*(ROW(Data!Y471)-434),0)):(OFFSET(Data!$I$423,17*(ROW(Data!Y471)-434),0)))</f>
        <v>755.88</v>
      </c>
      <c r="Y86" s="25">
        <f t="shared" ca="1" si="85"/>
        <v>4086.63</v>
      </c>
      <c r="Z86" s="25">
        <f ca="1">(OFFSET(Data!$F$412,17*(ROW(Data!Y471)-434),0))</f>
        <v>100</v>
      </c>
      <c r="AA86" s="6">
        <f ca="1">(OFFSET(Data!$F$411,17*(ROW(Data!Y471)-434),0))</f>
        <v>400</v>
      </c>
      <c r="AB86" s="6"/>
      <c r="AC86" s="6"/>
      <c r="AD86" s="25"/>
      <c r="AE86" s="25"/>
      <c r="AF86" s="335"/>
      <c r="AG86" s="15"/>
      <c r="AH86" s="25"/>
      <c r="AI86" s="25"/>
      <c r="AJ86" s="25"/>
      <c r="AK86" s="6"/>
      <c r="AL86" s="354"/>
      <c r="AM86" s="6">
        <f t="shared" si="86"/>
        <v>0</v>
      </c>
      <c r="AN86" s="6">
        <f t="shared" si="87"/>
        <v>0</v>
      </c>
      <c r="AO86" s="6">
        <f t="shared" si="88"/>
        <v>0</v>
      </c>
      <c r="AP86" s="6">
        <f t="shared" si="89"/>
        <v>0</v>
      </c>
      <c r="AQ86" s="335">
        <f t="shared" si="90"/>
        <v>0</v>
      </c>
      <c r="AR86" s="15"/>
      <c r="AS86" s="25"/>
      <c r="AT86" s="25"/>
      <c r="AU86" s="350"/>
      <c r="AV86" s="350"/>
      <c r="AW86" s="350"/>
      <c r="AX86" s="356"/>
    </row>
    <row r="87" spans="2:50">
      <c r="B87" s="65">
        <v>46447</v>
      </c>
      <c r="C87" s="6">
        <f ca="1">SUM((OFFSET(Data!$C$410,17*(ROW(Data!Y472)-434),0)):(OFFSET(Data!$C$423,17*(ROW(Data!Y472)-434),0)))</f>
        <v>4775.66</v>
      </c>
      <c r="D87" s="334">
        <f ca="1">(OFFSET(Data!$P$409,17*(ROW(Data!Y472)-434),0))</f>
        <v>19405.037304458525</v>
      </c>
      <c r="E87" s="6">
        <f ca="1">(OFFSET(Data!$P$412,17*(ROW(Data!Y472)-434),0))</f>
        <v>2098.6999999999939</v>
      </c>
      <c r="F87" s="6">
        <f ca="1">(OFFSET(Data!$P$418,17*(ROW(Data!Y472)-434),0))</f>
        <v>2058.88</v>
      </c>
      <c r="G87" s="25">
        <f ca="1">(OFFSET(Data!$P$415,17*(ROW(Data!Y472)-434),0))</f>
        <v>2735</v>
      </c>
      <c r="H87" s="25">
        <f ca="1">(OFFSET(Data!$P$421,17*(ROW(Data!Y472)-434),0))</f>
        <v>12512.45730445853</v>
      </c>
      <c r="I87" s="25"/>
      <c r="J87" s="25"/>
      <c r="K87" s="334"/>
      <c r="L87" s="25"/>
      <c r="M87" s="25"/>
      <c r="N87" s="25"/>
      <c r="O87" s="25"/>
      <c r="P87" s="25"/>
      <c r="Q87" s="25"/>
      <c r="R87" s="335">
        <f t="shared" ca="1" si="84"/>
        <v>4775.66</v>
      </c>
      <c r="S87" s="334">
        <v>150</v>
      </c>
      <c r="T87" s="25">
        <v>400</v>
      </c>
      <c r="U87" s="25">
        <v>0</v>
      </c>
      <c r="V87" s="25">
        <v>200</v>
      </c>
      <c r="W87" s="25">
        <f ca="1">SUM((OFFSET(Data!$F$410,17*(ROW(Data!Y472)-434),0)):(OFFSET(Data!$F$423,17*(ROW(Data!Y472)-434),0)))</f>
        <v>3330.75</v>
      </c>
      <c r="X87" s="25">
        <f ca="1">SUM((OFFSET(Data!$I$410,17*(ROW(Data!Y472)-434),0)):(OFFSET(Data!$I$423,17*(ROW(Data!Y472)-434),0)))</f>
        <v>755.88</v>
      </c>
      <c r="Y87" s="25">
        <f t="shared" ca="1" si="85"/>
        <v>4086.63</v>
      </c>
      <c r="Z87" s="25">
        <f ca="1">(OFFSET(Data!$F$412,17*(ROW(Data!Y472)-434),0))</f>
        <v>100</v>
      </c>
      <c r="AA87" s="6">
        <f ca="1">(OFFSET(Data!$F$411,17*(ROW(Data!Y472)-434),0))</f>
        <v>400</v>
      </c>
      <c r="AB87" s="6"/>
      <c r="AC87" s="6"/>
      <c r="AD87" s="25"/>
      <c r="AE87" s="25"/>
      <c r="AF87" s="335"/>
      <c r="AG87" s="15"/>
      <c r="AH87" s="25"/>
      <c r="AI87" s="25"/>
      <c r="AJ87" s="25"/>
      <c r="AK87" s="6"/>
      <c r="AL87" s="354"/>
      <c r="AM87" s="6">
        <f t="shared" si="86"/>
        <v>0</v>
      </c>
      <c r="AN87" s="6">
        <f t="shared" si="87"/>
        <v>0</v>
      </c>
      <c r="AO87" s="6">
        <f t="shared" si="88"/>
        <v>0</v>
      </c>
      <c r="AP87" s="6">
        <f t="shared" si="89"/>
        <v>0</v>
      </c>
      <c r="AQ87" s="335">
        <f t="shared" si="90"/>
        <v>0</v>
      </c>
      <c r="AR87" s="15"/>
      <c r="AS87" s="25"/>
      <c r="AT87" s="25"/>
      <c r="AU87" s="350"/>
      <c r="AV87" s="350"/>
      <c r="AW87" s="350"/>
      <c r="AX87" s="356"/>
    </row>
    <row r="88" spans="2:50">
      <c r="B88" s="65">
        <v>46478</v>
      </c>
      <c r="C88" s="6">
        <f ca="1">SUM((OFFSET(Data!$C$410,17*(ROW(Data!Y473)-434),0)):(OFFSET(Data!$C$423,17*(ROW(Data!Y473)-434),0)))</f>
        <v>4775.66</v>
      </c>
      <c r="D88" s="334">
        <f ca="1">(OFFSET(Data!$P$409,17*(ROW(Data!Y473)-434),0))</f>
        <v>20094.067304458524</v>
      </c>
      <c r="E88" s="6">
        <f ca="1">(OFFSET(Data!$P$412,17*(ROW(Data!Y473)-434),0))</f>
        <v>2237.7299999999937</v>
      </c>
      <c r="F88" s="6">
        <f ca="1">(OFFSET(Data!$P$418,17*(ROW(Data!Y473)-434),0))</f>
        <v>2208.88</v>
      </c>
      <c r="G88" s="25">
        <f ca="1">(OFFSET(Data!$P$415,17*(ROW(Data!Y473)-434),0))</f>
        <v>2935</v>
      </c>
      <c r="H88" s="25">
        <f ca="1">(OFFSET(Data!$P$421,17*(ROW(Data!Y473)-434),0))</f>
        <v>12712.45730445853</v>
      </c>
      <c r="K88" s="334"/>
      <c r="L88" s="25"/>
      <c r="M88" s="25"/>
      <c r="N88" s="25"/>
      <c r="O88" s="25"/>
      <c r="P88" s="25"/>
      <c r="Q88" s="25"/>
      <c r="R88" s="335">
        <f t="shared" ca="1" si="84"/>
        <v>4775.66</v>
      </c>
      <c r="S88" s="334">
        <v>150</v>
      </c>
      <c r="T88" s="25">
        <v>400</v>
      </c>
      <c r="U88" s="25">
        <v>0</v>
      </c>
      <c r="V88" s="25">
        <v>200</v>
      </c>
      <c r="W88" s="25">
        <f ca="1">SUM((OFFSET(Data!$F$410,17*(ROW(Data!Y473)-434),0)):(OFFSET(Data!$F$423,17*(ROW(Data!Y473)-434),0)))</f>
        <v>3330.75</v>
      </c>
      <c r="X88" s="25">
        <f ca="1">SUM((OFFSET(Data!$I$410,17*(ROW(Data!Y473)-434),0)):(OFFSET(Data!$I$423,17*(ROW(Data!Y473)-434),0)))</f>
        <v>755.88</v>
      </c>
      <c r="Y88" s="25">
        <f t="shared" ca="1" si="85"/>
        <v>4086.63</v>
      </c>
      <c r="Z88" s="25">
        <f ca="1">(OFFSET(Data!$F$412,17*(ROW(Data!Y473)-434),0))</f>
        <v>100</v>
      </c>
      <c r="AA88" s="6">
        <f ca="1">(OFFSET(Data!$F$411,17*(ROW(Data!Y473)-434),0))</f>
        <v>400</v>
      </c>
      <c r="AB88" s="6"/>
      <c r="AC88" s="6"/>
      <c r="AD88" s="25"/>
      <c r="AE88" s="25"/>
      <c r="AF88" s="335"/>
      <c r="AG88" s="15"/>
      <c r="AH88" s="25"/>
      <c r="AI88" s="25"/>
      <c r="AJ88" s="25"/>
      <c r="AK88" s="6"/>
      <c r="AL88" s="354"/>
      <c r="AM88" s="6">
        <f t="shared" si="86"/>
        <v>0</v>
      </c>
      <c r="AN88" s="6">
        <f t="shared" si="87"/>
        <v>0</v>
      </c>
      <c r="AO88" s="6">
        <f t="shared" si="88"/>
        <v>0</v>
      </c>
      <c r="AP88" s="6">
        <f t="shared" si="89"/>
        <v>0</v>
      </c>
      <c r="AQ88" s="335">
        <f t="shared" si="90"/>
        <v>0</v>
      </c>
      <c r="AR88" s="15"/>
      <c r="AS88" s="25"/>
      <c r="AT88" s="25"/>
      <c r="AU88" s="350"/>
      <c r="AV88" s="350"/>
      <c r="AW88" s="350"/>
      <c r="AX88" s="356"/>
    </row>
    <row r="89" spans="2:50">
      <c r="B89" s="65">
        <v>46508</v>
      </c>
      <c r="C89" s="6">
        <f ca="1">SUM((OFFSET(Data!$C$410,17*(ROW(Data!Y474)-434),0)):(OFFSET(Data!$C$423,17*(ROW(Data!Y474)-434),0)))</f>
        <v>4775.66</v>
      </c>
      <c r="D89" s="334">
        <f ca="1">(OFFSET(Data!$P$409,17*(ROW(Data!Y474)-434),0))</f>
        <v>20783.097304458523</v>
      </c>
      <c r="E89" s="6">
        <f ca="1">(OFFSET(Data!$P$412,17*(ROW(Data!Y474)-434),0))</f>
        <v>2376.7599999999934</v>
      </c>
      <c r="F89" s="6">
        <f ca="1">(OFFSET(Data!$P$418,17*(ROW(Data!Y474)-434),0))</f>
        <v>2358.88</v>
      </c>
      <c r="G89" s="25">
        <f ca="1">(OFFSET(Data!$P$415,17*(ROW(Data!Y474)-434),0))</f>
        <v>3135</v>
      </c>
      <c r="H89" s="25">
        <f ca="1">(OFFSET(Data!$P$421,17*(ROW(Data!Y474)-434),0))</f>
        <v>12912.45730445853</v>
      </c>
      <c r="K89" s="334"/>
      <c r="L89" s="25"/>
      <c r="M89" s="25"/>
      <c r="N89" s="25"/>
      <c r="O89" s="25"/>
      <c r="P89" s="25"/>
      <c r="Q89" s="25"/>
      <c r="R89" s="335">
        <f t="shared" ca="1" si="84"/>
        <v>4775.66</v>
      </c>
      <c r="S89" s="25">
        <v>150</v>
      </c>
      <c r="T89" s="25">
        <v>400</v>
      </c>
      <c r="U89" s="25">
        <v>0</v>
      </c>
      <c r="V89" s="25">
        <v>200</v>
      </c>
      <c r="W89" s="25">
        <f ca="1">SUM((OFFSET(Data!$F$410,17*(ROW(Data!Y474)-434),0)):(OFFSET(Data!$F$423,17*(ROW(Data!Y474)-434),0)))</f>
        <v>3330.75</v>
      </c>
      <c r="X89" s="25">
        <f ca="1">SUM((OFFSET(Data!$I$410,17*(ROW(Data!Y474)-434),0)):(OFFSET(Data!$I$423,17*(ROW(Data!Y474)-434),0)))</f>
        <v>755.88</v>
      </c>
      <c r="Y89" s="25">
        <f t="shared" ca="1" si="85"/>
        <v>4086.63</v>
      </c>
      <c r="Z89" s="25">
        <f ca="1">(OFFSET(Data!$F$412,17*(ROW(Data!Y474)-434),0))</f>
        <v>100</v>
      </c>
      <c r="AA89" s="6">
        <f ca="1">(OFFSET(Data!$F$411,17*(ROW(Data!Y474)-434),0))</f>
        <v>400</v>
      </c>
      <c r="AB89" s="6"/>
      <c r="AC89" s="6"/>
      <c r="AD89" s="25"/>
      <c r="AE89" s="25"/>
      <c r="AF89" s="335"/>
      <c r="AG89" s="15"/>
      <c r="AH89" s="25"/>
      <c r="AI89" s="25"/>
      <c r="AJ89" s="25"/>
      <c r="AK89" s="6"/>
      <c r="AL89" s="354"/>
      <c r="AM89" s="6">
        <f t="shared" si="86"/>
        <v>0</v>
      </c>
      <c r="AN89" s="6">
        <f t="shared" si="87"/>
        <v>0</v>
      </c>
      <c r="AO89" s="6">
        <f t="shared" si="88"/>
        <v>0</v>
      </c>
      <c r="AP89" s="6">
        <f t="shared" si="89"/>
        <v>0</v>
      </c>
      <c r="AQ89" s="335">
        <f t="shared" si="90"/>
        <v>0</v>
      </c>
      <c r="AR89" s="15"/>
      <c r="AS89" s="25"/>
      <c r="AT89" s="25"/>
      <c r="AU89" s="350"/>
      <c r="AV89" s="350"/>
      <c r="AW89" s="350"/>
      <c r="AX89" s="356"/>
    </row>
    <row r="90" spans="2:50">
      <c r="B90" s="65">
        <v>46539</v>
      </c>
      <c r="C90" s="6">
        <f ca="1">SUM((OFFSET(Data!$C$410,17*(ROW(Data!Y475)-434),0)):(OFFSET(Data!$C$423,17*(ROW(Data!Y475)-434),0)))</f>
        <v>4775.66</v>
      </c>
      <c r="D90" s="334">
        <f ca="1">(OFFSET(Data!$P$409,17*(ROW(Data!Y475)-434),0))</f>
        <v>21472.127304458525</v>
      </c>
      <c r="E90" s="6">
        <f ca="1">(OFFSET(Data!$P$412,17*(ROW(Data!Y475)-434),0))</f>
        <v>2515.7899999999931</v>
      </c>
      <c r="F90" s="6">
        <f ca="1">(OFFSET(Data!$P$418,17*(ROW(Data!Y475)-434),0))</f>
        <v>2508.88</v>
      </c>
      <c r="G90" s="25">
        <f ca="1">(OFFSET(Data!$P$415,17*(ROW(Data!Y475)-434),0))</f>
        <v>3335</v>
      </c>
      <c r="H90" s="25">
        <f ca="1">(OFFSET(Data!$P$421,17*(ROW(Data!Y475)-434),0))</f>
        <v>13112.45730445853</v>
      </c>
      <c r="K90" s="334"/>
      <c r="L90" s="25"/>
      <c r="M90" s="25"/>
      <c r="N90" s="25"/>
      <c r="O90" s="25"/>
      <c r="P90" s="25"/>
      <c r="Q90" s="25"/>
      <c r="R90" s="335">
        <f t="shared" ca="1" si="84"/>
        <v>4775.66</v>
      </c>
      <c r="S90" s="25">
        <v>150</v>
      </c>
      <c r="T90" s="25">
        <v>400</v>
      </c>
      <c r="U90" s="25">
        <v>0</v>
      </c>
      <c r="V90" s="25">
        <v>200</v>
      </c>
      <c r="W90" s="25">
        <f ca="1">SUM((OFFSET(Data!$F$410,17*(ROW(Data!Y475)-434),0)):(OFFSET(Data!$F$423,17*(ROW(Data!Y475)-434),0)))</f>
        <v>3330.75</v>
      </c>
      <c r="X90" s="25">
        <f ca="1">SUM((OFFSET(Data!$I$410,17*(ROW(Data!Y475)-434),0)):(OFFSET(Data!$I$423,17*(ROW(Data!Y475)-434),0)))</f>
        <v>755.88</v>
      </c>
      <c r="Y90" s="25">
        <f t="shared" ca="1" si="85"/>
        <v>4086.63</v>
      </c>
      <c r="Z90" s="25">
        <f ca="1">(OFFSET(Data!$F$412,17*(ROW(Data!Y475)-434),0))</f>
        <v>100</v>
      </c>
      <c r="AA90" s="6">
        <f ca="1">(OFFSET(Data!$F$411,17*(ROW(Data!Y475)-434),0))</f>
        <v>400</v>
      </c>
      <c r="AB90" s="6"/>
      <c r="AC90" s="6"/>
      <c r="AD90" s="25"/>
      <c r="AE90" s="25"/>
      <c r="AF90" s="335"/>
      <c r="AG90" s="15"/>
      <c r="AH90" s="25"/>
      <c r="AI90" s="25"/>
      <c r="AJ90" s="25"/>
      <c r="AK90" s="6"/>
      <c r="AL90" s="354"/>
      <c r="AM90" s="6">
        <f t="shared" si="86"/>
        <v>0</v>
      </c>
      <c r="AN90" s="6">
        <f t="shared" si="87"/>
        <v>0</v>
      </c>
      <c r="AO90" s="6">
        <f t="shared" si="88"/>
        <v>0</v>
      </c>
      <c r="AP90" s="6">
        <f t="shared" si="89"/>
        <v>0</v>
      </c>
      <c r="AQ90" s="335">
        <f t="shared" si="90"/>
        <v>0</v>
      </c>
      <c r="AR90" s="15"/>
      <c r="AS90" s="25"/>
      <c r="AT90" s="25"/>
      <c r="AU90" s="350"/>
      <c r="AV90" s="350"/>
      <c r="AW90" s="350"/>
      <c r="AX90" s="356"/>
    </row>
    <row r="91" spans="2:50">
      <c r="B91" s="65">
        <v>46569</v>
      </c>
      <c r="C91" s="6">
        <f ca="1">SUM((OFFSET(Data!$C$410,17*(ROW(Data!Y476)-434),0)):(OFFSET(Data!$C$423,17*(ROW(Data!Y476)-434),0)))</f>
        <v>4775.66</v>
      </c>
      <c r="D91" s="334">
        <f ca="1">(OFFSET(Data!$P$409,17*(ROW(Data!Y476)-434),0))</f>
        <v>22161.157304458524</v>
      </c>
      <c r="E91" s="6">
        <f ca="1">(OFFSET(Data!$P$412,17*(ROW(Data!Y476)-434),0))</f>
        <v>2654.8199999999929</v>
      </c>
      <c r="F91" s="6">
        <f ca="1">(OFFSET(Data!$P$418,17*(ROW(Data!Y476)-434),0))</f>
        <v>2658.88</v>
      </c>
      <c r="G91" s="25">
        <f ca="1">(OFFSET(Data!$P$415,17*(ROW(Data!Y476)-434),0))</f>
        <v>3535</v>
      </c>
      <c r="H91" s="25">
        <f ca="1">(OFFSET(Data!$P$421,17*(ROW(Data!Y476)-434),0))</f>
        <v>13312.45730445853</v>
      </c>
      <c r="K91" s="334"/>
      <c r="L91" s="25"/>
      <c r="M91" s="25"/>
      <c r="N91" s="25"/>
      <c r="O91" s="25"/>
      <c r="P91" s="25"/>
      <c r="Q91" s="25"/>
      <c r="R91" s="335">
        <f t="shared" ca="1" si="84"/>
        <v>4775.66</v>
      </c>
      <c r="S91" s="334">
        <v>150</v>
      </c>
      <c r="T91" s="25">
        <v>400</v>
      </c>
      <c r="U91" s="25">
        <v>0</v>
      </c>
      <c r="V91" s="25">
        <v>200</v>
      </c>
      <c r="W91" s="25">
        <f ca="1">SUM((OFFSET(Data!$F$410,17*(ROW(Data!Y476)-434),0)):(OFFSET(Data!$F$423,17*(ROW(Data!Y476)-434),0)))</f>
        <v>3330.75</v>
      </c>
      <c r="X91" s="25">
        <f ca="1">SUM((OFFSET(Data!$I$410,17*(ROW(Data!Y476)-434),0)):(OFFSET(Data!$I$423,17*(ROW(Data!Y476)-434),0)))</f>
        <v>755.88</v>
      </c>
      <c r="Y91" s="25">
        <f t="shared" ca="1" si="85"/>
        <v>4086.63</v>
      </c>
      <c r="Z91" s="25">
        <f ca="1">(OFFSET(Data!$F$412,17*(ROW(Data!Y476)-434),0))</f>
        <v>100</v>
      </c>
      <c r="AA91" s="6">
        <f ca="1">(OFFSET(Data!$F$411,17*(ROW(Data!Y476)-434),0))</f>
        <v>400</v>
      </c>
      <c r="AB91" s="6"/>
      <c r="AC91" s="6"/>
      <c r="AD91" s="25"/>
      <c r="AE91" s="25"/>
      <c r="AF91" s="335"/>
      <c r="AG91" s="15"/>
      <c r="AH91" s="25"/>
      <c r="AI91" s="25"/>
      <c r="AJ91" s="25"/>
      <c r="AK91" s="6"/>
      <c r="AL91" s="354"/>
      <c r="AM91" s="6">
        <f t="shared" si="86"/>
        <v>0</v>
      </c>
      <c r="AN91" s="6">
        <f t="shared" si="87"/>
        <v>0</v>
      </c>
      <c r="AO91" s="6">
        <f t="shared" si="88"/>
        <v>0</v>
      </c>
      <c r="AP91" s="6">
        <f t="shared" si="89"/>
        <v>0</v>
      </c>
      <c r="AQ91" s="335">
        <f t="shared" si="90"/>
        <v>0</v>
      </c>
      <c r="AR91" s="15"/>
      <c r="AS91" s="25"/>
      <c r="AT91" s="25"/>
      <c r="AU91" s="350"/>
      <c r="AV91" s="350"/>
      <c r="AW91" s="350"/>
      <c r="AX91" s="356"/>
    </row>
    <row r="92" spans="2:50">
      <c r="B92" s="65">
        <v>46600</v>
      </c>
      <c r="C92" s="6">
        <f ca="1">SUM((OFFSET(Data!$C$410,17*(ROW(Data!Y477)-434),0)):(OFFSET(Data!$C$423,17*(ROW(Data!Y477)-434),0)))</f>
        <v>4775.66</v>
      </c>
      <c r="D92" s="334">
        <f ca="1">(OFFSET(Data!$P$409,17*(ROW(Data!Y477)-434),0))</f>
        <v>22850.187304458523</v>
      </c>
      <c r="E92" s="6">
        <f ca="1">(OFFSET(Data!$P$412,17*(ROW(Data!Y477)-434),0))</f>
        <v>2793.8499999999926</v>
      </c>
      <c r="F92" s="6">
        <f ca="1">(OFFSET(Data!$P$418,17*(ROW(Data!Y477)-434),0))</f>
        <v>2808.88</v>
      </c>
      <c r="G92" s="25">
        <f ca="1">(OFFSET(Data!$P$415,17*(ROW(Data!Y477)-434),0))</f>
        <v>3735</v>
      </c>
      <c r="H92" s="25">
        <f ca="1">(OFFSET(Data!$P$421,17*(ROW(Data!Y477)-434),0))</f>
        <v>13512.45730445853</v>
      </c>
      <c r="K92" s="334"/>
      <c r="L92" s="25"/>
      <c r="M92" s="25"/>
      <c r="N92" s="25"/>
      <c r="O92" s="25"/>
      <c r="P92" s="25"/>
      <c r="Q92" s="25"/>
      <c r="R92" s="335">
        <f t="shared" ca="1" si="84"/>
        <v>4775.66</v>
      </c>
      <c r="S92" s="334">
        <v>150</v>
      </c>
      <c r="T92" s="25">
        <v>400</v>
      </c>
      <c r="U92" s="25">
        <v>0</v>
      </c>
      <c r="V92" s="25">
        <v>200</v>
      </c>
      <c r="W92" s="25">
        <f ca="1">SUM((OFFSET(Data!$F$410,17*(ROW(Data!Y477)-434),0)):(OFFSET(Data!$F$423,17*(ROW(Data!Y477)-434),0)))</f>
        <v>3330.75</v>
      </c>
      <c r="X92" s="25">
        <f ca="1">SUM((OFFSET(Data!$I$410,17*(ROW(Data!Y477)-434),0)):(OFFSET(Data!$I$423,17*(ROW(Data!Y477)-434),0)))</f>
        <v>755.88</v>
      </c>
      <c r="Y92" s="25">
        <f t="shared" ca="1" si="85"/>
        <v>4086.63</v>
      </c>
      <c r="Z92" s="25">
        <f ca="1">(OFFSET(Data!$F$412,17*(ROW(Data!Y477)-434),0))</f>
        <v>100</v>
      </c>
      <c r="AA92" s="6">
        <f ca="1">(OFFSET(Data!$F$411,17*(ROW(Data!Y477)-434),0))</f>
        <v>400</v>
      </c>
      <c r="AB92" s="6"/>
      <c r="AC92" s="6"/>
      <c r="AD92" s="25"/>
      <c r="AE92" s="25"/>
      <c r="AF92" s="335"/>
      <c r="AG92" s="15"/>
      <c r="AH92" s="25"/>
      <c r="AI92" s="25"/>
      <c r="AJ92" s="25"/>
      <c r="AK92" s="6"/>
      <c r="AL92" s="354"/>
      <c r="AM92" s="6">
        <f t="shared" si="86"/>
        <v>0</v>
      </c>
      <c r="AN92" s="6">
        <f t="shared" si="87"/>
        <v>0</v>
      </c>
      <c r="AO92" s="6">
        <f t="shared" si="88"/>
        <v>0</v>
      </c>
      <c r="AP92" s="6">
        <f t="shared" si="89"/>
        <v>0</v>
      </c>
      <c r="AQ92" s="335">
        <f t="shared" si="90"/>
        <v>0</v>
      </c>
      <c r="AR92" s="15"/>
      <c r="AS92" s="25"/>
      <c r="AT92" s="25"/>
      <c r="AU92" s="350"/>
      <c r="AV92" s="350"/>
      <c r="AW92" s="350"/>
      <c r="AX92" s="356"/>
    </row>
    <row r="93" spans="2:50">
      <c r="B93" s="65">
        <v>46631</v>
      </c>
      <c r="C93" s="6">
        <f ca="1">SUM((OFFSET(Data!$C$410,17*(ROW(Data!Y478)-434),0)):(OFFSET(Data!$C$423,17*(ROW(Data!Y478)-434),0)))</f>
        <v>4775.66</v>
      </c>
      <c r="D93" s="334">
        <f ca="1">(OFFSET(Data!$P$409,17*(ROW(Data!Y478)-434),0))</f>
        <v>23539.217304458522</v>
      </c>
      <c r="E93" s="6">
        <f ca="1">(OFFSET(Data!$P$412,17*(ROW(Data!Y478)-434),0))</f>
        <v>2932.8799999999924</v>
      </c>
      <c r="F93" s="6">
        <f ca="1">(OFFSET(Data!$P$418,17*(ROW(Data!Y478)-434),0))</f>
        <v>2958.88</v>
      </c>
      <c r="G93" s="25">
        <f ca="1">(OFFSET(Data!$P$415,17*(ROW(Data!Y478)-434),0))</f>
        <v>3935</v>
      </c>
      <c r="H93" s="25">
        <f ca="1">(OFFSET(Data!$P$421,17*(ROW(Data!Y478)-434),0))</f>
        <v>13712.45730445853</v>
      </c>
      <c r="K93" s="334"/>
      <c r="L93" s="25"/>
      <c r="M93" s="25"/>
      <c r="N93" s="25"/>
      <c r="O93" s="25"/>
      <c r="P93" s="25"/>
      <c r="Q93" s="25"/>
      <c r="R93" s="335">
        <f t="shared" ca="1" si="84"/>
        <v>4775.66</v>
      </c>
      <c r="S93" s="25">
        <v>150</v>
      </c>
      <c r="T93" s="25">
        <v>400</v>
      </c>
      <c r="U93" s="25">
        <v>0</v>
      </c>
      <c r="V93" s="25">
        <v>200</v>
      </c>
      <c r="W93" s="25">
        <f ca="1">SUM((OFFSET(Data!$F$410,17*(ROW(Data!Y478)-434),0)):(OFFSET(Data!$F$423,17*(ROW(Data!Y478)-434),0)))</f>
        <v>3330.75</v>
      </c>
      <c r="X93" s="25">
        <f ca="1">SUM((OFFSET(Data!$I$410,17*(ROW(Data!Y478)-434),0)):(OFFSET(Data!$I$423,17*(ROW(Data!Y478)-434),0)))</f>
        <v>755.88</v>
      </c>
      <c r="Y93" s="25">
        <f t="shared" ca="1" si="85"/>
        <v>4086.63</v>
      </c>
      <c r="Z93" s="25">
        <f ca="1">(OFFSET(Data!$F$412,17*(ROW(Data!Y478)-434),0))</f>
        <v>100</v>
      </c>
      <c r="AA93" s="6">
        <f ca="1">(OFFSET(Data!$F$411,17*(ROW(Data!Y478)-434),0))</f>
        <v>400</v>
      </c>
      <c r="AB93" s="6"/>
      <c r="AC93" s="6"/>
      <c r="AD93" s="25"/>
      <c r="AE93" s="25"/>
      <c r="AF93" s="335"/>
      <c r="AG93" s="15"/>
      <c r="AH93" s="25"/>
      <c r="AI93" s="25"/>
      <c r="AJ93" s="25"/>
      <c r="AK93" s="6"/>
      <c r="AL93" s="354"/>
      <c r="AM93" s="6">
        <f t="shared" si="86"/>
        <v>0</v>
      </c>
      <c r="AN93" s="6">
        <f t="shared" si="87"/>
        <v>0</v>
      </c>
      <c r="AO93" s="6">
        <f t="shared" si="88"/>
        <v>0</v>
      </c>
      <c r="AP93" s="6">
        <f t="shared" si="89"/>
        <v>0</v>
      </c>
      <c r="AQ93" s="335">
        <f t="shared" si="90"/>
        <v>0</v>
      </c>
      <c r="AR93" s="15"/>
      <c r="AS93" s="25"/>
      <c r="AT93" s="25"/>
      <c r="AU93" s="350"/>
      <c r="AV93" s="350"/>
      <c r="AW93" s="350"/>
      <c r="AX93" s="356"/>
    </row>
    <row r="94" spans="2:50">
      <c r="B94" s="65">
        <v>46661</v>
      </c>
      <c r="C94" s="6">
        <f ca="1">SUM((OFFSET(Data!$C$410,17*(ROW(Data!Y479)-434),0)):(OFFSET(Data!$C$423,17*(ROW(Data!Y479)-434),0)))</f>
        <v>4775.66</v>
      </c>
      <c r="D94" s="334">
        <f ca="1">(OFFSET(Data!$P$409,17*(ROW(Data!Y479)-434),0))</f>
        <v>24228.247304458524</v>
      </c>
      <c r="E94" s="6">
        <f ca="1">(OFFSET(Data!$P$412,17*(ROW(Data!Y479)-434),0))</f>
        <v>3071.9099999999921</v>
      </c>
      <c r="F94" s="6">
        <f ca="1">(OFFSET(Data!$P$418,17*(ROW(Data!Y479)-434),0))</f>
        <v>3108.88</v>
      </c>
      <c r="G94" s="25">
        <f ca="1">(OFFSET(Data!$P$415,17*(ROW(Data!Y479)-434),0))</f>
        <v>4135</v>
      </c>
      <c r="H94" s="25">
        <f ca="1">(OFFSET(Data!$P$421,17*(ROW(Data!Y479)-434),0))</f>
        <v>13912.45730445853</v>
      </c>
      <c r="K94" s="334"/>
      <c r="L94" s="25"/>
      <c r="M94" s="25"/>
      <c r="N94" s="25"/>
      <c r="O94" s="25"/>
      <c r="P94" s="25"/>
      <c r="Q94" s="25"/>
      <c r="R94" s="335">
        <f t="shared" ca="1" si="84"/>
        <v>4775.66</v>
      </c>
      <c r="S94" s="25">
        <v>150</v>
      </c>
      <c r="T94" s="25">
        <v>400</v>
      </c>
      <c r="U94" s="25">
        <v>0</v>
      </c>
      <c r="V94" s="25">
        <v>200</v>
      </c>
      <c r="W94" s="25">
        <f ca="1">SUM((OFFSET(Data!$F$410,17*(ROW(Data!Y479)-434),0)):(OFFSET(Data!$F$423,17*(ROW(Data!Y479)-434),0)))</f>
        <v>3330.75</v>
      </c>
      <c r="X94" s="25">
        <f ca="1">SUM((OFFSET(Data!$I$410,17*(ROW(Data!Y479)-434),0)):(OFFSET(Data!$I$423,17*(ROW(Data!Y479)-434),0)))</f>
        <v>755.88</v>
      </c>
      <c r="Y94" s="25">
        <f t="shared" ca="1" si="85"/>
        <v>4086.63</v>
      </c>
      <c r="Z94" s="25">
        <f ca="1">(OFFSET(Data!$F$412,17*(ROW(Data!Y479)-434),0))</f>
        <v>100</v>
      </c>
      <c r="AA94" s="6">
        <f ca="1">(OFFSET(Data!$F$411,17*(ROW(Data!Y479)-434),0))</f>
        <v>400</v>
      </c>
      <c r="AB94" s="6"/>
      <c r="AC94" s="6"/>
      <c r="AD94" s="25"/>
      <c r="AE94" s="25"/>
      <c r="AF94" s="335"/>
      <c r="AG94" s="15"/>
      <c r="AH94" s="25"/>
      <c r="AI94" s="25"/>
      <c r="AJ94" s="25"/>
      <c r="AK94" s="6"/>
      <c r="AL94" s="354"/>
      <c r="AM94" s="6">
        <f t="shared" si="86"/>
        <v>0</v>
      </c>
      <c r="AN94" s="6">
        <f t="shared" si="87"/>
        <v>0</v>
      </c>
      <c r="AO94" s="6">
        <f t="shared" si="88"/>
        <v>0</v>
      </c>
      <c r="AP94" s="6">
        <f t="shared" si="89"/>
        <v>0</v>
      </c>
      <c r="AQ94" s="335">
        <f t="shared" si="90"/>
        <v>0</v>
      </c>
      <c r="AR94" s="15"/>
      <c r="AS94" s="25"/>
      <c r="AT94" s="25"/>
      <c r="AU94" s="350"/>
      <c r="AV94" s="350"/>
      <c r="AW94" s="350"/>
      <c r="AX94" s="356"/>
    </row>
    <row r="95" spans="2:50">
      <c r="B95" s="65">
        <v>46692</v>
      </c>
      <c r="C95" s="6">
        <f ca="1">SUM((OFFSET(Data!$C$410,17*(ROW(Data!Y480)-434),0)):(OFFSET(Data!$C$423,17*(ROW(Data!Y480)-434),0)))</f>
        <v>4775.66</v>
      </c>
      <c r="D95" s="334">
        <f ca="1">(OFFSET(Data!$P$409,17*(ROW(Data!Y480)-434),0))</f>
        <v>24917.277304458523</v>
      </c>
      <c r="E95" s="6">
        <f ca="1">(OFFSET(Data!$P$412,17*(ROW(Data!Y480)-434),0))</f>
        <v>3210.9399999999919</v>
      </c>
      <c r="F95" s="6">
        <f ca="1">(OFFSET(Data!$P$418,17*(ROW(Data!Y480)-434),0))</f>
        <v>3258.88</v>
      </c>
      <c r="G95" s="25">
        <f ca="1">(OFFSET(Data!$P$415,17*(ROW(Data!Y480)-434),0))</f>
        <v>4335</v>
      </c>
      <c r="H95" s="25">
        <f ca="1">(OFFSET(Data!$P$421,17*(ROW(Data!Y480)-434),0))</f>
        <v>14112.45730445853</v>
      </c>
      <c r="K95" s="334"/>
      <c r="L95" s="25"/>
      <c r="M95" s="25"/>
      <c r="N95" s="25"/>
      <c r="O95" s="25"/>
      <c r="P95" s="25"/>
      <c r="Q95" s="25"/>
      <c r="R95" s="335">
        <f t="shared" ca="1" si="84"/>
        <v>4775.66</v>
      </c>
      <c r="S95" s="334">
        <v>150</v>
      </c>
      <c r="T95" s="25">
        <v>400</v>
      </c>
      <c r="U95" s="25">
        <v>0</v>
      </c>
      <c r="V95" s="25">
        <v>200</v>
      </c>
      <c r="W95" s="25">
        <f ca="1">SUM((OFFSET(Data!$F$410,17*(ROW(Data!Y480)-434),0)):(OFFSET(Data!$F$423,17*(ROW(Data!Y480)-434),0)))</f>
        <v>3330.75</v>
      </c>
      <c r="X95" s="25">
        <f ca="1">SUM((OFFSET(Data!$I$410,17*(ROW(Data!Y480)-434),0)):(OFFSET(Data!$I$423,17*(ROW(Data!Y480)-434),0)))</f>
        <v>755.88</v>
      </c>
      <c r="Y95" s="25">
        <f t="shared" ca="1" si="85"/>
        <v>4086.63</v>
      </c>
      <c r="Z95" s="25">
        <f ca="1">(OFFSET(Data!$F$412,17*(ROW(Data!Y480)-434),0))</f>
        <v>100</v>
      </c>
      <c r="AA95" s="6">
        <f ca="1">(OFFSET(Data!$F$411,17*(ROW(Data!Y480)-434),0))</f>
        <v>400</v>
      </c>
      <c r="AB95" s="6"/>
      <c r="AC95" s="6"/>
      <c r="AD95" s="25"/>
      <c r="AE95" s="25"/>
      <c r="AF95" s="335"/>
      <c r="AG95" s="15"/>
      <c r="AH95" s="25"/>
      <c r="AI95" s="25"/>
      <c r="AJ95" s="25"/>
      <c r="AK95" s="6"/>
      <c r="AL95" s="354"/>
      <c r="AM95" s="6">
        <f t="shared" si="86"/>
        <v>0</v>
      </c>
      <c r="AN95" s="6">
        <f t="shared" si="87"/>
        <v>0</v>
      </c>
      <c r="AO95" s="6">
        <f t="shared" si="88"/>
        <v>0</v>
      </c>
      <c r="AP95" s="6">
        <f t="shared" si="89"/>
        <v>0</v>
      </c>
      <c r="AQ95" s="335">
        <f t="shared" si="90"/>
        <v>0</v>
      </c>
      <c r="AR95" s="15"/>
      <c r="AS95" s="25"/>
      <c r="AT95" s="25"/>
      <c r="AU95" s="350"/>
      <c r="AV95" s="350"/>
      <c r="AW95" s="350"/>
      <c r="AX95" s="356"/>
    </row>
    <row r="96" spans="2:50">
      <c r="B96" s="65">
        <v>46722</v>
      </c>
      <c r="C96" s="6">
        <f ca="1">SUM((OFFSET(Data!$C$410,17*(ROW(Data!Y481)-434),0)):(OFFSET(Data!$C$423,17*(ROW(Data!Y481)-434),0)))</f>
        <v>4775.66</v>
      </c>
      <c r="D96" s="334">
        <f ca="1">(OFFSET(Data!$P$409,17*(ROW(Data!Y481)-434),0))</f>
        <v>25606.307304458522</v>
      </c>
      <c r="E96" s="6">
        <f ca="1">(OFFSET(Data!$P$412,17*(ROW(Data!Y481)-434),0))</f>
        <v>3349.9699999999916</v>
      </c>
      <c r="F96" s="6">
        <f ca="1">(OFFSET(Data!$P$418,17*(ROW(Data!Y481)-434),0))</f>
        <v>3408.88</v>
      </c>
      <c r="G96" s="25">
        <f ca="1">(OFFSET(Data!$P$415,17*(ROW(Data!Y481)-434),0))</f>
        <v>4535</v>
      </c>
      <c r="H96" s="25">
        <f ca="1">(OFFSET(Data!$P$421,17*(ROW(Data!Y481)-434),0))</f>
        <v>14312.45730445853</v>
      </c>
      <c r="K96" s="334"/>
      <c r="L96" s="25"/>
      <c r="M96" s="25"/>
      <c r="N96" s="25"/>
      <c r="O96" s="25"/>
      <c r="P96" s="25"/>
      <c r="Q96" s="25"/>
      <c r="R96" s="335">
        <f t="shared" ca="1" si="84"/>
        <v>4775.66</v>
      </c>
      <c r="S96" s="334">
        <v>150</v>
      </c>
      <c r="T96" s="25">
        <v>400</v>
      </c>
      <c r="U96" s="25">
        <v>0</v>
      </c>
      <c r="V96" s="25">
        <v>200</v>
      </c>
      <c r="W96" s="25">
        <f ca="1">SUM((OFFSET(Data!$F$410,17*(ROW(Data!Y481)-434),0)):(OFFSET(Data!$F$423,17*(ROW(Data!Y481)-434),0)))</f>
        <v>3330.75</v>
      </c>
      <c r="X96" s="25">
        <f ca="1">SUM((OFFSET(Data!$I$410,17*(ROW(Data!Y481)-434),0)):(OFFSET(Data!$I$423,17*(ROW(Data!Y481)-434),0)))</f>
        <v>755.88</v>
      </c>
      <c r="Y96" s="25">
        <f t="shared" ca="1" si="85"/>
        <v>4086.63</v>
      </c>
      <c r="Z96" s="25">
        <f ca="1">(OFFSET(Data!$F$412,17*(ROW(Data!Y481)-434),0))</f>
        <v>100</v>
      </c>
      <c r="AA96" s="6">
        <f ca="1">(OFFSET(Data!$F$411,17*(ROW(Data!Y481)-434),0))</f>
        <v>400</v>
      </c>
      <c r="AB96" s="6"/>
      <c r="AC96" s="6"/>
      <c r="AD96" s="25"/>
      <c r="AE96" s="25"/>
      <c r="AF96" s="335"/>
      <c r="AG96" s="15"/>
      <c r="AH96" s="25"/>
      <c r="AI96" s="25"/>
      <c r="AJ96" s="25"/>
      <c r="AK96" s="6"/>
      <c r="AL96" s="354"/>
      <c r="AM96" s="6">
        <f t="shared" si="86"/>
        <v>0</v>
      </c>
      <c r="AN96" s="6">
        <f t="shared" si="87"/>
        <v>0</v>
      </c>
      <c r="AO96" s="6">
        <f t="shared" si="88"/>
        <v>0</v>
      </c>
      <c r="AP96" s="6">
        <f t="shared" si="89"/>
        <v>0</v>
      </c>
      <c r="AQ96" s="335">
        <f t="shared" si="90"/>
        <v>0</v>
      </c>
      <c r="AR96" s="15"/>
      <c r="AS96" s="25"/>
      <c r="AT96" s="25"/>
      <c r="AU96" s="350"/>
      <c r="AV96" s="350"/>
      <c r="AW96" s="350"/>
      <c r="AX96" s="356"/>
    </row>
    <row r="97" spans="2:50">
      <c r="B97" s="65">
        <v>46753</v>
      </c>
      <c r="C97" s="6">
        <f ca="1">SUM((OFFSET(Data!$C$410,17*(ROW(Data!Y482)-434),0)):(OFFSET(Data!$C$423,17*(ROW(Data!Y482)-434),0)))</f>
        <v>4775.66</v>
      </c>
      <c r="D97" s="334">
        <f ca="1">(OFFSET(Data!$P$409,17*(ROW(Data!Y482)-434),0))</f>
        <v>26295.337304458521</v>
      </c>
      <c r="E97" s="6">
        <f ca="1">(OFFSET(Data!$P$412,17*(ROW(Data!Y482)-434),0))</f>
        <v>3488.9999999999914</v>
      </c>
      <c r="F97" s="6">
        <f ca="1">(OFFSET(Data!$P$418,17*(ROW(Data!Y482)-434),0))</f>
        <v>3558.88</v>
      </c>
      <c r="G97" s="25">
        <f ca="1">(OFFSET(Data!$P$415,17*(ROW(Data!Y482)-434),0))</f>
        <v>4735</v>
      </c>
      <c r="H97" s="25">
        <f ca="1">(OFFSET(Data!$P$421,17*(ROW(Data!Y482)-434),0))</f>
        <v>14512.45730445853</v>
      </c>
      <c r="I97" s="25"/>
      <c r="J97" s="25"/>
      <c r="K97" s="334"/>
      <c r="L97" s="25"/>
      <c r="M97" s="25"/>
      <c r="N97" s="25"/>
      <c r="O97" s="25"/>
      <c r="P97" s="25"/>
      <c r="Q97" s="25"/>
      <c r="R97" s="335">
        <f t="shared" ca="1" si="84"/>
        <v>4775.66</v>
      </c>
      <c r="S97" s="25">
        <v>150</v>
      </c>
      <c r="T97" s="25">
        <v>400</v>
      </c>
      <c r="U97" s="25">
        <v>0</v>
      </c>
      <c r="V97" s="25">
        <v>200</v>
      </c>
      <c r="W97" s="25">
        <f ca="1">SUM((OFFSET(Data!$F$410,17*(ROW(Data!Y482)-434),0)):(OFFSET(Data!$F$423,17*(ROW(Data!Y482)-434),0)))</f>
        <v>3330.75</v>
      </c>
      <c r="X97" s="25">
        <f ca="1">SUM((OFFSET(Data!$I$410,17*(ROW(Data!Y482)-434),0)):(OFFSET(Data!$I$423,17*(ROW(Data!Y482)-434),0)))</f>
        <v>755.88</v>
      </c>
      <c r="Y97" s="25">
        <f t="shared" ca="1" si="85"/>
        <v>4086.63</v>
      </c>
      <c r="Z97" s="25">
        <f ca="1">(OFFSET(Data!$F$412,17*(ROW(Data!Y482)-434),0))</f>
        <v>100</v>
      </c>
      <c r="AA97" s="6">
        <f ca="1">(OFFSET(Data!$F$411,17*(ROW(Data!Y482)-434),0))</f>
        <v>400</v>
      </c>
      <c r="AB97" s="6"/>
      <c r="AC97" s="6"/>
      <c r="AD97" s="25"/>
      <c r="AE97" s="25"/>
      <c r="AF97" s="335"/>
      <c r="AG97" s="15"/>
      <c r="AH97" s="25"/>
      <c r="AI97" s="25"/>
      <c r="AJ97" s="25"/>
      <c r="AK97" s="6"/>
      <c r="AL97" s="354"/>
      <c r="AM97" s="6">
        <f t="shared" si="86"/>
        <v>0</v>
      </c>
      <c r="AN97" s="6">
        <f t="shared" si="87"/>
        <v>0</v>
      </c>
      <c r="AO97" s="6">
        <f t="shared" si="88"/>
        <v>0</v>
      </c>
      <c r="AP97" s="6">
        <f t="shared" si="89"/>
        <v>0</v>
      </c>
      <c r="AQ97" s="335">
        <f t="shared" si="90"/>
        <v>0</v>
      </c>
      <c r="AR97" s="15"/>
      <c r="AS97" s="25"/>
      <c r="AT97" s="25"/>
      <c r="AU97" s="350"/>
      <c r="AV97" s="350"/>
      <c r="AW97" s="350"/>
      <c r="AX97" s="356"/>
    </row>
    <row r="98" spans="2:50">
      <c r="B98" s="65">
        <v>46784</v>
      </c>
      <c r="C98" s="6">
        <f ca="1">SUM((OFFSET(Data!$C$410,17*(ROW(Data!Y483)-434),0)):(OFFSET(Data!$C$423,17*(ROW(Data!Y483)-434),0)))</f>
        <v>4775.66</v>
      </c>
      <c r="D98" s="334">
        <f ca="1">(OFFSET(Data!$P$409,17*(ROW(Data!Y483)-434),0))</f>
        <v>26984.367304458523</v>
      </c>
      <c r="E98" s="6">
        <f ca="1">(OFFSET(Data!$P$412,17*(ROW(Data!Y483)-434),0))</f>
        <v>3628.0299999999916</v>
      </c>
      <c r="F98" s="6">
        <f ca="1">(OFFSET(Data!$P$418,17*(ROW(Data!Y483)-434),0))</f>
        <v>3708.88</v>
      </c>
      <c r="G98" s="25">
        <f ca="1">(OFFSET(Data!$P$415,17*(ROW(Data!Y483)-434),0))</f>
        <v>4935</v>
      </c>
      <c r="H98" s="25">
        <f ca="1">(OFFSET(Data!$P$421,17*(ROW(Data!Y483)-434),0))</f>
        <v>14712.45730445853</v>
      </c>
      <c r="I98" s="25"/>
      <c r="J98" s="25"/>
      <c r="K98" s="334"/>
      <c r="L98" s="25"/>
      <c r="M98" s="25"/>
      <c r="N98" s="25"/>
      <c r="O98" s="25"/>
      <c r="P98" s="25"/>
      <c r="Q98" s="25"/>
      <c r="R98" s="335">
        <f t="shared" ca="1" si="84"/>
        <v>4775.66</v>
      </c>
      <c r="S98" s="25">
        <v>150</v>
      </c>
      <c r="T98" s="25">
        <v>400</v>
      </c>
      <c r="U98" s="25">
        <v>0</v>
      </c>
      <c r="V98" s="25">
        <v>200</v>
      </c>
      <c r="W98" s="25">
        <f ca="1">SUM((OFFSET(Data!$F$410,17*(ROW(Data!Y483)-434),0)):(OFFSET(Data!$F$423,17*(ROW(Data!Y483)-434),0)))</f>
        <v>3330.75</v>
      </c>
      <c r="X98" s="25">
        <f ca="1">SUM((OFFSET(Data!$I$410,17*(ROW(Data!Y483)-434),0)):(OFFSET(Data!$I$423,17*(ROW(Data!Y483)-434),0)))</f>
        <v>755.88</v>
      </c>
      <c r="Y98" s="25">
        <f t="shared" ca="1" si="85"/>
        <v>4086.63</v>
      </c>
      <c r="Z98" s="25">
        <f ca="1">(OFFSET(Data!$F$412,17*(ROW(Data!Y483)-434),0))</f>
        <v>100</v>
      </c>
      <c r="AA98" s="6">
        <f ca="1">(OFFSET(Data!$F$411,17*(ROW(Data!Y483)-434),0))</f>
        <v>400</v>
      </c>
      <c r="AB98" s="6"/>
      <c r="AC98" s="6"/>
      <c r="AD98" s="25"/>
      <c r="AE98" s="25"/>
      <c r="AF98" s="335"/>
      <c r="AG98" s="15"/>
      <c r="AH98" s="25"/>
      <c r="AI98" s="25"/>
      <c r="AJ98" s="25"/>
      <c r="AK98" s="6"/>
      <c r="AL98" s="354"/>
      <c r="AM98" s="6">
        <f t="shared" si="86"/>
        <v>0</v>
      </c>
      <c r="AN98" s="6">
        <f t="shared" si="87"/>
        <v>0</v>
      </c>
      <c r="AO98" s="6">
        <f t="shared" si="88"/>
        <v>0</v>
      </c>
      <c r="AP98" s="6">
        <f t="shared" si="89"/>
        <v>0</v>
      </c>
      <c r="AQ98" s="335">
        <f t="shared" si="90"/>
        <v>0</v>
      </c>
      <c r="AR98" s="15"/>
      <c r="AS98" s="25"/>
      <c r="AT98" s="25"/>
      <c r="AU98" s="350"/>
      <c r="AV98" s="350"/>
      <c r="AW98" s="350"/>
      <c r="AX98" s="356"/>
    </row>
    <row r="99" spans="2:50">
      <c r="B99" s="65">
        <v>46813</v>
      </c>
      <c r="C99" s="6">
        <f ca="1">SUM((OFFSET(Data!$C$410,17*(ROW(Data!Y484)-434),0)):(OFFSET(Data!$C$423,17*(ROW(Data!Y484)-434),0)))</f>
        <v>4775.66</v>
      </c>
      <c r="D99" s="334">
        <f ca="1">(OFFSET(Data!$P$409,17*(ROW(Data!Y484)-434),0))</f>
        <v>27673.397304458522</v>
      </c>
      <c r="E99" s="6">
        <f ca="1">(OFFSET(Data!$P$412,17*(ROW(Data!Y484)-434),0))</f>
        <v>3767.0599999999913</v>
      </c>
      <c r="F99" s="6">
        <f ca="1">(OFFSET(Data!$P$418,17*(ROW(Data!Y484)-434),0))</f>
        <v>3858.88</v>
      </c>
      <c r="G99" s="25">
        <f ca="1">(OFFSET(Data!$P$415,17*(ROW(Data!Y484)-434),0))</f>
        <v>5135</v>
      </c>
      <c r="H99" s="25">
        <f ca="1">(OFFSET(Data!$P$421,17*(ROW(Data!Y484)-434),0))</f>
        <v>14912.45730445853</v>
      </c>
      <c r="I99" s="25"/>
      <c r="J99" s="25"/>
      <c r="K99" s="334"/>
      <c r="L99" s="25"/>
      <c r="M99" s="25"/>
      <c r="N99" s="25"/>
      <c r="O99" s="25"/>
      <c r="P99" s="25"/>
      <c r="Q99" s="25"/>
      <c r="R99" s="335">
        <f t="shared" ca="1" si="84"/>
        <v>4775.66</v>
      </c>
      <c r="S99" s="334">
        <v>150</v>
      </c>
      <c r="T99" s="25">
        <v>400</v>
      </c>
      <c r="U99" s="25">
        <v>0</v>
      </c>
      <c r="V99" s="25">
        <v>200</v>
      </c>
      <c r="W99" s="25">
        <f ca="1">SUM((OFFSET(Data!$F$410,17*(ROW(Data!Y484)-434),0)):(OFFSET(Data!$F$423,17*(ROW(Data!Y484)-434),0)))</f>
        <v>3330.75</v>
      </c>
      <c r="X99" s="25">
        <f ca="1">SUM((OFFSET(Data!$I$410,17*(ROW(Data!Y484)-434),0)):(OFFSET(Data!$I$423,17*(ROW(Data!Y484)-434),0)))</f>
        <v>755.88</v>
      </c>
      <c r="Y99" s="25">
        <f t="shared" ca="1" si="85"/>
        <v>4086.63</v>
      </c>
      <c r="Z99" s="25">
        <f ca="1">(OFFSET(Data!$F$412,17*(ROW(Data!Y484)-434),0))</f>
        <v>100</v>
      </c>
      <c r="AA99" s="6">
        <f ca="1">(OFFSET(Data!$F$411,17*(ROW(Data!Y484)-434),0))</f>
        <v>400</v>
      </c>
      <c r="AB99" s="6"/>
      <c r="AC99" s="6"/>
      <c r="AD99" s="25"/>
      <c r="AE99" s="25"/>
      <c r="AF99" s="335"/>
      <c r="AG99" s="15"/>
      <c r="AH99" s="25"/>
      <c r="AI99" s="25"/>
      <c r="AJ99" s="25"/>
      <c r="AK99" s="6"/>
      <c r="AL99" s="354"/>
      <c r="AM99" s="6">
        <f t="shared" si="86"/>
        <v>0</v>
      </c>
      <c r="AN99" s="6">
        <f t="shared" si="87"/>
        <v>0</v>
      </c>
      <c r="AO99" s="6">
        <f t="shared" si="88"/>
        <v>0</v>
      </c>
      <c r="AP99" s="6">
        <f t="shared" si="89"/>
        <v>0</v>
      </c>
      <c r="AQ99" s="335">
        <f t="shared" si="90"/>
        <v>0</v>
      </c>
      <c r="AR99" s="15"/>
      <c r="AS99" s="25"/>
      <c r="AT99" s="25"/>
      <c r="AU99" s="350"/>
      <c r="AV99" s="350"/>
      <c r="AW99" s="350"/>
      <c r="AX99" s="356"/>
    </row>
    <row r="100" spans="2:50">
      <c r="B100" s="65">
        <v>46844</v>
      </c>
      <c r="C100" s="6">
        <f ca="1">SUM((OFFSET(Data!$C$410,17*(ROW(Data!Y485)-434),0)):(OFFSET(Data!$C$423,17*(ROW(Data!Y485)-434),0)))</f>
        <v>4775.66</v>
      </c>
      <c r="D100" s="334">
        <f ca="1">(OFFSET(Data!$P$409,17*(ROW(Data!Y485)-434),0))</f>
        <v>28362.427304458521</v>
      </c>
      <c r="E100" s="6">
        <f ca="1">(OFFSET(Data!$P$412,17*(ROW(Data!Y485)-434),0))</f>
        <v>3906.0899999999911</v>
      </c>
      <c r="F100" s="6">
        <f ca="1">(OFFSET(Data!$P$418,17*(ROW(Data!Y485)-434),0))</f>
        <v>4008.88</v>
      </c>
      <c r="G100" s="25">
        <f ca="1">(OFFSET(Data!$P$415,17*(ROW(Data!Y485)-434),0))</f>
        <v>5335</v>
      </c>
      <c r="H100" s="25">
        <f ca="1">(OFFSET(Data!$P$421,17*(ROW(Data!Y485)-434),0))</f>
        <v>15112.45730445853</v>
      </c>
      <c r="K100" s="334"/>
      <c r="L100" s="25"/>
      <c r="M100" s="25"/>
      <c r="N100" s="25"/>
      <c r="O100" s="25"/>
      <c r="P100" s="25"/>
      <c r="Q100" s="25"/>
      <c r="R100" s="335">
        <f t="shared" ca="1" si="84"/>
        <v>4775.66</v>
      </c>
      <c r="S100" s="334">
        <v>150</v>
      </c>
      <c r="T100" s="25">
        <v>400</v>
      </c>
      <c r="U100" s="25">
        <v>0</v>
      </c>
      <c r="V100" s="25">
        <v>200</v>
      </c>
      <c r="W100" s="25">
        <f ca="1">SUM((OFFSET(Data!$F$410,17*(ROW(Data!Y485)-434),0)):(OFFSET(Data!$F$423,17*(ROW(Data!Y485)-434),0)))</f>
        <v>3330.75</v>
      </c>
      <c r="X100" s="25">
        <f ca="1">SUM((OFFSET(Data!$I$410,17*(ROW(Data!Y485)-434),0)):(OFFSET(Data!$I$423,17*(ROW(Data!Y485)-434),0)))</f>
        <v>755.88</v>
      </c>
      <c r="Y100" s="25">
        <f t="shared" ca="1" si="85"/>
        <v>4086.63</v>
      </c>
      <c r="Z100" s="25">
        <f ca="1">(OFFSET(Data!$F$412,17*(ROW(Data!Y485)-434),0))</f>
        <v>100</v>
      </c>
      <c r="AA100" s="6">
        <f ca="1">(OFFSET(Data!$F$411,17*(ROW(Data!Y485)-434),0))</f>
        <v>400</v>
      </c>
      <c r="AB100" s="6"/>
      <c r="AC100" s="6"/>
      <c r="AD100" s="25"/>
      <c r="AE100" s="25"/>
      <c r="AF100" s="335"/>
      <c r="AG100" s="15"/>
      <c r="AH100" s="25"/>
      <c r="AI100" s="25"/>
      <c r="AJ100" s="25"/>
      <c r="AK100" s="6"/>
      <c r="AL100" s="354"/>
      <c r="AM100" s="6">
        <f t="shared" si="86"/>
        <v>0</v>
      </c>
      <c r="AN100" s="6">
        <f t="shared" si="87"/>
        <v>0</v>
      </c>
      <c r="AO100" s="6">
        <f t="shared" si="88"/>
        <v>0</v>
      </c>
      <c r="AP100" s="6">
        <f t="shared" si="89"/>
        <v>0</v>
      </c>
      <c r="AQ100" s="335">
        <f t="shared" si="90"/>
        <v>0</v>
      </c>
      <c r="AR100" s="15"/>
      <c r="AS100" s="25"/>
      <c r="AT100" s="25"/>
      <c r="AU100" s="350"/>
      <c r="AV100" s="350"/>
      <c r="AW100" s="350"/>
      <c r="AX100" s="356"/>
    </row>
    <row r="101" spans="2:50">
      <c r="B101" s="65">
        <v>46874</v>
      </c>
      <c r="C101" s="6">
        <f ca="1">SUM((OFFSET(Data!$C$410,17*(ROW(Data!Y486)-434),0)):(OFFSET(Data!$C$423,17*(ROW(Data!Y486)-434),0)))</f>
        <v>4775.66</v>
      </c>
      <c r="D101" s="334">
        <f ca="1">(OFFSET(Data!$P$409,17*(ROW(Data!Y486)-434),0))</f>
        <v>29051.457304458523</v>
      </c>
      <c r="E101" s="6">
        <f ca="1">(OFFSET(Data!$P$412,17*(ROW(Data!Y486)-434),0))</f>
        <v>4045.1199999999908</v>
      </c>
      <c r="F101" s="6">
        <f ca="1">(OFFSET(Data!$P$418,17*(ROW(Data!Y486)-434),0))</f>
        <v>4158.88</v>
      </c>
      <c r="G101" s="25">
        <f ca="1">(OFFSET(Data!$P$415,17*(ROW(Data!Y486)-434),0))</f>
        <v>5535</v>
      </c>
      <c r="H101" s="25">
        <f ca="1">(OFFSET(Data!$P$421,17*(ROW(Data!Y486)-434),0))</f>
        <v>15312.45730445853</v>
      </c>
      <c r="K101" s="334"/>
      <c r="L101" s="25"/>
      <c r="M101" s="25"/>
      <c r="N101" s="25"/>
      <c r="O101" s="25"/>
      <c r="P101" s="25"/>
      <c r="Q101" s="25"/>
      <c r="R101" s="335">
        <f t="shared" ca="1" si="84"/>
        <v>4775.66</v>
      </c>
      <c r="S101" s="25">
        <v>150</v>
      </c>
      <c r="T101" s="25">
        <v>400</v>
      </c>
      <c r="U101" s="25">
        <v>0</v>
      </c>
      <c r="V101" s="25">
        <v>200</v>
      </c>
      <c r="W101" s="25">
        <f ca="1">SUM((OFFSET(Data!$F$410,17*(ROW(Data!Y486)-434),0)):(OFFSET(Data!$F$423,17*(ROW(Data!Y486)-434),0)))</f>
        <v>3330.75</v>
      </c>
      <c r="X101" s="25">
        <f ca="1">SUM((OFFSET(Data!$I$410,17*(ROW(Data!Y486)-434),0)):(OFFSET(Data!$I$423,17*(ROW(Data!Y486)-434),0)))</f>
        <v>755.88</v>
      </c>
      <c r="Y101" s="25">
        <f t="shared" ca="1" si="85"/>
        <v>4086.63</v>
      </c>
      <c r="Z101" s="25">
        <f ca="1">(OFFSET(Data!$F$412,17*(ROW(Data!Y486)-434),0))</f>
        <v>100</v>
      </c>
      <c r="AA101" s="6">
        <f ca="1">(OFFSET(Data!$F$411,17*(ROW(Data!Y486)-434),0))</f>
        <v>400</v>
      </c>
      <c r="AB101" s="6"/>
      <c r="AC101" s="6"/>
      <c r="AD101" s="25"/>
      <c r="AE101" s="25"/>
      <c r="AF101" s="335"/>
      <c r="AG101" s="15"/>
      <c r="AH101" s="25"/>
      <c r="AI101" s="25"/>
      <c r="AJ101" s="25"/>
      <c r="AK101" s="6"/>
      <c r="AL101" s="354"/>
      <c r="AM101" s="6">
        <f t="shared" si="86"/>
        <v>0</v>
      </c>
      <c r="AN101" s="6">
        <f t="shared" si="87"/>
        <v>0</v>
      </c>
      <c r="AO101" s="6">
        <f t="shared" si="88"/>
        <v>0</v>
      </c>
      <c r="AP101" s="6">
        <f t="shared" si="89"/>
        <v>0</v>
      </c>
      <c r="AQ101" s="335">
        <f t="shared" si="90"/>
        <v>0</v>
      </c>
      <c r="AR101" s="15"/>
      <c r="AS101" s="25"/>
      <c r="AT101" s="25"/>
      <c r="AU101" s="350"/>
      <c r="AV101" s="350"/>
      <c r="AW101" s="350"/>
      <c r="AX101" s="356"/>
    </row>
    <row r="102" spans="2:50">
      <c r="B102" s="65">
        <v>46905</v>
      </c>
      <c r="C102" s="6">
        <f ca="1">SUM((OFFSET(Data!$C$410,17*(ROW(Data!Y487)-434),0)):(OFFSET(Data!$C$423,17*(ROW(Data!Y487)-434),0)))</f>
        <v>4775.66</v>
      </c>
      <c r="D102" s="334">
        <f ca="1">(OFFSET(Data!$P$409,17*(ROW(Data!Y487)-434),0))</f>
        <v>29740.487304458522</v>
      </c>
      <c r="E102" s="6">
        <f ca="1">(OFFSET(Data!$P$412,17*(ROW(Data!Y487)-434),0))</f>
        <v>4184.1499999999905</v>
      </c>
      <c r="F102" s="6">
        <f ca="1">(OFFSET(Data!$P$418,17*(ROW(Data!Y487)-434),0))</f>
        <v>4308.88</v>
      </c>
      <c r="G102" s="25">
        <f ca="1">(OFFSET(Data!$P$415,17*(ROW(Data!Y487)-434),0))</f>
        <v>5735</v>
      </c>
      <c r="H102" s="25">
        <f ca="1">(OFFSET(Data!$P$421,17*(ROW(Data!Y487)-434),0))</f>
        <v>15512.45730445853</v>
      </c>
      <c r="K102" s="334"/>
      <c r="L102" s="25"/>
      <c r="M102" s="25"/>
      <c r="N102" s="25"/>
      <c r="O102" s="25"/>
      <c r="P102" s="25"/>
      <c r="Q102" s="25"/>
      <c r="R102" s="335">
        <f t="shared" ca="1" si="84"/>
        <v>4775.66</v>
      </c>
      <c r="S102" s="25">
        <v>150</v>
      </c>
      <c r="T102" s="25">
        <v>400</v>
      </c>
      <c r="U102" s="25">
        <v>0</v>
      </c>
      <c r="V102" s="25">
        <v>200</v>
      </c>
      <c r="W102" s="25">
        <f ca="1">SUM((OFFSET(Data!$F$410,17*(ROW(Data!Y487)-434),0)):(OFFSET(Data!$F$423,17*(ROW(Data!Y487)-434),0)))</f>
        <v>3330.75</v>
      </c>
      <c r="X102" s="25">
        <f ca="1">SUM((OFFSET(Data!$I$410,17*(ROW(Data!Y487)-434),0)):(OFFSET(Data!$I$423,17*(ROW(Data!Y487)-434),0)))</f>
        <v>755.88</v>
      </c>
      <c r="Y102" s="25">
        <f t="shared" ca="1" si="85"/>
        <v>4086.63</v>
      </c>
      <c r="Z102" s="25">
        <f ca="1">(OFFSET(Data!$F$412,17*(ROW(Data!Y487)-434),0))</f>
        <v>100</v>
      </c>
      <c r="AA102" s="6">
        <f ca="1">(OFFSET(Data!$F$411,17*(ROW(Data!Y487)-434),0))</f>
        <v>400</v>
      </c>
      <c r="AB102" s="6"/>
      <c r="AC102" s="6"/>
      <c r="AD102" s="25"/>
      <c r="AE102" s="25"/>
      <c r="AF102" s="335"/>
      <c r="AG102" s="15"/>
      <c r="AH102" s="25"/>
      <c r="AI102" s="25"/>
      <c r="AJ102" s="25"/>
      <c r="AK102" s="6"/>
      <c r="AL102" s="354"/>
      <c r="AM102" s="6">
        <f t="shared" si="86"/>
        <v>0</v>
      </c>
      <c r="AN102" s="6">
        <f t="shared" si="87"/>
        <v>0</v>
      </c>
      <c r="AO102" s="6">
        <f t="shared" si="88"/>
        <v>0</v>
      </c>
      <c r="AP102" s="6">
        <f t="shared" si="89"/>
        <v>0</v>
      </c>
      <c r="AQ102" s="335">
        <f t="shared" si="90"/>
        <v>0</v>
      </c>
      <c r="AR102" s="15"/>
      <c r="AS102" s="25"/>
      <c r="AT102" s="25"/>
      <c r="AU102" s="350"/>
      <c r="AV102" s="350"/>
      <c r="AW102" s="350"/>
      <c r="AX102" s="356"/>
    </row>
    <row r="103" spans="2:50">
      <c r="B103" s="65">
        <v>46935</v>
      </c>
      <c r="C103" s="6">
        <f ca="1">SUM((OFFSET(Data!$C$410,17*(ROW(Data!Y488)-434),0)):(OFFSET(Data!$C$423,17*(ROW(Data!Y488)-434),0)))</f>
        <v>4775.66</v>
      </c>
      <c r="D103" s="334">
        <f ca="1">(OFFSET(Data!$P$409,17*(ROW(Data!Y488)-434),0))</f>
        <v>30429.517304458521</v>
      </c>
      <c r="E103" s="6">
        <f ca="1">(OFFSET(Data!$P$412,17*(ROW(Data!Y488)-434),0))</f>
        <v>4323.1799999999903</v>
      </c>
      <c r="F103" s="6">
        <f ca="1">(OFFSET(Data!$P$418,17*(ROW(Data!Y488)-434),0))</f>
        <v>4458.88</v>
      </c>
      <c r="G103" s="25">
        <f ca="1">(OFFSET(Data!$P$415,17*(ROW(Data!Y488)-434),0))</f>
        <v>5935</v>
      </c>
      <c r="H103" s="25">
        <f ca="1">(OFFSET(Data!$P$421,17*(ROW(Data!Y488)-434),0))</f>
        <v>15712.45730445853</v>
      </c>
      <c r="K103" s="334"/>
      <c r="L103" s="25"/>
      <c r="M103" s="25"/>
      <c r="N103" s="25"/>
      <c r="O103" s="25"/>
      <c r="P103" s="25"/>
      <c r="Q103" s="25"/>
      <c r="R103" s="335">
        <f t="shared" ca="1" si="84"/>
        <v>4775.66</v>
      </c>
      <c r="S103" s="334">
        <v>150</v>
      </c>
      <c r="T103" s="25">
        <v>400</v>
      </c>
      <c r="U103" s="25">
        <v>0</v>
      </c>
      <c r="V103" s="25">
        <v>200</v>
      </c>
      <c r="W103" s="25">
        <f ca="1">SUM((OFFSET(Data!$F$410,17*(ROW(Data!Y488)-434),0)):(OFFSET(Data!$F$423,17*(ROW(Data!Y488)-434),0)))</f>
        <v>3330.75</v>
      </c>
      <c r="X103" s="25">
        <f ca="1">SUM((OFFSET(Data!$I$410,17*(ROW(Data!Y488)-434),0)):(OFFSET(Data!$I$423,17*(ROW(Data!Y488)-434),0)))</f>
        <v>755.88</v>
      </c>
      <c r="Y103" s="25">
        <f t="shared" ca="1" si="85"/>
        <v>4086.63</v>
      </c>
      <c r="Z103" s="25">
        <f ca="1">(OFFSET(Data!$F$412,17*(ROW(Data!Y488)-434),0))</f>
        <v>100</v>
      </c>
      <c r="AA103" s="6">
        <f ca="1">(OFFSET(Data!$F$411,17*(ROW(Data!Y488)-434),0))</f>
        <v>400</v>
      </c>
      <c r="AB103" s="6"/>
      <c r="AC103" s="6"/>
      <c r="AD103" s="25"/>
      <c r="AE103" s="25"/>
      <c r="AF103" s="335"/>
      <c r="AG103" s="15"/>
      <c r="AH103" s="25"/>
      <c r="AI103" s="25"/>
      <c r="AJ103" s="25"/>
      <c r="AK103" s="6"/>
      <c r="AL103" s="354"/>
      <c r="AM103" s="6">
        <f t="shared" si="86"/>
        <v>0</v>
      </c>
      <c r="AN103" s="6">
        <f t="shared" si="87"/>
        <v>0</v>
      </c>
      <c r="AO103" s="6">
        <f t="shared" si="88"/>
        <v>0</v>
      </c>
      <c r="AP103" s="6">
        <f t="shared" si="89"/>
        <v>0</v>
      </c>
      <c r="AQ103" s="335">
        <f t="shared" si="90"/>
        <v>0</v>
      </c>
      <c r="AR103" s="15"/>
      <c r="AS103" s="25"/>
      <c r="AT103" s="25"/>
      <c r="AU103" s="350"/>
      <c r="AV103" s="350"/>
      <c r="AW103" s="350"/>
      <c r="AX103" s="356"/>
    </row>
    <row r="104" spans="2:50">
      <c r="B104" s="65">
        <v>46966</v>
      </c>
      <c r="C104" s="6">
        <f ca="1">SUM((OFFSET(Data!$C$410,17*(ROW(Data!Y489)-434),0)):(OFFSET(Data!$C$423,17*(ROW(Data!Y489)-434),0)))</f>
        <v>4775.66</v>
      </c>
      <c r="D104" s="334">
        <f ca="1">(OFFSET(Data!$P$409,17*(ROW(Data!Y489)-434),0))</f>
        <v>31118.54730445852</v>
      </c>
      <c r="E104" s="6">
        <f ca="1">(OFFSET(Data!$P$412,17*(ROW(Data!Y489)-434),0))</f>
        <v>4462.20999999999</v>
      </c>
      <c r="F104" s="6">
        <f ca="1">(OFFSET(Data!$P$418,17*(ROW(Data!Y489)-434),0))</f>
        <v>4608.88</v>
      </c>
      <c r="G104" s="25">
        <f ca="1">(OFFSET(Data!$P$415,17*(ROW(Data!Y489)-434),0))</f>
        <v>6135</v>
      </c>
      <c r="H104" s="25">
        <f ca="1">(OFFSET(Data!$P$421,17*(ROW(Data!Y489)-434),0))</f>
        <v>15912.45730445853</v>
      </c>
      <c r="K104" s="334"/>
      <c r="L104" s="25"/>
      <c r="M104" s="25"/>
      <c r="N104" s="25"/>
      <c r="O104" s="25"/>
      <c r="P104" s="25"/>
      <c r="Q104" s="25"/>
      <c r="R104" s="335">
        <f t="shared" ca="1" si="84"/>
        <v>4775.66</v>
      </c>
      <c r="S104" s="334">
        <v>150</v>
      </c>
      <c r="T104" s="25">
        <v>400</v>
      </c>
      <c r="U104" s="25">
        <v>0</v>
      </c>
      <c r="V104" s="25">
        <v>200</v>
      </c>
      <c r="W104" s="25">
        <f ca="1">SUM((OFFSET(Data!$F$410,17*(ROW(Data!Y489)-434),0)):(OFFSET(Data!$F$423,17*(ROW(Data!Y489)-434),0)))</f>
        <v>3330.75</v>
      </c>
      <c r="X104" s="25">
        <f ca="1">SUM((OFFSET(Data!$I$410,17*(ROW(Data!Y489)-434),0)):(OFFSET(Data!$I$423,17*(ROW(Data!Y489)-434),0)))</f>
        <v>755.88</v>
      </c>
      <c r="Y104" s="25">
        <f t="shared" ca="1" si="85"/>
        <v>4086.63</v>
      </c>
      <c r="Z104" s="25">
        <f ca="1">(OFFSET(Data!$F$412,17*(ROW(Data!Y489)-434),0))</f>
        <v>100</v>
      </c>
      <c r="AA104" s="6">
        <f ca="1">(OFFSET(Data!$F$411,17*(ROW(Data!Y489)-434),0))</f>
        <v>400</v>
      </c>
      <c r="AB104" s="6"/>
      <c r="AC104" s="6"/>
      <c r="AD104" s="25"/>
      <c r="AE104" s="25"/>
      <c r="AF104" s="335"/>
      <c r="AG104" s="15"/>
      <c r="AH104" s="25"/>
      <c r="AI104" s="25"/>
      <c r="AJ104" s="25"/>
      <c r="AK104" s="6"/>
      <c r="AL104" s="354"/>
      <c r="AM104" s="6">
        <f t="shared" si="86"/>
        <v>0</v>
      </c>
      <c r="AN104" s="6">
        <f t="shared" si="87"/>
        <v>0</v>
      </c>
      <c r="AO104" s="6">
        <f t="shared" si="88"/>
        <v>0</v>
      </c>
      <c r="AP104" s="6">
        <f t="shared" si="89"/>
        <v>0</v>
      </c>
      <c r="AQ104" s="335">
        <f t="shared" si="90"/>
        <v>0</v>
      </c>
      <c r="AR104" s="15"/>
      <c r="AS104" s="25"/>
      <c r="AT104" s="25"/>
      <c r="AU104" s="350"/>
      <c r="AV104" s="350"/>
      <c r="AW104" s="350"/>
      <c r="AX104" s="356"/>
    </row>
    <row r="105" spans="2:50">
      <c r="B105" s="65">
        <v>46997</v>
      </c>
      <c r="C105" s="6">
        <f ca="1">SUM((OFFSET(Data!$C$410,17*(ROW(Data!Y490)-434),0)):(OFFSET(Data!$C$423,17*(ROW(Data!Y490)-434),0)))</f>
        <v>4775.66</v>
      </c>
      <c r="D105" s="334">
        <f ca="1">(OFFSET(Data!$P$409,17*(ROW(Data!Y490)-434),0))</f>
        <v>31807.577304458522</v>
      </c>
      <c r="E105" s="6">
        <f ca="1">(OFFSET(Data!$P$412,17*(ROW(Data!Y490)-434),0))</f>
        <v>4601.2399999999898</v>
      </c>
      <c r="F105" s="6">
        <f ca="1">(OFFSET(Data!$P$418,17*(ROW(Data!Y490)-434),0))</f>
        <v>4758.88</v>
      </c>
      <c r="G105" s="25">
        <f ca="1">(OFFSET(Data!$P$415,17*(ROW(Data!Y490)-434),0))</f>
        <v>6335</v>
      </c>
      <c r="H105" s="25">
        <f ca="1">(OFFSET(Data!$P$421,17*(ROW(Data!Y490)-434),0))</f>
        <v>16112.45730445853</v>
      </c>
      <c r="K105" s="334"/>
      <c r="L105" s="25"/>
      <c r="M105" s="25"/>
      <c r="N105" s="25"/>
      <c r="O105" s="25"/>
      <c r="P105" s="25"/>
      <c r="Q105" s="25"/>
      <c r="R105" s="335">
        <f t="shared" ca="1" si="84"/>
        <v>4775.66</v>
      </c>
      <c r="S105" s="25">
        <v>150</v>
      </c>
      <c r="T105" s="25">
        <v>400</v>
      </c>
      <c r="U105" s="25">
        <v>0</v>
      </c>
      <c r="V105" s="25">
        <v>200</v>
      </c>
      <c r="W105" s="25">
        <f ca="1">SUM((OFFSET(Data!$F$410,17*(ROW(Data!Y490)-434),0)):(OFFSET(Data!$F$423,17*(ROW(Data!Y490)-434),0)))</f>
        <v>3330.75</v>
      </c>
      <c r="X105" s="25">
        <f ca="1">SUM((OFFSET(Data!$I$410,17*(ROW(Data!Y490)-434),0)):(OFFSET(Data!$I$423,17*(ROW(Data!Y490)-434),0)))</f>
        <v>755.88</v>
      </c>
      <c r="Y105" s="25">
        <f t="shared" ca="1" si="85"/>
        <v>4086.63</v>
      </c>
      <c r="Z105" s="25">
        <f ca="1">(OFFSET(Data!$F$412,17*(ROW(Data!Y490)-434),0))</f>
        <v>100</v>
      </c>
      <c r="AA105" s="6">
        <f ca="1">(OFFSET(Data!$F$411,17*(ROW(Data!Y490)-434),0))</f>
        <v>400</v>
      </c>
      <c r="AB105" s="6"/>
      <c r="AC105" s="6"/>
      <c r="AD105" s="25"/>
      <c r="AE105" s="25"/>
      <c r="AF105" s="335"/>
      <c r="AG105" s="15"/>
      <c r="AH105" s="25"/>
      <c r="AI105" s="25"/>
      <c r="AJ105" s="25"/>
      <c r="AK105" s="6"/>
      <c r="AL105" s="354"/>
      <c r="AM105" s="6">
        <f t="shared" si="86"/>
        <v>0</v>
      </c>
      <c r="AN105" s="6">
        <f t="shared" si="87"/>
        <v>0</v>
      </c>
      <c r="AO105" s="6">
        <f t="shared" si="88"/>
        <v>0</v>
      </c>
      <c r="AP105" s="6">
        <f t="shared" si="89"/>
        <v>0</v>
      </c>
      <c r="AQ105" s="335">
        <f t="shared" si="90"/>
        <v>0</v>
      </c>
      <c r="AR105" s="15"/>
      <c r="AS105" s="25"/>
      <c r="AT105" s="25"/>
      <c r="AU105" s="350"/>
      <c r="AV105" s="350"/>
      <c r="AW105" s="350"/>
      <c r="AX105" s="356"/>
    </row>
    <row r="106" spans="2:50">
      <c r="B106" s="65">
        <v>47027</v>
      </c>
      <c r="C106" s="6">
        <f ca="1">SUM((OFFSET(Data!$C$410,17*(ROW(Data!Y491)-434),0)):(OFFSET(Data!$C$423,17*(ROW(Data!Y491)-434),0)))</f>
        <v>4775.66</v>
      </c>
      <c r="D106" s="334">
        <f ca="1">(OFFSET(Data!$P$409,17*(ROW(Data!Y491)-434),0))</f>
        <v>32496.607304458521</v>
      </c>
      <c r="E106" s="6">
        <f ca="1">(OFFSET(Data!$P$412,17*(ROW(Data!Y491)-434),0))</f>
        <v>4740.2699999999895</v>
      </c>
      <c r="F106" s="6">
        <f ca="1">(OFFSET(Data!$P$418,17*(ROW(Data!Y491)-434),0))</f>
        <v>4908.88</v>
      </c>
      <c r="G106" s="25">
        <f ca="1">(OFFSET(Data!$P$415,17*(ROW(Data!Y491)-434),0))</f>
        <v>6535</v>
      </c>
      <c r="H106" s="25">
        <f ca="1">(OFFSET(Data!$P$421,17*(ROW(Data!Y491)-434),0))</f>
        <v>16312.45730445853</v>
      </c>
      <c r="K106" s="334"/>
      <c r="L106" s="25"/>
      <c r="M106" s="25"/>
      <c r="N106" s="25"/>
      <c r="O106" s="25"/>
      <c r="P106" s="25"/>
      <c r="Q106" s="25"/>
      <c r="R106" s="335">
        <f t="shared" ca="1" si="84"/>
        <v>4775.66</v>
      </c>
      <c r="S106" s="25">
        <v>150</v>
      </c>
      <c r="T106" s="25">
        <v>400</v>
      </c>
      <c r="U106" s="25">
        <v>0</v>
      </c>
      <c r="V106" s="25">
        <v>200</v>
      </c>
      <c r="W106" s="25">
        <f ca="1">SUM((OFFSET(Data!$F$410,17*(ROW(Data!Y491)-434),0)):(OFFSET(Data!$F$423,17*(ROW(Data!Y491)-434),0)))</f>
        <v>3330.75</v>
      </c>
      <c r="X106" s="25">
        <f ca="1">SUM((OFFSET(Data!$I$410,17*(ROW(Data!Y491)-434),0)):(OFFSET(Data!$I$423,17*(ROW(Data!Y491)-434),0)))</f>
        <v>755.88</v>
      </c>
      <c r="Y106" s="25">
        <f t="shared" ca="1" si="85"/>
        <v>4086.63</v>
      </c>
      <c r="Z106" s="25">
        <f ca="1">(OFFSET(Data!$F$412,17*(ROW(Data!Y491)-434),0))</f>
        <v>100</v>
      </c>
      <c r="AA106" s="6">
        <f ca="1">(OFFSET(Data!$F$411,17*(ROW(Data!Y491)-434),0))</f>
        <v>400</v>
      </c>
      <c r="AB106" s="6"/>
      <c r="AC106" s="6"/>
      <c r="AD106" s="25"/>
      <c r="AE106" s="25"/>
      <c r="AF106" s="335"/>
      <c r="AG106" s="15"/>
      <c r="AH106" s="25"/>
      <c r="AI106" s="25"/>
      <c r="AJ106" s="25"/>
      <c r="AK106" s="6"/>
      <c r="AL106" s="354"/>
      <c r="AM106" s="6">
        <f t="shared" si="86"/>
        <v>0</v>
      </c>
      <c r="AN106" s="6">
        <f t="shared" si="87"/>
        <v>0</v>
      </c>
      <c r="AO106" s="6">
        <f t="shared" si="88"/>
        <v>0</v>
      </c>
      <c r="AP106" s="6">
        <f t="shared" si="89"/>
        <v>0</v>
      </c>
      <c r="AQ106" s="335">
        <f t="shared" si="90"/>
        <v>0</v>
      </c>
      <c r="AR106" s="15"/>
      <c r="AS106" s="25"/>
      <c r="AT106" s="25"/>
      <c r="AU106" s="350"/>
      <c r="AV106" s="350"/>
      <c r="AW106" s="350"/>
      <c r="AX106" s="356"/>
    </row>
    <row r="107" spans="2:50">
      <c r="B107" s="65">
        <v>47058</v>
      </c>
      <c r="C107" s="6">
        <f ca="1">SUM((OFFSET(Data!$C$410,17*(ROW(Data!Y492)-434),0)):(OFFSET(Data!$C$423,17*(ROW(Data!Y492)-434),0)))</f>
        <v>4775.66</v>
      </c>
      <c r="D107" s="334">
        <f ca="1">(OFFSET(Data!$P$409,17*(ROW(Data!Y492)-434),0))</f>
        <v>33185.63730445852</v>
      </c>
      <c r="E107" s="6">
        <f ca="1">(OFFSET(Data!$P$412,17*(ROW(Data!Y492)-434),0))</f>
        <v>4879.2999999999893</v>
      </c>
      <c r="F107" s="6">
        <f ca="1">(OFFSET(Data!$P$418,17*(ROW(Data!Y492)-434),0))</f>
        <v>5058.88</v>
      </c>
      <c r="G107" s="25">
        <f ca="1">(OFFSET(Data!$P$415,17*(ROW(Data!Y492)-434),0))</f>
        <v>6735</v>
      </c>
      <c r="H107" s="25">
        <f ca="1">(OFFSET(Data!$P$421,17*(ROW(Data!Y492)-434),0))</f>
        <v>16512.45730445853</v>
      </c>
      <c r="K107" s="334"/>
      <c r="L107" s="25"/>
      <c r="M107" s="25"/>
      <c r="N107" s="25"/>
      <c r="O107" s="25"/>
      <c r="P107" s="25"/>
      <c r="Q107" s="25"/>
      <c r="R107" s="335">
        <f t="shared" ca="1" si="84"/>
        <v>4775.66</v>
      </c>
      <c r="S107" s="334">
        <v>150</v>
      </c>
      <c r="T107" s="25">
        <v>400</v>
      </c>
      <c r="U107" s="25">
        <v>0</v>
      </c>
      <c r="V107" s="25">
        <v>200</v>
      </c>
      <c r="W107" s="25">
        <f ca="1">SUM((OFFSET(Data!$F$410,17*(ROW(Data!Y492)-434),0)):(OFFSET(Data!$F$423,17*(ROW(Data!Y492)-434),0)))</f>
        <v>3330.75</v>
      </c>
      <c r="X107" s="25">
        <f ca="1">SUM((OFFSET(Data!$I$410,17*(ROW(Data!Y492)-434),0)):(OFFSET(Data!$I$423,17*(ROW(Data!Y492)-434),0)))</f>
        <v>755.88</v>
      </c>
      <c r="Y107" s="25">
        <f t="shared" ca="1" si="85"/>
        <v>4086.63</v>
      </c>
      <c r="Z107" s="25">
        <f ca="1">(OFFSET(Data!$F$412,17*(ROW(Data!Y492)-434),0))</f>
        <v>100</v>
      </c>
      <c r="AA107" s="6">
        <f ca="1">(OFFSET(Data!$F$411,17*(ROW(Data!Y492)-434),0))</f>
        <v>400</v>
      </c>
      <c r="AB107" s="6"/>
      <c r="AC107" s="6"/>
      <c r="AD107" s="25"/>
      <c r="AE107" s="25"/>
      <c r="AF107" s="335"/>
      <c r="AG107" s="15"/>
      <c r="AH107" s="25"/>
      <c r="AI107" s="25"/>
      <c r="AJ107" s="25"/>
      <c r="AK107" s="6"/>
      <c r="AL107" s="354"/>
      <c r="AM107" s="6">
        <f t="shared" si="86"/>
        <v>0</v>
      </c>
      <c r="AN107" s="6">
        <f t="shared" si="87"/>
        <v>0</v>
      </c>
      <c r="AO107" s="6">
        <f t="shared" si="88"/>
        <v>0</v>
      </c>
      <c r="AP107" s="6">
        <f t="shared" si="89"/>
        <v>0</v>
      </c>
      <c r="AQ107" s="335">
        <f t="shared" si="90"/>
        <v>0</v>
      </c>
      <c r="AR107" s="15"/>
      <c r="AS107" s="25"/>
      <c r="AT107" s="25"/>
      <c r="AU107" s="350"/>
      <c r="AV107" s="350"/>
      <c r="AW107" s="350"/>
      <c r="AX107" s="356"/>
    </row>
    <row r="108" spans="2:50">
      <c r="B108" s="65">
        <v>47088</v>
      </c>
      <c r="C108" s="6">
        <f ca="1">SUM((OFFSET(Data!$C$410,17*(ROW(Data!Y493)-434),0)):(OFFSET(Data!$C$423,17*(ROW(Data!Y493)-434),0)))</f>
        <v>4775.66</v>
      </c>
      <c r="D108" s="334">
        <f ca="1">(OFFSET(Data!$P$409,17*(ROW(Data!Y493)-434),0))</f>
        <v>33874.667304458519</v>
      </c>
      <c r="E108" s="6">
        <f ca="1">(OFFSET(Data!$P$412,17*(ROW(Data!Y493)-434),0))</f>
        <v>5018.329999999989</v>
      </c>
      <c r="F108" s="6">
        <f ca="1">(OFFSET(Data!$P$418,17*(ROW(Data!Y493)-434),0))</f>
        <v>5208.88</v>
      </c>
      <c r="G108" s="25">
        <f ca="1">(OFFSET(Data!$P$415,17*(ROW(Data!Y493)-434),0))</f>
        <v>6935</v>
      </c>
      <c r="H108" s="25">
        <f ca="1">(OFFSET(Data!$P$421,17*(ROW(Data!Y493)-434),0))</f>
        <v>16712.45730445853</v>
      </c>
      <c r="K108" s="334"/>
      <c r="L108" s="25"/>
      <c r="M108" s="25"/>
      <c r="N108" s="25"/>
      <c r="O108" s="25"/>
      <c r="P108" s="25"/>
      <c r="Q108" s="25"/>
      <c r="R108" s="335">
        <f t="shared" ca="1" si="84"/>
        <v>4775.66</v>
      </c>
      <c r="S108" s="334">
        <v>150</v>
      </c>
      <c r="T108" s="25">
        <v>400</v>
      </c>
      <c r="U108" s="25">
        <v>0</v>
      </c>
      <c r="V108" s="25">
        <v>200</v>
      </c>
      <c r="W108" s="25">
        <f ca="1">SUM((OFFSET(Data!$F$410,17*(ROW(Data!Y493)-434),0)):(OFFSET(Data!$F$423,17*(ROW(Data!Y493)-434),0)))</f>
        <v>3330.75</v>
      </c>
      <c r="X108" s="25">
        <f ca="1">SUM((OFFSET(Data!$I$410,17*(ROW(Data!Y493)-434),0)):(OFFSET(Data!$I$423,17*(ROW(Data!Y493)-434),0)))</f>
        <v>755.88</v>
      </c>
      <c r="Y108" s="25">
        <f t="shared" ca="1" si="85"/>
        <v>4086.63</v>
      </c>
      <c r="Z108" s="25">
        <f ca="1">(OFFSET(Data!$F$412,17*(ROW(Data!Y493)-434),0))</f>
        <v>100</v>
      </c>
      <c r="AA108" s="6">
        <f ca="1">(OFFSET(Data!$F$411,17*(ROW(Data!Y493)-434),0))</f>
        <v>400</v>
      </c>
      <c r="AB108" s="6"/>
      <c r="AC108" s="6"/>
      <c r="AD108" s="25"/>
      <c r="AE108" s="25"/>
      <c r="AF108" s="335"/>
      <c r="AG108" s="15"/>
      <c r="AH108" s="25"/>
      <c r="AI108" s="25"/>
      <c r="AJ108" s="25"/>
      <c r="AK108" s="6"/>
      <c r="AL108" s="354"/>
      <c r="AM108" s="6">
        <f t="shared" si="86"/>
        <v>0</v>
      </c>
      <c r="AN108" s="6">
        <f t="shared" si="87"/>
        <v>0</v>
      </c>
      <c r="AO108" s="6">
        <f t="shared" si="88"/>
        <v>0</v>
      </c>
      <c r="AP108" s="6">
        <f t="shared" si="89"/>
        <v>0</v>
      </c>
      <c r="AQ108" s="335">
        <f t="shared" si="90"/>
        <v>0</v>
      </c>
      <c r="AR108" s="15"/>
      <c r="AS108" s="25"/>
      <c r="AT108" s="25"/>
      <c r="AU108" s="350"/>
      <c r="AV108" s="350"/>
      <c r="AW108" s="350"/>
      <c r="AX108" s="356"/>
    </row>
    <row r="109" spans="2:50">
      <c r="B109" s="65">
        <v>47119</v>
      </c>
      <c r="C109" s="6">
        <f ca="1">SUM((OFFSET(Data!$C$410,17*(ROW(Data!Y494)-434),0)):(OFFSET(Data!$C$423,17*(ROW(Data!Y494)-434),0)))</f>
        <v>4775.66</v>
      </c>
      <c r="D109" s="334">
        <f ca="1">(OFFSET(Data!$P$409,17*(ROW(Data!Y494)-434),0))</f>
        <v>34563.697304458517</v>
      </c>
      <c r="E109" s="6">
        <f ca="1">(OFFSET(Data!$P$412,17*(ROW(Data!Y494)-434),0))</f>
        <v>5157.3599999999888</v>
      </c>
      <c r="F109" s="6">
        <f ca="1">(OFFSET(Data!$P$418,17*(ROW(Data!Y494)-434),0))</f>
        <v>5358.88</v>
      </c>
      <c r="G109" s="25">
        <f ca="1">(OFFSET(Data!$P$415,17*(ROW(Data!Y494)-434),0))</f>
        <v>7135</v>
      </c>
      <c r="H109" s="25">
        <f ca="1">(OFFSET(Data!$P$421,17*(ROW(Data!Y494)-434),0))</f>
        <v>16912.45730445853</v>
      </c>
      <c r="I109" s="25"/>
      <c r="J109" s="25"/>
      <c r="K109" s="334"/>
      <c r="L109" s="25"/>
      <c r="M109" s="25"/>
      <c r="N109" s="25"/>
      <c r="O109" s="25"/>
      <c r="P109" s="25"/>
      <c r="Q109" s="25"/>
      <c r="R109" s="335">
        <f t="shared" ca="1" si="84"/>
        <v>4775.66</v>
      </c>
      <c r="S109" s="25">
        <v>150</v>
      </c>
      <c r="T109" s="25">
        <v>400</v>
      </c>
      <c r="U109" s="25">
        <v>0</v>
      </c>
      <c r="V109" s="25">
        <v>200</v>
      </c>
      <c r="W109" s="25">
        <f ca="1">SUM((OFFSET(Data!$F$410,17*(ROW(Data!Y494)-434),0)):(OFFSET(Data!$F$423,17*(ROW(Data!Y494)-434),0)))</f>
        <v>3330.75</v>
      </c>
      <c r="X109" s="25">
        <f ca="1">SUM((OFFSET(Data!$I$410,17*(ROW(Data!Y494)-434),0)):(OFFSET(Data!$I$423,17*(ROW(Data!Y494)-434),0)))</f>
        <v>755.88</v>
      </c>
      <c r="Y109" s="25">
        <f t="shared" ca="1" si="85"/>
        <v>4086.63</v>
      </c>
      <c r="Z109" s="25">
        <f ca="1">(OFFSET(Data!$F$412,17*(ROW(Data!Y494)-434),0))</f>
        <v>100</v>
      </c>
      <c r="AA109" s="6">
        <f ca="1">(OFFSET(Data!$F$411,17*(ROW(Data!Y494)-434),0))</f>
        <v>400</v>
      </c>
      <c r="AB109" s="6"/>
      <c r="AC109" s="6"/>
      <c r="AD109" s="25"/>
      <c r="AE109" s="25"/>
      <c r="AF109" s="335"/>
      <c r="AG109" s="15"/>
      <c r="AH109" s="25"/>
      <c r="AI109" s="25"/>
      <c r="AJ109" s="25"/>
      <c r="AK109" s="6"/>
      <c r="AL109" s="354"/>
      <c r="AM109" s="6">
        <f t="shared" si="86"/>
        <v>0</v>
      </c>
      <c r="AN109" s="6">
        <f t="shared" si="87"/>
        <v>0</v>
      </c>
      <c r="AO109" s="6">
        <f t="shared" si="88"/>
        <v>0</v>
      </c>
      <c r="AP109" s="6">
        <f t="shared" si="89"/>
        <v>0</v>
      </c>
      <c r="AQ109" s="335">
        <f t="shared" si="90"/>
        <v>0</v>
      </c>
      <c r="AR109" s="15"/>
      <c r="AS109" s="25"/>
      <c r="AT109" s="25"/>
      <c r="AU109" s="350"/>
      <c r="AV109" s="350"/>
      <c r="AW109" s="350"/>
      <c r="AX109" s="356"/>
    </row>
    <row r="110" spans="2:50">
      <c r="B110" s="65">
        <v>47150</v>
      </c>
      <c r="C110" s="6">
        <f ca="1">SUM((OFFSET(Data!$C$410,17*(ROW(Data!Y495)-434),0)):(OFFSET(Data!$C$423,17*(ROW(Data!Y495)-434),0)))</f>
        <v>4775.66</v>
      </c>
      <c r="D110" s="334">
        <f ca="1">(OFFSET(Data!$P$409,17*(ROW(Data!Y495)-434),0))</f>
        <v>35252.727304458516</v>
      </c>
      <c r="E110" s="6">
        <f ca="1">(OFFSET(Data!$P$412,17*(ROW(Data!Y495)-434),0))</f>
        <v>5296.3899999999885</v>
      </c>
      <c r="F110" s="6">
        <f ca="1">(OFFSET(Data!$P$418,17*(ROW(Data!Y495)-434),0))</f>
        <v>5508.88</v>
      </c>
      <c r="G110" s="25">
        <f ca="1">(OFFSET(Data!$P$415,17*(ROW(Data!Y495)-434),0))</f>
        <v>7335</v>
      </c>
      <c r="H110" s="25">
        <f ca="1">(OFFSET(Data!$P$421,17*(ROW(Data!Y495)-434),0))</f>
        <v>17112.45730445853</v>
      </c>
      <c r="I110" s="25"/>
      <c r="J110" s="25"/>
      <c r="K110" s="334"/>
      <c r="L110" s="25"/>
      <c r="M110" s="25"/>
      <c r="N110" s="25"/>
      <c r="O110" s="25"/>
      <c r="P110" s="25"/>
      <c r="Q110" s="25"/>
      <c r="R110" s="335">
        <f t="shared" ca="1" si="84"/>
        <v>4775.66</v>
      </c>
      <c r="S110" s="25">
        <v>150</v>
      </c>
      <c r="T110" s="25">
        <v>400</v>
      </c>
      <c r="U110" s="25">
        <v>0</v>
      </c>
      <c r="V110" s="25">
        <v>200</v>
      </c>
      <c r="W110" s="25">
        <f ca="1">SUM((OFFSET(Data!$F$410,17*(ROW(Data!Y495)-434),0)):(OFFSET(Data!$F$423,17*(ROW(Data!Y495)-434),0)))</f>
        <v>3330.75</v>
      </c>
      <c r="X110" s="25">
        <f ca="1">SUM((OFFSET(Data!$I$410,17*(ROW(Data!Y495)-434),0)):(OFFSET(Data!$I$423,17*(ROW(Data!Y495)-434),0)))</f>
        <v>755.88</v>
      </c>
      <c r="Y110" s="25">
        <f t="shared" ca="1" si="85"/>
        <v>4086.63</v>
      </c>
      <c r="Z110" s="25">
        <f ca="1">(OFFSET(Data!$F$412,17*(ROW(Data!Y495)-434),0))</f>
        <v>100</v>
      </c>
      <c r="AA110" s="6">
        <f ca="1">(OFFSET(Data!$F$411,17*(ROW(Data!Y495)-434),0))</f>
        <v>400</v>
      </c>
      <c r="AB110" s="6"/>
      <c r="AC110" s="6"/>
      <c r="AD110" s="25"/>
      <c r="AE110" s="25"/>
      <c r="AF110" s="335"/>
      <c r="AG110" s="15"/>
      <c r="AH110" s="25"/>
      <c r="AI110" s="25"/>
      <c r="AJ110" s="25"/>
      <c r="AK110" s="6"/>
      <c r="AL110" s="354"/>
      <c r="AM110" s="6">
        <f t="shared" si="86"/>
        <v>0</v>
      </c>
      <c r="AN110" s="6">
        <f t="shared" si="87"/>
        <v>0</v>
      </c>
      <c r="AO110" s="6">
        <f t="shared" si="88"/>
        <v>0</v>
      </c>
      <c r="AP110" s="6">
        <f t="shared" si="89"/>
        <v>0</v>
      </c>
      <c r="AQ110" s="335">
        <f t="shared" si="90"/>
        <v>0</v>
      </c>
      <c r="AR110" s="15"/>
      <c r="AS110" s="25"/>
      <c r="AT110" s="25"/>
      <c r="AU110" s="350"/>
      <c r="AV110" s="350"/>
      <c r="AW110" s="350"/>
      <c r="AX110" s="356"/>
    </row>
    <row r="111" spans="2:50">
      <c r="B111" s="65">
        <v>47178</v>
      </c>
      <c r="C111" s="6">
        <f ca="1">SUM((OFFSET(Data!$C$410,17*(ROW(Data!Y496)-434),0)):(OFFSET(Data!$C$423,17*(ROW(Data!Y496)-434),0)))</f>
        <v>4775.66</v>
      </c>
      <c r="D111" s="334">
        <f ca="1">(OFFSET(Data!$P$409,17*(ROW(Data!Y496)-434),0))</f>
        <v>35941.757304458515</v>
      </c>
      <c r="E111" s="6">
        <f ca="1">(OFFSET(Data!$P$412,17*(ROW(Data!Y496)-434),0))</f>
        <v>5435.4199999999882</v>
      </c>
      <c r="F111" s="6">
        <f ca="1">(OFFSET(Data!$P$418,17*(ROW(Data!Y496)-434),0))</f>
        <v>5658.88</v>
      </c>
      <c r="G111" s="25">
        <f ca="1">(OFFSET(Data!$P$415,17*(ROW(Data!Y496)-434),0))</f>
        <v>7535</v>
      </c>
      <c r="H111" s="25">
        <f ca="1">(OFFSET(Data!$P$421,17*(ROW(Data!Y496)-434),0))</f>
        <v>17312.45730445853</v>
      </c>
      <c r="I111" s="25"/>
      <c r="J111" s="25"/>
      <c r="K111" s="334"/>
      <c r="L111" s="25"/>
      <c r="M111" s="25"/>
      <c r="N111" s="25"/>
      <c r="O111" s="25"/>
      <c r="P111" s="25"/>
      <c r="Q111" s="25"/>
      <c r="R111" s="335">
        <f t="shared" ca="1" si="84"/>
        <v>4775.66</v>
      </c>
      <c r="S111" s="334">
        <v>150</v>
      </c>
      <c r="T111" s="25">
        <v>400</v>
      </c>
      <c r="U111" s="25">
        <v>0</v>
      </c>
      <c r="V111" s="25">
        <v>200</v>
      </c>
      <c r="W111" s="25">
        <f ca="1">SUM((OFFSET(Data!$F$410,17*(ROW(Data!Y496)-434),0)):(OFFSET(Data!$F$423,17*(ROW(Data!Y496)-434),0)))</f>
        <v>3330.75</v>
      </c>
      <c r="X111" s="25">
        <f ca="1">SUM((OFFSET(Data!$I$410,17*(ROW(Data!Y496)-434),0)):(OFFSET(Data!$I$423,17*(ROW(Data!Y496)-434),0)))</f>
        <v>755.88</v>
      </c>
      <c r="Y111" s="25">
        <f t="shared" ca="1" si="85"/>
        <v>4086.63</v>
      </c>
      <c r="Z111" s="25">
        <f ca="1">(OFFSET(Data!$F$412,17*(ROW(Data!Y496)-434),0))</f>
        <v>100</v>
      </c>
      <c r="AA111" s="6">
        <f ca="1">(OFFSET(Data!$F$411,17*(ROW(Data!Y496)-434),0))</f>
        <v>400</v>
      </c>
      <c r="AB111" s="6"/>
      <c r="AC111" s="6"/>
      <c r="AD111" s="25"/>
      <c r="AE111" s="25"/>
      <c r="AF111" s="335"/>
      <c r="AG111" s="15"/>
      <c r="AH111" s="25"/>
      <c r="AI111" s="25"/>
      <c r="AJ111" s="25"/>
      <c r="AK111" s="6"/>
      <c r="AL111" s="354"/>
      <c r="AM111" s="6">
        <f t="shared" si="86"/>
        <v>0</v>
      </c>
      <c r="AN111" s="6">
        <f t="shared" si="87"/>
        <v>0</v>
      </c>
      <c r="AO111" s="6">
        <f t="shared" si="88"/>
        <v>0</v>
      </c>
      <c r="AP111" s="6">
        <f t="shared" si="89"/>
        <v>0</v>
      </c>
      <c r="AQ111" s="335">
        <f t="shared" si="90"/>
        <v>0</v>
      </c>
      <c r="AR111" s="15"/>
      <c r="AS111" s="25"/>
      <c r="AT111" s="25"/>
      <c r="AU111" s="350"/>
      <c r="AV111" s="350"/>
      <c r="AW111" s="350"/>
      <c r="AX111" s="356"/>
    </row>
    <row r="112" spans="2:50">
      <c r="B112" s="65">
        <v>47209</v>
      </c>
      <c r="C112" s="6">
        <f ca="1">SUM((OFFSET(Data!$C$410,17*(ROW(Data!Y497)-434),0)):(OFFSET(Data!$C$423,17*(ROW(Data!Y497)-434),0)))</f>
        <v>4775.66</v>
      </c>
      <c r="D112" s="334">
        <f ca="1">(OFFSET(Data!$P$409,17*(ROW(Data!Y497)-434),0))</f>
        <v>36630.787304458514</v>
      </c>
      <c r="E112" s="6">
        <f ca="1">(OFFSET(Data!$P$412,17*(ROW(Data!Y497)-434),0))</f>
        <v>5574.449999999988</v>
      </c>
      <c r="F112" s="6">
        <f ca="1">(OFFSET(Data!$P$418,17*(ROW(Data!Y497)-434),0))</f>
        <v>5808.88</v>
      </c>
      <c r="G112" s="25">
        <f ca="1">(OFFSET(Data!$P$415,17*(ROW(Data!Y497)-434),0))</f>
        <v>7735</v>
      </c>
      <c r="H112" s="25">
        <f ca="1">(OFFSET(Data!$P$421,17*(ROW(Data!Y497)-434),0))</f>
        <v>17512.45730445853</v>
      </c>
      <c r="K112" s="334"/>
      <c r="L112" s="25"/>
      <c r="M112" s="25"/>
      <c r="N112" s="25"/>
      <c r="O112" s="25"/>
      <c r="P112" s="25"/>
      <c r="Q112" s="25"/>
      <c r="R112" s="335">
        <f t="shared" ca="1" si="84"/>
        <v>4775.66</v>
      </c>
      <c r="S112" s="334">
        <v>150</v>
      </c>
      <c r="T112" s="25">
        <v>400</v>
      </c>
      <c r="U112" s="25">
        <v>0</v>
      </c>
      <c r="V112" s="25">
        <v>200</v>
      </c>
      <c r="W112" s="25">
        <f ca="1">SUM((OFFSET(Data!$F$410,17*(ROW(Data!Y497)-434),0)):(OFFSET(Data!$F$423,17*(ROW(Data!Y497)-434),0)))</f>
        <v>3330.75</v>
      </c>
      <c r="X112" s="25">
        <f ca="1">SUM((OFFSET(Data!$I$410,17*(ROW(Data!Y497)-434),0)):(OFFSET(Data!$I$423,17*(ROW(Data!Y497)-434),0)))</f>
        <v>755.88</v>
      </c>
      <c r="Y112" s="25">
        <f t="shared" ca="1" si="85"/>
        <v>4086.63</v>
      </c>
      <c r="Z112" s="25">
        <f ca="1">(OFFSET(Data!$F$412,17*(ROW(Data!Y497)-434),0))</f>
        <v>100</v>
      </c>
      <c r="AA112" s="6">
        <f ca="1">(OFFSET(Data!$F$411,17*(ROW(Data!Y497)-434),0))</f>
        <v>400</v>
      </c>
      <c r="AB112" s="6"/>
      <c r="AC112" s="6"/>
      <c r="AD112" s="25"/>
      <c r="AE112" s="25"/>
      <c r="AF112" s="335"/>
      <c r="AG112" s="15"/>
      <c r="AH112" s="25"/>
      <c r="AI112" s="25"/>
      <c r="AJ112" s="25"/>
      <c r="AK112" s="6"/>
      <c r="AL112" s="354"/>
      <c r="AM112" s="6">
        <f t="shared" si="86"/>
        <v>0</v>
      </c>
      <c r="AN112" s="6">
        <f t="shared" si="87"/>
        <v>0</v>
      </c>
      <c r="AO112" s="6">
        <f t="shared" si="88"/>
        <v>0</v>
      </c>
      <c r="AP112" s="6">
        <f t="shared" si="89"/>
        <v>0</v>
      </c>
      <c r="AQ112" s="335">
        <f t="shared" si="90"/>
        <v>0</v>
      </c>
      <c r="AR112" s="15"/>
      <c r="AS112" s="25"/>
      <c r="AT112" s="25"/>
      <c r="AU112" s="350"/>
      <c r="AV112" s="350"/>
      <c r="AW112" s="350"/>
      <c r="AX112" s="356"/>
    </row>
    <row r="113" spans="2:50">
      <c r="B113" s="65">
        <v>47239</v>
      </c>
      <c r="C113" s="6">
        <f ca="1">SUM((OFFSET(Data!$C$410,17*(ROW(Data!Y498)-434),0)):(OFFSET(Data!$C$423,17*(ROW(Data!Y498)-434),0)))</f>
        <v>4775.66</v>
      </c>
      <c r="D113" s="334">
        <f ca="1">(OFFSET(Data!$P$409,17*(ROW(Data!Y498)-434),0))</f>
        <v>37319.81730445852</v>
      </c>
      <c r="E113" s="6">
        <f ca="1">(OFFSET(Data!$P$412,17*(ROW(Data!Y498)-434),0))</f>
        <v>5713.4799999999877</v>
      </c>
      <c r="F113" s="6">
        <f ca="1">(OFFSET(Data!$P$418,17*(ROW(Data!Y498)-434),0))</f>
        <v>5958.88</v>
      </c>
      <c r="G113" s="25">
        <f ca="1">(OFFSET(Data!$P$415,17*(ROW(Data!Y498)-434),0))</f>
        <v>7935</v>
      </c>
      <c r="H113" s="25">
        <f ca="1">(OFFSET(Data!$P$421,17*(ROW(Data!Y498)-434),0))</f>
        <v>17712.45730445853</v>
      </c>
      <c r="K113" s="334"/>
      <c r="L113" s="25"/>
      <c r="M113" s="25"/>
      <c r="N113" s="25"/>
      <c r="O113" s="25"/>
      <c r="P113" s="25"/>
      <c r="Q113" s="25"/>
      <c r="R113" s="335">
        <f t="shared" ca="1" si="84"/>
        <v>4775.66</v>
      </c>
      <c r="S113" s="25">
        <v>150</v>
      </c>
      <c r="T113" s="25">
        <v>400</v>
      </c>
      <c r="U113" s="25">
        <v>0</v>
      </c>
      <c r="V113" s="25">
        <v>200</v>
      </c>
      <c r="W113" s="25">
        <f ca="1">SUM((OFFSET(Data!$F$410,17*(ROW(Data!Y498)-434),0)):(OFFSET(Data!$F$423,17*(ROW(Data!Y498)-434),0)))</f>
        <v>3330.75</v>
      </c>
      <c r="X113" s="25">
        <f ca="1">SUM((OFFSET(Data!$I$410,17*(ROW(Data!Y498)-434),0)):(OFFSET(Data!$I$423,17*(ROW(Data!Y498)-434),0)))</f>
        <v>755.88</v>
      </c>
      <c r="Y113" s="25">
        <f t="shared" ca="1" si="85"/>
        <v>4086.63</v>
      </c>
      <c r="Z113" s="25">
        <f ca="1">(OFFSET(Data!$F$412,17*(ROW(Data!Y498)-434),0))</f>
        <v>100</v>
      </c>
      <c r="AA113" s="6">
        <f ca="1">(OFFSET(Data!$F$411,17*(ROW(Data!Y498)-434),0))</f>
        <v>400</v>
      </c>
      <c r="AB113" s="6"/>
      <c r="AC113" s="6"/>
      <c r="AD113" s="25"/>
      <c r="AE113" s="25"/>
      <c r="AF113" s="335"/>
      <c r="AG113" s="15"/>
      <c r="AH113" s="25"/>
      <c r="AI113" s="25"/>
      <c r="AJ113" s="25"/>
      <c r="AK113" s="6"/>
      <c r="AL113" s="354"/>
      <c r="AM113" s="6">
        <f t="shared" si="86"/>
        <v>0</v>
      </c>
      <c r="AN113" s="6">
        <f t="shared" si="87"/>
        <v>0</v>
      </c>
      <c r="AO113" s="6">
        <f t="shared" si="88"/>
        <v>0</v>
      </c>
      <c r="AP113" s="6">
        <f t="shared" si="89"/>
        <v>0</v>
      </c>
      <c r="AQ113" s="335">
        <f t="shared" si="90"/>
        <v>0</v>
      </c>
      <c r="AR113" s="15"/>
      <c r="AS113" s="25"/>
      <c r="AT113" s="25"/>
      <c r="AU113" s="350"/>
      <c r="AV113" s="350"/>
      <c r="AW113" s="350"/>
      <c r="AX113" s="356"/>
    </row>
    <row r="114" spans="2:50">
      <c r="B114" s="65">
        <v>47270</v>
      </c>
      <c r="C114" s="6">
        <f ca="1">SUM((OFFSET(Data!$C$410,17*(ROW(Data!Y499)-434),0)):(OFFSET(Data!$C$423,17*(ROW(Data!Y499)-434),0)))</f>
        <v>4775.66</v>
      </c>
      <c r="D114" s="334">
        <f ca="1">(OFFSET(Data!$P$409,17*(ROW(Data!Y499)-434),0))</f>
        <v>38008.847304458519</v>
      </c>
      <c r="E114" s="6">
        <f ca="1">(OFFSET(Data!$P$412,17*(ROW(Data!Y499)-434),0))</f>
        <v>5852.5099999999875</v>
      </c>
      <c r="F114" s="6">
        <f ca="1">(OFFSET(Data!$P$418,17*(ROW(Data!Y499)-434),0))</f>
        <v>6108.88</v>
      </c>
      <c r="G114" s="25">
        <f ca="1">(OFFSET(Data!$P$415,17*(ROW(Data!Y499)-434),0))</f>
        <v>8135</v>
      </c>
      <c r="H114" s="25">
        <f ca="1">(OFFSET(Data!$P$421,17*(ROW(Data!Y499)-434),0))</f>
        <v>17912.45730445853</v>
      </c>
      <c r="K114" s="334"/>
      <c r="L114" s="25"/>
      <c r="M114" s="25"/>
      <c r="N114" s="25"/>
      <c r="O114" s="25"/>
      <c r="P114" s="25"/>
      <c r="Q114" s="25"/>
      <c r="R114" s="335">
        <f t="shared" ca="1" si="84"/>
        <v>4775.66</v>
      </c>
      <c r="S114" s="25">
        <v>150</v>
      </c>
      <c r="T114" s="25">
        <v>400</v>
      </c>
      <c r="U114" s="25">
        <v>0</v>
      </c>
      <c r="V114" s="25">
        <v>200</v>
      </c>
      <c r="W114" s="25">
        <f ca="1">SUM((OFFSET(Data!$F$410,17*(ROW(Data!Y499)-434),0)):(OFFSET(Data!$F$423,17*(ROW(Data!Y499)-434),0)))</f>
        <v>3330.75</v>
      </c>
      <c r="X114" s="25">
        <f ca="1">SUM((OFFSET(Data!$I$410,17*(ROW(Data!Y499)-434),0)):(OFFSET(Data!$I$423,17*(ROW(Data!Y499)-434),0)))</f>
        <v>755.88</v>
      </c>
      <c r="Y114" s="25">
        <f t="shared" ca="1" si="85"/>
        <v>4086.63</v>
      </c>
      <c r="Z114" s="25">
        <f ca="1">(OFFSET(Data!$F$412,17*(ROW(Data!Y499)-434),0))</f>
        <v>100</v>
      </c>
      <c r="AA114" s="6">
        <f ca="1">(OFFSET(Data!$F$411,17*(ROW(Data!Y499)-434),0))</f>
        <v>400</v>
      </c>
      <c r="AB114" s="6"/>
      <c r="AC114" s="6"/>
      <c r="AD114" s="25"/>
      <c r="AE114" s="25"/>
      <c r="AF114" s="335"/>
      <c r="AG114" s="15"/>
      <c r="AH114" s="25"/>
      <c r="AI114" s="25"/>
      <c r="AJ114" s="25"/>
      <c r="AK114" s="6"/>
      <c r="AL114" s="354"/>
      <c r="AM114" s="6">
        <f t="shared" si="86"/>
        <v>0</v>
      </c>
      <c r="AN114" s="6">
        <f t="shared" si="87"/>
        <v>0</v>
      </c>
      <c r="AO114" s="6">
        <f t="shared" si="88"/>
        <v>0</v>
      </c>
      <c r="AP114" s="6">
        <f t="shared" si="89"/>
        <v>0</v>
      </c>
      <c r="AQ114" s="335">
        <f t="shared" si="90"/>
        <v>0</v>
      </c>
      <c r="AR114" s="15"/>
      <c r="AS114" s="25"/>
      <c r="AT114" s="25"/>
      <c r="AU114" s="350"/>
      <c r="AV114" s="350"/>
      <c r="AW114" s="350"/>
      <c r="AX114" s="356"/>
    </row>
    <row r="115" spans="2:50">
      <c r="B115" s="65">
        <v>47300</v>
      </c>
      <c r="C115" s="6">
        <f ca="1">SUM((OFFSET(Data!$C$410,17*(ROW(Data!Y500)-434),0)):(OFFSET(Data!$C$423,17*(ROW(Data!Y500)-434),0)))</f>
        <v>4775.66</v>
      </c>
      <c r="D115" s="334">
        <f ca="1">(OFFSET(Data!$P$409,17*(ROW(Data!Y500)-434),0))</f>
        <v>38697.877304458518</v>
      </c>
      <c r="E115" s="6">
        <f ca="1">(OFFSET(Data!$P$412,17*(ROW(Data!Y500)-434),0))</f>
        <v>5991.5399999999872</v>
      </c>
      <c r="F115" s="6">
        <f ca="1">(OFFSET(Data!$P$418,17*(ROW(Data!Y500)-434),0))</f>
        <v>6258.88</v>
      </c>
      <c r="G115" s="25">
        <f ca="1">(OFFSET(Data!$P$415,17*(ROW(Data!Y500)-434),0))</f>
        <v>8335</v>
      </c>
      <c r="H115" s="25">
        <f ca="1">(OFFSET(Data!$P$421,17*(ROW(Data!Y500)-434),0))</f>
        <v>18112.45730445853</v>
      </c>
      <c r="K115" s="334"/>
      <c r="L115" s="25"/>
      <c r="M115" s="25"/>
      <c r="N115" s="25"/>
      <c r="O115" s="25"/>
      <c r="P115" s="25"/>
      <c r="Q115" s="25"/>
      <c r="R115" s="335">
        <f t="shared" ca="1" si="84"/>
        <v>4775.66</v>
      </c>
      <c r="S115" s="334">
        <v>150</v>
      </c>
      <c r="T115" s="25">
        <v>400</v>
      </c>
      <c r="U115" s="25">
        <v>0</v>
      </c>
      <c r="V115" s="25">
        <v>200</v>
      </c>
      <c r="W115" s="25">
        <f ca="1">SUM((OFFSET(Data!$F$410,17*(ROW(Data!Y500)-434),0)):(OFFSET(Data!$F$423,17*(ROW(Data!Y500)-434),0)))</f>
        <v>3330.75</v>
      </c>
      <c r="X115" s="25">
        <f ca="1">SUM((OFFSET(Data!$I$410,17*(ROW(Data!Y500)-434),0)):(OFFSET(Data!$I$423,17*(ROW(Data!Y500)-434),0)))</f>
        <v>755.88</v>
      </c>
      <c r="Y115" s="25">
        <f t="shared" ca="1" si="85"/>
        <v>4086.63</v>
      </c>
      <c r="Z115" s="25">
        <f ca="1">(OFFSET(Data!$F$412,17*(ROW(Data!Y500)-434),0))</f>
        <v>100</v>
      </c>
      <c r="AA115" s="6">
        <f ca="1">(OFFSET(Data!$F$411,17*(ROW(Data!Y500)-434),0))</f>
        <v>400</v>
      </c>
      <c r="AB115" s="6"/>
      <c r="AC115" s="6"/>
      <c r="AD115" s="25"/>
      <c r="AE115" s="25"/>
      <c r="AF115" s="335"/>
      <c r="AG115" s="15"/>
      <c r="AH115" s="25"/>
      <c r="AI115" s="25"/>
      <c r="AJ115" s="25"/>
      <c r="AK115" s="6"/>
      <c r="AL115" s="354"/>
      <c r="AM115" s="6">
        <f t="shared" si="86"/>
        <v>0</v>
      </c>
      <c r="AN115" s="6">
        <f t="shared" si="87"/>
        <v>0</v>
      </c>
      <c r="AO115" s="6">
        <f t="shared" si="88"/>
        <v>0</v>
      </c>
      <c r="AP115" s="6">
        <f t="shared" si="89"/>
        <v>0</v>
      </c>
      <c r="AQ115" s="335">
        <f t="shared" si="90"/>
        <v>0</v>
      </c>
      <c r="AR115" s="15"/>
      <c r="AS115" s="25"/>
      <c r="AT115" s="25"/>
      <c r="AU115" s="350"/>
      <c r="AV115" s="350"/>
      <c r="AW115" s="350"/>
      <c r="AX115" s="356"/>
    </row>
    <row r="116" spans="2:50">
      <c r="B116" s="65">
        <v>47331</v>
      </c>
      <c r="C116" s="6">
        <f ca="1">SUM((OFFSET(Data!$C$410,17*(ROW(Data!Y501)-434),0)):(OFFSET(Data!$C$423,17*(ROW(Data!Y501)-434),0)))</f>
        <v>4775.66</v>
      </c>
      <c r="D116" s="334">
        <f ca="1">(OFFSET(Data!$P$409,17*(ROW(Data!Y501)-434),0))</f>
        <v>39386.907304458517</v>
      </c>
      <c r="E116" s="6">
        <f ca="1">(OFFSET(Data!$P$412,17*(ROW(Data!Y501)-434),0))</f>
        <v>6130.569999999987</v>
      </c>
      <c r="F116" s="6">
        <f ca="1">(OFFSET(Data!$P$418,17*(ROW(Data!Y501)-434),0))</f>
        <v>6408.88</v>
      </c>
      <c r="G116" s="25">
        <f ca="1">(OFFSET(Data!$P$415,17*(ROW(Data!Y501)-434),0))</f>
        <v>8535</v>
      </c>
      <c r="H116" s="25">
        <f ca="1">(OFFSET(Data!$P$421,17*(ROW(Data!Y501)-434),0))</f>
        <v>18312.45730445853</v>
      </c>
      <c r="K116" s="334"/>
      <c r="L116" s="25"/>
      <c r="M116" s="25"/>
      <c r="N116" s="25"/>
      <c r="O116" s="25"/>
      <c r="P116" s="25"/>
      <c r="Q116" s="25"/>
      <c r="R116" s="335">
        <f t="shared" ca="1" si="84"/>
        <v>4775.66</v>
      </c>
      <c r="S116" s="334">
        <v>150</v>
      </c>
      <c r="T116" s="25">
        <v>400</v>
      </c>
      <c r="U116" s="25">
        <v>0</v>
      </c>
      <c r="V116" s="25">
        <v>200</v>
      </c>
      <c r="W116" s="25">
        <f ca="1">SUM((OFFSET(Data!$F$410,17*(ROW(Data!Y501)-434),0)):(OFFSET(Data!$F$423,17*(ROW(Data!Y501)-434),0)))</f>
        <v>3330.75</v>
      </c>
      <c r="X116" s="25">
        <f ca="1">SUM((OFFSET(Data!$I$410,17*(ROW(Data!Y501)-434),0)):(OFFSET(Data!$I$423,17*(ROW(Data!Y501)-434),0)))</f>
        <v>755.88</v>
      </c>
      <c r="Y116" s="25">
        <f t="shared" ca="1" si="85"/>
        <v>4086.63</v>
      </c>
      <c r="Z116" s="25">
        <f ca="1">(OFFSET(Data!$F$412,17*(ROW(Data!Y501)-434),0))</f>
        <v>100</v>
      </c>
      <c r="AA116" s="6">
        <f ca="1">(OFFSET(Data!$F$411,17*(ROW(Data!Y501)-434),0))</f>
        <v>400</v>
      </c>
      <c r="AB116" s="6"/>
      <c r="AC116" s="6"/>
      <c r="AD116" s="25"/>
      <c r="AE116" s="25"/>
      <c r="AF116" s="335"/>
      <c r="AG116" s="15"/>
      <c r="AH116" s="25"/>
      <c r="AI116" s="25"/>
      <c r="AJ116" s="25"/>
      <c r="AK116" s="6"/>
      <c r="AL116" s="354"/>
      <c r="AM116" s="6">
        <f t="shared" si="86"/>
        <v>0</v>
      </c>
      <c r="AN116" s="6">
        <f t="shared" si="87"/>
        <v>0</v>
      </c>
      <c r="AO116" s="6">
        <f t="shared" si="88"/>
        <v>0</v>
      </c>
      <c r="AP116" s="6">
        <f t="shared" si="89"/>
        <v>0</v>
      </c>
      <c r="AQ116" s="335">
        <f t="shared" si="90"/>
        <v>0</v>
      </c>
      <c r="AR116" s="15"/>
      <c r="AS116" s="25"/>
      <c r="AT116" s="25"/>
      <c r="AU116" s="350"/>
      <c r="AV116" s="350"/>
      <c r="AW116" s="350"/>
      <c r="AX116" s="356"/>
    </row>
    <row r="117" spans="2:50">
      <c r="B117" s="65">
        <v>47362</v>
      </c>
      <c r="C117" s="6">
        <f ca="1">SUM((OFFSET(Data!$C$410,17*(ROW(Data!Y502)-434),0)):(OFFSET(Data!$C$423,17*(ROW(Data!Y502)-434),0)))</f>
        <v>4775.66</v>
      </c>
      <c r="D117" s="334">
        <f ca="1">(OFFSET(Data!$P$409,17*(ROW(Data!Y502)-434),0))</f>
        <v>40075.937304458523</v>
      </c>
      <c r="E117" s="6">
        <f ca="1">(OFFSET(Data!$P$412,17*(ROW(Data!Y502)-434),0))</f>
        <v>6269.5999999999867</v>
      </c>
      <c r="F117" s="6">
        <f ca="1">(OFFSET(Data!$P$418,17*(ROW(Data!Y502)-434),0))</f>
        <v>6558.88</v>
      </c>
      <c r="G117" s="25">
        <f ca="1">(OFFSET(Data!$P$415,17*(ROW(Data!Y502)-434),0))</f>
        <v>8735</v>
      </c>
      <c r="H117" s="25">
        <f ca="1">(OFFSET(Data!$P$421,17*(ROW(Data!Y502)-434),0))</f>
        <v>18512.45730445853</v>
      </c>
      <c r="K117" s="334"/>
      <c r="L117" s="25"/>
      <c r="M117" s="25"/>
      <c r="N117" s="25"/>
      <c r="O117" s="25"/>
      <c r="P117" s="25"/>
      <c r="Q117" s="25"/>
      <c r="R117" s="335">
        <f t="shared" ca="1" si="84"/>
        <v>4775.66</v>
      </c>
      <c r="S117" s="25">
        <v>150</v>
      </c>
      <c r="T117" s="25">
        <v>400</v>
      </c>
      <c r="U117" s="25">
        <v>0</v>
      </c>
      <c r="V117" s="25">
        <v>200</v>
      </c>
      <c r="W117" s="25">
        <f ca="1">SUM((OFFSET(Data!$F$410,17*(ROW(Data!Y502)-434),0)):(OFFSET(Data!$F$423,17*(ROW(Data!Y502)-434),0)))</f>
        <v>3330.75</v>
      </c>
      <c r="X117" s="25">
        <f ca="1">SUM((OFFSET(Data!$I$410,17*(ROW(Data!Y502)-434),0)):(OFFSET(Data!$I$423,17*(ROW(Data!Y502)-434),0)))</f>
        <v>755.88</v>
      </c>
      <c r="Y117" s="25">
        <f t="shared" ca="1" si="85"/>
        <v>4086.63</v>
      </c>
      <c r="Z117" s="25">
        <f ca="1">(OFFSET(Data!$F$412,17*(ROW(Data!Y502)-434),0))</f>
        <v>100</v>
      </c>
      <c r="AA117" s="6">
        <f ca="1">(OFFSET(Data!$F$411,17*(ROW(Data!Y502)-434),0))</f>
        <v>400</v>
      </c>
      <c r="AB117" s="6"/>
      <c r="AC117" s="6"/>
      <c r="AD117" s="25"/>
      <c r="AE117" s="25"/>
      <c r="AF117" s="335"/>
      <c r="AG117" s="15"/>
      <c r="AH117" s="25"/>
      <c r="AI117" s="25"/>
      <c r="AJ117" s="25"/>
      <c r="AK117" s="6"/>
      <c r="AL117" s="354"/>
      <c r="AM117" s="6">
        <f t="shared" si="86"/>
        <v>0</v>
      </c>
      <c r="AN117" s="6">
        <f t="shared" si="87"/>
        <v>0</v>
      </c>
      <c r="AO117" s="6">
        <f t="shared" si="88"/>
        <v>0</v>
      </c>
      <c r="AP117" s="6">
        <f t="shared" si="89"/>
        <v>0</v>
      </c>
      <c r="AQ117" s="335">
        <f t="shared" si="90"/>
        <v>0</v>
      </c>
      <c r="AR117" s="15"/>
      <c r="AS117" s="25"/>
      <c r="AT117" s="25"/>
      <c r="AU117" s="350"/>
      <c r="AV117" s="350"/>
      <c r="AW117" s="350"/>
      <c r="AX117" s="356"/>
    </row>
    <row r="118" spans="2:50">
      <c r="B118" s="65">
        <v>47392</v>
      </c>
      <c r="C118" s="6">
        <f ca="1">SUM((OFFSET(Data!$C$410,17*(ROW(Data!Y503)-434),0)):(OFFSET(Data!$C$423,17*(ROW(Data!Y503)-434),0)))</f>
        <v>4775.66</v>
      </c>
      <c r="D118" s="334">
        <f ca="1">(OFFSET(Data!$P$409,17*(ROW(Data!Y503)-434),0))</f>
        <v>40764.967304458522</v>
      </c>
      <c r="E118" s="6">
        <f ca="1">(OFFSET(Data!$P$412,17*(ROW(Data!Y503)-434),0))</f>
        <v>6408.6299999999865</v>
      </c>
      <c r="F118" s="6">
        <f ca="1">(OFFSET(Data!$P$418,17*(ROW(Data!Y503)-434),0))</f>
        <v>6708.88</v>
      </c>
      <c r="G118" s="25">
        <f ca="1">(OFFSET(Data!$P$415,17*(ROW(Data!Y503)-434),0))</f>
        <v>8935</v>
      </c>
      <c r="H118" s="25">
        <f ca="1">(OFFSET(Data!$P$421,17*(ROW(Data!Y503)-434),0))</f>
        <v>18712.45730445853</v>
      </c>
      <c r="K118" s="334"/>
      <c r="L118" s="25"/>
      <c r="M118" s="25"/>
      <c r="N118" s="25"/>
      <c r="O118" s="25"/>
      <c r="P118" s="25"/>
      <c r="Q118" s="25"/>
      <c r="R118" s="335">
        <f t="shared" ca="1" si="84"/>
        <v>4775.66</v>
      </c>
      <c r="S118" s="25">
        <v>150</v>
      </c>
      <c r="T118" s="25">
        <v>400</v>
      </c>
      <c r="U118" s="25">
        <v>0</v>
      </c>
      <c r="V118" s="25">
        <v>200</v>
      </c>
      <c r="W118" s="25">
        <f ca="1">SUM((OFFSET(Data!$F$410,17*(ROW(Data!Y503)-434),0)):(OFFSET(Data!$F$423,17*(ROW(Data!Y503)-434),0)))</f>
        <v>3330.75</v>
      </c>
      <c r="X118" s="25">
        <f ca="1">SUM((OFFSET(Data!$I$410,17*(ROW(Data!Y503)-434),0)):(OFFSET(Data!$I$423,17*(ROW(Data!Y503)-434),0)))</f>
        <v>755.88</v>
      </c>
      <c r="Y118" s="25">
        <f t="shared" ca="1" si="85"/>
        <v>4086.63</v>
      </c>
      <c r="Z118" s="25">
        <f ca="1">(OFFSET(Data!$F$412,17*(ROW(Data!Y503)-434),0))</f>
        <v>100</v>
      </c>
      <c r="AA118" s="6">
        <f ca="1">(OFFSET(Data!$F$411,17*(ROW(Data!Y503)-434),0))</f>
        <v>400</v>
      </c>
      <c r="AB118" s="6"/>
      <c r="AC118" s="6"/>
      <c r="AD118" s="25"/>
      <c r="AE118" s="25"/>
      <c r="AF118" s="335"/>
      <c r="AG118" s="15"/>
      <c r="AH118" s="25"/>
      <c r="AI118" s="25"/>
      <c r="AJ118" s="25"/>
      <c r="AK118" s="6"/>
      <c r="AL118" s="354"/>
      <c r="AM118" s="6">
        <f t="shared" si="86"/>
        <v>0</v>
      </c>
      <c r="AN118" s="6">
        <f t="shared" si="87"/>
        <v>0</v>
      </c>
      <c r="AO118" s="6">
        <f t="shared" si="88"/>
        <v>0</v>
      </c>
      <c r="AP118" s="6">
        <f t="shared" si="89"/>
        <v>0</v>
      </c>
      <c r="AQ118" s="335">
        <f t="shared" si="90"/>
        <v>0</v>
      </c>
      <c r="AR118" s="15"/>
      <c r="AS118" s="25"/>
      <c r="AT118" s="25"/>
      <c r="AU118" s="350"/>
      <c r="AV118" s="350"/>
      <c r="AW118" s="350"/>
      <c r="AX118" s="356"/>
    </row>
    <row r="119" spans="2:50">
      <c r="B119" s="65">
        <v>47423</v>
      </c>
      <c r="C119" s="6">
        <f ca="1">SUM((OFFSET(Data!$C$410,17*(ROW(Data!Y504)-434),0)):(OFFSET(Data!$C$423,17*(ROW(Data!Y504)-434),0)))</f>
        <v>4775.66</v>
      </c>
      <c r="D119" s="334">
        <f ca="1">(OFFSET(Data!$P$409,17*(ROW(Data!Y504)-434),0))</f>
        <v>41453.99730445852</v>
      </c>
      <c r="E119" s="6">
        <f ca="1">(OFFSET(Data!$P$412,17*(ROW(Data!Y504)-434),0))</f>
        <v>6547.6599999999862</v>
      </c>
      <c r="F119" s="6">
        <f ca="1">(OFFSET(Data!$P$418,17*(ROW(Data!Y504)-434),0))</f>
        <v>6858.88</v>
      </c>
      <c r="G119" s="25">
        <f ca="1">(OFFSET(Data!$P$415,17*(ROW(Data!Y504)-434),0))</f>
        <v>9135</v>
      </c>
      <c r="H119" s="25">
        <f ca="1">(OFFSET(Data!$P$421,17*(ROW(Data!Y504)-434),0))</f>
        <v>18912.45730445853</v>
      </c>
      <c r="K119" s="334"/>
      <c r="L119" s="25"/>
      <c r="M119" s="25"/>
      <c r="N119" s="25"/>
      <c r="O119" s="25"/>
      <c r="P119" s="25"/>
      <c r="Q119" s="25"/>
      <c r="R119" s="335">
        <f t="shared" ca="1" si="84"/>
        <v>4775.66</v>
      </c>
      <c r="S119" s="334">
        <v>150</v>
      </c>
      <c r="T119" s="25">
        <v>400</v>
      </c>
      <c r="U119" s="25">
        <v>0</v>
      </c>
      <c r="V119" s="25">
        <v>200</v>
      </c>
      <c r="W119" s="25">
        <f ca="1">SUM((OFFSET(Data!$F$410,17*(ROW(Data!Y504)-434),0)):(OFFSET(Data!$F$423,17*(ROW(Data!Y504)-434),0)))</f>
        <v>3330.75</v>
      </c>
      <c r="X119" s="25">
        <f ca="1">SUM((OFFSET(Data!$I$410,17*(ROW(Data!Y504)-434),0)):(OFFSET(Data!$I$423,17*(ROW(Data!Y504)-434),0)))</f>
        <v>755.88</v>
      </c>
      <c r="Y119" s="25">
        <f t="shared" ca="1" si="85"/>
        <v>4086.63</v>
      </c>
      <c r="Z119" s="25">
        <f ca="1">(OFFSET(Data!$F$412,17*(ROW(Data!Y504)-434),0))</f>
        <v>100</v>
      </c>
      <c r="AA119" s="6">
        <f ca="1">(OFFSET(Data!$F$411,17*(ROW(Data!Y504)-434),0))</f>
        <v>400</v>
      </c>
      <c r="AB119" s="6"/>
      <c r="AC119" s="6"/>
      <c r="AD119" s="25"/>
      <c r="AE119" s="25"/>
      <c r="AF119" s="335"/>
      <c r="AG119" s="15"/>
      <c r="AH119" s="25"/>
      <c r="AI119" s="25"/>
      <c r="AJ119" s="25"/>
      <c r="AK119" s="6"/>
      <c r="AL119" s="354"/>
      <c r="AM119" s="6">
        <f t="shared" si="86"/>
        <v>0</v>
      </c>
      <c r="AN119" s="6">
        <f t="shared" si="87"/>
        <v>0</v>
      </c>
      <c r="AO119" s="6">
        <f t="shared" si="88"/>
        <v>0</v>
      </c>
      <c r="AP119" s="6">
        <f t="shared" si="89"/>
        <v>0</v>
      </c>
      <c r="AQ119" s="335">
        <f t="shared" si="90"/>
        <v>0</v>
      </c>
      <c r="AR119" s="15"/>
      <c r="AS119" s="25"/>
      <c r="AT119" s="25"/>
      <c r="AU119" s="350"/>
      <c r="AV119" s="350"/>
      <c r="AW119" s="350"/>
      <c r="AX119" s="356"/>
    </row>
    <row r="120" spans="2:50">
      <c r="B120" s="65">
        <v>47453</v>
      </c>
      <c r="C120" s="6">
        <f ca="1">SUM((OFFSET(Data!$C$410,17*(ROW(Data!Y505)-434),0)):(OFFSET(Data!$C$423,17*(ROW(Data!Y505)-434),0)))</f>
        <v>4775.66</v>
      </c>
      <c r="D120" s="334">
        <f ca="1">(OFFSET(Data!$P$409,17*(ROW(Data!Y505)-434),0))</f>
        <v>42143.027304458519</v>
      </c>
      <c r="E120" s="6">
        <f ca="1">(OFFSET(Data!$P$412,17*(ROW(Data!Y505)-434),0))</f>
        <v>6686.689999999986</v>
      </c>
      <c r="F120" s="6">
        <f ca="1">(OFFSET(Data!$P$418,17*(ROW(Data!Y505)-434),0))</f>
        <v>7008.88</v>
      </c>
      <c r="G120" s="25">
        <f ca="1">(OFFSET(Data!$P$415,17*(ROW(Data!Y505)-434),0))</f>
        <v>9335</v>
      </c>
      <c r="H120" s="25">
        <f ca="1">(OFFSET(Data!$P$421,17*(ROW(Data!Y505)-434),0))</f>
        <v>19112.45730445853</v>
      </c>
      <c r="K120" s="334"/>
      <c r="L120" s="25"/>
      <c r="M120" s="25"/>
      <c r="N120" s="25"/>
      <c r="O120" s="25"/>
      <c r="P120" s="25"/>
      <c r="Q120" s="25"/>
      <c r="R120" s="335">
        <f t="shared" ca="1" si="84"/>
        <v>4775.66</v>
      </c>
      <c r="S120" s="334">
        <v>150</v>
      </c>
      <c r="T120" s="25">
        <v>400</v>
      </c>
      <c r="U120" s="25">
        <v>0</v>
      </c>
      <c r="V120" s="25">
        <v>200</v>
      </c>
      <c r="W120" s="25">
        <f ca="1">SUM((OFFSET(Data!$F$410,17*(ROW(Data!Y505)-434),0)):(OFFSET(Data!$F$423,17*(ROW(Data!Y505)-434),0)))</f>
        <v>3330.75</v>
      </c>
      <c r="X120" s="25">
        <f ca="1">SUM((OFFSET(Data!$I$410,17*(ROW(Data!Y505)-434),0)):(OFFSET(Data!$I$423,17*(ROW(Data!Y505)-434),0)))</f>
        <v>755.88</v>
      </c>
      <c r="Y120" s="25">
        <f t="shared" ca="1" si="85"/>
        <v>4086.63</v>
      </c>
      <c r="Z120" s="25">
        <f ca="1">(OFFSET(Data!$F$412,17*(ROW(Data!Y505)-434),0))</f>
        <v>100</v>
      </c>
      <c r="AA120" s="6">
        <f ca="1">(OFFSET(Data!$F$411,17*(ROW(Data!Y505)-434),0))</f>
        <v>400</v>
      </c>
      <c r="AB120" s="6"/>
      <c r="AC120" s="6"/>
      <c r="AD120" s="25"/>
      <c r="AE120" s="25"/>
      <c r="AF120" s="335"/>
      <c r="AG120" s="15"/>
      <c r="AH120" s="25"/>
      <c r="AI120" s="25"/>
      <c r="AJ120" s="25"/>
      <c r="AK120" s="6"/>
      <c r="AL120" s="354"/>
      <c r="AM120" s="6">
        <f t="shared" si="86"/>
        <v>0</v>
      </c>
      <c r="AN120" s="6">
        <f t="shared" si="87"/>
        <v>0</v>
      </c>
      <c r="AO120" s="6">
        <f t="shared" si="88"/>
        <v>0</v>
      </c>
      <c r="AP120" s="6">
        <f t="shared" si="89"/>
        <v>0</v>
      </c>
      <c r="AQ120" s="335">
        <f t="shared" si="90"/>
        <v>0</v>
      </c>
      <c r="AR120" s="15"/>
      <c r="AS120" s="25"/>
      <c r="AT120" s="25"/>
      <c r="AU120" s="350"/>
      <c r="AV120" s="350"/>
      <c r="AW120" s="350"/>
      <c r="AX120" s="356"/>
    </row>
    <row r="121" spans="2:50">
      <c r="B121" s="65">
        <v>47484</v>
      </c>
      <c r="C121" s="6">
        <f ca="1">SUM((OFFSET(Data!$C$410,17*(ROW(Data!Y506)-434),0)):(OFFSET(Data!$C$423,17*(ROW(Data!Y506)-434),0)))</f>
        <v>4775.66</v>
      </c>
      <c r="D121" s="334">
        <f ca="1">(OFFSET(Data!$P$409,17*(ROW(Data!Y506)-434),0))</f>
        <v>42832.057304458518</v>
      </c>
      <c r="E121" s="6">
        <f ca="1">(OFFSET(Data!$P$412,17*(ROW(Data!Y506)-434),0))</f>
        <v>6825.7199999999857</v>
      </c>
      <c r="F121" s="6">
        <f ca="1">(OFFSET(Data!$P$418,17*(ROW(Data!Y506)-434),0))</f>
        <v>7158.88</v>
      </c>
      <c r="G121" s="25">
        <f ca="1">(OFFSET(Data!$P$415,17*(ROW(Data!Y506)-434),0))</f>
        <v>9535</v>
      </c>
      <c r="H121" s="25">
        <f ca="1">(OFFSET(Data!$P$421,17*(ROW(Data!Y506)-434),0))</f>
        <v>19312.45730445853</v>
      </c>
      <c r="I121" s="25"/>
      <c r="J121" s="25"/>
      <c r="K121" s="334"/>
      <c r="L121" s="25"/>
      <c r="M121" s="25"/>
      <c r="N121" s="25"/>
      <c r="O121" s="25"/>
      <c r="P121" s="25"/>
      <c r="Q121" s="25"/>
      <c r="R121" s="335">
        <f t="shared" ca="1" si="84"/>
        <v>4775.66</v>
      </c>
      <c r="S121" s="25">
        <v>150</v>
      </c>
      <c r="T121" s="25">
        <v>400</v>
      </c>
      <c r="U121" s="25">
        <v>0</v>
      </c>
      <c r="V121" s="25">
        <v>200</v>
      </c>
      <c r="W121" s="25">
        <f ca="1">SUM((OFFSET(Data!$F$410,17*(ROW(Data!Y506)-434),0)):(OFFSET(Data!$F$423,17*(ROW(Data!Y506)-434),0)))</f>
        <v>3330.75</v>
      </c>
      <c r="X121" s="25">
        <f ca="1">SUM((OFFSET(Data!$I$410,17*(ROW(Data!Y506)-434),0)):(OFFSET(Data!$I$423,17*(ROW(Data!Y506)-434),0)))</f>
        <v>755.88</v>
      </c>
      <c r="Y121" s="25">
        <f t="shared" ca="1" si="85"/>
        <v>4086.63</v>
      </c>
      <c r="Z121" s="25">
        <f ca="1">(OFFSET(Data!$F$412,17*(ROW(Data!Y506)-434),0))</f>
        <v>100</v>
      </c>
      <c r="AA121" s="6">
        <f ca="1">(OFFSET(Data!$F$411,17*(ROW(Data!Y506)-434),0))</f>
        <v>400</v>
      </c>
      <c r="AB121" s="6"/>
      <c r="AC121" s="6"/>
      <c r="AD121" s="25"/>
      <c r="AE121" s="25"/>
      <c r="AF121" s="335"/>
      <c r="AG121" s="15"/>
      <c r="AH121" s="25"/>
      <c r="AI121" s="25"/>
      <c r="AJ121" s="25"/>
      <c r="AK121" s="6"/>
      <c r="AL121" s="354"/>
      <c r="AM121" s="6">
        <f t="shared" si="86"/>
        <v>0</v>
      </c>
      <c r="AN121" s="6">
        <f t="shared" si="87"/>
        <v>0</v>
      </c>
      <c r="AO121" s="6">
        <f t="shared" si="88"/>
        <v>0</v>
      </c>
      <c r="AP121" s="6">
        <f t="shared" si="89"/>
        <v>0</v>
      </c>
      <c r="AQ121" s="335">
        <f t="shared" si="90"/>
        <v>0</v>
      </c>
      <c r="AR121" s="15"/>
      <c r="AS121" s="25"/>
      <c r="AT121" s="25"/>
      <c r="AU121" s="350"/>
      <c r="AV121" s="350"/>
      <c r="AW121" s="350"/>
      <c r="AX121" s="356"/>
    </row>
    <row r="122" spans="2:50">
      <c r="B122" s="65">
        <v>47515</v>
      </c>
      <c r="C122" s="6">
        <f ca="1">SUM((OFFSET(Data!$C$410,17*(ROW(Data!Y507)-434),0)):(OFFSET(Data!$C$423,17*(ROW(Data!Y507)-434),0)))</f>
        <v>4775.66</v>
      </c>
      <c r="D122" s="334">
        <f ca="1">(OFFSET(Data!$P$409,17*(ROW(Data!Y507)-434),0))</f>
        <v>43521.087304458517</v>
      </c>
      <c r="E122" s="6">
        <f ca="1">(OFFSET(Data!$P$412,17*(ROW(Data!Y507)-434),0))</f>
        <v>6964.7499999999854</v>
      </c>
      <c r="F122" s="6">
        <f ca="1">(OFFSET(Data!$P$418,17*(ROW(Data!Y507)-434),0))</f>
        <v>7308.88</v>
      </c>
      <c r="G122" s="25">
        <f ca="1">(OFFSET(Data!$P$415,17*(ROW(Data!Y507)-434),0))</f>
        <v>9735</v>
      </c>
      <c r="H122" s="25">
        <f ca="1">(OFFSET(Data!$P$421,17*(ROW(Data!Y507)-434),0))</f>
        <v>19512.45730445853</v>
      </c>
      <c r="I122" s="25"/>
      <c r="J122" s="25"/>
      <c r="K122" s="334"/>
      <c r="L122" s="25"/>
      <c r="M122" s="25"/>
      <c r="N122" s="25"/>
      <c r="O122" s="25"/>
      <c r="P122" s="25"/>
      <c r="Q122" s="25"/>
      <c r="R122" s="335">
        <f t="shared" ca="1" si="84"/>
        <v>4775.66</v>
      </c>
      <c r="S122" s="25">
        <v>150</v>
      </c>
      <c r="T122" s="25">
        <v>400</v>
      </c>
      <c r="U122" s="25">
        <v>0</v>
      </c>
      <c r="V122" s="25">
        <v>200</v>
      </c>
      <c r="W122" s="25">
        <f ca="1">SUM((OFFSET(Data!$F$410,17*(ROW(Data!Y507)-434),0)):(OFFSET(Data!$F$423,17*(ROW(Data!Y507)-434),0)))</f>
        <v>3330.75</v>
      </c>
      <c r="X122" s="25">
        <f ca="1">SUM((OFFSET(Data!$I$410,17*(ROW(Data!Y507)-434),0)):(OFFSET(Data!$I$423,17*(ROW(Data!Y507)-434),0)))</f>
        <v>755.88</v>
      </c>
      <c r="Y122" s="25">
        <f t="shared" ca="1" si="85"/>
        <v>4086.63</v>
      </c>
      <c r="Z122" s="25">
        <f ca="1">(OFFSET(Data!$F$412,17*(ROW(Data!Y507)-434),0))</f>
        <v>100</v>
      </c>
      <c r="AA122" s="6">
        <f ca="1">(OFFSET(Data!$F$411,17*(ROW(Data!Y507)-434),0))</f>
        <v>400</v>
      </c>
      <c r="AB122" s="6"/>
      <c r="AC122" s="6"/>
      <c r="AD122" s="25"/>
      <c r="AE122" s="25"/>
      <c r="AF122" s="335"/>
      <c r="AG122" s="15"/>
      <c r="AH122" s="25"/>
      <c r="AI122" s="25"/>
      <c r="AJ122" s="25"/>
      <c r="AK122" s="6"/>
      <c r="AL122" s="354"/>
      <c r="AM122" s="6">
        <f t="shared" si="86"/>
        <v>0</v>
      </c>
      <c r="AN122" s="6">
        <f t="shared" si="87"/>
        <v>0</v>
      </c>
      <c r="AO122" s="6">
        <f t="shared" si="88"/>
        <v>0</v>
      </c>
      <c r="AP122" s="6">
        <f t="shared" si="89"/>
        <v>0</v>
      </c>
      <c r="AQ122" s="335">
        <f t="shared" si="90"/>
        <v>0</v>
      </c>
      <c r="AR122" s="15"/>
      <c r="AS122" s="25"/>
      <c r="AT122" s="25"/>
      <c r="AU122" s="350"/>
      <c r="AV122" s="350"/>
      <c r="AW122" s="350"/>
      <c r="AX122" s="356"/>
    </row>
    <row r="123" spans="2:50">
      <c r="B123" s="65">
        <v>47543</v>
      </c>
      <c r="C123" s="6">
        <f ca="1">SUM((OFFSET(Data!$C$410,17*(ROW(Data!Y508)-434),0)):(OFFSET(Data!$C$423,17*(ROW(Data!Y508)-434),0)))</f>
        <v>4775.66</v>
      </c>
      <c r="D123" s="334">
        <f ca="1">(OFFSET(Data!$P$409,17*(ROW(Data!Y508)-434),0))</f>
        <v>44210.117304458516</v>
      </c>
      <c r="E123" s="6">
        <f ca="1">(OFFSET(Data!$P$412,17*(ROW(Data!Y508)-434),0))</f>
        <v>7103.7799999999852</v>
      </c>
      <c r="F123" s="6">
        <f ca="1">(OFFSET(Data!$P$418,17*(ROW(Data!Y508)-434),0))</f>
        <v>7458.88</v>
      </c>
      <c r="G123" s="25">
        <f ca="1">(OFFSET(Data!$P$415,17*(ROW(Data!Y508)-434),0))</f>
        <v>9935</v>
      </c>
      <c r="H123" s="25">
        <f ca="1">(OFFSET(Data!$P$421,17*(ROW(Data!Y508)-434),0))</f>
        <v>19712.45730445853</v>
      </c>
      <c r="I123" s="25"/>
      <c r="J123" s="25"/>
      <c r="K123" s="334"/>
      <c r="L123" s="25"/>
      <c r="M123" s="25"/>
      <c r="N123" s="25"/>
      <c r="O123" s="25"/>
      <c r="P123" s="25"/>
      <c r="Q123" s="25"/>
      <c r="R123" s="335">
        <f t="shared" ca="1" si="84"/>
        <v>4775.66</v>
      </c>
      <c r="S123" s="334">
        <v>150</v>
      </c>
      <c r="T123" s="25">
        <v>400</v>
      </c>
      <c r="U123" s="25">
        <v>0</v>
      </c>
      <c r="V123" s="25">
        <v>200</v>
      </c>
      <c r="W123" s="25">
        <f ca="1">SUM((OFFSET(Data!$F$410,17*(ROW(Data!Y508)-434),0)):(OFFSET(Data!$F$423,17*(ROW(Data!Y508)-434),0)))</f>
        <v>3330.75</v>
      </c>
      <c r="X123" s="25">
        <f ca="1">SUM((OFFSET(Data!$I$410,17*(ROW(Data!Y508)-434),0)):(OFFSET(Data!$I$423,17*(ROW(Data!Y508)-434),0)))</f>
        <v>755.88</v>
      </c>
      <c r="Y123" s="25">
        <f t="shared" ca="1" si="85"/>
        <v>4086.63</v>
      </c>
      <c r="Z123" s="25">
        <f ca="1">(OFFSET(Data!$F$412,17*(ROW(Data!Y508)-434),0))</f>
        <v>100</v>
      </c>
      <c r="AA123" s="6">
        <f ca="1">(OFFSET(Data!$F$411,17*(ROW(Data!Y508)-434),0))</f>
        <v>400</v>
      </c>
      <c r="AB123" s="6"/>
      <c r="AC123" s="6"/>
      <c r="AD123" s="25"/>
      <c r="AE123" s="25"/>
      <c r="AF123" s="335"/>
      <c r="AG123" s="15"/>
      <c r="AH123" s="25"/>
      <c r="AI123" s="25"/>
      <c r="AJ123" s="25"/>
      <c r="AK123" s="6"/>
      <c r="AL123" s="354"/>
      <c r="AM123" s="6">
        <f t="shared" si="86"/>
        <v>0</v>
      </c>
      <c r="AN123" s="6">
        <f t="shared" si="87"/>
        <v>0</v>
      </c>
      <c r="AO123" s="6">
        <f t="shared" si="88"/>
        <v>0</v>
      </c>
      <c r="AP123" s="6">
        <f t="shared" si="89"/>
        <v>0</v>
      </c>
      <c r="AQ123" s="335">
        <f t="shared" si="90"/>
        <v>0</v>
      </c>
      <c r="AR123" s="15"/>
      <c r="AS123" s="25"/>
      <c r="AT123" s="25"/>
      <c r="AU123" s="350"/>
      <c r="AV123" s="350"/>
      <c r="AW123" s="350"/>
      <c r="AX123" s="356"/>
    </row>
    <row r="124" spans="2:50">
      <c r="B124" s="65">
        <v>47574</v>
      </c>
      <c r="C124" s="6">
        <f ca="1">SUM((OFFSET(Data!$C$410,17*(ROW(Data!Y509)-434),0)):(OFFSET(Data!$C$423,17*(ROW(Data!Y509)-434),0)))</f>
        <v>4775.66</v>
      </c>
      <c r="D124" s="334">
        <f ca="1">(OFFSET(Data!$P$409,17*(ROW(Data!Y509)-434),0))</f>
        <v>44899.147304458515</v>
      </c>
      <c r="E124" s="6">
        <f ca="1">(OFFSET(Data!$P$412,17*(ROW(Data!Y509)-434),0))</f>
        <v>7242.8099999999849</v>
      </c>
      <c r="F124" s="6">
        <f ca="1">(OFFSET(Data!$P$418,17*(ROW(Data!Y509)-434),0))</f>
        <v>7608.88</v>
      </c>
      <c r="G124" s="25">
        <f ca="1">(OFFSET(Data!$P$415,17*(ROW(Data!Y509)-434),0))</f>
        <v>10135</v>
      </c>
      <c r="H124" s="25">
        <f ca="1">(OFFSET(Data!$P$421,17*(ROW(Data!Y509)-434),0))</f>
        <v>19912.45730445853</v>
      </c>
      <c r="K124" s="334"/>
      <c r="L124" s="25"/>
      <c r="M124" s="25"/>
      <c r="N124" s="25"/>
      <c r="O124" s="25"/>
      <c r="P124" s="25"/>
      <c r="Q124" s="25"/>
      <c r="R124" s="335">
        <f t="shared" ca="1" si="84"/>
        <v>4775.66</v>
      </c>
      <c r="S124" s="334">
        <v>150</v>
      </c>
      <c r="T124" s="25">
        <v>400</v>
      </c>
      <c r="U124" s="25">
        <v>0</v>
      </c>
      <c r="V124" s="25">
        <v>200</v>
      </c>
      <c r="W124" s="25">
        <f ca="1">SUM((OFFSET(Data!$F$410,17*(ROW(Data!Y509)-434),0)):(OFFSET(Data!$F$423,17*(ROW(Data!Y509)-434),0)))</f>
        <v>3330.75</v>
      </c>
      <c r="X124" s="25">
        <f ca="1">SUM((OFFSET(Data!$I$410,17*(ROW(Data!Y509)-434),0)):(OFFSET(Data!$I$423,17*(ROW(Data!Y509)-434),0)))</f>
        <v>755.88</v>
      </c>
      <c r="Y124" s="25">
        <f t="shared" ca="1" si="85"/>
        <v>4086.63</v>
      </c>
      <c r="Z124" s="25">
        <f ca="1">(OFFSET(Data!$F$412,17*(ROW(Data!Y509)-434),0))</f>
        <v>100</v>
      </c>
      <c r="AA124" s="6">
        <f ca="1">(OFFSET(Data!$F$411,17*(ROW(Data!Y509)-434),0))</f>
        <v>400</v>
      </c>
      <c r="AB124" s="6"/>
      <c r="AC124" s="6"/>
      <c r="AD124" s="25"/>
      <c r="AE124" s="25"/>
      <c r="AF124" s="335"/>
      <c r="AG124" s="15"/>
      <c r="AH124" s="25"/>
      <c r="AI124" s="25"/>
      <c r="AJ124" s="25"/>
      <c r="AK124" s="6"/>
      <c r="AL124" s="354"/>
      <c r="AM124" s="6">
        <f t="shared" si="86"/>
        <v>0</v>
      </c>
      <c r="AN124" s="6">
        <f t="shared" si="87"/>
        <v>0</v>
      </c>
      <c r="AO124" s="6">
        <f t="shared" si="88"/>
        <v>0</v>
      </c>
      <c r="AP124" s="6">
        <f t="shared" si="89"/>
        <v>0</v>
      </c>
      <c r="AQ124" s="335">
        <f t="shared" si="90"/>
        <v>0</v>
      </c>
      <c r="AR124" s="15"/>
      <c r="AS124" s="25"/>
      <c r="AT124" s="25"/>
      <c r="AU124" s="350"/>
      <c r="AV124" s="350"/>
      <c r="AW124" s="350"/>
      <c r="AX124" s="356"/>
    </row>
    <row r="125" spans="2:50">
      <c r="B125" s="65">
        <v>47604</v>
      </c>
      <c r="C125" s="6">
        <f ca="1">SUM((OFFSET(Data!$C$410,17*(ROW(Data!Y510)-434),0)):(OFFSET(Data!$C$423,17*(ROW(Data!Y510)-434),0)))</f>
        <v>4775.66</v>
      </c>
      <c r="D125" s="334">
        <f ca="1">(OFFSET(Data!$P$409,17*(ROW(Data!Y510)-434),0))</f>
        <v>45588.177304458513</v>
      </c>
      <c r="E125" s="6">
        <f ca="1">(OFFSET(Data!$P$412,17*(ROW(Data!Y510)-434),0))</f>
        <v>7381.8399999999847</v>
      </c>
      <c r="F125" s="6">
        <f ca="1">(OFFSET(Data!$P$418,17*(ROW(Data!Y510)-434),0))</f>
        <v>7758.88</v>
      </c>
      <c r="G125" s="25">
        <f ca="1">(OFFSET(Data!$P$415,17*(ROW(Data!Y510)-434),0))</f>
        <v>10335</v>
      </c>
      <c r="H125" s="25">
        <f ca="1">(OFFSET(Data!$P$421,17*(ROW(Data!Y510)-434),0))</f>
        <v>20112.45730445853</v>
      </c>
      <c r="K125" s="334"/>
      <c r="L125" s="25"/>
      <c r="M125" s="25"/>
      <c r="N125" s="25"/>
      <c r="O125" s="25"/>
      <c r="P125" s="25"/>
      <c r="Q125" s="25"/>
      <c r="R125" s="335">
        <f t="shared" ca="1" si="84"/>
        <v>4775.66</v>
      </c>
      <c r="S125" s="25">
        <v>150</v>
      </c>
      <c r="T125" s="25">
        <v>400</v>
      </c>
      <c r="U125" s="25">
        <v>0</v>
      </c>
      <c r="V125" s="25">
        <v>200</v>
      </c>
      <c r="W125" s="25">
        <f ca="1">SUM((OFFSET(Data!$F$410,17*(ROW(Data!Y510)-434),0)):(OFFSET(Data!$F$423,17*(ROW(Data!Y510)-434),0)))</f>
        <v>3330.75</v>
      </c>
      <c r="X125" s="25">
        <f ca="1">SUM((OFFSET(Data!$I$410,17*(ROW(Data!Y510)-434),0)):(OFFSET(Data!$I$423,17*(ROW(Data!Y510)-434),0)))</f>
        <v>755.88</v>
      </c>
      <c r="Y125" s="25">
        <f t="shared" ca="1" si="85"/>
        <v>4086.63</v>
      </c>
      <c r="Z125" s="25">
        <f ca="1">(OFFSET(Data!$F$412,17*(ROW(Data!Y510)-434),0))</f>
        <v>100</v>
      </c>
      <c r="AA125" s="6">
        <f ca="1">(OFFSET(Data!$F$411,17*(ROW(Data!Y510)-434),0))</f>
        <v>400</v>
      </c>
      <c r="AB125" s="6"/>
      <c r="AC125" s="6"/>
      <c r="AD125" s="25"/>
      <c r="AE125" s="25"/>
      <c r="AF125" s="335"/>
      <c r="AG125" s="15"/>
      <c r="AH125" s="25"/>
      <c r="AI125" s="25"/>
      <c r="AJ125" s="25"/>
      <c r="AK125" s="6"/>
      <c r="AL125" s="354"/>
      <c r="AM125" s="6">
        <f t="shared" si="86"/>
        <v>0</v>
      </c>
      <c r="AN125" s="6">
        <f t="shared" si="87"/>
        <v>0</v>
      </c>
      <c r="AO125" s="6">
        <f t="shared" si="88"/>
        <v>0</v>
      </c>
      <c r="AP125" s="6">
        <f t="shared" si="89"/>
        <v>0</v>
      </c>
      <c r="AQ125" s="335">
        <f t="shared" si="90"/>
        <v>0</v>
      </c>
      <c r="AR125" s="15"/>
      <c r="AS125" s="25"/>
      <c r="AT125" s="25"/>
      <c r="AU125" s="350"/>
      <c r="AV125" s="350"/>
      <c r="AW125" s="350"/>
      <c r="AX125" s="356"/>
    </row>
    <row r="126" spans="2:50">
      <c r="B126" s="65">
        <v>47635</v>
      </c>
      <c r="C126" s="6">
        <f ca="1">SUM((OFFSET(Data!$C$410,17*(ROW(Data!Y511)-434),0)):(OFFSET(Data!$C$423,17*(ROW(Data!Y511)-434),0)))</f>
        <v>4775.66</v>
      </c>
      <c r="D126" s="334">
        <f ca="1">(OFFSET(Data!$P$409,17*(ROW(Data!Y511)-434),0))</f>
        <v>46277.207304458512</v>
      </c>
      <c r="E126" s="6">
        <f ca="1">(OFFSET(Data!$P$412,17*(ROW(Data!Y511)-434),0))</f>
        <v>7520.8699999999844</v>
      </c>
      <c r="F126" s="6">
        <f ca="1">(OFFSET(Data!$P$418,17*(ROW(Data!Y511)-434),0))</f>
        <v>7908.88</v>
      </c>
      <c r="G126" s="25">
        <f ca="1">(OFFSET(Data!$P$415,17*(ROW(Data!Y511)-434),0))</f>
        <v>10535</v>
      </c>
      <c r="H126" s="25">
        <f ca="1">(OFFSET(Data!$P$421,17*(ROW(Data!Y511)-434),0))</f>
        <v>20312.45730445853</v>
      </c>
      <c r="K126" s="334"/>
      <c r="L126" s="25"/>
      <c r="M126" s="25"/>
      <c r="N126" s="25"/>
      <c r="O126" s="25"/>
      <c r="P126" s="25"/>
      <c r="Q126" s="25"/>
      <c r="R126" s="335">
        <f t="shared" ca="1" si="84"/>
        <v>4775.66</v>
      </c>
      <c r="S126" s="25">
        <v>150</v>
      </c>
      <c r="T126" s="25">
        <v>400</v>
      </c>
      <c r="U126" s="25">
        <v>0</v>
      </c>
      <c r="V126" s="25">
        <v>200</v>
      </c>
      <c r="W126" s="25">
        <f ca="1">SUM((OFFSET(Data!$F$410,17*(ROW(Data!Y511)-434),0)):(OFFSET(Data!$F$423,17*(ROW(Data!Y511)-434),0)))</f>
        <v>3330.75</v>
      </c>
      <c r="X126" s="25">
        <f ca="1">SUM((OFFSET(Data!$I$410,17*(ROW(Data!Y511)-434),0)):(OFFSET(Data!$I$423,17*(ROW(Data!Y511)-434),0)))</f>
        <v>755.88</v>
      </c>
      <c r="Y126" s="25">
        <f t="shared" ca="1" si="85"/>
        <v>4086.63</v>
      </c>
      <c r="Z126" s="25">
        <f ca="1">(OFFSET(Data!$F$412,17*(ROW(Data!Y511)-434),0))</f>
        <v>100</v>
      </c>
      <c r="AA126" s="6">
        <f ca="1">(OFFSET(Data!$F$411,17*(ROW(Data!Y511)-434),0))</f>
        <v>400</v>
      </c>
      <c r="AB126" s="6"/>
      <c r="AC126" s="6"/>
      <c r="AD126" s="25"/>
      <c r="AE126" s="25"/>
      <c r="AF126" s="335"/>
      <c r="AG126" s="15"/>
      <c r="AH126" s="25"/>
      <c r="AI126" s="25"/>
      <c r="AJ126" s="25"/>
      <c r="AK126" s="6"/>
      <c r="AL126" s="354"/>
      <c r="AM126" s="6">
        <f t="shared" si="86"/>
        <v>0</v>
      </c>
      <c r="AN126" s="6">
        <f t="shared" si="87"/>
        <v>0</v>
      </c>
      <c r="AO126" s="6">
        <f t="shared" si="88"/>
        <v>0</v>
      </c>
      <c r="AP126" s="6">
        <f t="shared" si="89"/>
        <v>0</v>
      </c>
      <c r="AQ126" s="335">
        <f t="shared" si="90"/>
        <v>0</v>
      </c>
      <c r="AR126" s="15"/>
      <c r="AS126" s="25"/>
      <c r="AT126" s="25"/>
      <c r="AU126" s="350"/>
      <c r="AV126" s="350"/>
      <c r="AW126" s="350"/>
      <c r="AX126" s="356"/>
    </row>
    <row r="127" spans="2:50">
      <c r="B127" s="65">
        <v>47665</v>
      </c>
      <c r="C127" s="6">
        <f ca="1">SUM((OFFSET(Data!$C$410,17*(ROW(Data!Y512)-434),0)):(OFFSET(Data!$C$423,17*(ROW(Data!Y512)-434),0)))</f>
        <v>4775.66</v>
      </c>
      <c r="D127" s="334">
        <f ca="1">(OFFSET(Data!$P$409,17*(ROW(Data!Y512)-434),0))</f>
        <v>46966.237304458518</v>
      </c>
      <c r="E127" s="6">
        <f ca="1">(OFFSET(Data!$P$412,17*(ROW(Data!Y512)-434),0))</f>
        <v>7659.8999999999851</v>
      </c>
      <c r="F127" s="6">
        <f ca="1">(OFFSET(Data!$P$418,17*(ROW(Data!Y512)-434),0))</f>
        <v>8058.88</v>
      </c>
      <c r="G127" s="25">
        <f ca="1">(OFFSET(Data!$P$415,17*(ROW(Data!Y512)-434),0))</f>
        <v>10735</v>
      </c>
      <c r="H127" s="25">
        <f ca="1">(OFFSET(Data!$P$421,17*(ROW(Data!Y512)-434),0))</f>
        <v>20512.45730445853</v>
      </c>
      <c r="K127" s="334"/>
      <c r="L127" s="25"/>
      <c r="M127" s="25"/>
      <c r="N127" s="25"/>
      <c r="O127" s="25"/>
      <c r="P127" s="25"/>
      <c r="Q127" s="25"/>
      <c r="R127" s="335">
        <f t="shared" ca="1" si="84"/>
        <v>4775.66</v>
      </c>
      <c r="S127" s="334">
        <v>150</v>
      </c>
      <c r="T127" s="25">
        <v>400</v>
      </c>
      <c r="U127" s="25">
        <v>0</v>
      </c>
      <c r="V127" s="25">
        <v>200</v>
      </c>
      <c r="W127" s="25">
        <f ca="1">SUM((OFFSET(Data!$F$410,17*(ROW(Data!Y512)-434),0)):(OFFSET(Data!$F$423,17*(ROW(Data!Y512)-434),0)))</f>
        <v>3330.75</v>
      </c>
      <c r="X127" s="25">
        <f ca="1">SUM((OFFSET(Data!$I$410,17*(ROW(Data!Y512)-434),0)):(OFFSET(Data!$I$423,17*(ROW(Data!Y512)-434),0)))</f>
        <v>755.88</v>
      </c>
      <c r="Y127" s="25">
        <f t="shared" ca="1" si="85"/>
        <v>4086.63</v>
      </c>
      <c r="Z127" s="25">
        <f ca="1">(OFFSET(Data!$F$412,17*(ROW(Data!Y512)-434),0))</f>
        <v>100</v>
      </c>
      <c r="AA127" s="6">
        <f ca="1">(OFFSET(Data!$F$411,17*(ROW(Data!Y512)-434),0))</f>
        <v>400</v>
      </c>
      <c r="AB127" s="6"/>
      <c r="AC127" s="6"/>
      <c r="AD127" s="25"/>
      <c r="AE127" s="25"/>
      <c r="AF127" s="335"/>
      <c r="AG127" s="15"/>
      <c r="AH127" s="25"/>
      <c r="AI127" s="25"/>
      <c r="AJ127" s="25"/>
      <c r="AK127" s="6"/>
      <c r="AL127" s="354"/>
      <c r="AM127" s="6">
        <f t="shared" si="86"/>
        <v>0</v>
      </c>
      <c r="AN127" s="6">
        <f t="shared" si="87"/>
        <v>0</v>
      </c>
      <c r="AO127" s="6">
        <f t="shared" si="88"/>
        <v>0</v>
      </c>
      <c r="AP127" s="6">
        <f t="shared" si="89"/>
        <v>0</v>
      </c>
      <c r="AQ127" s="335">
        <f t="shared" si="90"/>
        <v>0</v>
      </c>
      <c r="AR127" s="15"/>
      <c r="AS127" s="25"/>
      <c r="AT127" s="25"/>
      <c r="AU127" s="350"/>
      <c r="AV127" s="350"/>
      <c r="AW127" s="350"/>
      <c r="AX127" s="356"/>
    </row>
    <row r="128" spans="2:50">
      <c r="B128" s="65">
        <v>47696</v>
      </c>
      <c r="C128" s="6">
        <f ca="1">SUM((OFFSET(Data!$C$410,17*(ROW(Data!Y513)-434),0)):(OFFSET(Data!$C$423,17*(ROW(Data!Y513)-434),0)))</f>
        <v>4775.66</v>
      </c>
      <c r="D128" s="334">
        <f ca="1">(OFFSET(Data!$P$409,17*(ROW(Data!Y513)-434),0))</f>
        <v>47655.267304458517</v>
      </c>
      <c r="E128" s="6">
        <f ca="1">(OFFSET(Data!$P$412,17*(ROW(Data!Y513)-434),0))</f>
        <v>7798.9299999999857</v>
      </c>
      <c r="F128" s="6">
        <f ca="1">(OFFSET(Data!$P$418,17*(ROW(Data!Y513)-434),0))</f>
        <v>8208.880000000001</v>
      </c>
      <c r="G128" s="25">
        <f ca="1">(OFFSET(Data!$P$415,17*(ROW(Data!Y513)-434),0))</f>
        <v>10935</v>
      </c>
      <c r="H128" s="25">
        <f ca="1">(OFFSET(Data!$P$421,17*(ROW(Data!Y513)-434),0))</f>
        <v>20712.45730445853</v>
      </c>
      <c r="K128" s="334"/>
      <c r="L128" s="25"/>
      <c r="M128" s="25"/>
      <c r="N128" s="25"/>
      <c r="O128" s="25"/>
      <c r="P128" s="25"/>
      <c r="Q128" s="25"/>
      <c r="R128" s="335">
        <f t="shared" ca="1" si="84"/>
        <v>4775.66</v>
      </c>
      <c r="S128" s="334">
        <v>150</v>
      </c>
      <c r="T128" s="25">
        <v>400</v>
      </c>
      <c r="U128" s="25">
        <v>0</v>
      </c>
      <c r="V128" s="25">
        <v>200</v>
      </c>
      <c r="W128" s="25">
        <f ca="1">SUM((OFFSET(Data!$F$410,17*(ROW(Data!Y513)-434),0)):(OFFSET(Data!$F$423,17*(ROW(Data!Y513)-434),0)))</f>
        <v>3330.75</v>
      </c>
      <c r="X128" s="25">
        <f ca="1">SUM((OFFSET(Data!$I$410,17*(ROW(Data!Y513)-434),0)):(OFFSET(Data!$I$423,17*(ROW(Data!Y513)-434),0)))</f>
        <v>755.88</v>
      </c>
      <c r="Y128" s="25">
        <f t="shared" ca="1" si="85"/>
        <v>4086.63</v>
      </c>
      <c r="Z128" s="25">
        <f ca="1">(OFFSET(Data!$F$412,17*(ROW(Data!Y513)-434),0))</f>
        <v>100</v>
      </c>
      <c r="AA128" s="6">
        <f ca="1">(OFFSET(Data!$F$411,17*(ROW(Data!Y513)-434),0))</f>
        <v>400</v>
      </c>
      <c r="AB128" s="6"/>
      <c r="AC128" s="6"/>
      <c r="AD128" s="25"/>
      <c r="AE128" s="25"/>
      <c r="AF128" s="335"/>
      <c r="AG128" s="15"/>
      <c r="AH128" s="25"/>
      <c r="AI128" s="25"/>
      <c r="AJ128" s="25"/>
      <c r="AK128" s="6"/>
      <c r="AL128" s="354"/>
      <c r="AM128" s="6">
        <f t="shared" si="86"/>
        <v>0</v>
      </c>
      <c r="AN128" s="6">
        <f t="shared" si="87"/>
        <v>0</v>
      </c>
      <c r="AO128" s="6">
        <f t="shared" si="88"/>
        <v>0</v>
      </c>
      <c r="AP128" s="6">
        <f t="shared" si="89"/>
        <v>0</v>
      </c>
      <c r="AQ128" s="335">
        <f t="shared" si="90"/>
        <v>0</v>
      </c>
      <c r="AR128" s="15"/>
      <c r="AS128" s="25"/>
      <c r="AT128" s="25"/>
      <c r="AU128" s="350"/>
      <c r="AV128" s="350"/>
      <c r="AW128" s="350"/>
      <c r="AX128" s="356"/>
    </row>
    <row r="129" spans="2:50">
      <c r="B129" s="65">
        <v>47727</v>
      </c>
      <c r="C129" s="6">
        <f ca="1">SUM((OFFSET(Data!$C$410,17*(ROW(Data!Y514)-434),0)):(OFFSET(Data!$C$423,17*(ROW(Data!Y514)-434),0)))</f>
        <v>4775.66</v>
      </c>
      <c r="D129" s="334">
        <f ca="1">(OFFSET(Data!$P$409,17*(ROW(Data!Y514)-434),0))</f>
        <v>48344.297304458516</v>
      </c>
      <c r="E129" s="6">
        <f ca="1">(OFFSET(Data!$P$412,17*(ROW(Data!Y514)-434),0))</f>
        <v>7937.9599999999864</v>
      </c>
      <c r="F129" s="6">
        <f ca="1">(OFFSET(Data!$P$418,17*(ROW(Data!Y514)-434),0))</f>
        <v>8358.880000000001</v>
      </c>
      <c r="G129" s="25">
        <f ca="1">(OFFSET(Data!$P$415,17*(ROW(Data!Y514)-434),0))</f>
        <v>11135</v>
      </c>
      <c r="H129" s="25">
        <f ca="1">(OFFSET(Data!$P$421,17*(ROW(Data!Y514)-434),0))</f>
        <v>20912.45730445853</v>
      </c>
      <c r="K129" s="334"/>
      <c r="L129" s="25"/>
      <c r="M129" s="25"/>
      <c r="N129" s="25"/>
      <c r="O129" s="25"/>
      <c r="P129" s="25"/>
      <c r="Q129" s="25"/>
      <c r="R129" s="335">
        <f t="shared" ca="1" si="84"/>
        <v>4775.66</v>
      </c>
      <c r="S129" s="25">
        <v>150</v>
      </c>
      <c r="T129" s="25">
        <v>400</v>
      </c>
      <c r="U129" s="25">
        <v>0</v>
      </c>
      <c r="V129" s="25">
        <v>200</v>
      </c>
      <c r="W129" s="25">
        <f ca="1">SUM((OFFSET(Data!$F$410,17*(ROW(Data!Y514)-434),0)):(OFFSET(Data!$F$423,17*(ROW(Data!Y514)-434),0)))</f>
        <v>3330.75</v>
      </c>
      <c r="X129" s="25">
        <f ca="1">SUM((OFFSET(Data!$I$410,17*(ROW(Data!Y514)-434),0)):(OFFSET(Data!$I$423,17*(ROW(Data!Y514)-434),0)))</f>
        <v>755.88</v>
      </c>
      <c r="Y129" s="25">
        <f t="shared" ca="1" si="85"/>
        <v>4086.63</v>
      </c>
      <c r="Z129" s="25">
        <f ca="1">(OFFSET(Data!$F$412,17*(ROW(Data!Y514)-434),0))</f>
        <v>100</v>
      </c>
      <c r="AA129" s="6">
        <f ca="1">(OFFSET(Data!$F$411,17*(ROW(Data!Y514)-434),0))</f>
        <v>400</v>
      </c>
      <c r="AB129" s="6"/>
      <c r="AC129" s="6"/>
      <c r="AD129" s="25"/>
      <c r="AE129" s="25"/>
      <c r="AF129" s="335"/>
      <c r="AG129" s="15"/>
      <c r="AH129" s="25"/>
      <c r="AI129" s="25"/>
      <c r="AJ129" s="25"/>
      <c r="AK129" s="6"/>
      <c r="AL129" s="354"/>
      <c r="AM129" s="6">
        <f t="shared" si="86"/>
        <v>0</v>
      </c>
      <c r="AN129" s="6">
        <f t="shared" si="87"/>
        <v>0</v>
      </c>
      <c r="AO129" s="6">
        <f t="shared" si="88"/>
        <v>0</v>
      </c>
      <c r="AP129" s="6">
        <f t="shared" si="89"/>
        <v>0</v>
      </c>
      <c r="AQ129" s="335">
        <f t="shared" si="90"/>
        <v>0</v>
      </c>
      <c r="AR129" s="15"/>
      <c r="AS129" s="25"/>
      <c r="AT129" s="25"/>
      <c r="AU129" s="350"/>
      <c r="AV129" s="350"/>
      <c r="AW129" s="350"/>
      <c r="AX129" s="356"/>
    </row>
    <row r="130" spans="2:50">
      <c r="B130" s="65">
        <v>47757</v>
      </c>
      <c r="C130" s="6">
        <f ca="1">SUM((OFFSET(Data!$C$410,17*(ROW(Data!Y515)-434),0)):(OFFSET(Data!$C$423,17*(ROW(Data!Y515)-434),0)))</f>
        <v>4775.66</v>
      </c>
      <c r="D130" s="334">
        <f ca="1">(OFFSET(Data!$P$409,17*(ROW(Data!Y515)-434),0))</f>
        <v>49033.327304458522</v>
      </c>
      <c r="E130" s="6">
        <f ca="1">(OFFSET(Data!$P$412,17*(ROW(Data!Y515)-434),0))</f>
        <v>8076.989999999987</v>
      </c>
      <c r="F130" s="6">
        <f ca="1">(OFFSET(Data!$P$418,17*(ROW(Data!Y515)-434),0))</f>
        <v>8508.880000000001</v>
      </c>
      <c r="G130" s="25">
        <f ca="1">(OFFSET(Data!$P$415,17*(ROW(Data!Y515)-434),0))</f>
        <v>11335</v>
      </c>
      <c r="H130" s="25">
        <f ca="1">(OFFSET(Data!$P$421,17*(ROW(Data!Y515)-434),0))</f>
        <v>21112.45730445853</v>
      </c>
      <c r="K130" s="334"/>
      <c r="L130" s="25"/>
      <c r="M130" s="25"/>
      <c r="N130" s="25"/>
      <c r="O130" s="25"/>
      <c r="P130" s="25"/>
      <c r="Q130" s="25"/>
      <c r="R130" s="335">
        <f t="shared" ca="1" si="84"/>
        <v>4775.66</v>
      </c>
      <c r="S130" s="25">
        <v>150</v>
      </c>
      <c r="T130" s="25">
        <v>400</v>
      </c>
      <c r="U130" s="25">
        <v>0</v>
      </c>
      <c r="V130" s="25">
        <v>200</v>
      </c>
      <c r="W130" s="25">
        <f ca="1">SUM((OFFSET(Data!$F$410,17*(ROW(Data!Y515)-434),0)):(OFFSET(Data!$F$423,17*(ROW(Data!Y515)-434),0)))</f>
        <v>3330.75</v>
      </c>
      <c r="X130" s="25">
        <f ca="1">SUM((OFFSET(Data!$I$410,17*(ROW(Data!Y515)-434),0)):(OFFSET(Data!$I$423,17*(ROW(Data!Y515)-434),0)))</f>
        <v>755.88</v>
      </c>
      <c r="Y130" s="25">
        <f t="shared" ca="1" si="85"/>
        <v>4086.63</v>
      </c>
      <c r="Z130" s="25">
        <f ca="1">(OFFSET(Data!$F$412,17*(ROW(Data!Y515)-434),0))</f>
        <v>100</v>
      </c>
      <c r="AA130" s="6">
        <f ca="1">(OFFSET(Data!$F$411,17*(ROW(Data!Y515)-434),0))</f>
        <v>400</v>
      </c>
      <c r="AB130" s="6"/>
      <c r="AC130" s="6"/>
      <c r="AD130" s="25"/>
      <c r="AE130" s="25"/>
      <c r="AF130" s="335"/>
      <c r="AG130" s="15"/>
      <c r="AH130" s="25"/>
      <c r="AI130" s="25"/>
      <c r="AJ130" s="25"/>
      <c r="AK130" s="6"/>
      <c r="AL130" s="354"/>
      <c r="AM130" s="6">
        <f t="shared" si="86"/>
        <v>0</v>
      </c>
      <c r="AN130" s="6">
        <f t="shared" si="87"/>
        <v>0</v>
      </c>
      <c r="AO130" s="6">
        <f t="shared" si="88"/>
        <v>0</v>
      </c>
      <c r="AP130" s="6">
        <f t="shared" si="89"/>
        <v>0</v>
      </c>
      <c r="AQ130" s="335">
        <f t="shared" si="90"/>
        <v>0</v>
      </c>
      <c r="AR130" s="15"/>
      <c r="AS130" s="25"/>
      <c r="AT130" s="25"/>
      <c r="AU130" s="350"/>
      <c r="AV130" s="350"/>
      <c r="AW130" s="350"/>
      <c r="AX130" s="356"/>
    </row>
    <row r="131" spans="2:50">
      <c r="B131" s="65">
        <v>47788</v>
      </c>
      <c r="C131" s="6">
        <f ca="1">SUM((OFFSET(Data!$C$410,17*(ROW(Data!Y516)-434),0)):(OFFSET(Data!$C$423,17*(ROW(Data!Y516)-434),0)))</f>
        <v>4775.66</v>
      </c>
      <c r="D131" s="334">
        <f ca="1">(OFFSET(Data!$P$409,17*(ROW(Data!Y516)-434),0))</f>
        <v>49722.357304458521</v>
      </c>
      <c r="E131" s="6">
        <f ca="1">(OFFSET(Data!$P$412,17*(ROW(Data!Y516)-434),0))</f>
        <v>8216.0199999999877</v>
      </c>
      <c r="F131" s="6">
        <f ca="1">(OFFSET(Data!$P$418,17*(ROW(Data!Y516)-434),0))</f>
        <v>8658.880000000001</v>
      </c>
      <c r="G131" s="25">
        <f ca="1">(OFFSET(Data!$P$415,17*(ROW(Data!Y516)-434),0))</f>
        <v>11535</v>
      </c>
      <c r="H131" s="25">
        <f ca="1">(OFFSET(Data!$P$421,17*(ROW(Data!Y516)-434),0))</f>
        <v>21312.45730445853</v>
      </c>
      <c r="K131" s="334"/>
      <c r="L131" s="25"/>
      <c r="M131" s="25"/>
      <c r="N131" s="25"/>
      <c r="O131" s="25"/>
      <c r="P131" s="25"/>
      <c r="Q131" s="25"/>
      <c r="R131" s="335">
        <f t="shared" ca="1" si="84"/>
        <v>4775.66</v>
      </c>
      <c r="S131" s="334">
        <v>150</v>
      </c>
      <c r="T131" s="25">
        <v>400</v>
      </c>
      <c r="U131" s="25">
        <v>0</v>
      </c>
      <c r="V131" s="25">
        <v>200</v>
      </c>
      <c r="W131" s="25">
        <f ca="1">SUM((OFFSET(Data!$F$410,17*(ROW(Data!Y516)-434),0)):(OFFSET(Data!$F$423,17*(ROW(Data!Y516)-434),0)))</f>
        <v>3330.75</v>
      </c>
      <c r="X131" s="25">
        <f ca="1">SUM((OFFSET(Data!$I$410,17*(ROW(Data!Y516)-434),0)):(OFFSET(Data!$I$423,17*(ROW(Data!Y516)-434),0)))</f>
        <v>755.88</v>
      </c>
      <c r="Y131" s="25">
        <f t="shared" ca="1" si="85"/>
        <v>4086.63</v>
      </c>
      <c r="Z131" s="25">
        <f ca="1">(OFFSET(Data!$F$412,17*(ROW(Data!Y516)-434),0))</f>
        <v>100</v>
      </c>
      <c r="AA131" s="6">
        <f ca="1">(OFFSET(Data!$F$411,17*(ROW(Data!Y516)-434),0))</f>
        <v>400</v>
      </c>
      <c r="AB131" s="6"/>
      <c r="AC131" s="6"/>
      <c r="AD131" s="25"/>
      <c r="AE131" s="25"/>
      <c r="AF131" s="335"/>
      <c r="AG131" s="15"/>
      <c r="AH131" s="25"/>
      <c r="AI131" s="25"/>
      <c r="AJ131" s="25"/>
      <c r="AK131" s="6"/>
      <c r="AL131" s="354"/>
      <c r="AM131" s="6">
        <f t="shared" si="86"/>
        <v>0</v>
      </c>
      <c r="AN131" s="6">
        <f t="shared" si="87"/>
        <v>0</v>
      </c>
      <c r="AO131" s="6">
        <f t="shared" si="88"/>
        <v>0</v>
      </c>
      <c r="AP131" s="6">
        <f t="shared" si="89"/>
        <v>0</v>
      </c>
      <c r="AQ131" s="335">
        <f t="shared" si="90"/>
        <v>0</v>
      </c>
      <c r="AR131" s="15"/>
      <c r="AS131" s="25"/>
      <c r="AT131" s="25"/>
      <c r="AU131" s="350"/>
      <c r="AV131" s="350"/>
      <c r="AW131" s="350"/>
      <c r="AX131" s="356"/>
    </row>
    <row r="132" spans="2:50">
      <c r="B132" s="65">
        <v>47818</v>
      </c>
      <c r="C132" s="6">
        <f ca="1">SUM((OFFSET(Data!$C$410,17*(ROW(Data!Y517)-434),0)):(OFFSET(Data!$C$423,17*(ROW(Data!Y517)-434),0)))</f>
        <v>4775.66</v>
      </c>
      <c r="D132" s="334">
        <f ca="1">(OFFSET(Data!$P$409,17*(ROW(Data!Y517)-434),0))</f>
        <v>50411.38730445852</v>
      </c>
      <c r="E132" s="6">
        <f ca="1">(OFFSET(Data!$P$412,17*(ROW(Data!Y517)-434),0))</f>
        <v>8355.0499999999884</v>
      </c>
      <c r="F132" s="6">
        <f ca="1">(OFFSET(Data!$P$418,17*(ROW(Data!Y517)-434),0))</f>
        <v>8808.880000000001</v>
      </c>
      <c r="G132" s="25">
        <f ca="1">(OFFSET(Data!$P$415,17*(ROW(Data!Y517)-434),0))</f>
        <v>11735</v>
      </c>
      <c r="H132" s="25">
        <f ca="1">(OFFSET(Data!$P$421,17*(ROW(Data!Y517)-434),0))</f>
        <v>21512.45730445853</v>
      </c>
      <c r="K132" s="334"/>
      <c r="L132" s="25"/>
      <c r="M132" s="25"/>
      <c r="N132" s="25"/>
      <c r="O132" s="25"/>
      <c r="P132" s="25"/>
      <c r="Q132" s="25"/>
      <c r="R132" s="335">
        <f t="shared" ca="1" si="84"/>
        <v>4775.66</v>
      </c>
      <c r="S132" s="334">
        <v>150</v>
      </c>
      <c r="T132" s="25">
        <v>400</v>
      </c>
      <c r="U132" s="25">
        <v>0</v>
      </c>
      <c r="V132" s="25">
        <v>200</v>
      </c>
      <c r="W132" s="25">
        <f ca="1">SUM((OFFSET(Data!$F$410,17*(ROW(Data!Y517)-434),0)):(OFFSET(Data!$F$423,17*(ROW(Data!Y517)-434),0)))</f>
        <v>3330.75</v>
      </c>
      <c r="X132" s="25">
        <f ca="1">SUM((OFFSET(Data!$I$410,17*(ROW(Data!Y517)-434),0)):(OFFSET(Data!$I$423,17*(ROW(Data!Y517)-434),0)))</f>
        <v>755.88</v>
      </c>
      <c r="Y132" s="25">
        <f t="shared" ca="1" si="85"/>
        <v>4086.63</v>
      </c>
      <c r="Z132" s="25">
        <f ca="1">(OFFSET(Data!$F$412,17*(ROW(Data!Y517)-434),0))</f>
        <v>100</v>
      </c>
      <c r="AA132" s="6">
        <f ca="1">(OFFSET(Data!$F$411,17*(ROW(Data!Y517)-434),0))</f>
        <v>400</v>
      </c>
      <c r="AB132" s="6"/>
      <c r="AC132" s="6"/>
      <c r="AD132" s="25"/>
      <c r="AE132" s="25"/>
      <c r="AF132" s="335"/>
      <c r="AG132" s="15"/>
      <c r="AH132" s="25"/>
      <c r="AI132" s="25"/>
      <c r="AJ132" s="25"/>
      <c r="AK132" s="6"/>
      <c r="AL132" s="354"/>
      <c r="AM132" s="6">
        <f t="shared" si="86"/>
        <v>0</v>
      </c>
      <c r="AN132" s="6">
        <f t="shared" si="87"/>
        <v>0</v>
      </c>
      <c r="AO132" s="6">
        <f t="shared" si="88"/>
        <v>0</v>
      </c>
      <c r="AP132" s="6">
        <f t="shared" si="89"/>
        <v>0</v>
      </c>
      <c r="AQ132" s="335">
        <f t="shared" si="90"/>
        <v>0</v>
      </c>
      <c r="AR132" s="15"/>
      <c r="AS132" s="25"/>
      <c r="AT132" s="25"/>
      <c r="AU132" s="350"/>
      <c r="AV132" s="350"/>
      <c r="AW132" s="350"/>
      <c r="AX132" s="356"/>
    </row>
    <row r="133" spans="2:50">
      <c r="B133" s="65"/>
      <c r="C133" s="6"/>
      <c r="D133" s="334"/>
      <c r="E133" s="6"/>
      <c r="F133" s="6"/>
      <c r="G133" s="25"/>
      <c r="H133" s="25"/>
      <c r="I133" s="25"/>
      <c r="J133" s="25"/>
      <c r="K133" s="334"/>
      <c r="L133" s="25"/>
      <c r="M133" s="25"/>
      <c r="N133" s="25"/>
      <c r="O133" s="25"/>
      <c r="P133" s="25"/>
      <c r="Q133" s="25"/>
      <c r="R133" s="335"/>
      <c r="S133" s="25"/>
      <c r="T133" s="25"/>
      <c r="U133" s="25"/>
      <c r="V133" s="25"/>
      <c r="W133" s="25"/>
      <c r="X133" s="25"/>
      <c r="Y133" s="25"/>
      <c r="Z133" s="25"/>
      <c r="AA133" s="6"/>
      <c r="AB133" s="6"/>
      <c r="AC133" s="6"/>
      <c r="AD133" s="25"/>
      <c r="AE133" s="25"/>
      <c r="AF133" s="335"/>
      <c r="AG133" s="15"/>
      <c r="AH133" s="25"/>
      <c r="AI133" s="25"/>
      <c r="AJ133" s="25"/>
      <c r="AK133" s="6"/>
      <c r="AL133" s="354"/>
      <c r="AM133" s="6"/>
      <c r="AN133" s="6"/>
      <c r="AO133" s="6"/>
      <c r="AP133" s="6"/>
      <c r="AQ133" s="335"/>
      <c r="AR133" s="15"/>
      <c r="AS133" s="25"/>
      <c r="AT133" s="25"/>
      <c r="AU133" s="350"/>
      <c r="AV133" s="350"/>
      <c r="AW133" s="350"/>
      <c r="AX133" s="356"/>
    </row>
    <row r="134" spans="2:50">
      <c r="B134" s="65"/>
      <c r="C134" s="6"/>
      <c r="D134" s="334"/>
      <c r="E134" s="6"/>
      <c r="F134" s="6"/>
      <c r="G134" s="25"/>
      <c r="H134" s="25"/>
      <c r="I134" s="25"/>
      <c r="J134" s="25"/>
      <c r="K134" s="334"/>
      <c r="L134" s="25"/>
      <c r="M134" s="25"/>
      <c r="N134" s="25"/>
      <c r="O134" s="25"/>
      <c r="P134" s="25"/>
      <c r="Q134" s="25"/>
      <c r="R134" s="335"/>
      <c r="S134" s="25"/>
      <c r="T134" s="25"/>
      <c r="U134" s="25"/>
      <c r="V134" s="25"/>
      <c r="W134" s="25"/>
      <c r="X134" s="25"/>
      <c r="Y134" s="25"/>
      <c r="Z134" s="25"/>
      <c r="AA134" s="6"/>
      <c r="AB134" s="6"/>
      <c r="AC134" s="6"/>
      <c r="AD134" s="25"/>
      <c r="AE134" s="25"/>
      <c r="AF134" s="335"/>
      <c r="AG134" s="15"/>
      <c r="AH134" s="25"/>
      <c r="AI134" s="25"/>
      <c r="AJ134" s="25"/>
      <c r="AK134" s="6"/>
      <c r="AL134" s="354"/>
      <c r="AM134" s="6"/>
      <c r="AN134" s="6"/>
      <c r="AO134" s="6"/>
      <c r="AP134" s="6"/>
      <c r="AQ134" s="335"/>
      <c r="AR134" s="15"/>
      <c r="AS134" s="25"/>
      <c r="AT134" s="25"/>
      <c r="AU134" s="350"/>
      <c r="AV134" s="350"/>
      <c r="AW134" s="350"/>
      <c r="AX134" s="356"/>
    </row>
    <row r="135" spans="2:50">
      <c r="B135" s="65"/>
      <c r="C135" s="6"/>
      <c r="D135" s="334"/>
      <c r="E135" s="6"/>
      <c r="F135" s="6"/>
      <c r="G135" s="25"/>
      <c r="H135" s="25"/>
      <c r="I135" s="25"/>
      <c r="J135" s="25"/>
      <c r="K135" s="334"/>
      <c r="L135" s="25"/>
      <c r="M135" s="25"/>
      <c r="N135" s="25"/>
      <c r="O135" s="25"/>
      <c r="P135" s="25"/>
      <c r="Q135" s="25"/>
      <c r="R135" s="335"/>
      <c r="S135" s="334"/>
      <c r="T135" s="25"/>
      <c r="U135" s="25"/>
      <c r="V135" s="25"/>
      <c r="W135" s="25"/>
      <c r="X135" s="25"/>
      <c r="Y135" s="25"/>
      <c r="Z135" s="25"/>
      <c r="AA135" s="6"/>
      <c r="AB135" s="6"/>
      <c r="AC135" s="6"/>
      <c r="AD135" s="25"/>
      <c r="AE135" s="25"/>
      <c r="AF135" s="335"/>
      <c r="AG135" s="15"/>
      <c r="AH135" s="25"/>
      <c r="AI135" s="25"/>
      <c r="AJ135" s="25"/>
      <c r="AK135" s="6"/>
      <c r="AL135" s="354"/>
      <c r="AM135" s="6"/>
      <c r="AN135" s="6"/>
      <c r="AO135" s="6"/>
      <c r="AP135" s="6"/>
      <c r="AQ135" s="335"/>
      <c r="AR135" s="15"/>
      <c r="AS135" s="25"/>
      <c r="AT135" s="25"/>
      <c r="AU135" s="350"/>
      <c r="AV135" s="350"/>
      <c r="AW135" s="350"/>
      <c r="AX135" s="356"/>
    </row>
    <row r="136" spans="2:50">
      <c r="B136" s="65"/>
      <c r="C136" s="6"/>
      <c r="D136" s="334"/>
      <c r="E136" s="6"/>
      <c r="F136" s="6"/>
      <c r="G136" s="25"/>
      <c r="H136" s="25"/>
      <c r="K136" s="334"/>
      <c r="L136" s="25"/>
      <c r="M136" s="25"/>
      <c r="N136" s="25"/>
      <c r="O136" s="25"/>
      <c r="P136" s="25"/>
      <c r="Q136" s="25"/>
      <c r="R136" s="335"/>
      <c r="S136" s="334"/>
      <c r="T136" s="25"/>
      <c r="U136" s="25"/>
      <c r="V136" s="25"/>
      <c r="W136" s="25"/>
      <c r="X136" s="25"/>
      <c r="Y136" s="25"/>
      <c r="Z136" s="25"/>
      <c r="AA136" s="6"/>
      <c r="AB136" s="6"/>
      <c r="AC136" s="6"/>
      <c r="AD136" s="25"/>
      <c r="AE136" s="25"/>
      <c r="AF136" s="335"/>
      <c r="AG136" s="15"/>
      <c r="AH136" s="25"/>
      <c r="AI136" s="25"/>
      <c r="AJ136" s="25"/>
      <c r="AK136" s="6"/>
      <c r="AL136" s="354"/>
      <c r="AM136" s="6"/>
      <c r="AN136" s="6"/>
      <c r="AO136" s="6"/>
      <c r="AP136" s="6"/>
      <c r="AQ136" s="335"/>
      <c r="AR136" s="15"/>
      <c r="AS136" s="25"/>
      <c r="AT136" s="25"/>
      <c r="AU136" s="350"/>
      <c r="AV136" s="350"/>
      <c r="AW136" s="350"/>
      <c r="AX136" s="356"/>
    </row>
    <row r="137" spans="2:50">
      <c r="B137" s="65"/>
      <c r="C137" s="6"/>
      <c r="D137" s="334"/>
      <c r="E137" s="6"/>
      <c r="F137" s="6"/>
      <c r="G137" s="25"/>
      <c r="H137" s="25"/>
      <c r="K137" s="334"/>
      <c r="L137" s="25"/>
      <c r="M137" s="25"/>
      <c r="N137" s="25"/>
      <c r="O137" s="25"/>
      <c r="P137" s="25"/>
      <c r="Q137" s="25"/>
      <c r="R137" s="335"/>
      <c r="S137" s="25"/>
      <c r="T137" s="25"/>
      <c r="U137" s="25"/>
      <c r="V137" s="25"/>
      <c r="W137" s="25"/>
      <c r="X137" s="25"/>
      <c r="Y137" s="25"/>
      <c r="Z137" s="25"/>
      <c r="AA137" s="6"/>
      <c r="AB137" s="6"/>
      <c r="AC137" s="6"/>
      <c r="AD137" s="25"/>
      <c r="AE137" s="25"/>
      <c r="AF137" s="335"/>
      <c r="AG137" s="15"/>
      <c r="AH137" s="25"/>
      <c r="AI137" s="25"/>
      <c r="AJ137" s="25"/>
      <c r="AK137" s="6"/>
      <c r="AL137" s="354"/>
      <c r="AM137" s="6"/>
      <c r="AN137" s="6"/>
      <c r="AO137" s="6"/>
      <c r="AP137" s="6"/>
      <c r="AQ137" s="335"/>
      <c r="AR137" s="15"/>
      <c r="AS137" s="25"/>
      <c r="AT137" s="25"/>
      <c r="AU137" s="350"/>
      <c r="AV137" s="350"/>
      <c r="AW137" s="350"/>
      <c r="AX137" s="356"/>
    </row>
    <row r="138" spans="2:50">
      <c r="B138" s="65"/>
      <c r="C138" s="6"/>
      <c r="D138" s="334"/>
      <c r="E138" s="6"/>
      <c r="F138" s="6"/>
      <c r="G138" s="25"/>
      <c r="H138" s="25"/>
      <c r="K138" s="334"/>
      <c r="L138" s="25"/>
      <c r="M138" s="25"/>
      <c r="N138" s="25"/>
      <c r="O138" s="25"/>
      <c r="P138" s="25"/>
      <c r="Q138" s="25"/>
      <c r="R138" s="335"/>
      <c r="S138" s="25"/>
      <c r="T138" s="25"/>
      <c r="U138" s="25"/>
      <c r="V138" s="25"/>
      <c r="W138" s="25"/>
      <c r="X138" s="25"/>
      <c r="Y138" s="25"/>
      <c r="Z138" s="25"/>
      <c r="AA138" s="6"/>
      <c r="AB138" s="6"/>
      <c r="AC138" s="6"/>
      <c r="AD138" s="25"/>
      <c r="AE138" s="25"/>
      <c r="AF138" s="335"/>
      <c r="AG138" s="15"/>
      <c r="AH138" s="25"/>
      <c r="AI138" s="25"/>
      <c r="AJ138" s="25"/>
      <c r="AK138" s="6"/>
      <c r="AL138" s="354"/>
      <c r="AM138" s="6"/>
      <c r="AN138" s="6"/>
      <c r="AO138" s="6"/>
      <c r="AP138" s="6"/>
      <c r="AQ138" s="335"/>
      <c r="AR138" s="15"/>
      <c r="AS138" s="25"/>
      <c r="AT138" s="25"/>
      <c r="AU138" s="350"/>
      <c r="AV138" s="350"/>
      <c r="AW138" s="350"/>
      <c r="AX138" s="356"/>
    </row>
    <row r="139" spans="2:50">
      <c r="B139" s="65"/>
      <c r="C139" s="6"/>
      <c r="D139" s="334"/>
      <c r="E139" s="6"/>
      <c r="F139" s="6"/>
      <c r="G139" s="25"/>
      <c r="H139" s="25"/>
      <c r="K139" s="334"/>
      <c r="L139" s="25"/>
      <c r="M139" s="25"/>
      <c r="N139" s="25"/>
      <c r="O139" s="25"/>
      <c r="P139" s="25"/>
      <c r="Q139" s="25"/>
      <c r="R139" s="335"/>
      <c r="S139" s="334"/>
      <c r="T139" s="25"/>
      <c r="U139" s="25"/>
      <c r="V139" s="25"/>
      <c r="W139" s="25"/>
      <c r="X139" s="25"/>
      <c r="Y139" s="25"/>
      <c r="Z139" s="25"/>
      <c r="AA139" s="6"/>
      <c r="AB139" s="6"/>
      <c r="AC139" s="6"/>
      <c r="AD139" s="25"/>
      <c r="AE139" s="25"/>
      <c r="AF139" s="335"/>
      <c r="AG139" s="15"/>
      <c r="AH139" s="25"/>
      <c r="AI139" s="25"/>
      <c r="AJ139" s="25"/>
      <c r="AK139" s="6"/>
      <c r="AL139" s="354"/>
      <c r="AM139" s="6"/>
      <c r="AN139" s="6"/>
      <c r="AO139" s="6"/>
      <c r="AP139" s="6"/>
      <c r="AQ139" s="335"/>
      <c r="AR139" s="15"/>
      <c r="AS139" s="25"/>
      <c r="AT139" s="25"/>
      <c r="AU139" s="350"/>
      <c r="AV139" s="350"/>
      <c r="AW139" s="350"/>
      <c r="AX139" s="356"/>
    </row>
    <row r="140" spans="2:50">
      <c r="B140" s="65"/>
      <c r="C140" s="6"/>
      <c r="D140" s="334"/>
      <c r="E140" s="6"/>
      <c r="F140" s="6"/>
      <c r="G140" s="25"/>
      <c r="H140" s="25"/>
      <c r="K140" s="334"/>
      <c r="L140" s="25"/>
      <c r="M140" s="25"/>
      <c r="N140" s="25"/>
      <c r="O140" s="25"/>
      <c r="P140" s="25"/>
      <c r="Q140" s="25"/>
      <c r="R140" s="335"/>
      <c r="S140" s="334"/>
      <c r="T140" s="25"/>
      <c r="U140" s="25"/>
      <c r="V140" s="25"/>
      <c r="W140" s="25"/>
      <c r="X140" s="25"/>
      <c r="Y140" s="25"/>
      <c r="Z140" s="25"/>
      <c r="AA140" s="6"/>
      <c r="AB140" s="6"/>
      <c r="AC140" s="6"/>
      <c r="AD140" s="25"/>
      <c r="AE140" s="25"/>
      <c r="AF140" s="335"/>
      <c r="AG140" s="15"/>
      <c r="AH140" s="25"/>
      <c r="AI140" s="25"/>
      <c r="AJ140" s="25"/>
      <c r="AK140" s="6"/>
      <c r="AL140" s="354"/>
      <c r="AM140" s="6"/>
      <c r="AN140" s="6"/>
      <c r="AO140" s="6"/>
      <c r="AP140" s="6"/>
      <c r="AQ140" s="335"/>
      <c r="AR140" s="15"/>
      <c r="AS140" s="25"/>
      <c r="AT140" s="25"/>
      <c r="AU140" s="350"/>
      <c r="AV140" s="350"/>
      <c r="AW140" s="350"/>
      <c r="AX140" s="356"/>
    </row>
    <row r="141" spans="2:50">
      <c r="B141" s="65"/>
      <c r="C141" s="6"/>
      <c r="D141" s="334"/>
      <c r="E141" s="6"/>
      <c r="F141" s="6"/>
      <c r="G141" s="25"/>
      <c r="H141" s="25"/>
      <c r="K141" s="334"/>
      <c r="L141" s="25"/>
      <c r="M141" s="25"/>
      <c r="N141" s="25"/>
      <c r="O141" s="25"/>
      <c r="P141" s="25"/>
      <c r="Q141" s="25"/>
      <c r="R141" s="335"/>
      <c r="S141" s="25"/>
      <c r="T141" s="25"/>
      <c r="U141" s="25"/>
      <c r="V141" s="25"/>
      <c r="W141" s="25"/>
      <c r="X141" s="25"/>
      <c r="Y141" s="25"/>
      <c r="Z141" s="25"/>
      <c r="AA141" s="6"/>
      <c r="AB141" s="6"/>
      <c r="AC141" s="6"/>
      <c r="AD141" s="25"/>
      <c r="AE141" s="25"/>
      <c r="AF141" s="335"/>
      <c r="AG141" s="15"/>
      <c r="AH141" s="25"/>
      <c r="AI141" s="25"/>
      <c r="AJ141" s="25"/>
      <c r="AK141" s="6"/>
      <c r="AL141" s="354"/>
      <c r="AM141" s="6"/>
      <c r="AN141" s="6"/>
      <c r="AO141" s="6"/>
      <c r="AP141" s="6"/>
      <c r="AQ141" s="335"/>
      <c r="AR141" s="15"/>
      <c r="AS141" s="25"/>
      <c r="AT141" s="25"/>
      <c r="AU141" s="350"/>
      <c r="AV141" s="350"/>
      <c r="AW141" s="350"/>
      <c r="AX141" s="356"/>
    </row>
    <row r="142" spans="2:50">
      <c r="B142" s="65"/>
      <c r="C142" s="6"/>
      <c r="D142" s="334"/>
      <c r="E142" s="6"/>
      <c r="F142" s="6"/>
      <c r="G142" s="25"/>
      <c r="H142" s="25"/>
      <c r="K142" s="334"/>
      <c r="L142" s="25"/>
      <c r="M142" s="25"/>
      <c r="N142" s="25"/>
      <c r="O142" s="25"/>
      <c r="P142" s="25"/>
      <c r="Q142" s="25"/>
      <c r="R142" s="335"/>
      <c r="S142" s="25"/>
      <c r="T142" s="25"/>
      <c r="U142" s="25"/>
      <c r="V142" s="25"/>
      <c r="W142" s="25"/>
      <c r="X142" s="25"/>
      <c r="Y142" s="25"/>
      <c r="Z142" s="25"/>
      <c r="AA142" s="6"/>
      <c r="AB142" s="6"/>
      <c r="AC142" s="6"/>
      <c r="AD142" s="25"/>
      <c r="AE142" s="25"/>
      <c r="AF142" s="335"/>
      <c r="AG142" s="15"/>
      <c r="AH142" s="25"/>
      <c r="AI142" s="25"/>
      <c r="AJ142" s="25"/>
      <c r="AK142" s="6"/>
      <c r="AL142" s="354"/>
      <c r="AM142" s="6"/>
      <c r="AN142" s="6"/>
      <c r="AO142" s="6"/>
      <c r="AP142" s="6"/>
      <c r="AQ142" s="335"/>
      <c r="AR142" s="15"/>
      <c r="AS142" s="25"/>
      <c r="AT142" s="25"/>
      <c r="AU142" s="350"/>
      <c r="AV142" s="350"/>
      <c r="AW142" s="350"/>
      <c r="AX142" s="356"/>
    </row>
    <row r="143" spans="2:50">
      <c r="B143" s="65"/>
      <c r="C143" s="6"/>
      <c r="D143" s="334"/>
      <c r="E143" s="6"/>
      <c r="F143" s="6"/>
      <c r="G143" s="25"/>
      <c r="H143" s="25"/>
      <c r="K143" s="334"/>
      <c r="L143" s="25"/>
      <c r="M143" s="25"/>
      <c r="N143" s="25"/>
      <c r="O143" s="25"/>
      <c r="P143" s="25"/>
      <c r="Q143" s="25"/>
      <c r="R143" s="335"/>
      <c r="S143" s="334"/>
      <c r="T143" s="25"/>
      <c r="U143" s="25"/>
      <c r="V143" s="25"/>
      <c r="W143" s="25"/>
      <c r="X143" s="25"/>
      <c r="Y143" s="25"/>
      <c r="Z143" s="25"/>
      <c r="AA143" s="6"/>
      <c r="AB143" s="6"/>
      <c r="AC143" s="6"/>
      <c r="AD143" s="25"/>
      <c r="AE143" s="25"/>
      <c r="AF143" s="335"/>
      <c r="AG143" s="15"/>
      <c r="AH143" s="25"/>
      <c r="AI143" s="25"/>
      <c r="AJ143" s="25"/>
      <c r="AK143" s="6"/>
      <c r="AL143" s="354"/>
      <c r="AM143" s="6"/>
      <c r="AN143" s="6"/>
      <c r="AO143" s="6"/>
      <c r="AP143" s="6"/>
      <c r="AQ143" s="335"/>
      <c r="AR143" s="15"/>
      <c r="AS143" s="25"/>
      <c r="AT143" s="25"/>
      <c r="AU143" s="350"/>
      <c r="AV143" s="350"/>
      <c r="AW143" s="350"/>
      <c r="AX143" s="356"/>
    </row>
    <row r="144" spans="2:50">
      <c r="B144" s="65"/>
      <c r="C144" s="6"/>
      <c r="D144" s="334"/>
      <c r="E144" s="6"/>
      <c r="F144" s="6"/>
      <c r="G144" s="25"/>
      <c r="H144" s="25"/>
      <c r="K144" s="334"/>
      <c r="L144" s="25"/>
      <c r="M144" s="25"/>
      <c r="N144" s="25"/>
      <c r="O144" s="25"/>
      <c r="P144" s="25"/>
      <c r="Q144" s="25"/>
      <c r="R144" s="335"/>
      <c r="S144" s="334"/>
      <c r="T144" s="25"/>
      <c r="U144" s="25"/>
      <c r="V144" s="25"/>
      <c r="W144" s="25"/>
      <c r="X144" s="25"/>
      <c r="Y144" s="25"/>
      <c r="Z144" s="25"/>
      <c r="AA144" s="6"/>
      <c r="AB144" s="6"/>
      <c r="AC144" s="6"/>
      <c r="AD144" s="25"/>
      <c r="AE144" s="25"/>
      <c r="AF144" s="335"/>
      <c r="AG144" s="15"/>
      <c r="AH144" s="25"/>
      <c r="AI144" s="25"/>
      <c r="AJ144" s="25"/>
      <c r="AK144" s="6"/>
      <c r="AL144" s="354"/>
      <c r="AM144" s="6"/>
      <c r="AN144" s="6"/>
      <c r="AO144" s="6"/>
      <c r="AP144" s="6"/>
      <c r="AQ144" s="335"/>
      <c r="AR144" s="15"/>
      <c r="AS144" s="25"/>
      <c r="AT144" s="25"/>
      <c r="AU144" s="350"/>
      <c r="AV144" s="350"/>
      <c r="AW144" s="350"/>
      <c r="AX144" s="356"/>
    </row>
    <row r="145" spans="2:50">
      <c r="B145" s="65"/>
      <c r="C145" s="6"/>
      <c r="D145" s="334"/>
      <c r="E145" s="6"/>
      <c r="F145" s="6"/>
      <c r="G145" s="25"/>
      <c r="H145" s="25"/>
      <c r="I145" s="25"/>
      <c r="J145" s="25"/>
      <c r="K145" s="334"/>
      <c r="L145" s="25"/>
      <c r="M145" s="25"/>
      <c r="N145" s="25"/>
      <c r="O145" s="25"/>
      <c r="P145" s="25"/>
      <c r="Q145" s="25"/>
      <c r="R145" s="335"/>
      <c r="S145" s="25"/>
      <c r="T145" s="25"/>
      <c r="U145" s="25"/>
      <c r="V145" s="25"/>
      <c r="W145" s="25"/>
      <c r="X145" s="25"/>
      <c r="Y145" s="25"/>
      <c r="Z145" s="25"/>
      <c r="AA145" s="6"/>
      <c r="AB145" s="6"/>
      <c r="AC145" s="6"/>
      <c r="AD145" s="25"/>
      <c r="AE145" s="25"/>
      <c r="AF145" s="335"/>
      <c r="AG145" s="15"/>
      <c r="AH145" s="25"/>
      <c r="AI145" s="25"/>
      <c r="AJ145" s="25"/>
      <c r="AK145" s="6"/>
      <c r="AL145" s="354"/>
      <c r="AM145" s="6"/>
      <c r="AN145" s="6"/>
      <c r="AO145" s="6"/>
      <c r="AP145" s="6"/>
      <c r="AQ145" s="335"/>
      <c r="AR145" s="15"/>
      <c r="AS145" s="25"/>
      <c r="AT145" s="25"/>
      <c r="AU145" s="350"/>
      <c r="AV145" s="350"/>
      <c r="AW145" s="350"/>
      <c r="AX145" s="356"/>
    </row>
    <row r="146" spans="2:50">
      <c r="B146" s="65"/>
      <c r="C146" s="6"/>
      <c r="D146" s="334"/>
      <c r="E146" s="6"/>
      <c r="F146" s="6"/>
      <c r="G146" s="25"/>
      <c r="H146" s="25"/>
      <c r="I146" s="25"/>
      <c r="J146" s="25"/>
      <c r="K146" s="334"/>
      <c r="L146" s="25"/>
      <c r="M146" s="25"/>
      <c r="N146" s="25"/>
      <c r="O146" s="25"/>
      <c r="P146" s="25"/>
      <c r="Q146" s="25"/>
      <c r="R146" s="335"/>
      <c r="S146" s="25"/>
      <c r="T146" s="25"/>
      <c r="U146" s="25"/>
      <c r="V146" s="25"/>
      <c r="W146" s="25"/>
      <c r="X146" s="25"/>
      <c r="Y146" s="25"/>
      <c r="Z146" s="25"/>
      <c r="AA146" s="6"/>
      <c r="AB146" s="6"/>
      <c r="AC146" s="6"/>
      <c r="AD146" s="25"/>
      <c r="AE146" s="25"/>
      <c r="AF146" s="335"/>
      <c r="AG146" s="15"/>
      <c r="AH146" s="25"/>
      <c r="AI146" s="25"/>
      <c r="AJ146" s="25"/>
      <c r="AK146" s="6"/>
      <c r="AL146" s="354"/>
      <c r="AM146" s="6"/>
      <c r="AN146" s="6"/>
      <c r="AO146" s="6"/>
      <c r="AP146" s="6"/>
      <c r="AQ146" s="335"/>
      <c r="AR146" s="15"/>
      <c r="AS146" s="25"/>
      <c r="AT146" s="25"/>
      <c r="AU146" s="350"/>
      <c r="AV146" s="350"/>
      <c r="AW146" s="350"/>
      <c r="AX146" s="356"/>
    </row>
    <row r="147" spans="2:50">
      <c r="B147" s="65"/>
      <c r="C147" s="6"/>
      <c r="D147" s="334"/>
      <c r="E147" s="6"/>
      <c r="F147" s="6"/>
      <c r="G147" s="25"/>
      <c r="H147" s="25"/>
      <c r="I147" s="25"/>
      <c r="J147" s="25"/>
      <c r="K147" s="334"/>
      <c r="L147" s="25"/>
      <c r="M147" s="25"/>
      <c r="N147" s="25"/>
      <c r="O147" s="25"/>
      <c r="P147" s="25"/>
      <c r="Q147" s="25"/>
      <c r="R147" s="335"/>
      <c r="S147" s="334"/>
      <c r="T147" s="25"/>
      <c r="U147" s="25"/>
      <c r="V147" s="25"/>
      <c r="W147" s="25"/>
      <c r="X147" s="25"/>
      <c r="Y147" s="25"/>
      <c r="Z147" s="25"/>
      <c r="AA147" s="6"/>
      <c r="AB147" s="6"/>
      <c r="AC147" s="6"/>
      <c r="AD147" s="25"/>
      <c r="AE147" s="25"/>
      <c r="AF147" s="335"/>
      <c r="AG147" s="15"/>
      <c r="AH147" s="25"/>
      <c r="AI147" s="25"/>
      <c r="AJ147" s="25"/>
      <c r="AK147" s="6"/>
      <c r="AL147" s="354"/>
      <c r="AM147" s="6"/>
      <c r="AN147" s="6"/>
      <c r="AO147" s="6"/>
      <c r="AP147" s="6"/>
      <c r="AQ147" s="335"/>
      <c r="AR147" s="15"/>
      <c r="AS147" s="25"/>
      <c r="AT147" s="25"/>
      <c r="AU147" s="350"/>
      <c r="AV147" s="350"/>
      <c r="AW147" s="350"/>
      <c r="AX147" s="356"/>
    </row>
    <row r="148" spans="2:50">
      <c r="B148" s="65"/>
      <c r="C148" s="6"/>
      <c r="D148" s="334"/>
      <c r="E148" s="6"/>
      <c r="F148" s="6"/>
      <c r="G148" s="25"/>
      <c r="H148" s="25"/>
      <c r="K148" s="334"/>
      <c r="L148" s="25"/>
      <c r="M148" s="25"/>
      <c r="N148" s="25"/>
      <c r="O148" s="25"/>
      <c r="P148" s="25"/>
      <c r="Q148" s="25"/>
      <c r="R148" s="335"/>
      <c r="S148" s="334"/>
      <c r="T148" s="25"/>
      <c r="U148" s="25"/>
      <c r="V148" s="25"/>
      <c r="W148" s="25"/>
      <c r="X148" s="25"/>
      <c r="Y148" s="25"/>
      <c r="Z148" s="25"/>
      <c r="AA148" s="6"/>
      <c r="AB148" s="6"/>
      <c r="AC148" s="6"/>
      <c r="AD148" s="25"/>
      <c r="AE148" s="25"/>
      <c r="AF148" s="335"/>
      <c r="AG148" s="15"/>
      <c r="AH148" s="25"/>
      <c r="AI148" s="25"/>
      <c r="AJ148" s="25"/>
      <c r="AK148" s="6"/>
      <c r="AL148" s="354"/>
      <c r="AM148" s="6"/>
      <c r="AN148" s="6"/>
      <c r="AO148" s="6"/>
      <c r="AP148" s="6"/>
      <c r="AQ148" s="335"/>
      <c r="AR148" s="15"/>
      <c r="AS148" s="25"/>
      <c r="AT148" s="25"/>
      <c r="AU148" s="350"/>
      <c r="AV148" s="350"/>
      <c r="AW148" s="350"/>
      <c r="AX148" s="356"/>
    </row>
    <row r="149" spans="2:50">
      <c r="B149" s="65"/>
      <c r="C149" s="6"/>
      <c r="D149" s="334"/>
      <c r="E149" s="6"/>
      <c r="F149" s="6"/>
      <c r="G149" s="25"/>
      <c r="H149" s="25"/>
      <c r="K149" s="334"/>
      <c r="L149" s="25"/>
      <c r="M149" s="25"/>
      <c r="N149" s="25"/>
      <c r="O149" s="25"/>
      <c r="P149" s="25"/>
      <c r="Q149" s="25"/>
      <c r="R149" s="335"/>
      <c r="S149" s="25"/>
      <c r="T149" s="25"/>
      <c r="U149" s="25"/>
      <c r="V149" s="25"/>
      <c r="W149" s="25"/>
      <c r="X149" s="25"/>
      <c r="Y149" s="25"/>
      <c r="Z149" s="25"/>
      <c r="AA149" s="6"/>
      <c r="AB149" s="6"/>
      <c r="AC149" s="6"/>
      <c r="AD149" s="25"/>
      <c r="AE149" s="25"/>
      <c r="AF149" s="335"/>
      <c r="AG149" s="15"/>
      <c r="AH149" s="25"/>
      <c r="AI149" s="25"/>
      <c r="AJ149" s="25"/>
      <c r="AK149" s="6"/>
      <c r="AL149" s="354"/>
      <c r="AM149" s="6"/>
      <c r="AN149" s="6"/>
      <c r="AO149" s="6"/>
      <c r="AP149" s="6"/>
      <c r="AQ149" s="335"/>
      <c r="AR149" s="15"/>
      <c r="AS149" s="25"/>
      <c r="AT149" s="25"/>
      <c r="AU149" s="350"/>
      <c r="AV149" s="350"/>
      <c r="AW149" s="350"/>
      <c r="AX149" s="356"/>
    </row>
    <row r="150" spans="2:50">
      <c r="B150" s="65"/>
      <c r="C150" s="6"/>
      <c r="D150" s="334"/>
      <c r="E150" s="6"/>
      <c r="F150" s="6"/>
      <c r="G150" s="25"/>
      <c r="H150" s="25"/>
      <c r="K150" s="334"/>
      <c r="L150" s="25"/>
      <c r="M150" s="25"/>
      <c r="N150" s="25"/>
      <c r="O150" s="25"/>
      <c r="P150" s="25"/>
      <c r="Q150" s="25"/>
      <c r="R150" s="335"/>
      <c r="S150" s="25"/>
      <c r="T150" s="25"/>
      <c r="U150" s="25"/>
      <c r="V150" s="25"/>
      <c r="W150" s="25"/>
      <c r="X150" s="25"/>
      <c r="Y150" s="25"/>
      <c r="Z150" s="25"/>
      <c r="AA150" s="6"/>
      <c r="AB150" s="6"/>
      <c r="AC150" s="6"/>
      <c r="AD150" s="25"/>
      <c r="AE150" s="25"/>
      <c r="AF150" s="335"/>
      <c r="AG150" s="15"/>
      <c r="AH150" s="25"/>
      <c r="AI150" s="25"/>
      <c r="AJ150" s="25"/>
      <c r="AK150" s="6"/>
      <c r="AL150" s="354"/>
      <c r="AM150" s="6"/>
      <c r="AN150" s="6"/>
      <c r="AO150" s="6"/>
      <c r="AP150" s="6"/>
      <c r="AQ150" s="335"/>
      <c r="AR150" s="15"/>
      <c r="AS150" s="25"/>
      <c r="AT150" s="25"/>
      <c r="AU150" s="350"/>
      <c r="AV150" s="350"/>
      <c r="AW150" s="350"/>
      <c r="AX150" s="356"/>
    </row>
    <row r="151" spans="2:50">
      <c r="B151" s="65"/>
      <c r="C151" s="6"/>
      <c r="D151" s="334"/>
      <c r="E151" s="6"/>
      <c r="F151" s="6"/>
      <c r="G151" s="25"/>
      <c r="H151" s="25"/>
      <c r="K151" s="334"/>
      <c r="L151" s="25"/>
      <c r="M151" s="25"/>
      <c r="N151" s="25"/>
      <c r="O151" s="25"/>
      <c r="P151" s="25"/>
      <c r="Q151" s="25"/>
      <c r="R151" s="335"/>
      <c r="S151" s="334"/>
      <c r="T151" s="25"/>
      <c r="U151" s="25"/>
      <c r="V151" s="25"/>
      <c r="W151" s="25"/>
      <c r="X151" s="25"/>
      <c r="Y151" s="25"/>
      <c r="Z151" s="25"/>
      <c r="AA151" s="6"/>
      <c r="AB151" s="6"/>
      <c r="AC151" s="6"/>
      <c r="AD151" s="25"/>
      <c r="AE151" s="25"/>
      <c r="AF151" s="335"/>
      <c r="AG151" s="15"/>
      <c r="AH151" s="25"/>
      <c r="AI151" s="25"/>
      <c r="AJ151" s="25"/>
      <c r="AK151" s="6"/>
      <c r="AL151" s="354"/>
      <c r="AM151" s="6"/>
      <c r="AN151" s="6"/>
      <c r="AO151" s="6"/>
      <c r="AP151" s="6"/>
      <c r="AQ151" s="335"/>
      <c r="AR151" s="15"/>
      <c r="AS151" s="25"/>
      <c r="AT151" s="25"/>
      <c r="AU151" s="350"/>
      <c r="AV151" s="350"/>
      <c r="AW151" s="350"/>
      <c r="AX151" s="356"/>
    </row>
    <row r="152" spans="2:50">
      <c r="B152" s="65"/>
      <c r="C152" s="6"/>
      <c r="D152" s="334"/>
      <c r="E152" s="6"/>
      <c r="F152" s="6"/>
      <c r="G152" s="25"/>
      <c r="H152" s="25"/>
      <c r="K152" s="334"/>
      <c r="L152" s="25"/>
      <c r="M152" s="25"/>
      <c r="N152" s="25"/>
      <c r="O152" s="25"/>
      <c r="P152" s="25"/>
      <c r="Q152" s="25"/>
      <c r="R152" s="335"/>
      <c r="S152" s="334"/>
      <c r="T152" s="25"/>
      <c r="U152" s="25"/>
      <c r="V152" s="25"/>
      <c r="W152" s="25"/>
      <c r="X152" s="25"/>
      <c r="Y152" s="25"/>
      <c r="Z152" s="25"/>
      <c r="AA152" s="6"/>
      <c r="AB152" s="6"/>
      <c r="AC152" s="6"/>
      <c r="AD152" s="25"/>
      <c r="AE152" s="25"/>
      <c r="AF152" s="335"/>
      <c r="AG152" s="15"/>
      <c r="AH152" s="25"/>
      <c r="AI152" s="25"/>
      <c r="AJ152" s="25"/>
      <c r="AK152" s="6"/>
      <c r="AL152" s="354"/>
      <c r="AM152" s="6"/>
      <c r="AN152" s="6"/>
      <c r="AO152" s="6"/>
      <c r="AP152" s="6"/>
      <c r="AQ152" s="335"/>
      <c r="AR152" s="15"/>
      <c r="AS152" s="25"/>
      <c r="AT152" s="25"/>
      <c r="AU152" s="350"/>
      <c r="AV152" s="350"/>
      <c r="AW152" s="350"/>
      <c r="AX152" s="356"/>
    </row>
    <row r="153" spans="2:50">
      <c r="B153" s="65"/>
      <c r="C153" s="6"/>
      <c r="D153" s="334"/>
      <c r="E153" s="6"/>
      <c r="F153" s="6"/>
      <c r="G153" s="25"/>
      <c r="H153" s="25"/>
      <c r="K153" s="334"/>
      <c r="L153" s="25"/>
      <c r="M153" s="25"/>
      <c r="N153" s="25"/>
      <c r="O153" s="25"/>
      <c r="P153" s="25"/>
      <c r="Q153" s="25"/>
      <c r="R153" s="335"/>
      <c r="S153" s="25"/>
      <c r="T153" s="25"/>
      <c r="U153" s="25"/>
      <c r="V153" s="25"/>
      <c r="W153" s="25"/>
      <c r="X153" s="25"/>
      <c r="Y153" s="25"/>
      <c r="Z153" s="25"/>
      <c r="AA153" s="6"/>
      <c r="AB153" s="6"/>
      <c r="AC153" s="6"/>
      <c r="AD153" s="25"/>
      <c r="AE153" s="25"/>
      <c r="AF153" s="335"/>
      <c r="AG153" s="15"/>
      <c r="AH153" s="25"/>
      <c r="AI153" s="25"/>
      <c r="AJ153" s="25"/>
      <c r="AK153" s="6"/>
      <c r="AL153" s="354"/>
      <c r="AM153" s="6"/>
      <c r="AN153" s="6"/>
      <c r="AO153" s="6"/>
      <c r="AP153" s="6"/>
      <c r="AQ153" s="335"/>
      <c r="AR153" s="15"/>
      <c r="AS153" s="25"/>
      <c r="AT153" s="25"/>
      <c r="AU153" s="350"/>
      <c r="AV153" s="350"/>
      <c r="AW153" s="350"/>
      <c r="AX153" s="356"/>
    </row>
    <row r="154" spans="2:50">
      <c r="B154" s="65"/>
      <c r="C154" s="6"/>
      <c r="D154" s="334"/>
      <c r="E154" s="6"/>
      <c r="F154" s="6"/>
      <c r="G154" s="25"/>
      <c r="H154" s="25"/>
      <c r="K154" s="334"/>
      <c r="L154" s="25"/>
      <c r="M154" s="25"/>
      <c r="N154" s="25"/>
      <c r="O154" s="25"/>
      <c r="P154" s="25"/>
      <c r="Q154" s="25"/>
      <c r="R154" s="335"/>
      <c r="S154" s="25"/>
      <c r="T154" s="25"/>
      <c r="U154" s="25"/>
      <c r="V154" s="25"/>
      <c r="W154" s="25"/>
      <c r="X154" s="25"/>
      <c r="Y154" s="25"/>
      <c r="Z154" s="25"/>
      <c r="AA154" s="6"/>
      <c r="AB154" s="6"/>
      <c r="AC154" s="6"/>
      <c r="AD154" s="25"/>
      <c r="AE154" s="25"/>
      <c r="AF154" s="335"/>
      <c r="AG154" s="15"/>
      <c r="AH154" s="25"/>
      <c r="AI154" s="25"/>
      <c r="AJ154" s="25"/>
      <c r="AK154" s="6"/>
      <c r="AL154" s="354"/>
      <c r="AM154" s="6"/>
      <c r="AN154" s="6"/>
      <c r="AO154" s="6"/>
      <c r="AP154" s="6"/>
      <c r="AQ154" s="335"/>
      <c r="AR154" s="15"/>
      <c r="AS154" s="25"/>
      <c r="AT154" s="25"/>
      <c r="AU154" s="350"/>
      <c r="AV154" s="350"/>
      <c r="AW154" s="350"/>
      <c r="AX154" s="356"/>
    </row>
    <row r="155" spans="2:50">
      <c r="B155" s="65"/>
      <c r="C155" s="6"/>
      <c r="D155" s="334"/>
      <c r="E155" s="6"/>
      <c r="F155" s="6"/>
      <c r="G155" s="25"/>
      <c r="H155" s="25"/>
      <c r="K155" s="334"/>
      <c r="L155" s="25"/>
      <c r="M155" s="25"/>
      <c r="N155" s="25"/>
      <c r="O155" s="25"/>
      <c r="P155" s="25"/>
      <c r="Q155" s="25"/>
      <c r="R155" s="335"/>
      <c r="S155" s="334"/>
      <c r="T155" s="25"/>
      <c r="U155" s="25"/>
      <c r="V155" s="25"/>
      <c r="W155" s="25"/>
      <c r="X155" s="25"/>
      <c r="Y155" s="25"/>
      <c r="Z155" s="25"/>
      <c r="AA155" s="6"/>
      <c r="AB155" s="6"/>
      <c r="AC155" s="6"/>
      <c r="AD155" s="25"/>
      <c r="AE155" s="25"/>
      <c r="AF155" s="335"/>
      <c r="AG155" s="15"/>
      <c r="AH155" s="25"/>
      <c r="AI155" s="25"/>
      <c r="AJ155" s="25"/>
      <c r="AK155" s="6"/>
      <c r="AL155" s="354"/>
      <c r="AM155" s="6"/>
      <c r="AN155" s="6"/>
      <c r="AO155" s="6"/>
      <c r="AP155" s="6"/>
      <c r="AQ155" s="335"/>
      <c r="AR155" s="15"/>
      <c r="AS155" s="25"/>
      <c r="AT155" s="25"/>
      <c r="AU155" s="350"/>
      <c r="AV155" s="350"/>
      <c r="AW155" s="350"/>
      <c r="AX155" s="356"/>
    </row>
    <row r="156" spans="2:50">
      <c r="B156" s="65"/>
      <c r="C156" s="6"/>
      <c r="D156" s="334"/>
      <c r="E156" s="6"/>
      <c r="F156" s="6"/>
      <c r="G156" s="25"/>
      <c r="H156" s="25"/>
      <c r="K156" s="334"/>
      <c r="L156" s="25"/>
      <c r="M156" s="25"/>
      <c r="N156" s="25"/>
      <c r="O156" s="25"/>
      <c r="P156" s="25"/>
      <c r="Q156" s="25"/>
      <c r="R156" s="335"/>
      <c r="S156" s="334"/>
      <c r="T156" s="25"/>
      <c r="U156" s="25"/>
      <c r="V156" s="25"/>
      <c r="W156" s="25"/>
      <c r="X156" s="25"/>
      <c r="Y156" s="25"/>
      <c r="Z156" s="25"/>
      <c r="AA156" s="6"/>
      <c r="AB156" s="6"/>
      <c r="AC156" s="6"/>
      <c r="AD156" s="25"/>
      <c r="AE156" s="25"/>
      <c r="AF156" s="335"/>
      <c r="AG156" s="15"/>
      <c r="AH156" s="25"/>
      <c r="AI156" s="25"/>
      <c r="AJ156" s="25"/>
      <c r="AK156" s="6"/>
      <c r="AL156" s="354"/>
      <c r="AM156" s="6"/>
      <c r="AN156" s="6"/>
      <c r="AO156" s="6"/>
      <c r="AP156" s="6"/>
      <c r="AQ156" s="335"/>
      <c r="AR156" s="15"/>
      <c r="AS156" s="25"/>
      <c r="AT156" s="25"/>
      <c r="AU156" s="350"/>
      <c r="AV156" s="350"/>
      <c r="AW156" s="350"/>
      <c r="AX156" s="356"/>
    </row>
    <row r="157" spans="2:50">
      <c r="B157" s="65"/>
      <c r="C157" s="6"/>
      <c r="D157" s="334"/>
      <c r="E157" s="6"/>
      <c r="F157" s="6"/>
      <c r="G157" s="25"/>
      <c r="H157" s="25"/>
      <c r="I157" s="25"/>
      <c r="J157" s="25"/>
      <c r="K157" s="334"/>
      <c r="L157" s="25"/>
      <c r="M157" s="25"/>
      <c r="N157" s="25"/>
      <c r="O157" s="25"/>
      <c r="P157" s="25"/>
      <c r="Q157" s="25"/>
      <c r="R157" s="335"/>
      <c r="S157" s="25"/>
      <c r="T157" s="25"/>
      <c r="U157" s="25"/>
      <c r="V157" s="25"/>
      <c r="W157" s="25"/>
      <c r="X157" s="25"/>
      <c r="Y157" s="25"/>
      <c r="Z157" s="25"/>
      <c r="AA157" s="6"/>
      <c r="AB157" s="6"/>
      <c r="AC157" s="6"/>
      <c r="AD157" s="25"/>
      <c r="AE157" s="25"/>
      <c r="AF157" s="335"/>
      <c r="AG157" s="15"/>
      <c r="AH157" s="25"/>
      <c r="AI157" s="25"/>
      <c r="AJ157" s="25"/>
      <c r="AK157" s="6"/>
      <c r="AL157" s="354"/>
      <c r="AM157" s="6"/>
      <c r="AN157" s="6"/>
      <c r="AO157" s="6"/>
      <c r="AP157" s="6"/>
      <c r="AQ157" s="335"/>
      <c r="AR157" s="15"/>
      <c r="AS157" s="25"/>
      <c r="AT157" s="25"/>
      <c r="AU157" s="350"/>
      <c r="AV157" s="350"/>
      <c r="AW157" s="350"/>
      <c r="AX157" s="356"/>
    </row>
    <row r="158" spans="2:50">
      <c r="B158" s="65"/>
      <c r="C158" s="6"/>
      <c r="D158" s="334"/>
      <c r="E158" s="6"/>
      <c r="F158" s="6"/>
      <c r="G158" s="25"/>
      <c r="H158" s="25"/>
      <c r="I158" s="25"/>
      <c r="J158" s="25"/>
      <c r="K158" s="334"/>
      <c r="L158" s="25"/>
      <c r="M158" s="25"/>
      <c r="N158" s="25"/>
      <c r="O158" s="25"/>
      <c r="P158" s="25"/>
      <c r="Q158" s="25"/>
      <c r="R158" s="335"/>
      <c r="S158" s="25"/>
      <c r="T158" s="25"/>
      <c r="U158" s="25"/>
      <c r="V158" s="25"/>
      <c r="W158" s="25"/>
      <c r="X158" s="25"/>
      <c r="Y158" s="25"/>
      <c r="Z158" s="25"/>
      <c r="AA158" s="6"/>
      <c r="AB158" s="6"/>
      <c r="AC158" s="6"/>
      <c r="AD158" s="25"/>
      <c r="AE158" s="25"/>
      <c r="AF158" s="335"/>
      <c r="AG158" s="15"/>
      <c r="AH158" s="25"/>
      <c r="AI158" s="25"/>
      <c r="AJ158" s="25"/>
      <c r="AK158" s="6"/>
      <c r="AL158" s="354"/>
      <c r="AM158" s="6"/>
      <c r="AN158" s="6"/>
      <c r="AO158" s="6"/>
      <c r="AP158" s="6"/>
      <c r="AQ158" s="335"/>
      <c r="AR158" s="15"/>
      <c r="AS158" s="25"/>
      <c r="AT158" s="25"/>
      <c r="AU158" s="350"/>
      <c r="AV158" s="350"/>
      <c r="AW158" s="350"/>
      <c r="AX158" s="356"/>
    </row>
    <row r="159" spans="2:50">
      <c r="B159" s="65"/>
      <c r="C159" s="6"/>
      <c r="D159" s="334"/>
      <c r="E159" s="6"/>
      <c r="F159" s="6"/>
      <c r="G159" s="25"/>
      <c r="H159" s="25"/>
      <c r="I159" s="25"/>
      <c r="J159" s="25"/>
      <c r="K159" s="334"/>
      <c r="L159" s="25"/>
      <c r="M159" s="25"/>
      <c r="N159" s="25"/>
      <c r="O159" s="25"/>
      <c r="P159" s="25"/>
      <c r="Q159" s="25"/>
      <c r="R159" s="335"/>
      <c r="S159" s="334"/>
      <c r="T159" s="25"/>
      <c r="U159" s="25"/>
      <c r="V159" s="25"/>
      <c r="W159" s="25"/>
      <c r="X159" s="25"/>
      <c r="Y159" s="25"/>
      <c r="Z159" s="25"/>
      <c r="AA159" s="6"/>
      <c r="AB159" s="6"/>
      <c r="AC159" s="6"/>
      <c r="AD159" s="25"/>
      <c r="AE159" s="25"/>
      <c r="AF159" s="335"/>
      <c r="AG159" s="15"/>
      <c r="AH159" s="25"/>
      <c r="AI159" s="25"/>
      <c r="AJ159" s="25"/>
      <c r="AK159" s="6"/>
      <c r="AL159" s="354"/>
      <c r="AM159" s="6"/>
      <c r="AN159" s="6"/>
      <c r="AO159" s="6"/>
      <c r="AP159" s="6"/>
      <c r="AQ159" s="335"/>
      <c r="AR159" s="15"/>
      <c r="AS159" s="25"/>
      <c r="AT159" s="25"/>
      <c r="AU159" s="350"/>
      <c r="AV159" s="350"/>
      <c r="AW159" s="350"/>
      <c r="AX159" s="356"/>
    </row>
    <row r="160" spans="2:50">
      <c r="B160" s="65"/>
      <c r="C160" s="6"/>
      <c r="D160" s="334"/>
      <c r="E160" s="6"/>
      <c r="F160" s="6"/>
      <c r="G160" s="25"/>
      <c r="H160" s="25"/>
      <c r="K160" s="334"/>
      <c r="L160" s="25"/>
      <c r="M160" s="25"/>
      <c r="N160" s="25"/>
      <c r="O160" s="25"/>
      <c r="P160" s="25"/>
      <c r="Q160" s="25"/>
      <c r="R160" s="335"/>
      <c r="S160" s="334"/>
      <c r="T160" s="25"/>
      <c r="U160" s="25"/>
      <c r="V160" s="25"/>
      <c r="W160" s="25"/>
      <c r="X160" s="25"/>
      <c r="Y160" s="25"/>
      <c r="Z160" s="25"/>
      <c r="AA160" s="6"/>
      <c r="AB160" s="6"/>
      <c r="AC160" s="6"/>
      <c r="AD160" s="25"/>
      <c r="AE160" s="25"/>
      <c r="AF160" s="335"/>
      <c r="AG160" s="15"/>
      <c r="AH160" s="25"/>
      <c r="AI160" s="25"/>
      <c r="AJ160" s="25"/>
      <c r="AK160" s="6"/>
      <c r="AL160" s="354"/>
      <c r="AM160" s="6"/>
      <c r="AN160" s="6"/>
      <c r="AO160" s="6"/>
      <c r="AP160" s="6"/>
      <c r="AQ160" s="335"/>
      <c r="AR160" s="15"/>
      <c r="AS160" s="25"/>
      <c r="AT160" s="25"/>
      <c r="AU160" s="350"/>
      <c r="AV160" s="350"/>
      <c r="AW160" s="350"/>
      <c r="AX160" s="356"/>
    </row>
    <row r="161" spans="2:50">
      <c r="B161" s="65"/>
      <c r="C161" s="6"/>
      <c r="D161" s="334"/>
      <c r="E161" s="6"/>
      <c r="F161" s="6"/>
      <c r="G161" s="25"/>
      <c r="H161" s="25"/>
      <c r="K161" s="334"/>
      <c r="L161" s="25"/>
      <c r="M161" s="25"/>
      <c r="N161" s="25"/>
      <c r="O161" s="25"/>
      <c r="P161" s="25"/>
      <c r="Q161" s="25"/>
      <c r="R161" s="335"/>
      <c r="S161" s="25"/>
      <c r="T161" s="25"/>
      <c r="U161" s="25"/>
      <c r="V161" s="25"/>
      <c r="W161" s="25"/>
      <c r="X161" s="25"/>
      <c r="Y161" s="25"/>
      <c r="Z161" s="25"/>
      <c r="AA161" s="6"/>
      <c r="AB161" s="6"/>
      <c r="AC161" s="6"/>
      <c r="AD161" s="25"/>
      <c r="AE161" s="25"/>
      <c r="AF161" s="335"/>
      <c r="AG161" s="15"/>
      <c r="AH161" s="25"/>
      <c r="AI161" s="25"/>
      <c r="AJ161" s="25"/>
      <c r="AK161" s="6"/>
      <c r="AL161" s="354"/>
      <c r="AM161" s="6"/>
      <c r="AN161" s="6"/>
      <c r="AO161" s="6"/>
      <c r="AP161" s="6"/>
      <c r="AQ161" s="335"/>
      <c r="AR161" s="15"/>
      <c r="AS161" s="25"/>
      <c r="AT161" s="25"/>
      <c r="AU161" s="350"/>
      <c r="AV161" s="350"/>
      <c r="AW161" s="350"/>
      <c r="AX161" s="356"/>
    </row>
    <row r="162" spans="2:50">
      <c r="B162" s="65"/>
      <c r="C162" s="6"/>
      <c r="D162" s="334"/>
      <c r="E162" s="6"/>
      <c r="F162" s="6"/>
      <c r="G162" s="25"/>
      <c r="H162" s="25"/>
      <c r="K162" s="334"/>
      <c r="L162" s="25"/>
      <c r="M162" s="25"/>
      <c r="N162" s="25"/>
      <c r="O162" s="25"/>
      <c r="P162" s="25"/>
      <c r="Q162" s="25"/>
      <c r="R162" s="335"/>
      <c r="S162" s="25"/>
      <c r="T162" s="25"/>
      <c r="U162" s="25"/>
      <c r="V162" s="25"/>
      <c r="W162" s="25"/>
      <c r="X162" s="25"/>
      <c r="Y162" s="25"/>
      <c r="Z162" s="25"/>
      <c r="AA162" s="6"/>
      <c r="AB162" s="6"/>
      <c r="AC162" s="6"/>
      <c r="AD162" s="25"/>
      <c r="AE162" s="25"/>
      <c r="AF162" s="335"/>
      <c r="AG162" s="15"/>
      <c r="AH162" s="25"/>
      <c r="AI162" s="25"/>
      <c r="AJ162" s="25"/>
      <c r="AK162" s="6"/>
      <c r="AL162" s="354"/>
      <c r="AM162" s="6"/>
      <c r="AN162" s="6"/>
      <c r="AO162" s="6"/>
      <c r="AP162" s="6"/>
      <c r="AQ162" s="335"/>
      <c r="AR162" s="15"/>
      <c r="AS162" s="25"/>
      <c r="AT162" s="25"/>
      <c r="AU162" s="350"/>
      <c r="AV162" s="350"/>
      <c r="AW162" s="350"/>
      <c r="AX162" s="356"/>
    </row>
    <row r="163" spans="2:50">
      <c r="B163" s="65"/>
      <c r="C163" s="6"/>
      <c r="D163" s="334"/>
      <c r="E163" s="6"/>
      <c r="F163" s="6"/>
      <c r="G163" s="25"/>
      <c r="H163" s="25"/>
      <c r="K163" s="334"/>
      <c r="L163" s="25"/>
      <c r="M163" s="25"/>
      <c r="N163" s="25"/>
      <c r="O163" s="25"/>
      <c r="P163" s="25"/>
      <c r="Q163" s="25"/>
      <c r="R163" s="335"/>
      <c r="S163" s="334"/>
      <c r="T163" s="25"/>
      <c r="U163" s="25"/>
      <c r="V163" s="25"/>
      <c r="W163" s="25"/>
      <c r="X163" s="25"/>
      <c r="Y163" s="25"/>
      <c r="Z163" s="25"/>
      <c r="AA163" s="6"/>
      <c r="AB163" s="6"/>
      <c r="AC163" s="6"/>
      <c r="AD163" s="25"/>
      <c r="AE163" s="25"/>
      <c r="AF163" s="335"/>
      <c r="AG163" s="15"/>
      <c r="AH163" s="25"/>
      <c r="AI163" s="25"/>
      <c r="AJ163" s="25"/>
      <c r="AK163" s="6"/>
      <c r="AL163" s="354"/>
      <c r="AM163" s="6"/>
      <c r="AN163" s="6"/>
      <c r="AO163" s="6"/>
      <c r="AP163" s="6"/>
      <c r="AQ163" s="335"/>
      <c r="AR163" s="15"/>
      <c r="AS163" s="25"/>
      <c r="AT163" s="25"/>
      <c r="AU163" s="350"/>
      <c r="AV163" s="350"/>
      <c r="AW163" s="350"/>
      <c r="AX163" s="356"/>
    </row>
    <row r="164" spans="2:50">
      <c r="B164" s="65"/>
      <c r="C164" s="6"/>
      <c r="D164" s="334"/>
      <c r="E164" s="6"/>
      <c r="F164" s="6"/>
      <c r="G164" s="25"/>
      <c r="H164" s="25"/>
      <c r="K164" s="334"/>
      <c r="L164" s="25"/>
      <c r="M164" s="25"/>
      <c r="N164" s="25"/>
      <c r="O164" s="25"/>
      <c r="P164" s="25"/>
      <c r="Q164" s="25"/>
      <c r="R164" s="335"/>
      <c r="S164" s="334"/>
      <c r="T164" s="25"/>
      <c r="U164" s="25"/>
      <c r="V164" s="25"/>
      <c r="W164" s="25"/>
      <c r="X164" s="25"/>
      <c r="Y164" s="25"/>
      <c r="Z164" s="25"/>
      <c r="AA164" s="6"/>
      <c r="AB164" s="6"/>
      <c r="AC164" s="6"/>
      <c r="AD164" s="25"/>
      <c r="AE164" s="25"/>
      <c r="AF164" s="335"/>
      <c r="AG164" s="15"/>
      <c r="AH164" s="25"/>
      <c r="AI164" s="25"/>
      <c r="AJ164" s="25"/>
      <c r="AK164" s="6"/>
      <c r="AL164" s="354"/>
      <c r="AM164" s="6"/>
      <c r="AN164" s="6"/>
      <c r="AO164" s="6"/>
      <c r="AP164" s="6"/>
      <c r="AQ164" s="335"/>
      <c r="AR164" s="15"/>
      <c r="AS164" s="25"/>
      <c r="AT164" s="25"/>
      <c r="AU164" s="350"/>
      <c r="AV164" s="350"/>
      <c r="AW164" s="350"/>
      <c r="AX164" s="356"/>
    </row>
    <row r="165" spans="2:50">
      <c r="B165" s="65"/>
      <c r="C165" s="6"/>
      <c r="D165" s="334"/>
      <c r="E165" s="6"/>
      <c r="F165" s="6"/>
      <c r="G165" s="25"/>
      <c r="H165" s="25"/>
      <c r="K165" s="334"/>
      <c r="L165" s="25"/>
      <c r="M165" s="25"/>
      <c r="N165" s="25"/>
      <c r="O165" s="25"/>
      <c r="P165" s="25"/>
      <c r="Q165" s="25"/>
      <c r="R165" s="335"/>
      <c r="S165" s="25"/>
      <c r="T165" s="25"/>
      <c r="U165" s="25"/>
      <c r="V165" s="25"/>
      <c r="W165" s="25"/>
      <c r="X165" s="25"/>
      <c r="Y165" s="25"/>
      <c r="Z165" s="25"/>
      <c r="AA165" s="6"/>
      <c r="AB165" s="6"/>
      <c r="AC165" s="6"/>
      <c r="AD165" s="25"/>
      <c r="AE165" s="25"/>
      <c r="AF165" s="335"/>
      <c r="AG165" s="15"/>
      <c r="AH165" s="25"/>
      <c r="AI165" s="25"/>
      <c r="AJ165" s="25"/>
      <c r="AK165" s="6"/>
      <c r="AL165" s="354"/>
      <c r="AM165" s="6"/>
      <c r="AN165" s="6"/>
      <c r="AO165" s="6"/>
      <c r="AP165" s="6"/>
      <c r="AQ165" s="335"/>
      <c r="AR165" s="15"/>
      <c r="AS165" s="25"/>
      <c r="AT165" s="25"/>
      <c r="AU165" s="350"/>
      <c r="AV165" s="350"/>
      <c r="AW165" s="350"/>
      <c r="AX165" s="356"/>
    </row>
    <row r="166" spans="2:50">
      <c r="B166" s="65"/>
      <c r="C166" s="6"/>
      <c r="D166" s="334"/>
      <c r="E166" s="6"/>
      <c r="F166" s="6"/>
      <c r="G166" s="25"/>
      <c r="H166" s="25"/>
      <c r="K166" s="334"/>
      <c r="L166" s="25"/>
      <c r="M166" s="25"/>
      <c r="N166" s="25"/>
      <c r="O166" s="25"/>
      <c r="P166" s="25"/>
      <c r="Q166" s="25"/>
      <c r="R166" s="335"/>
      <c r="S166" s="25"/>
      <c r="T166" s="25"/>
      <c r="U166" s="25"/>
      <c r="V166" s="25"/>
      <c r="W166" s="25"/>
      <c r="X166" s="25"/>
      <c r="Y166" s="25"/>
      <c r="Z166" s="25"/>
      <c r="AA166" s="6"/>
      <c r="AB166" s="6"/>
      <c r="AC166" s="6"/>
      <c r="AD166" s="25"/>
      <c r="AE166" s="25"/>
      <c r="AF166" s="335"/>
      <c r="AG166" s="15"/>
      <c r="AH166" s="25"/>
      <c r="AI166" s="25"/>
      <c r="AJ166" s="25"/>
      <c r="AK166" s="6"/>
      <c r="AL166" s="354"/>
      <c r="AM166" s="6"/>
      <c r="AN166" s="6"/>
      <c r="AO166" s="6"/>
      <c r="AP166" s="6"/>
      <c r="AQ166" s="335"/>
      <c r="AR166" s="15"/>
      <c r="AS166" s="25"/>
      <c r="AT166" s="25"/>
      <c r="AU166" s="350"/>
      <c r="AV166" s="350"/>
      <c r="AW166" s="350"/>
      <c r="AX166" s="356"/>
    </row>
    <row r="167" spans="2:50">
      <c r="B167" s="65"/>
      <c r="C167" s="6"/>
      <c r="D167" s="334"/>
      <c r="E167" s="6"/>
      <c r="F167" s="6"/>
      <c r="G167" s="25"/>
      <c r="H167" s="25"/>
      <c r="K167" s="334"/>
      <c r="L167" s="25"/>
      <c r="M167" s="25"/>
      <c r="N167" s="25"/>
      <c r="O167" s="25"/>
      <c r="P167" s="25"/>
      <c r="Q167" s="25"/>
      <c r="R167" s="335"/>
      <c r="S167" s="334"/>
      <c r="T167" s="25"/>
      <c r="U167" s="25"/>
      <c r="V167" s="25"/>
      <c r="W167" s="25"/>
      <c r="X167" s="25"/>
      <c r="Y167" s="25"/>
      <c r="Z167" s="25"/>
      <c r="AA167" s="6"/>
      <c r="AB167" s="6"/>
      <c r="AC167" s="6"/>
      <c r="AD167" s="25"/>
      <c r="AE167" s="25"/>
      <c r="AF167" s="335"/>
      <c r="AG167" s="15"/>
      <c r="AH167" s="25"/>
      <c r="AI167" s="25"/>
      <c r="AJ167" s="25"/>
      <c r="AK167" s="6"/>
      <c r="AL167" s="354"/>
      <c r="AM167" s="6"/>
      <c r="AN167" s="6"/>
      <c r="AO167" s="6"/>
      <c r="AP167" s="6"/>
      <c r="AQ167" s="335"/>
      <c r="AR167" s="15"/>
      <c r="AS167" s="25"/>
      <c r="AT167" s="25"/>
      <c r="AU167" s="350"/>
      <c r="AV167" s="350"/>
      <c r="AW167" s="350"/>
      <c r="AX167" s="356"/>
    </row>
    <row r="168" spans="2:50">
      <c r="B168" s="65"/>
      <c r="C168" s="6"/>
      <c r="D168" s="334"/>
      <c r="E168" s="6"/>
      <c r="F168" s="6"/>
      <c r="G168" s="25"/>
      <c r="H168" s="25"/>
      <c r="K168" s="334"/>
      <c r="L168" s="25"/>
      <c r="M168" s="25"/>
      <c r="N168" s="25"/>
      <c r="O168" s="25"/>
      <c r="P168" s="25"/>
      <c r="Q168" s="25"/>
      <c r="R168" s="335"/>
      <c r="S168" s="334"/>
      <c r="T168" s="25"/>
      <c r="U168" s="25"/>
      <c r="V168" s="25"/>
      <c r="W168" s="25"/>
      <c r="X168" s="25"/>
      <c r="Y168" s="25"/>
      <c r="Z168" s="25"/>
      <c r="AA168" s="6"/>
      <c r="AB168" s="6"/>
      <c r="AC168" s="6"/>
      <c r="AD168" s="25"/>
      <c r="AE168" s="25"/>
      <c r="AF168" s="335"/>
      <c r="AG168" s="15"/>
      <c r="AH168" s="25"/>
      <c r="AI168" s="25"/>
      <c r="AJ168" s="25"/>
      <c r="AK168" s="6"/>
      <c r="AL168" s="354"/>
      <c r="AM168" s="6"/>
      <c r="AN168" s="6"/>
      <c r="AO168" s="6"/>
      <c r="AP168" s="6"/>
      <c r="AQ168" s="335"/>
      <c r="AR168" s="15"/>
      <c r="AS168" s="25"/>
      <c r="AT168" s="25"/>
      <c r="AU168" s="350"/>
      <c r="AV168" s="350"/>
      <c r="AW168" s="350"/>
      <c r="AX168" s="356"/>
    </row>
    <row r="169" spans="2:50">
      <c r="B169" s="65"/>
      <c r="C169" s="6"/>
      <c r="D169" s="334"/>
      <c r="E169" s="6"/>
      <c r="F169" s="6"/>
      <c r="G169" s="25"/>
      <c r="H169" s="25"/>
      <c r="I169" s="25"/>
      <c r="J169" s="25"/>
      <c r="K169" s="334"/>
      <c r="L169" s="25"/>
      <c r="M169" s="25"/>
      <c r="N169" s="25"/>
      <c r="O169" s="25"/>
      <c r="P169" s="25"/>
      <c r="Q169" s="25"/>
      <c r="R169" s="335"/>
      <c r="S169" s="25"/>
      <c r="T169" s="25"/>
      <c r="U169" s="25"/>
      <c r="V169" s="25"/>
      <c r="W169" s="25"/>
      <c r="X169" s="25"/>
      <c r="Y169" s="25"/>
      <c r="Z169" s="25"/>
      <c r="AA169" s="6"/>
      <c r="AB169" s="6"/>
      <c r="AC169" s="6"/>
      <c r="AD169" s="25"/>
      <c r="AE169" s="25"/>
      <c r="AF169" s="335"/>
      <c r="AG169" s="15"/>
      <c r="AH169" s="25"/>
      <c r="AI169" s="25"/>
      <c r="AJ169" s="25"/>
      <c r="AK169" s="6"/>
      <c r="AL169" s="354"/>
      <c r="AM169" s="6"/>
      <c r="AN169" s="6"/>
      <c r="AO169" s="6"/>
      <c r="AP169" s="6"/>
      <c r="AQ169" s="335"/>
      <c r="AR169" s="15"/>
      <c r="AS169" s="25"/>
      <c r="AT169" s="25"/>
      <c r="AU169" s="350"/>
      <c r="AV169" s="350"/>
      <c r="AW169" s="350"/>
      <c r="AX169" s="356"/>
    </row>
    <row r="170" spans="2:50">
      <c r="B170" s="65"/>
      <c r="C170" s="6"/>
      <c r="D170" s="334"/>
      <c r="E170" s="6"/>
      <c r="F170" s="6"/>
      <c r="G170" s="25"/>
      <c r="H170" s="25"/>
      <c r="I170" s="25"/>
      <c r="J170" s="25"/>
      <c r="K170" s="334"/>
      <c r="L170" s="25"/>
      <c r="M170" s="25"/>
      <c r="N170" s="25"/>
      <c r="O170" s="25"/>
      <c r="P170" s="25"/>
      <c r="Q170" s="25"/>
      <c r="R170" s="335"/>
      <c r="S170" s="25"/>
      <c r="T170" s="25"/>
      <c r="U170" s="25"/>
      <c r="V170" s="25"/>
      <c r="W170" s="25"/>
      <c r="X170" s="25"/>
      <c r="Y170" s="25"/>
      <c r="Z170" s="25"/>
      <c r="AA170" s="6"/>
      <c r="AB170" s="6"/>
      <c r="AC170" s="6"/>
      <c r="AD170" s="25"/>
      <c r="AE170" s="25"/>
      <c r="AF170" s="335"/>
      <c r="AG170" s="15"/>
      <c r="AH170" s="25"/>
      <c r="AI170" s="25"/>
      <c r="AJ170" s="25"/>
      <c r="AK170" s="6"/>
      <c r="AL170" s="354"/>
      <c r="AM170" s="6"/>
      <c r="AN170" s="6"/>
      <c r="AO170" s="6"/>
      <c r="AP170" s="6"/>
      <c r="AQ170" s="335"/>
      <c r="AR170" s="15"/>
      <c r="AS170" s="25"/>
      <c r="AT170" s="25"/>
      <c r="AU170" s="350"/>
      <c r="AV170" s="350"/>
      <c r="AW170" s="350"/>
      <c r="AX170" s="356"/>
    </row>
    <row r="171" spans="2:50">
      <c r="B171" s="65"/>
      <c r="C171" s="6"/>
      <c r="D171" s="334"/>
      <c r="E171" s="6"/>
      <c r="F171" s="6"/>
      <c r="G171" s="25"/>
      <c r="H171" s="25"/>
      <c r="I171" s="25"/>
      <c r="J171" s="25"/>
      <c r="K171" s="334"/>
      <c r="L171" s="25"/>
      <c r="M171" s="25"/>
      <c r="N171" s="25"/>
      <c r="O171" s="25"/>
      <c r="P171" s="25"/>
      <c r="Q171" s="25"/>
      <c r="R171" s="335"/>
      <c r="S171" s="334"/>
      <c r="T171" s="25"/>
      <c r="U171" s="25"/>
      <c r="V171" s="25"/>
      <c r="W171" s="25"/>
      <c r="X171" s="25"/>
      <c r="Y171" s="25"/>
      <c r="Z171" s="25"/>
      <c r="AA171" s="6"/>
      <c r="AB171" s="6"/>
      <c r="AC171" s="6"/>
      <c r="AD171" s="25"/>
      <c r="AE171" s="25"/>
      <c r="AF171" s="335"/>
      <c r="AG171" s="15"/>
      <c r="AH171" s="25"/>
      <c r="AI171" s="25"/>
      <c r="AJ171" s="25"/>
      <c r="AK171" s="6"/>
      <c r="AL171" s="354"/>
      <c r="AM171" s="6"/>
      <c r="AN171" s="6"/>
      <c r="AO171" s="6"/>
      <c r="AP171" s="6"/>
      <c r="AQ171" s="335"/>
      <c r="AR171" s="15"/>
      <c r="AS171" s="25"/>
      <c r="AT171" s="25"/>
      <c r="AU171" s="350"/>
      <c r="AV171" s="350"/>
      <c r="AW171" s="350"/>
      <c r="AX171" s="356"/>
    </row>
  </sheetData>
  <mergeCells count="13">
    <mergeCell ref="AG2:AQ2"/>
    <mergeCell ref="AM3:AQ3"/>
    <mergeCell ref="AG3:AL3"/>
    <mergeCell ref="AU3:AV3"/>
    <mergeCell ref="AR2:AX2"/>
    <mergeCell ref="AW3:AX3"/>
    <mergeCell ref="AR3:AT3"/>
    <mergeCell ref="D3:J3"/>
    <mergeCell ref="S2:AF2"/>
    <mergeCell ref="S3:Y3"/>
    <mergeCell ref="Z3:AF3"/>
    <mergeCell ref="D2:R2"/>
    <mergeCell ref="K3:R3"/>
  </mergeCells>
  <conditionalFormatting sqref="AK6:AK171">
    <cfRule type="colorScale" priority="15">
      <colorScale>
        <cfvo type="min"/>
        <cfvo type="num" val="0"/>
        <cfvo type="max"/>
        <color rgb="FFF8696B"/>
        <color rgb="FF63BE7B"/>
        <color rgb="FFF8696B"/>
      </colorScale>
    </cfRule>
  </conditionalFormatting>
  <conditionalFormatting sqref="AP6:AP171">
    <cfRule type="colorScale" priority="1">
      <colorScale>
        <cfvo type="min"/>
        <cfvo type="num" val="0"/>
        <cfvo type="max"/>
        <color rgb="FFF8696B"/>
        <color rgb="FF63BE7B"/>
        <color rgb="FFF8696B"/>
      </colorScale>
    </cfRule>
  </conditionalFormatting>
  <conditionalFormatting sqref="AR5:AR171">
    <cfRule type="colorScale" priority="3">
      <colorScale>
        <cfvo type="min"/>
        <cfvo type="percentile" val="0"/>
        <cfvo type="max"/>
        <color rgb="FF63BE7B"/>
        <color rgb="FFFFEB84"/>
        <color rgb="FFF8696B"/>
      </colorScale>
    </cfRule>
  </conditionalFormatting>
  <conditionalFormatting sqref="AR5:AT171">
    <cfRule type="colorScale" priority="4">
      <colorScale>
        <cfvo type="percent" val="0"/>
        <cfvo type="max"/>
        <color rgb="FF63BE7B"/>
        <color rgb="FFF8696B"/>
      </colorScale>
    </cfRule>
    <cfRule type="colorScale" priority="6">
      <colorScale>
        <cfvo type="percent" val="0"/>
        <cfvo type="max"/>
        <color rgb="FF63BE7B"/>
        <color rgb="FFF8696B"/>
      </colorScale>
    </cfRule>
  </conditionalFormatting>
  <conditionalFormatting sqref="AU5:AU171">
    <cfRule type="colorScale" priority="8">
      <colorScale>
        <cfvo type="percent" val="0"/>
        <cfvo type="max"/>
        <color rgb="FF63BE7B"/>
        <color rgb="FFF8696B"/>
      </colorScale>
    </cfRule>
  </conditionalFormatting>
  <conditionalFormatting sqref="AV5:AV171">
    <cfRule type="colorScale" priority="5">
      <colorScale>
        <cfvo type="percent" val="0"/>
        <cfvo type="max"/>
        <color rgb="FF63BE7B"/>
        <color rgb="FFF8696B"/>
      </colorScale>
    </cfRule>
  </conditionalFormatting>
  <conditionalFormatting sqref="AW5:AX171">
    <cfRule type="colorScale" priority="2">
      <colorScale>
        <cfvo type="percent" val="0"/>
        <cfvo type="max"/>
        <color rgb="FF63BE7B"/>
        <color rgb="FFF8696B"/>
      </colorScale>
    </cfRule>
  </conditionalFormatting>
  <pageMargins left="0.7" right="0.7" top="0.75" bottom="0.75" header="0.3" footer="0.3"/>
  <ignoredErrors>
    <ignoredError sqref="AC5" formulaRange="1"/>
    <ignoredError sqref="AD33" formula="1"/>
  </ignoredErrors>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9C04-DCAF-4F97-8F99-558A4E966B5A}">
  <sheetPr>
    <tabColor rgb="FFFFFF00"/>
  </sheetPr>
  <dimension ref="B1:R31"/>
  <sheetViews>
    <sheetView workbookViewId="0">
      <selection activeCell="O30" sqref="O30"/>
    </sheetView>
  </sheetViews>
  <sheetFormatPr defaultRowHeight="15"/>
  <cols>
    <col min="14" max="15" width="10.5703125" bestFit="1" customWidth="1"/>
    <col min="17" max="17" width="9.7109375" bestFit="1" customWidth="1"/>
  </cols>
  <sheetData>
    <row r="1" spans="2:18">
      <c r="Q1" s="272" t="s">
        <v>934</v>
      </c>
    </row>
    <row r="2" spans="2:18" ht="17.25">
      <c r="B2" s="272" t="s">
        <v>924</v>
      </c>
      <c r="N2" s="6">
        <f>SUM(N4:N29)</f>
        <v>4030.3949999999995</v>
      </c>
      <c r="O2" s="6">
        <f>SUM(O4:O29)</f>
        <v>4030.3999999999996</v>
      </c>
      <c r="P2" s="6">
        <f>N2-O2</f>
        <v>-5.0000000001091394E-3</v>
      </c>
      <c r="Q2" s="117">
        <f>SUM(Q4:Q29)</f>
        <v>-4.9999999998249223E-3</v>
      </c>
      <c r="R2" s="63">
        <f>-Q2</f>
        <v>4.9999999998249223E-3</v>
      </c>
    </row>
    <row r="3" spans="2:18" ht="17.25">
      <c r="B3" t="s">
        <v>931</v>
      </c>
      <c r="D3" s="383" t="s">
        <v>925</v>
      </c>
      <c r="E3" s="375" t="s">
        <v>172</v>
      </c>
      <c r="F3" s="383" t="s">
        <v>926</v>
      </c>
      <c r="G3" s="375" t="s">
        <v>172</v>
      </c>
      <c r="H3" s="383" t="s">
        <v>927</v>
      </c>
      <c r="I3" s="375" t="s">
        <v>172</v>
      </c>
      <c r="J3" s="383" t="s">
        <v>929</v>
      </c>
      <c r="K3" s="375" t="s">
        <v>172</v>
      </c>
      <c r="L3" s="375"/>
      <c r="M3" s="375" t="s">
        <v>5</v>
      </c>
      <c r="N3" s="375" t="s">
        <v>303</v>
      </c>
      <c r="O3" s="375" t="s">
        <v>930</v>
      </c>
      <c r="P3" s="375" t="s">
        <v>933</v>
      </c>
      <c r="Q3" s="376" t="s">
        <v>932</v>
      </c>
      <c r="R3" s="63"/>
    </row>
    <row r="4" spans="2:18">
      <c r="B4" s="105">
        <v>45292</v>
      </c>
      <c r="D4" s="63">
        <v>50</v>
      </c>
      <c r="F4" s="63">
        <v>43</v>
      </c>
      <c r="H4" s="63">
        <v>61</v>
      </c>
      <c r="J4" s="63">
        <v>106.3</v>
      </c>
      <c r="M4" s="63">
        <f>SUM(D4,F4,H4,J4)</f>
        <v>260.3</v>
      </c>
      <c r="N4" s="63">
        <f t="shared" ref="N4:N14" si="0">M4/2</f>
        <v>130.15</v>
      </c>
      <c r="O4" s="63">
        <f>Data!F433</f>
        <v>130</v>
      </c>
      <c r="Q4" s="63">
        <f>N4-O4</f>
        <v>0.15000000000000568</v>
      </c>
      <c r="R4" s="63">
        <f t="shared" ref="R4:R14" si="1">O4-N4</f>
        <v>-0.15000000000000568</v>
      </c>
    </row>
    <row r="5" spans="2:18">
      <c r="B5" s="105">
        <v>45323</v>
      </c>
      <c r="D5" s="63"/>
      <c r="F5" s="63"/>
      <c r="H5" s="63"/>
      <c r="J5" s="63"/>
      <c r="M5" s="63">
        <f t="shared" ref="M5:M20" si="2">SUM(D5,F5,H5,J5)</f>
        <v>0</v>
      </c>
      <c r="N5" s="63">
        <f t="shared" si="0"/>
        <v>0</v>
      </c>
      <c r="O5" s="63">
        <f>Data!F450</f>
        <v>99</v>
      </c>
      <c r="P5" s="374"/>
      <c r="Q5" s="63">
        <f>N5-O5</f>
        <v>-99</v>
      </c>
      <c r="R5" s="63">
        <f t="shared" si="1"/>
        <v>99</v>
      </c>
    </row>
    <row r="6" spans="2:18">
      <c r="B6" s="105">
        <v>45352</v>
      </c>
      <c r="D6" s="63">
        <v>53.5</v>
      </c>
      <c r="F6" s="63">
        <v>36.4</v>
      </c>
      <c r="H6" s="63">
        <v>72.069999999999993</v>
      </c>
      <c r="J6" s="63">
        <v>106.3</v>
      </c>
      <c r="M6" s="63">
        <f t="shared" si="2"/>
        <v>268.27</v>
      </c>
      <c r="N6" s="63">
        <f t="shared" si="0"/>
        <v>134.13499999999999</v>
      </c>
      <c r="O6" s="63">
        <f>Data!F467</f>
        <v>10</v>
      </c>
      <c r="P6" s="374"/>
      <c r="Q6" s="63">
        <f>N6-O6</f>
        <v>124.13499999999999</v>
      </c>
      <c r="R6" s="63">
        <f t="shared" si="1"/>
        <v>-124.13499999999999</v>
      </c>
    </row>
    <row r="7" spans="2:18">
      <c r="B7" s="105">
        <v>45383</v>
      </c>
      <c r="D7" s="63">
        <v>58.67</v>
      </c>
      <c r="F7" s="63">
        <v>37.08</v>
      </c>
      <c r="H7" s="63">
        <v>68.069999999999993</v>
      </c>
      <c r="J7" s="63">
        <v>106.3</v>
      </c>
      <c r="M7" s="63">
        <f t="shared" si="2"/>
        <v>270.12</v>
      </c>
      <c r="N7" s="63">
        <f t="shared" si="0"/>
        <v>135.06</v>
      </c>
      <c r="O7" s="63">
        <f>Data!F484</f>
        <v>30</v>
      </c>
      <c r="P7" s="374"/>
      <c r="Q7" s="63">
        <f>N7-O7</f>
        <v>105.06</v>
      </c>
      <c r="R7" s="63">
        <f t="shared" si="1"/>
        <v>-105.06</v>
      </c>
    </row>
    <row r="8" spans="2:18">
      <c r="B8" s="105">
        <v>45413</v>
      </c>
      <c r="D8" s="63">
        <v>67.11</v>
      </c>
      <c r="F8" s="63">
        <v>53.09</v>
      </c>
      <c r="H8" s="63">
        <v>63.42</v>
      </c>
      <c r="J8" s="63">
        <v>106.3</v>
      </c>
      <c r="M8" s="63">
        <f t="shared" si="2"/>
        <v>289.92</v>
      </c>
      <c r="N8" s="63">
        <f t="shared" si="0"/>
        <v>144.96</v>
      </c>
      <c r="O8" s="63">
        <f>Data!F501</f>
        <v>410</v>
      </c>
      <c r="P8" s="374"/>
      <c r="Q8" s="63">
        <f>N8-O8</f>
        <v>-265.03999999999996</v>
      </c>
      <c r="R8" s="63">
        <f t="shared" si="1"/>
        <v>265.03999999999996</v>
      </c>
    </row>
    <row r="9" spans="2:18">
      <c r="B9" s="105">
        <v>45444</v>
      </c>
      <c r="D9" s="63">
        <v>67.11</v>
      </c>
      <c r="F9" s="63">
        <v>53.09</v>
      </c>
      <c r="H9" s="63">
        <v>63.42</v>
      </c>
      <c r="J9" s="63">
        <v>106.3</v>
      </c>
      <c r="M9" s="63">
        <f t="shared" si="2"/>
        <v>289.92</v>
      </c>
      <c r="N9" s="63">
        <f t="shared" si="0"/>
        <v>144.96</v>
      </c>
      <c r="O9" s="63">
        <f>Data!F518</f>
        <v>170</v>
      </c>
      <c r="Q9" s="63">
        <f t="shared" ref="Q9:Q14" si="3">N9-O9</f>
        <v>-25.039999999999992</v>
      </c>
      <c r="R9" s="63">
        <f t="shared" si="1"/>
        <v>25.039999999999992</v>
      </c>
    </row>
    <row r="10" spans="2:18">
      <c r="B10" s="105">
        <v>45474</v>
      </c>
      <c r="D10" s="63">
        <v>67.11</v>
      </c>
      <c r="F10" s="63">
        <v>53.09</v>
      </c>
      <c r="H10" s="63">
        <v>63.42</v>
      </c>
      <c r="J10" s="63">
        <v>106.3</v>
      </c>
      <c r="M10" s="63">
        <f t="shared" si="2"/>
        <v>289.92</v>
      </c>
      <c r="N10" s="63">
        <f t="shared" si="0"/>
        <v>144.96</v>
      </c>
      <c r="O10" s="63">
        <f>Data!F535</f>
        <v>170</v>
      </c>
      <c r="Q10" s="63">
        <f t="shared" si="3"/>
        <v>-25.039999999999992</v>
      </c>
      <c r="R10" s="63">
        <f t="shared" si="1"/>
        <v>25.039999999999992</v>
      </c>
    </row>
    <row r="11" spans="2:18">
      <c r="B11" s="105">
        <v>45505</v>
      </c>
      <c r="D11" s="63">
        <v>67.11</v>
      </c>
      <c r="F11" s="63">
        <v>53.09</v>
      </c>
      <c r="H11" s="63">
        <v>63.42</v>
      </c>
      <c r="J11" s="63">
        <v>106.3</v>
      </c>
      <c r="M11" s="63">
        <f t="shared" si="2"/>
        <v>289.92</v>
      </c>
      <c r="N11" s="63">
        <f t="shared" si="0"/>
        <v>144.96</v>
      </c>
      <c r="O11" s="63">
        <f>Data!F552</f>
        <v>170</v>
      </c>
      <c r="Q11" s="63">
        <f t="shared" si="3"/>
        <v>-25.039999999999992</v>
      </c>
      <c r="R11" s="63">
        <f t="shared" si="1"/>
        <v>25.039999999999992</v>
      </c>
    </row>
    <row r="12" spans="2:18">
      <c r="B12" s="105">
        <v>45536</v>
      </c>
      <c r="D12" s="63">
        <v>67.11</v>
      </c>
      <c r="F12" s="63">
        <v>136.63</v>
      </c>
      <c r="H12" s="63">
        <v>63.42</v>
      </c>
      <c r="J12" s="63">
        <v>106.3</v>
      </c>
      <c r="M12" s="63">
        <f t="shared" si="2"/>
        <v>373.46000000000004</v>
      </c>
      <c r="N12" s="63">
        <f t="shared" si="0"/>
        <v>186.73000000000002</v>
      </c>
      <c r="O12" s="63">
        <f>Data!F569</f>
        <v>200</v>
      </c>
      <c r="P12" s="374">
        <v>45605</v>
      </c>
      <c r="Q12" s="63">
        <f t="shared" si="3"/>
        <v>-13.269999999999982</v>
      </c>
      <c r="R12" s="63">
        <f t="shared" si="1"/>
        <v>13.269999999999982</v>
      </c>
    </row>
    <row r="13" spans="2:18">
      <c r="B13" s="105">
        <v>45566</v>
      </c>
      <c r="D13" s="63">
        <v>70.400000000000006</v>
      </c>
      <c r="F13" s="63">
        <f>22.5+79.29</f>
        <v>101.79</v>
      </c>
      <c r="H13" s="63">
        <f>36.12+35.29</f>
        <v>71.41</v>
      </c>
      <c r="J13" s="63">
        <v>44.11</v>
      </c>
      <c r="M13" s="63">
        <f t="shared" si="2"/>
        <v>287.70999999999998</v>
      </c>
      <c r="N13" s="63">
        <f t="shared" si="0"/>
        <v>143.85499999999999</v>
      </c>
      <c r="O13" s="63">
        <f>Data!F586</f>
        <v>200</v>
      </c>
      <c r="P13" s="374">
        <v>45652</v>
      </c>
      <c r="Q13" s="63">
        <f t="shared" si="3"/>
        <v>-56.14500000000001</v>
      </c>
      <c r="R13" s="63">
        <f t="shared" si="1"/>
        <v>56.14500000000001</v>
      </c>
    </row>
    <row r="14" spans="2:18">
      <c r="B14" s="105">
        <v>45597</v>
      </c>
      <c r="D14" s="63">
        <v>75.55</v>
      </c>
      <c r="F14" s="63">
        <v>76.209999999999994</v>
      </c>
      <c r="H14" s="63">
        <v>81.11</v>
      </c>
      <c r="J14" s="63">
        <v>60</v>
      </c>
      <c r="M14" s="63">
        <f t="shared" si="2"/>
        <v>292.87</v>
      </c>
      <c r="N14" s="63">
        <f t="shared" si="0"/>
        <v>146.435</v>
      </c>
      <c r="O14" s="63">
        <f>Data!F603</f>
        <v>200</v>
      </c>
      <c r="P14" s="374">
        <v>45652</v>
      </c>
      <c r="Q14" s="63">
        <f t="shared" si="3"/>
        <v>-53.564999999999998</v>
      </c>
      <c r="R14" s="63">
        <f t="shared" si="1"/>
        <v>53.564999999999998</v>
      </c>
    </row>
    <row r="15" spans="2:18">
      <c r="B15" s="105">
        <v>45627</v>
      </c>
      <c r="D15" s="63">
        <v>72.540000000000006</v>
      </c>
      <c r="F15" s="63">
        <v>58.89</v>
      </c>
      <c r="H15" s="63">
        <v>73.37</v>
      </c>
      <c r="J15" s="63">
        <v>60</v>
      </c>
      <c r="M15" s="63">
        <f t="shared" si="2"/>
        <v>264.8</v>
      </c>
      <c r="N15" s="63">
        <f t="shared" ref="N15:N20" si="4">M15/2</f>
        <v>132.4</v>
      </c>
      <c r="O15" s="63"/>
      <c r="P15" s="374"/>
      <c r="Q15" s="63">
        <f t="shared" ref="Q15:Q29" si="5">N15-O15</f>
        <v>132.4</v>
      </c>
      <c r="R15" s="63">
        <f t="shared" ref="R15:R25" si="6">O15-N15</f>
        <v>-132.4</v>
      </c>
    </row>
    <row r="16" spans="2:18">
      <c r="B16" s="105">
        <v>45658</v>
      </c>
      <c r="D16" s="63">
        <v>81.87</v>
      </c>
      <c r="F16" s="63">
        <v>60.23</v>
      </c>
      <c r="H16" s="63">
        <v>79.37</v>
      </c>
      <c r="J16" s="63">
        <v>60</v>
      </c>
      <c r="M16" s="63">
        <f t="shared" si="2"/>
        <v>281.47000000000003</v>
      </c>
      <c r="N16" s="63">
        <f t="shared" si="4"/>
        <v>140.73500000000001</v>
      </c>
      <c r="O16" s="63">
        <v>75</v>
      </c>
      <c r="P16" s="374">
        <v>45716</v>
      </c>
      <c r="Q16" s="63">
        <f t="shared" si="5"/>
        <v>65.735000000000014</v>
      </c>
      <c r="R16" s="63">
        <f t="shared" si="6"/>
        <v>-65.735000000000014</v>
      </c>
    </row>
    <row r="17" spans="2:18">
      <c r="B17" s="105">
        <v>45689</v>
      </c>
      <c r="D17" s="63">
        <v>72.540000000000006</v>
      </c>
      <c r="F17" s="63">
        <v>59.05</v>
      </c>
      <c r="H17" s="63">
        <v>83.37</v>
      </c>
      <c r="J17" s="63">
        <v>60</v>
      </c>
      <c r="M17" s="63">
        <f t="shared" si="2"/>
        <v>274.96000000000004</v>
      </c>
      <c r="N17" s="63">
        <f t="shared" si="4"/>
        <v>137.48000000000002</v>
      </c>
      <c r="O17" s="63">
        <v>140</v>
      </c>
      <c r="P17" s="374">
        <v>45749</v>
      </c>
      <c r="Q17" s="63">
        <f t="shared" si="5"/>
        <v>-2.5199999999999818</v>
      </c>
      <c r="R17" s="63">
        <f t="shared" si="6"/>
        <v>2.5199999999999818</v>
      </c>
    </row>
    <row r="18" spans="2:18">
      <c r="B18" s="105">
        <v>45717</v>
      </c>
      <c r="D18" s="384">
        <v>81.87</v>
      </c>
      <c r="F18" s="63">
        <v>60.09</v>
      </c>
      <c r="H18" s="63">
        <v>87.37</v>
      </c>
      <c r="J18" s="63">
        <v>60</v>
      </c>
      <c r="M18" s="63">
        <f t="shared" si="2"/>
        <v>289.33000000000004</v>
      </c>
      <c r="N18" s="63">
        <f t="shared" si="4"/>
        <v>144.66500000000002</v>
      </c>
      <c r="O18" s="63">
        <v>120</v>
      </c>
      <c r="P18" s="374">
        <v>45777</v>
      </c>
      <c r="Q18" s="63">
        <f t="shared" si="5"/>
        <v>24.66500000000002</v>
      </c>
      <c r="R18" s="63">
        <f t="shared" si="6"/>
        <v>-24.66500000000002</v>
      </c>
    </row>
    <row r="19" spans="2:18">
      <c r="B19" s="105">
        <v>45748</v>
      </c>
      <c r="D19" s="384">
        <v>81.87</v>
      </c>
      <c r="F19" s="63">
        <v>57.58</v>
      </c>
      <c r="H19" s="384">
        <v>86.3</v>
      </c>
      <c r="J19" s="63">
        <v>60</v>
      </c>
      <c r="M19" s="63">
        <f t="shared" si="2"/>
        <v>285.75</v>
      </c>
      <c r="N19" s="63">
        <f t="shared" si="4"/>
        <v>142.875</v>
      </c>
      <c r="O19" s="63"/>
      <c r="P19" s="374"/>
      <c r="Q19" s="63">
        <f t="shared" si="5"/>
        <v>142.875</v>
      </c>
      <c r="R19" s="63">
        <f t="shared" si="6"/>
        <v>-142.875</v>
      </c>
    </row>
    <row r="20" spans="2:18">
      <c r="B20" s="105">
        <v>45778</v>
      </c>
      <c r="D20" s="384">
        <v>72.540000000000006</v>
      </c>
      <c r="F20" s="63">
        <v>70.41</v>
      </c>
      <c r="H20" s="384">
        <v>86.3</v>
      </c>
      <c r="J20" s="63">
        <v>60</v>
      </c>
      <c r="M20" s="63">
        <f t="shared" si="2"/>
        <v>289.25</v>
      </c>
      <c r="N20" s="63">
        <f t="shared" si="4"/>
        <v>144.625</v>
      </c>
      <c r="O20" s="63">
        <v>160</v>
      </c>
      <c r="P20" s="374">
        <v>45819</v>
      </c>
      <c r="Q20" s="63">
        <f>N20-O20</f>
        <v>-15.375</v>
      </c>
      <c r="R20" s="63">
        <f t="shared" si="6"/>
        <v>15.375</v>
      </c>
    </row>
    <row r="21" spans="2:18">
      <c r="B21" s="105">
        <v>45809</v>
      </c>
      <c r="D21" s="384">
        <v>73.05</v>
      </c>
      <c r="F21" s="63">
        <v>130.51</v>
      </c>
      <c r="H21" s="384">
        <v>82.3</v>
      </c>
      <c r="J21" s="63">
        <v>60</v>
      </c>
      <c r="M21" s="63">
        <f t="shared" ref="M21:M29" si="7">SUM(D21,F21,H21,J21)</f>
        <v>345.86</v>
      </c>
      <c r="N21" s="63">
        <f>M21/2</f>
        <v>172.93</v>
      </c>
      <c r="O21" s="63">
        <v>140</v>
      </c>
      <c r="P21" s="374">
        <v>45838</v>
      </c>
      <c r="Q21" s="63">
        <f t="shared" si="5"/>
        <v>32.930000000000007</v>
      </c>
      <c r="R21" s="63">
        <f t="shared" si="6"/>
        <v>-32.930000000000007</v>
      </c>
    </row>
    <row r="22" spans="2:18">
      <c r="B22" s="105">
        <v>45839</v>
      </c>
      <c r="D22" s="384">
        <v>73.05</v>
      </c>
      <c r="F22" s="384">
        <v>172.71</v>
      </c>
      <c r="H22" s="384">
        <v>82.3</v>
      </c>
      <c r="J22" s="63">
        <v>60</v>
      </c>
      <c r="M22" s="63">
        <f t="shared" si="7"/>
        <v>388.06</v>
      </c>
      <c r="N22" s="63">
        <f>M22/2</f>
        <v>194.03</v>
      </c>
      <c r="O22" s="63">
        <v>100</v>
      </c>
      <c r="P22" s="374">
        <v>45869</v>
      </c>
      <c r="Q22" s="63">
        <f t="shared" si="5"/>
        <v>94.03</v>
      </c>
      <c r="R22" s="63">
        <f t="shared" si="6"/>
        <v>-94.03</v>
      </c>
    </row>
    <row r="23" spans="2:18">
      <c r="B23" s="105">
        <v>45870</v>
      </c>
      <c r="D23" s="63"/>
      <c r="F23" s="63"/>
      <c r="H23" s="384"/>
      <c r="J23" s="63"/>
      <c r="M23" s="63">
        <f t="shared" si="7"/>
        <v>0</v>
      </c>
      <c r="N23" s="63">
        <f>M23/2</f>
        <v>0</v>
      </c>
      <c r="O23" s="63">
        <v>141.94999999999999</v>
      </c>
      <c r="P23" s="374">
        <v>45874</v>
      </c>
      <c r="Q23" s="63">
        <f t="shared" si="5"/>
        <v>-141.94999999999999</v>
      </c>
      <c r="R23" s="63">
        <f t="shared" si="6"/>
        <v>141.94999999999999</v>
      </c>
    </row>
    <row r="24" spans="2:18">
      <c r="B24" s="105">
        <v>45901</v>
      </c>
      <c r="D24" s="63"/>
      <c r="F24" s="63"/>
      <c r="H24" s="63"/>
      <c r="J24" s="63"/>
      <c r="M24" s="63">
        <f t="shared" si="7"/>
        <v>0</v>
      </c>
      <c r="N24" s="63">
        <f>M24/2</f>
        <v>0</v>
      </c>
      <c r="P24" t="s">
        <v>44</v>
      </c>
      <c r="Q24" s="63">
        <f t="shared" si="5"/>
        <v>0</v>
      </c>
      <c r="R24" s="63">
        <f t="shared" si="6"/>
        <v>0</v>
      </c>
    </row>
    <row r="25" spans="2:18">
      <c r="B25" s="105">
        <v>45931</v>
      </c>
      <c r="D25" s="63"/>
      <c r="F25" s="63"/>
      <c r="H25" s="63"/>
      <c r="J25" s="63">
        <v>98</v>
      </c>
      <c r="M25" s="63">
        <f>SUM(D25,F25,H25,J25)</f>
        <v>98</v>
      </c>
      <c r="N25" s="63">
        <f>M25</f>
        <v>98</v>
      </c>
      <c r="O25" s="63">
        <v>98</v>
      </c>
      <c r="Q25" s="63">
        <f t="shared" si="5"/>
        <v>0</v>
      </c>
      <c r="R25" s="63">
        <f t="shared" si="6"/>
        <v>0</v>
      </c>
    </row>
    <row r="26" spans="2:18">
      <c r="B26" s="105">
        <v>45962</v>
      </c>
      <c r="D26" s="63"/>
      <c r="F26" s="63">
        <f>22.5+39.07+20.59</f>
        <v>82.16</v>
      </c>
      <c r="H26" s="63">
        <v>153.69</v>
      </c>
      <c r="J26" s="63">
        <v>70</v>
      </c>
      <c r="M26" s="63">
        <f>SUM(D26,F26,H26,J26)</f>
        <v>305.85000000000002</v>
      </c>
      <c r="N26" s="63">
        <f>M26</f>
        <v>305.85000000000002</v>
      </c>
      <c r="O26" s="63">
        <f>70+153.69+82.16</f>
        <v>305.85000000000002</v>
      </c>
      <c r="Q26" s="63">
        <f t="shared" si="5"/>
        <v>0</v>
      </c>
      <c r="R26" s="63">
        <f>O26-N26</f>
        <v>0</v>
      </c>
    </row>
    <row r="27" spans="2:18">
      <c r="B27" s="105">
        <v>45992</v>
      </c>
      <c r="D27" s="63">
        <v>152.74</v>
      </c>
      <c r="F27" s="63">
        <v>39.83</v>
      </c>
      <c r="H27" s="63">
        <v>134.96</v>
      </c>
      <c r="J27" s="63">
        <v>70</v>
      </c>
      <c r="M27" s="63">
        <f t="shared" si="7"/>
        <v>397.53</v>
      </c>
      <c r="N27" s="63">
        <f>M27</f>
        <v>397.53</v>
      </c>
      <c r="O27" s="63">
        <f>134.96+70+152.74+39.83</f>
        <v>397.53000000000003</v>
      </c>
      <c r="Q27" s="63">
        <f t="shared" si="5"/>
        <v>0</v>
      </c>
      <c r="R27" s="63">
        <f>O27-N27</f>
        <v>0</v>
      </c>
    </row>
    <row r="28" spans="2:18">
      <c r="B28" s="105">
        <v>46023</v>
      </c>
      <c r="D28" s="63">
        <v>92.16</v>
      </c>
      <c r="F28" s="63">
        <v>46.52</v>
      </c>
      <c r="H28" s="63">
        <v>100.9</v>
      </c>
      <c r="J28" s="63">
        <v>70</v>
      </c>
      <c r="M28" s="63">
        <f t="shared" si="7"/>
        <v>309.58000000000004</v>
      </c>
      <c r="N28" s="63">
        <f>M28</f>
        <v>309.58000000000004</v>
      </c>
      <c r="O28">
        <v>309.58</v>
      </c>
      <c r="Q28" s="63">
        <f t="shared" si="5"/>
        <v>0</v>
      </c>
      <c r="R28" s="63">
        <f>O28-N28</f>
        <v>0</v>
      </c>
    </row>
    <row r="29" spans="2:18">
      <c r="B29" s="105">
        <v>46054</v>
      </c>
      <c r="D29" s="63">
        <v>81.92</v>
      </c>
      <c r="F29" s="63"/>
      <c r="H29" s="63">
        <v>101.57</v>
      </c>
      <c r="J29" s="63">
        <v>70</v>
      </c>
      <c r="M29" s="63">
        <f t="shared" si="7"/>
        <v>253.49</v>
      </c>
      <c r="N29" s="63">
        <f>M29</f>
        <v>253.49</v>
      </c>
      <c r="O29">
        <f>101.57+151.92</f>
        <v>253.48999999999998</v>
      </c>
      <c r="Q29" s="63">
        <f t="shared" si="5"/>
        <v>0</v>
      </c>
      <c r="R29" s="63">
        <f>O29-N29</f>
        <v>0</v>
      </c>
    </row>
    <row r="30" spans="2:18">
      <c r="D30" s="63"/>
      <c r="F30" s="63"/>
      <c r="H30" s="63"/>
      <c r="J30" s="63"/>
      <c r="Q30" s="63"/>
      <c r="R30" s="63"/>
    </row>
    <row r="31" spans="2:18">
      <c r="H31" s="63"/>
    </row>
  </sheetData>
  <conditionalFormatting sqref="D27">
    <cfRule type="colorScale" priority="14">
      <colorScale>
        <cfvo type="min"/>
        <cfvo type="percentile" val="50"/>
        <cfvo type="max"/>
        <color rgb="FFF8696B"/>
        <color rgb="FFFFEB84"/>
        <color rgb="FF63BE7B"/>
      </colorScale>
    </cfRule>
  </conditionalFormatting>
  <conditionalFormatting sqref="D28">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D29">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F26">
    <cfRule type="colorScale" priority="16">
      <colorScale>
        <cfvo type="min"/>
        <cfvo type="percentile" val="50"/>
        <cfvo type="max"/>
        <color rgb="FFF8696B"/>
        <color rgb="FFFFEB84"/>
        <color rgb="FF63BE7B"/>
      </colorScale>
    </cfRule>
  </conditionalFormatting>
  <conditionalFormatting sqref="F27">
    <cfRule type="colorScale" priority="13">
      <colorScale>
        <cfvo type="min"/>
        <cfvo type="percentile" val="50"/>
        <cfvo type="max"/>
        <color rgb="FFF8696B"/>
        <color rgb="FFFFEB84"/>
        <color rgb="FF63BE7B"/>
      </colorScale>
    </cfRule>
  </conditionalFormatting>
  <conditionalFormatting sqref="F28">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onditionalFormatting>
  <conditionalFormatting sqref="H26">
    <cfRule type="colorScale" priority="17">
      <colorScale>
        <cfvo type="min"/>
        <cfvo type="percentile" val="50"/>
        <cfvo type="max"/>
        <color rgb="FFF8696B"/>
        <color rgb="FFFFEB84"/>
        <color rgb="FF63BE7B"/>
      </colorScale>
    </cfRule>
  </conditionalFormatting>
  <conditionalFormatting sqref="H27">
    <cfRule type="colorScale" priority="21">
      <colorScale>
        <cfvo type="min"/>
        <cfvo type="percentile" val="50"/>
        <cfvo type="max"/>
        <color rgb="FFF8696B"/>
        <color rgb="FFFFEB84"/>
        <color rgb="FF63BE7B"/>
      </colorScale>
    </cfRule>
  </conditionalFormatting>
  <conditionalFormatting sqref="H28">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conditionalFormatting sqref="H29">
    <cfRule type="colorScale" priority="5">
      <colorScale>
        <cfvo type="min"/>
        <cfvo type="percentile" val="50"/>
        <cfvo type="max"/>
        <color rgb="FFF8696B"/>
        <color rgb="FFFFEB84"/>
        <color rgb="FF63BE7B"/>
      </colorScale>
    </cfRule>
  </conditionalFormatting>
  <conditionalFormatting sqref="H30">
    <cfRule type="colorScale" priority="6">
      <colorScale>
        <cfvo type="min"/>
        <cfvo type="percentile" val="50"/>
        <cfvo type="max"/>
        <color rgb="FFF8696B"/>
        <color rgb="FFFFEB84"/>
        <color rgb="FF63BE7B"/>
      </colorScale>
    </cfRule>
  </conditionalFormatting>
  <conditionalFormatting sqref="H31">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J25:J29">
    <cfRule type="colorScale" priority="18">
      <colorScale>
        <cfvo type="min"/>
        <cfvo type="percentile" val="50"/>
        <cfvo type="max"/>
        <color rgb="FFF8696B"/>
        <color rgb="FFFFEB84"/>
        <color rgb="FF63BE7B"/>
      </colorScale>
    </cfRule>
  </conditionalFormatting>
  <conditionalFormatting sqref="J26:J29">
    <cfRule type="colorScale" priority="15">
      <colorScale>
        <cfvo type="min"/>
        <cfvo type="percentile" val="50"/>
        <cfvo type="max"/>
        <color rgb="FFF8696B"/>
        <color rgb="FFFFEB84"/>
        <color rgb="FF63BE7B"/>
      </colorScale>
    </cfRule>
  </conditionalFormatting>
  <conditionalFormatting sqref="Q2:Q30">
    <cfRule type="colorScale" priority="1149">
      <colorScale>
        <cfvo type="min"/>
        <cfvo type="percentile" val="50"/>
        <cfvo type="max"/>
        <color rgb="FF63BE7B"/>
        <color rgb="FFFFEB84"/>
        <color rgb="FFF8696B"/>
      </colorScale>
    </cfRule>
  </conditionalFormatting>
  <conditionalFormatting sqref="R2:R30">
    <cfRule type="dataBar" priority="1152">
      <dataBar showValue="0">
        <cfvo type="min"/>
        <cfvo type="max"/>
        <color rgb="FF63C384"/>
      </dataBar>
      <extLst>
        <ext xmlns:x14="http://schemas.microsoft.com/office/spreadsheetml/2009/9/main" uri="{B025F937-C7B1-47D3-B67F-A62EFF666E3E}">
          <x14:id>{16AA6AC3-2953-423B-BF93-6E1BDAB9251F}</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16AA6AC3-2953-423B-BF93-6E1BDAB9251F}">
            <x14:dataBar minLength="0" maxLength="100" border="1" negativeBarBorderColorSameAsPositive="0">
              <x14:cfvo type="autoMin"/>
              <x14:cfvo type="autoMax"/>
              <x14:borderColor rgb="FF63C384"/>
              <x14:negativeFillColor rgb="FFFF0000"/>
              <x14:negativeBorderColor rgb="FFFF0000"/>
              <x14:axisColor rgb="FF000000"/>
            </x14:dataBar>
          </x14:cfRule>
          <xm:sqref>R2:R30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4128A-2FA6-4A07-969C-8913C7E97BC1}">
  <sheetPr codeName="Sheet7">
    <tabColor rgb="FFFFFF00"/>
  </sheetPr>
  <dimension ref="A1:AE131"/>
  <sheetViews>
    <sheetView zoomScale="80" zoomScaleNormal="80" workbookViewId="0">
      <selection activeCell="L6" sqref="L6:M6"/>
    </sheetView>
  </sheetViews>
  <sheetFormatPr defaultColWidth="8.85546875" defaultRowHeight="15"/>
  <cols>
    <col min="2" max="2" width="17.140625" customWidth="1"/>
    <col min="3" max="3" width="12" bestFit="1" customWidth="1"/>
    <col min="4" max="4" width="10.28515625" customWidth="1"/>
    <col min="5" max="5" width="11.42578125" customWidth="1"/>
    <col min="6" max="6" width="14.42578125" bestFit="1" customWidth="1"/>
    <col min="7" max="7" width="15" bestFit="1" customWidth="1"/>
    <col min="8" max="8" width="13.140625" bestFit="1" customWidth="1"/>
    <col min="9" max="9" width="13.42578125" bestFit="1" customWidth="1"/>
    <col min="10" max="10" width="10.28515625" customWidth="1"/>
    <col min="11" max="11" width="8.7109375" bestFit="1" customWidth="1"/>
    <col min="12" max="12" width="9.5703125" bestFit="1" customWidth="1"/>
    <col min="13" max="13" width="7" bestFit="1" customWidth="1"/>
    <col min="14" max="14" width="9.140625" bestFit="1" customWidth="1"/>
    <col min="15" max="15" width="16.7109375" bestFit="1" customWidth="1"/>
    <col min="16" max="16" width="9.5703125" bestFit="1" customWidth="1"/>
    <col min="17" max="18" width="9.28515625" bestFit="1" customWidth="1"/>
    <col min="19" max="19" width="14.140625" bestFit="1" customWidth="1"/>
    <col min="20" max="20" width="14.28515625" bestFit="1" customWidth="1"/>
    <col min="21" max="21" width="12.85546875" bestFit="1" customWidth="1"/>
    <col min="22" max="22" width="7.85546875" bestFit="1" customWidth="1"/>
    <col min="23" max="23" width="11.42578125" bestFit="1" customWidth="1"/>
    <col min="24" max="25" width="12.140625" bestFit="1" customWidth="1"/>
    <col min="26" max="26" width="11.42578125" bestFit="1" customWidth="1"/>
    <col min="28" max="28" width="8.85546875" customWidth="1"/>
    <col min="29" max="31" width="12.140625" bestFit="1" customWidth="1"/>
  </cols>
  <sheetData>
    <row r="1" spans="2:31" ht="15.75" thickBot="1"/>
    <row r="2" spans="2:31" ht="39" customHeight="1" thickBot="1">
      <c r="C2" s="540" t="s">
        <v>328</v>
      </c>
      <c r="D2" s="541"/>
      <c r="E2" s="541"/>
      <c r="F2" s="542"/>
      <c r="G2" s="154"/>
      <c r="H2" s="154"/>
      <c r="I2" s="154"/>
      <c r="J2" s="154"/>
      <c r="P2" s="1"/>
      <c r="Q2" s="121">
        <f>H5/C8</f>
        <v>1.3319711253452575</v>
      </c>
      <c r="S2" t="s">
        <v>394</v>
      </c>
    </row>
    <row r="3" spans="2:31" ht="15.75" thickTop="1">
      <c r="C3" s="543" t="s">
        <v>329</v>
      </c>
      <c r="D3" s="544"/>
      <c r="E3" s="537"/>
      <c r="F3" s="342" t="e" vm="1">
        <v>#VALUE!</v>
      </c>
      <c r="P3" s="63"/>
      <c r="Q3" t="s">
        <v>395</v>
      </c>
    </row>
    <row r="4" spans="2:31" ht="15.75" thickBot="1">
      <c r="C4" s="339" t="s">
        <v>331</v>
      </c>
      <c r="D4" s="340" t="s">
        <v>332</v>
      </c>
      <c r="E4" s="340" t="s">
        <v>333</v>
      </c>
      <c r="F4" s="341" t="s">
        <v>334</v>
      </c>
      <c r="I4" s="119"/>
    </row>
    <row r="5" spans="2:31" ht="18.75" thickTop="1" thickBot="1">
      <c r="B5" s="159" t="s">
        <v>382</v>
      </c>
      <c r="C5" s="160">
        <f>SUM(C17:C115)</f>
        <v>1145.5500000000002</v>
      </c>
      <c r="D5" s="161">
        <f>SUM(D17:D115)</f>
        <v>26.550000000000008</v>
      </c>
      <c r="E5" s="161">
        <f>SUM(E17:E115)</f>
        <v>1119</v>
      </c>
      <c r="F5" s="162">
        <f>SUM(F17:F115)</f>
        <v>2.1112899999999997E-2</v>
      </c>
      <c r="G5" s="163" t="s">
        <v>335</v>
      </c>
      <c r="H5" s="164">
        <f>C8-C7</f>
        <v>204.54757292363627</v>
      </c>
      <c r="I5" s="305">
        <f>(E6+C8)/C5</f>
        <v>1.1785583980826995</v>
      </c>
      <c r="J5" s="545" t="s">
        <v>336</v>
      </c>
      <c r="K5" s="546"/>
      <c r="L5" s="547">
        <v>69774.710000000006</v>
      </c>
      <c r="M5" s="548"/>
      <c r="O5" t="s">
        <v>425</v>
      </c>
      <c r="P5" s="301">
        <f>C5-T13</f>
        <v>-35.306860045109261</v>
      </c>
      <c r="Q5" s="6">
        <f>C8-C7</f>
        <v>204.54757292363627</v>
      </c>
      <c r="R5" s="302">
        <f>Q5/C5</f>
        <v>0.17855839808269935</v>
      </c>
      <c r="S5" s="119" t="s">
        <v>410</v>
      </c>
    </row>
    <row r="6" spans="2:31" ht="16.5" thickTop="1" thickBot="1">
      <c r="B6" s="166" t="s">
        <v>383</v>
      </c>
      <c r="C6" s="167">
        <f>SUM(P17:P115)</f>
        <v>1224.69</v>
      </c>
      <c r="D6" s="168">
        <f>SUM(Q17:Q115)</f>
        <v>28.159999999999997</v>
      </c>
      <c r="E6" s="169">
        <f>SUM(R17:R115)</f>
        <v>1196.5299999999997</v>
      </c>
      <c r="F6" s="170">
        <f>SUM(S17:S115)</f>
        <v>1.8860196363636363E-2</v>
      </c>
      <c r="G6" s="171" t="s">
        <v>337</v>
      </c>
      <c r="H6" s="172">
        <f>C8+E6</f>
        <v>1350.0975729236366</v>
      </c>
      <c r="I6" s="303">
        <f>H6/C5</f>
        <v>1.1785583980826995</v>
      </c>
      <c r="J6" s="549" t="s">
        <v>338</v>
      </c>
      <c r="K6" s="550"/>
      <c r="L6" s="551">
        <v>0</v>
      </c>
      <c r="M6" s="552"/>
      <c r="O6" t="s">
        <v>426</v>
      </c>
      <c r="P6" s="6">
        <f>C7+Q8</f>
        <v>-8153.6799999999994</v>
      </c>
      <c r="Q6" s="6">
        <f>E6-T13</f>
        <v>15.673139954890303</v>
      </c>
      <c r="R6" s="302">
        <f>Q6/T13</f>
        <v>1.3272684001930242E-2</v>
      </c>
      <c r="S6" s="119" t="s">
        <v>380</v>
      </c>
    </row>
    <row r="7" spans="2:31" ht="18.75" thickTop="1" thickBot="1">
      <c r="B7" s="174" t="s">
        <v>12</v>
      </c>
      <c r="C7" s="175">
        <f>C5-E6</f>
        <v>-50.979999999999563</v>
      </c>
      <c r="D7" s="161">
        <f>D6+D5</f>
        <v>54.710000000000008</v>
      </c>
      <c r="E7" s="161">
        <f>E5-C6</f>
        <v>-105.69000000000005</v>
      </c>
      <c r="F7" s="162">
        <f>F5-F6</f>
        <v>2.2527036363636337E-3</v>
      </c>
      <c r="G7" s="171" t="s">
        <v>339</v>
      </c>
      <c r="H7" s="172">
        <f>C5+H5</f>
        <v>1350.0975729236366</v>
      </c>
      <c r="I7" s="303">
        <f>H7/C5</f>
        <v>1.1785583980826995</v>
      </c>
      <c r="J7" s="549" t="s">
        <v>340</v>
      </c>
      <c r="K7" s="550"/>
      <c r="L7" s="551">
        <v>42000</v>
      </c>
      <c r="M7" s="552"/>
      <c r="O7" t="s">
        <v>422</v>
      </c>
      <c r="P7" s="301">
        <f>P6-P5</f>
        <v>-8118.3731399548906</v>
      </c>
      <c r="Q7" s="6">
        <f>C8-P5</f>
        <v>188.87443296874596</v>
      </c>
      <c r="R7" s="302">
        <f>Q7/P5</f>
        <v>-5.3495109088554882</v>
      </c>
      <c r="S7" s="119" t="s">
        <v>381</v>
      </c>
      <c r="T7" s="220"/>
    </row>
    <row r="8" spans="2:31" ht="16.5" thickTop="1" thickBot="1">
      <c r="B8" s="179" t="s">
        <v>343</v>
      </c>
      <c r="C8" s="180">
        <f>C9-(C9*E8)</f>
        <v>153.5675729236367</v>
      </c>
      <c r="D8" s="181">
        <f>D5/C5</f>
        <v>2.3176640041901272E-2</v>
      </c>
      <c r="E8" s="182">
        <f>D6/C6</f>
        <v>2.2993573884003294E-2</v>
      </c>
      <c r="F8" s="183" t="s">
        <v>341</v>
      </c>
      <c r="G8" s="576" t="s">
        <v>396</v>
      </c>
      <c r="H8" s="577"/>
      <c r="I8" s="304">
        <f>T12/G12</f>
        <v>1.159491408637108</v>
      </c>
      <c r="J8" s="568" t="s">
        <v>342</v>
      </c>
      <c r="K8" s="569"/>
      <c r="L8" s="570">
        <v>45000</v>
      </c>
      <c r="M8" s="571"/>
      <c r="O8" s="63" t="s">
        <v>421</v>
      </c>
      <c r="P8" s="63">
        <f>Q7+Q8</f>
        <v>-7913.8255670312537</v>
      </c>
      <c r="Q8" s="6">
        <f>'Calculation Definitions'!L18</f>
        <v>-8102.7</v>
      </c>
      <c r="R8" s="119" t="s">
        <v>418</v>
      </c>
      <c r="T8" s="63"/>
      <c r="AA8" s="130"/>
      <c r="AB8" s="130"/>
    </row>
    <row r="9" spans="2:31" ht="15.75" thickBot="1">
      <c r="B9" s="185" t="s">
        <v>182</v>
      </c>
      <c r="C9" s="186">
        <f>L5*F7</f>
        <v>157.18174294321801</v>
      </c>
      <c r="D9" s="187">
        <f>C7+(C7*E8)</f>
        <v>-52.152212396606039</v>
      </c>
      <c r="E9" s="188" t="s">
        <v>344</v>
      </c>
      <c r="F9" s="162"/>
      <c r="H9" s="121"/>
      <c r="I9" s="118">
        <f>V12/M14</f>
        <v>0.93729927441169192</v>
      </c>
      <c r="O9" s="121"/>
      <c r="R9" s="119"/>
      <c r="T9" s="25"/>
      <c r="X9" s="63"/>
    </row>
    <row r="10" spans="2:31" ht="18" thickBot="1">
      <c r="B10" s="189"/>
      <c r="C10" s="190"/>
      <c r="D10" s="191"/>
      <c r="E10" s="192"/>
      <c r="F10" s="162"/>
      <c r="G10" s="25"/>
      <c r="H10" s="25"/>
      <c r="I10" s="184"/>
      <c r="R10" s="119"/>
      <c r="T10" s="25"/>
      <c r="X10" s="63"/>
    </row>
    <row r="11" spans="2:31" ht="15.75" thickBot="1">
      <c r="B11" s="192"/>
      <c r="C11" s="193" t="s">
        <v>345</v>
      </c>
      <c r="D11" s="194" t="s">
        <v>332</v>
      </c>
      <c r="E11" s="194" t="s">
        <v>346</v>
      </c>
      <c r="F11" s="194" t="s">
        <v>347</v>
      </c>
      <c r="G11" s="194" t="s">
        <v>348</v>
      </c>
      <c r="H11" s="194" t="s">
        <v>349</v>
      </c>
      <c r="I11" s="572" t="s">
        <v>350</v>
      </c>
      <c r="J11" s="573"/>
      <c r="K11" s="194" t="s">
        <v>351</v>
      </c>
      <c r="L11" s="194" t="s">
        <v>352</v>
      </c>
      <c r="M11" s="195" t="s">
        <v>353</v>
      </c>
      <c r="N11" s="192"/>
      <c r="O11" s="192"/>
      <c r="P11" s="193" t="s">
        <v>354</v>
      </c>
      <c r="Q11" s="194" t="s">
        <v>332</v>
      </c>
      <c r="R11" s="194" t="s">
        <v>355</v>
      </c>
      <c r="S11" s="194" t="s">
        <v>356</v>
      </c>
      <c r="T11" s="194" t="s">
        <v>348</v>
      </c>
      <c r="U11" s="196" t="s">
        <v>349</v>
      </c>
      <c r="V11" s="195" t="s">
        <v>353</v>
      </c>
      <c r="X11" s="63"/>
    </row>
    <row r="12" spans="2:31" ht="15.75" thickTop="1">
      <c r="B12" s="179" t="s">
        <v>357</v>
      </c>
      <c r="C12" s="197">
        <f>AVERAGE(C17:C115)</f>
        <v>12.451630434782611</v>
      </c>
      <c r="D12" s="198">
        <f>AVERAGE(D17:D115)</f>
        <v>0.28858695652173921</v>
      </c>
      <c r="E12" s="198">
        <f>AVERAGE(E17:E115)</f>
        <v>12.163043478260869</v>
      </c>
      <c r="F12" s="199">
        <f>AVERAGE(F17:F115)</f>
        <v>2.2948804347826084E-4</v>
      </c>
      <c r="G12" s="202">
        <f>SUMPRODUCT(G17:G114,E17:E114)/SUM(E17:E114)</f>
        <v>62622.45589052725</v>
      </c>
      <c r="H12" s="201">
        <f>AVERAGE(H17:H115)</f>
        <v>2.2752607736204383E-4</v>
      </c>
      <c r="I12" s="202">
        <f>SUMPRODUCT(I17:I114,E17:E114)/SUM(E17:E114)</f>
        <v>65570.749110902601</v>
      </c>
      <c r="J12" s="203">
        <f>AVERAGE(J17:J115)</f>
        <v>12.74021739130435</v>
      </c>
      <c r="K12" s="204">
        <f>AVERAGE(K17:K115)</f>
        <v>1.4390168814072246</v>
      </c>
      <c r="L12" s="205">
        <f>AVERAGE(L17:L115)</f>
        <v>16.012461682163043</v>
      </c>
      <c r="M12" s="206">
        <f>AVERAGE(M17:M115)</f>
        <v>1.4768878010074022</v>
      </c>
      <c r="N12" s="192"/>
      <c r="O12" s="179" t="s">
        <v>357</v>
      </c>
      <c r="P12" s="207">
        <f>AVERAGE(P17:P115)</f>
        <v>25.514375000000001</v>
      </c>
      <c r="Q12" s="205">
        <f>AVERAGE(Q17:Q115)</f>
        <v>0.58666666666666656</v>
      </c>
      <c r="R12" s="205">
        <f>AVERAGE(R17:R115)</f>
        <v>24.927708333333328</v>
      </c>
      <c r="S12" s="199">
        <f>AVERAGE(S17:S115)</f>
        <v>3.9292075757575755E-4</v>
      </c>
      <c r="T12" s="205">
        <f>SUMPRODUCT(T17:T114,R17:R114)/SUM(R17:R114)</f>
        <v>72610.199592822595</v>
      </c>
      <c r="U12" s="209">
        <f>AVERAGE(U17:U115)</f>
        <v>3.9292089867349863E-4</v>
      </c>
      <c r="V12" s="206">
        <f>AVERAGE(V17:V115)</f>
        <v>0.95902272230626684</v>
      </c>
    </row>
    <row r="13" spans="2:31" ht="15.75" thickBot="1">
      <c r="B13" s="185" t="s">
        <v>358</v>
      </c>
      <c r="C13" s="210">
        <f>SUM(C17:C115)</f>
        <v>1145.5500000000002</v>
      </c>
      <c r="D13" s="211">
        <f>SUM(D17:D115)</f>
        <v>26.550000000000008</v>
      </c>
      <c r="E13" s="211">
        <f>SUM(E17:E115)</f>
        <v>1119</v>
      </c>
      <c r="F13" s="212">
        <f>SUM(F17:F115)</f>
        <v>2.1112899999999997E-2</v>
      </c>
      <c r="G13" s="212"/>
      <c r="H13" s="212">
        <f>SUM(H17:H115)</f>
        <v>2.0932399117308032E-2</v>
      </c>
      <c r="I13" s="213"/>
      <c r="J13" s="214">
        <f>SUM(J17:J114)</f>
        <v>1172.1000000000001</v>
      </c>
      <c r="K13" s="215"/>
      <c r="L13" s="216">
        <f>SUM(L17:L115)</f>
        <v>1473.1464747590001</v>
      </c>
      <c r="M13" s="217">
        <f>L13/J13</f>
        <v>1.2568436778082075</v>
      </c>
      <c r="N13" s="192"/>
      <c r="O13" s="185" t="s">
        <v>359</v>
      </c>
      <c r="P13" s="216">
        <f>SUM(P17:P115)</f>
        <v>1224.69</v>
      </c>
      <c r="Q13" s="216">
        <f>SUM(Q17:Q115)</f>
        <v>28.159999999999997</v>
      </c>
      <c r="R13" s="216">
        <f>SUM(R17:R115)</f>
        <v>1196.5299999999997</v>
      </c>
      <c r="S13" s="218">
        <f>SUM(S17:S115)</f>
        <v>1.8860196363636363E-2</v>
      </c>
      <c r="T13" s="6">
        <f>SUM(S17:S114)*SUMPRODUCT(G17:G114,C17:C114)/SUM(C17:C114)</f>
        <v>1180.8568600451094</v>
      </c>
      <c r="U13" s="219">
        <f>SUM(U17:U115)</f>
        <v>1.8860203136327934E-2</v>
      </c>
      <c r="V13" s="217"/>
    </row>
    <row r="14" spans="2:31" ht="15.75" thickBot="1">
      <c r="B14" s="192"/>
      <c r="C14" s="192"/>
      <c r="D14" s="192"/>
      <c r="E14" s="192"/>
      <c r="F14" s="192"/>
      <c r="G14" s="220"/>
      <c r="H14" s="220"/>
      <c r="I14" s="220"/>
      <c r="J14" s="221"/>
      <c r="K14" s="192"/>
      <c r="L14" s="221"/>
      <c r="M14" s="222">
        <f>J13/C13</f>
        <v>1.0231766400419011</v>
      </c>
      <c r="N14" s="192"/>
      <c r="O14" s="189"/>
      <c r="P14" s="221"/>
      <c r="Q14" s="221"/>
      <c r="R14" s="221"/>
      <c r="S14" s="220"/>
      <c r="T14" s="192" t="s">
        <v>424</v>
      </c>
      <c r="U14" s="220"/>
      <c r="V14" s="192"/>
      <c r="X14" s="6"/>
    </row>
    <row r="15" spans="2:31" ht="15.75" thickBot="1">
      <c r="S15" s="63"/>
      <c r="X15" s="6"/>
    </row>
    <row r="16" spans="2:31" ht="15.75" thickBot="1">
      <c r="B16" s="223" t="s">
        <v>360</v>
      </c>
      <c r="C16" s="95" t="s">
        <v>345</v>
      </c>
      <c r="D16" s="95" t="s">
        <v>332</v>
      </c>
      <c r="E16" s="95" t="s">
        <v>346</v>
      </c>
      <c r="F16" s="224" t="s">
        <v>347</v>
      </c>
      <c r="G16" s="224" t="s">
        <v>348</v>
      </c>
      <c r="H16" s="95" t="s">
        <v>349</v>
      </c>
      <c r="I16" s="574" t="s">
        <v>361</v>
      </c>
      <c r="J16" s="575"/>
      <c r="K16" s="95" t="s">
        <v>351</v>
      </c>
      <c r="L16" s="95" t="s">
        <v>352</v>
      </c>
      <c r="M16" s="4" t="s">
        <v>353</v>
      </c>
      <c r="O16" s="223" t="s">
        <v>360</v>
      </c>
      <c r="P16" s="95" t="s">
        <v>354</v>
      </c>
      <c r="Q16" s="95" t="s">
        <v>332</v>
      </c>
      <c r="R16" s="95" t="s">
        <v>355</v>
      </c>
      <c r="S16" s="95" t="s">
        <v>356</v>
      </c>
      <c r="T16" s="95" t="s">
        <v>348</v>
      </c>
      <c r="U16" s="51" t="s">
        <v>349</v>
      </c>
      <c r="V16" s="4" t="s">
        <v>353</v>
      </c>
      <c r="W16" s="1"/>
      <c r="X16" s="6"/>
      <c r="AC16" s="6"/>
      <c r="AD16" s="6"/>
      <c r="AE16" s="6"/>
    </row>
    <row r="17" spans="1:29" ht="15.75" thickTop="1">
      <c r="A17" s="105"/>
      <c r="B17" s="225">
        <v>44307.839583333334</v>
      </c>
      <c r="C17" s="226">
        <v>1</v>
      </c>
      <c r="D17" s="226">
        <v>0.03</v>
      </c>
      <c r="E17" s="226">
        <v>0.97</v>
      </c>
      <c r="F17" s="220">
        <v>1.785E-5</v>
      </c>
      <c r="G17" s="227">
        <v>54341.74</v>
      </c>
      <c r="H17" s="228">
        <f t="shared" ref="H17:H37" si="0">E17/G17</f>
        <v>1.7849998914278417E-5</v>
      </c>
      <c r="I17" s="229">
        <f>G17+((J17-E17)/E17)*G17</f>
        <v>57703.084742268045</v>
      </c>
      <c r="J17" s="230">
        <f t="shared" ref="J17:J80" si="1">C17+D17</f>
        <v>1.03</v>
      </c>
      <c r="K17" s="231">
        <f t="shared" ref="K17:K80" si="2">L17/J17</f>
        <v>1.2092024985436893</v>
      </c>
      <c r="L17" s="226">
        <f t="shared" ref="L17:L48" si="3">F17*$L$5</f>
        <v>1.2454785735</v>
      </c>
      <c r="M17" s="232">
        <f>L17/C17</f>
        <v>1.2454785735</v>
      </c>
      <c r="N17" s="192"/>
      <c r="O17" s="225">
        <v>44311.857638888891</v>
      </c>
      <c r="P17" s="226">
        <v>1</v>
      </c>
      <c r="Q17" s="226">
        <v>0.03</v>
      </c>
      <c r="R17" s="226">
        <v>0.97</v>
      </c>
      <c r="S17" s="220">
        <v>1.9470000000000002E-5</v>
      </c>
      <c r="T17" s="226">
        <v>51361.07</v>
      </c>
      <c r="U17" s="233">
        <f t="shared" ref="U17:U46" si="4">P17/T17</f>
        <v>1.9469999359437021E-5</v>
      </c>
      <c r="V17" s="232">
        <f>R17/(S17*$I$12)</f>
        <v>0.75979361127400158</v>
      </c>
      <c r="W17" s="6"/>
      <c r="AB17" s="6"/>
      <c r="AC17" s="6"/>
    </row>
    <row r="18" spans="1:29">
      <c r="B18" s="225">
        <v>44307.84375</v>
      </c>
      <c r="C18" s="226">
        <v>1</v>
      </c>
      <c r="D18" s="226">
        <v>0.03</v>
      </c>
      <c r="E18" s="226">
        <v>0.97</v>
      </c>
      <c r="F18" s="220">
        <v>1.7790000000000001E-5</v>
      </c>
      <c r="G18" s="226">
        <v>54525.01</v>
      </c>
      <c r="H18" s="220">
        <f t="shared" si="0"/>
        <v>1.7790001322328962E-5</v>
      </c>
      <c r="I18" s="234">
        <f>G18+((J18-E18)/E18)*G18</f>
        <v>57897.691030927839</v>
      </c>
      <c r="J18" s="230">
        <f>C18+D18</f>
        <v>1.03</v>
      </c>
      <c r="K18" s="231">
        <f>L18/J18</f>
        <v>1.2051379523300974</v>
      </c>
      <c r="L18" s="226">
        <f t="shared" si="3"/>
        <v>1.2412920909000003</v>
      </c>
      <c r="M18" s="232">
        <f t="shared" ref="M18:M80" si="5">L18/C18</f>
        <v>1.2412920909000003</v>
      </c>
      <c r="N18" s="192"/>
      <c r="O18" s="225">
        <v>44316.776388888888</v>
      </c>
      <c r="P18" s="226">
        <v>1.03</v>
      </c>
      <c r="Q18" s="226">
        <v>0.03</v>
      </c>
      <c r="R18" s="226">
        <v>1</v>
      </c>
      <c r="S18" s="220">
        <v>1.7839999999999999E-5</v>
      </c>
      <c r="T18" s="226">
        <v>57735.43</v>
      </c>
      <c r="U18" s="233">
        <f t="shared" si="4"/>
        <v>1.7839998766788434E-5</v>
      </c>
      <c r="V18" s="232">
        <f>R18/(S18*$I$12)</f>
        <v>0.85486001638301612</v>
      </c>
      <c r="W18" s="6"/>
      <c r="AB18" s="6"/>
      <c r="AC18" s="6"/>
    </row>
    <row r="19" spans="1:29">
      <c r="B19" s="225">
        <v>44307.853472222225</v>
      </c>
      <c r="C19" s="226">
        <v>1</v>
      </c>
      <c r="D19" s="226">
        <v>0.03</v>
      </c>
      <c r="E19" s="226">
        <v>0.97</v>
      </c>
      <c r="F19" s="220">
        <v>1.7799999999999999E-5</v>
      </c>
      <c r="G19" s="226">
        <v>54494.38</v>
      </c>
      <c r="H19" s="220">
        <f t="shared" si="0"/>
        <v>1.7800000660618582E-5</v>
      </c>
      <c r="I19" s="234">
        <f>G19+((J19-E19)/E19)*G19</f>
        <v>57865.16639175258</v>
      </c>
      <c r="J19" s="230">
        <f t="shared" si="1"/>
        <v>1.03</v>
      </c>
      <c r="K19" s="231">
        <f t="shared" si="2"/>
        <v>1.2058153766990292</v>
      </c>
      <c r="L19" s="226">
        <f t="shared" si="3"/>
        <v>1.2419898380000001</v>
      </c>
      <c r="M19" s="232">
        <f t="shared" si="5"/>
        <v>1.2419898380000001</v>
      </c>
      <c r="N19" s="192"/>
      <c r="O19" s="225">
        <v>44318.863194444442</v>
      </c>
      <c r="P19" s="226">
        <v>1.03</v>
      </c>
      <c r="Q19" s="226">
        <v>0.03</v>
      </c>
      <c r="R19" s="226">
        <v>1</v>
      </c>
      <c r="S19" s="220">
        <v>1.7689999999999998E-5</v>
      </c>
      <c r="T19" s="226">
        <v>58224.99</v>
      </c>
      <c r="U19" s="233">
        <f t="shared" si="4"/>
        <v>1.7689998744525331E-5</v>
      </c>
      <c r="V19" s="232">
        <f t="shared" ref="V19:V45" si="6">R19/(S19*$I$12)</f>
        <v>0.86210868808778995</v>
      </c>
      <c r="W19" s="6"/>
      <c r="AB19" s="6"/>
      <c r="AC19" s="6"/>
    </row>
    <row r="20" spans="1:29">
      <c r="B20" s="225">
        <v>44307.857638888891</v>
      </c>
      <c r="C20" s="226">
        <v>1</v>
      </c>
      <c r="D20" s="226">
        <v>0.03</v>
      </c>
      <c r="E20" s="226">
        <v>0.97</v>
      </c>
      <c r="F20" s="220">
        <v>1.7839999999999999E-5</v>
      </c>
      <c r="G20" s="226">
        <v>54372.2</v>
      </c>
      <c r="H20" s="220">
        <f t="shared" si="0"/>
        <v>1.7839999117195922E-5</v>
      </c>
      <c r="I20" s="234">
        <f t="shared" ref="I20:I83" si="7">G20+((J20-E20)/E20)*G20</f>
        <v>57735.428865979382</v>
      </c>
      <c r="J20" s="230">
        <f t="shared" si="1"/>
        <v>1.03</v>
      </c>
      <c r="K20" s="231">
        <f t="shared" si="2"/>
        <v>1.2085250741747573</v>
      </c>
      <c r="L20" s="226">
        <f t="shared" si="3"/>
        <v>1.2447808264</v>
      </c>
      <c r="M20" s="232">
        <f t="shared" si="5"/>
        <v>1.2447808264</v>
      </c>
      <c r="N20" s="192"/>
      <c r="O20" s="225">
        <v>44323.973611111112</v>
      </c>
      <c r="P20" s="226">
        <v>1.03</v>
      </c>
      <c r="Q20" s="226">
        <v>0.03</v>
      </c>
      <c r="R20" s="226">
        <v>1</v>
      </c>
      <c r="S20" s="220">
        <v>1.7569999999999999E-5</v>
      </c>
      <c r="T20" s="226">
        <v>58622.65</v>
      </c>
      <c r="U20" s="233">
        <f t="shared" si="4"/>
        <v>1.7570000673800997E-5</v>
      </c>
      <c r="V20" s="232">
        <f t="shared" si="6"/>
        <v>0.86799673831946522</v>
      </c>
      <c r="W20" s="6"/>
      <c r="AB20" s="6"/>
      <c r="AC20" s="6"/>
    </row>
    <row r="21" spans="1:29">
      <c r="B21" s="225">
        <v>44307.87222222222</v>
      </c>
      <c r="C21" s="226">
        <v>1</v>
      </c>
      <c r="D21" s="226">
        <v>0.03</v>
      </c>
      <c r="E21" s="226">
        <v>0.97</v>
      </c>
      <c r="F21" s="220">
        <v>1.7900000000000001E-5</v>
      </c>
      <c r="G21" s="226">
        <v>54189.94</v>
      </c>
      <c r="H21" s="220">
        <f t="shared" si="0"/>
        <v>1.7900001365567112E-5</v>
      </c>
      <c r="I21" s="234">
        <f t="shared" si="7"/>
        <v>57541.895051546395</v>
      </c>
      <c r="J21" s="230">
        <f t="shared" si="1"/>
        <v>1.03</v>
      </c>
      <c r="K21" s="231">
        <f t="shared" si="2"/>
        <v>1.2125896203883497</v>
      </c>
      <c r="L21" s="226">
        <f t="shared" si="3"/>
        <v>1.2489673090000002</v>
      </c>
      <c r="M21" s="232">
        <f t="shared" si="5"/>
        <v>1.2489673090000002</v>
      </c>
      <c r="N21" s="192"/>
      <c r="O21" s="225">
        <v>44324.543749999997</v>
      </c>
      <c r="P21" s="226">
        <v>1.03</v>
      </c>
      <c r="Q21" s="226">
        <v>0.03</v>
      </c>
      <c r="R21" s="226">
        <v>1</v>
      </c>
      <c r="S21" s="220">
        <v>1.7419999999999999E-5</v>
      </c>
      <c r="T21" s="226">
        <v>59127.44</v>
      </c>
      <c r="U21" s="233">
        <f t="shared" si="4"/>
        <v>1.7419999918819416E-5</v>
      </c>
      <c r="V21" s="232">
        <f t="shared" si="6"/>
        <v>0.87547087785723343</v>
      </c>
      <c r="W21" s="6"/>
      <c r="AB21" s="6"/>
      <c r="AC21" s="6"/>
    </row>
    <row r="22" spans="1:29">
      <c r="B22" s="225">
        <v>44307.883333333331</v>
      </c>
      <c r="C22" s="226">
        <v>1</v>
      </c>
      <c r="D22" s="226">
        <v>0.03</v>
      </c>
      <c r="E22" s="226">
        <v>0.97</v>
      </c>
      <c r="F22" s="220">
        <v>1.84E-5</v>
      </c>
      <c r="G22" s="226">
        <v>52717.39</v>
      </c>
      <c r="H22" s="220">
        <f t="shared" si="0"/>
        <v>1.8400000455257742E-5</v>
      </c>
      <c r="I22" s="234">
        <f t="shared" si="7"/>
        <v>55978.259484536087</v>
      </c>
      <c r="J22" s="230">
        <f t="shared" si="1"/>
        <v>1.03</v>
      </c>
      <c r="K22" s="231">
        <f t="shared" si="2"/>
        <v>1.2464608388349516</v>
      </c>
      <c r="L22" s="226">
        <f t="shared" si="3"/>
        <v>1.2838546640000001</v>
      </c>
      <c r="M22" s="232">
        <f t="shared" si="5"/>
        <v>1.2838546640000001</v>
      </c>
      <c r="N22" s="192"/>
      <c r="O22" s="225">
        <v>44324.644444444442</v>
      </c>
      <c r="P22" s="226">
        <v>1.03</v>
      </c>
      <c r="Q22" s="226">
        <v>0.03</v>
      </c>
      <c r="R22" s="226">
        <v>1</v>
      </c>
      <c r="S22" s="220">
        <v>1.7309999999999999E-5</v>
      </c>
      <c r="T22" s="226">
        <v>59503.18</v>
      </c>
      <c r="U22" s="233">
        <f t="shared" si="4"/>
        <v>1.7309999230293238E-5</v>
      </c>
      <c r="V22" s="232">
        <f t="shared" si="6"/>
        <v>0.88103423987712337</v>
      </c>
      <c r="W22" s="6"/>
      <c r="AB22" s="6"/>
      <c r="AC22" s="6"/>
    </row>
    <row r="23" spans="1:29">
      <c r="B23" s="225">
        <v>44307.89166666667</v>
      </c>
      <c r="C23" s="226">
        <v>1</v>
      </c>
      <c r="D23" s="226">
        <v>0.03</v>
      </c>
      <c r="E23" s="226">
        <v>0.97</v>
      </c>
      <c r="F23" s="220">
        <v>1.84E-5</v>
      </c>
      <c r="G23" s="226">
        <v>52717.39</v>
      </c>
      <c r="H23" s="220">
        <f t="shared" si="0"/>
        <v>1.8400000455257742E-5</v>
      </c>
      <c r="I23" s="234">
        <f t="shared" si="7"/>
        <v>55978.259484536087</v>
      </c>
      <c r="J23" s="230">
        <f t="shared" si="1"/>
        <v>1.03</v>
      </c>
      <c r="K23" s="231">
        <f t="shared" si="2"/>
        <v>1.2464608388349516</v>
      </c>
      <c r="L23" s="226">
        <f t="shared" si="3"/>
        <v>1.2838546640000001</v>
      </c>
      <c r="M23" s="232">
        <f t="shared" si="5"/>
        <v>1.2838546640000001</v>
      </c>
      <c r="N23" s="192"/>
      <c r="O23" s="225">
        <v>44402.848611111112</v>
      </c>
      <c r="P23" s="226">
        <v>4.12</v>
      </c>
      <c r="Q23" s="226">
        <v>0.12</v>
      </c>
      <c r="R23" s="226">
        <f t="shared" ref="R23:R46" si="8">P23-Q23</f>
        <v>4</v>
      </c>
      <c r="S23" s="220">
        <v>1.0909E-4</v>
      </c>
      <c r="T23" s="226">
        <v>37766.980000000003</v>
      </c>
      <c r="U23" s="233">
        <f t="shared" si="4"/>
        <v>1.0909000401938412E-4</v>
      </c>
      <c r="V23" s="232">
        <f>R23/(S23*$I$12)</f>
        <v>0.55919709202577705</v>
      </c>
      <c r="W23" s="6"/>
      <c r="AB23" s="6"/>
      <c r="AC23" s="6"/>
    </row>
    <row r="24" spans="1:29">
      <c r="B24" s="225">
        <v>44308.53402777778</v>
      </c>
      <c r="C24" s="226">
        <v>1</v>
      </c>
      <c r="D24" s="226">
        <v>0.03</v>
      </c>
      <c r="E24" s="226">
        <v>0.97</v>
      </c>
      <c r="F24" s="220">
        <v>1.7969999999999999E-5</v>
      </c>
      <c r="G24" s="226">
        <v>53978.85</v>
      </c>
      <c r="H24" s="220">
        <f t="shared" si="0"/>
        <v>1.7970001213438227E-5</v>
      </c>
      <c r="I24" s="234">
        <f t="shared" si="7"/>
        <v>57317.747938144334</v>
      </c>
      <c r="J24" s="230">
        <f t="shared" si="1"/>
        <v>1.03</v>
      </c>
      <c r="K24" s="231">
        <f t="shared" si="2"/>
        <v>1.2173315909708737</v>
      </c>
      <c r="L24" s="226">
        <f t="shared" si="3"/>
        <v>1.2538515387</v>
      </c>
      <c r="M24" s="232">
        <f t="shared" si="5"/>
        <v>1.2538515387</v>
      </c>
      <c r="N24" s="192"/>
      <c r="O24" s="225">
        <v>44414.46597222222</v>
      </c>
      <c r="P24" s="226">
        <v>8.24</v>
      </c>
      <c r="Q24" s="226">
        <v>0.25</v>
      </c>
      <c r="R24" s="226">
        <f t="shared" si="8"/>
        <v>7.99</v>
      </c>
      <c r="S24" s="220">
        <f>0.0001912</f>
        <v>1.9120000000000001E-4</v>
      </c>
      <c r="T24" s="226">
        <v>43096.23</v>
      </c>
      <c r="U24" s="233">
        <f t="shared" si="4"/>
        <v>1.912000191200019E-4</v>
      </c>
      <c r="V24" s="232">
        <f t="shared" si="6"/>
        <v>0.63730708426391891</v>
      </c>
      <c r="W24" s="6"/>
      <c r="AB24" s="6"/>
      <c r="AC24" s="6"/>
    </row>
    <row r="25" spans="1:29">
      <c r="B25" s="225">
        <v>44308.535416666666</v>
      </c>
      <c r="C25" s="226">
        <v>1</v>
      </c>
      <c r="D25" s="226">
        <v>0.03</v>
      </c>
      <c r="E25" s="226">
        <v>0.97</v>
      </c>
      <c r="F25" s="220">
        <v>1.802E-5</v>
      </c>
      <c r="G25" s="226">
        <v>53829.08</v>
      </c>
      <c r="H25" s="220">
        <f t="shared" si="0"/>
        <v>1.8019999598729905E-5</v>
      </c>
      <c r="I25" s="234">
        <f t="shared" si="7"/>
        <v>57158.713814432995</v>
      </c>
      <c r="J25" s="230">
        <f t="shared" si="1"/>
        <v>1.03</v>
      </c>
      <c r="K25" s="231">
        <f t="shared" si="2"/>
        <v>1.2207187128155341</v>
      </c>
      <c r="L25" s="226">
        <f t="shared" si="3"/>
        <v>1.2573402742000002</v>
      </c>
      <c r="M25" s="232">
        <f t="shared" si="5"/>
        <v>1.2573402742000002</v>
      </c>
      <c r="N25" s="192"/>
      <c r="O25" s="225">
        <v>44417.779861111114</v>
      </c>
      <c r="P25" s="226">
        <v>4.12</v>
      </c>
      <c r="Q25" s="226">
        <v>0.12</v>
      </c>
      <c r="R25" s="226">
        <f t="shared" si="8"/>
        <v>4</v>
      </c>
      <c r="S25" s="220">
        <f>0.00008914</f>
        <v>8.9140000000000004E-5</v>
      </c>
      <c r="T25" s="226">
        <v>46219.43</v>
      </c>
      <c r="U25" s="233">
        <f t="shared" si="4"/>
        <v>8.9140000212032042E-5</v>
      </c>
      <c r="V25" s="232">
        <f t="shared" si="6"/>
        <v>0.68434833709997778</v>
      </c>
      <c r="W25" s="6"/>
      <c r="AB25" s="6"/>
      <c r="AC25" s="6"/>
    </row>
    <row r="26" spans="1:29">
      <c r="B26" s="225">
        <v>44308.555555555555</v>
      </c>
      <c r="C26" s="226">
        <v>1</v>
      </c>
      <c r="D26" s="226">
        <v>0.03</v>
      </c>
      <c r="E26" s="226">
        <v>0.97</v>
      </c>
      <c r="F26" s="220">
        <v>1.8389999999999998E-5</v>
      </c>
      <c r="G26" s="226">
        <v>52746.06</v>
      </c>
      <c r="H26" s="220">
        <f t="shared" si="0"/>
        <v>1.8389999177189727E-5</v>
      </c>
      <c r="I26" s="234">
        <f t="shared" si="7"/>
        <v>56008.702886597937</v>
      </c>
      <c r="J26" s="230">
        <f t="shared" si="1"/>
        <v>1.03</v>
      </c>
      <c r="K26" s="231">
        <f t="shared" si="2"/>
        <v>1.2457834144660196</v>
      </c>
      <c r="L26" s="226">
        <f t="shared" si="3"/>
        <v>1.2831569169000001</v>
      </c>
      <c r="M26" s="232">
        <f t="shared" si="5"/>
        <v>1.2831569169000001</v>
      </c>
      <c r="N26" s="192"/>
      <c r="O26" s="225">
        <v>44421.648611111108</v>
      </c>
      <c r="P26" s="235">
        <v>10.3</v>
      </c>
      <c r="Q26" s="226">
        <v>0.23</v>
      </c>
      <c r="R26" s="226">
        <f t="shared" si="8"/>
        <v>10.07</v>
      </c>
      <c r="S26" s="220">
        <v>2.1709E-4</v>
      </c>
      <c r="T26" s="226">
        <v>47445.760000000002</v>
      </c>
      <c r="U26" s="233">
        <f>P26/T26</f>
        <v>2.1708999919065476E-4</v>
      </c>
      <c r="V26" s="232">
        <f t="shared" si="6"/>
        <v>0.70742353913671363</v>
      </c>
      <c r="W26" s="6"/>
      <c r="AB26" s="6"/>
      <c r="AC26" s="6"/>
    </row>
    <row r="27" spans="1:29">
      <c r="B27" s="225">
        <v>44308.845833333333</v>
      </c>
      <c r="C27" s="226">
        <v>2</v>
      </c>
      <c r="D27" s="226">
        <v>0.06</v>
      </c>
      <c r="E27" s="226">
        <v>1.94</v>
      </c>
      <c r="F27" s="220">
        <v>3.8059999999999998E-5</v>
      </c>
      <c r="G27" s="226">
        <v>50972.15</v>
      </c>
      <c r="H27" s="220">
        <f t="shared" si="0"/>
        <v>3.8059999431061859E-5</v>
      </c>
      <c r="I27" s="234">
        <f t="shared" si="7"/>
        <v>54125.066494845363</v>
      </c>
      <c r="J27" s="230">
        <f t="shared" si="1"/>
        <v>2.06</v>
      </c>
      <c r="K27" s="231">
        <f t="shared" si="2"/>
        <v>1.28913857407767</v>
      </c>
      <c r="L27" s="226">
        <f t="shared" si="3"/>
        <v>2.6556254626000002</v>
      </c>
      <c r="M27" s="232">
        <f t="shared" si="5"/>
        <v>1.3278127313000001</v>
      </c>
      <c r="N27" s="192"/>
      <c r="O27" s="225">
        <v>44428.870833333334</v>
      </c>
      <c r="P27" s="226">
        <v>4.12</v>
      </c>
      <c r="Q27" s="226">
        <v>0.12</v>
      </c>
      <c r="R27" s="226">
        <f t="shared" si="8"/>
        <v>4</v>
      </c>
      <c r="S27" s="220">
        <v>8.4019999999999999E-5</v>
      </c>
      <c r="T27" s="226">
        <v>49035.94</v>
      </c>
      <c r="U27" s="233">
        <f t="shared" si="4"/>
        <v>8.4020006550297602E-5</v>
      </c>
      <c r="V27" s="232">
        <f t="shared" si="6"/>
        <v>0.72605106842527989</v>
      </c>
      <c r="W27" s="6"/>
      <c r="AB27" s="6"/>
      <c r="AC27" s="6"/>
    </row>
    <row r="28" spans="1:29">
      <c r="B28" s="225">
        <v>44308.888888888891</v>
      </c>
      <c r="C28" s="226">
        <v>2</v>
      </c>
      <c r="D28" s="226">
        <v>0.06</v>
      </c>
      <c r="E28" s="226">
        <v>1.94</v>
      </c>
      <c r="F28" s="220">
        <v>3.8810000000000003E-5</v>
      </c>
      <c r="G28" s="226">
        <v>49987.12</v>
      </c>
      <c r="H28" s="220">
        <f t="shared" si="0"/>
        <v>3.8809997455344497E-5</v>
      </c>
      <c r="I28" s="234">
        <f t="shared" si="7"/>
        <v>53079.106804123716</v>
      </c>
      <c r="J28" s="230">
        <f t="shared" si="1"/>
        <v>2.06</v>
      </c>
      <c r="K28" s="231">
        <f t="shared" si="2"/>
        <v>1.3145419879126214</v>
      </c>
      <c r="L28" s="226">
        <f t="shared" si="3"/>
        <v>2.7079564951000004</v>
      </c>
      <c r="M28" s="232">
        <f t="shared" si="5"/>
        <v>1.3539782475500002</v>
      </c>
      <c r="N28" s="192"/>
      <c r="O28" s="225">
        <v>44429.509027777778</v>
      </c>
      <c r="P28" s="226">
        <v>4.12</v>
      </c>
      <c r="Q28" s="226">
        <v>0.12</v>
      </c>
      <c r="R28" s="226">
        <f t="shared" si="8"/>
        <v>4</v>
      </c>
      <c r="S28" s="220">
        <v>8.2929999999999994E-5</v>
      </c>
      <c r="T28" s="226">
        <v>49680.45</v>
      </c>
      <c r="U28" s="233">
        <f t="shared" si="4"/>
        <v>8.2930005666212773E-5</v>
      </c>
      <c r="V28" s="232">
        <f t="shared" si="6"/>
        <v>0.73559400420947807</v>
      </c>
      <c r="W28" s="6"/>
      <c r="AB28" s="6"/>
      <c r="AC28" s="6"/>
    </row>
    <row r="29" spans="1:29">
      <c r="B29" s="225">
        <v>44311.668055555558</v>
      </c>
      <c r="C29" s="226">
        <v>1</v>
      </c>
      <c r="D29" s="226">
        <v>0.03</v>
      </c>
      <c r="E29" s="226">
        <v>0.97</v>
      </c>
      <c r="F29" s="220">
        <v>2.0279999999999999E-5</v>
      </c>
      <c r="G29" s="226">
        <v>47830.37</v>
      </c>
      <c r="H29" s="220">
        <f t="shared" si="0"/>
        <v>2.0280002015455869E-5</v>
      </c>
      <c r="I29" s="234">
        <f t="shared" si="7"/>
        <v>50788.949587628871</v>
      </c>
      <c r="J29" s="230">
        <f t="shared" si="1"/>
        <v>1.03</v>
      </c>
      <c r="K29" s="231">
        <f t="shared" si="2"/>
        <v>1.3738166201941746</v>
      </c>
      <c r="L29" s="226">
        <f t="shared" si="3"/>
        <v>1.4150311188</v>
      </c>
      <c r="M29" s="232">
        <f t="shared" si="5"/>
        <v>1.4150311188</v>
      </c>
      <c r="N29" s="192"/>
      <c r="O29" s="225">
        <v>44442.361805555556</v>
      </c>
      <c r="P29" s="226">
        <v>10.23</v>
      </c>
      <c r="Q29" s="226">
        <v>0.23</v>
      </c>
      <c r="R29" s="226">
        <f t="shared" si="8"/>
        <v>10</v>
      </c>
      <c r="S29" s="220">
        <v>2.0180999999999999E-4</v>
      </c>
      <c r="T29" s="226">
        <v>50691.24</v>
      </c>
      <c r="U29" s="233">
        <f t="shared" si="4"/>
        <v>2.0181001687865596E-4</v>
      </c>
      <c r="V29" s="232">
        <f t="shared" si="6"/>
        <v>0.75569608504400199</v>
      </c>
      <c r="W29" s="6"/>
      <c r="AB29" s="6"/>
      <c r="AC29" s="6"/>
    </row>
    <row r="30" spans="1:29">
      <c r="B30" s="225">
        <v>44311.963194444441</v>
      </c>
      <c r="C30" s="226">
        <v>1.03</v>
      </c>
      <c r="D30" s="226">
        <v>0.03</v>
      </c>
      <c r="E30" s="226">
        <v>1</v>
      </c>
      <c r="F30" s="220">
        <v>1.9150000000000001E-5</v>
      </c>
      <c r="G30" s="226">
        <v>52219.32</v>
      </c>
      <c r="H30" s="220">
        <f t="shared" si="0"/>
        <v>1.915000042130001E-5</v>
      </c>
      <c r="I30" s="234">
        <f t="shared" si="7"/>
        <v>55352.479200000002</v>
      </c>
      <c r="J30" s="230">
        <f t="shared" si="1"/>
        <v>1.06</v>
      </c>
      <c r="K30" s="231">
        <f t="shared" si="2"/>
        <v>1.2605525438679248</v>
      </c>
      <c r="L30" s="226">
        <f t="shared" si="3"/>
        <v>1.3361856965000003</v>
      </c>
      <c r="M30" s="232">
        <f t="shared" si="5"/>
        <v>1.2972676665048546</v>
      </c>
      <c r="N30" s="192"/>
      <c r="O30" s="225">
        <v>44445.730555555558</v>
      </c>
      <c r="P30" s="226">
        <v>10.23</v>
      </c>
      <c r="Q30" s="226">
        <v>0.23</v>
      </c>
      <c r="R30" s="226">
        <f t="shared" si="8"/>
        <v>10</v>
      </c>
      <c r="S30" s="220">
        <v>1.9437999999999999E-4</v>
      </c>
      <c r="T30" s="226">
        <v>52628.87</v>
      </c>
      <c r="U30" s="233">
        <f t="shared" si="4"/>
        <v>1.9438000473884391E-4</v>
      </c>
      <c r="V30" s="232">
        <f t="shared" si="6"/>
        <v>0.78458188559898168</v>
      </c>
      <c r="W30" s="6"/>
      <c r="AB30" s="6"/>
      <c r="AC30" s="6"/>
    </row>
    <row r="31" spans="1:29">
      <c r="B31" s="225">
        <v>44314.036111111112</v>
      </c>
      <c r="C31" s="226">
        <v>1.03</v>
      </c>
      <c r="D31" s="226">
        <v>0.03</v>
      </c>
      <c r="E31" s="226">
        <v>1</v>
      </c>
      <c r="F31" s="220">
        <v>1.8309999999999999E-5</v>
      </c>
      <c r="G31" s="226">
        <v>54614.96</v>
      </c>
      <c r="H31" s="220">
        <f t="shared" si="0"/>
        <v>1.8310001508744124E-5</v>
      </c>
      <c r="I31" s="234">
        <f t="shared" si="7"/>
        <v>57891.857600000003</v>
      </c>
      <c r="J31" s="230">
        <f t="shared" si="1"/>
        <v>1.06</v>
      </c>
      <c r="K31" s="231">
        <f t="shared" si="2"/>
        <v>1.2052593774528302</v>
      </c>
      <c r="L31" s="226">
        <f t="shared" si="3"/>
        <v>1.2775749401000001</v>
      </c>
      <c r="M31" s="232">
        <f t="shared" si="5"/>
        <v>1.2403640195145631</v>
      </c>
      <c r="N31" s="192"/>
      <c r="O31" s="225">
        <v>44474.199305555558</v>
      </c>
      <c r="P31" s="226">
        <v>20.46</v>
      </c>
      <c r="Q31" s="226">
        <v>0.46</v>
      </c>
      <c r="R31" s="226">
        <f t="shared" si="8"/>
        <v>20</v>
      </c>
      <c r="S31" s="220">
        <v>4.0920000000000003E-4</v>
      </c>
      <c r="T31" s="226">
        <v>50000</v>
      </c>
      <c r="U31" s="233">
        <f t="shared" si="4"/>
        <v>4.0920000000000003E-4</v>
      </c>
      <c r="V31" s="232">
        <f t="shared" si="6"/>
        <v>0.74539113842976557</v>
      </c>
      <c r="Z31" s="6"/>
      <c r="AA31" s="6"/>
    </row>
    <row r="32" spans="1:29">
      <c r="B32" s="225">
        <v>44314.036805555559</v>
      </c>
      <c r="C32" s="226">
        <v>1.03</v>
      </c>
      <c r="D32" s="226">
        <v>0.03</v>
      </c>
      <c r="E32" s="226">
        <v>1</v>
      </c>
      <c r="F32" s="220">
        <v>1.8320000000000001E-5</v>
      </c>
      <c r="G32" s="226">
        <v>54585.15</v>
      </c>
      <c r="H32" s="220">
        <f t="shared" si="0"/>
        <v>1.832000095264005E-5</v>
      </c>
      <c r="I32" s="234">
        <f t="shared" si="7"/>
        <v>57860.259000000005</v>
      </c>
      <c r="J32" s="230">
        <f t="shared" si="1"/>
        <v>1.06</v>
      </c>
      <c r="K32" s="231">
        <f t="shared" si="2"/>
        <v>1.2059176294339622</v>
      </c>
      <c r="L32" s="226">
        <f t="shared" si="3"/>
        <v>1.2782726872000001</v>
      </c>
      <c r="M32" s="232">
        <f t="shared" si="5"/>
        <v>1.2410414438834951</v>
      </c>
      <c r="N32" s="192"/>
      <c r="O32" s="225">
        <v>44474.646527777775</v>
      </c>
      <c r="P32" s="226">
        <v>20.46</v>
      </c>
      <c r="Q32" s="226">
        <v>0.46</v>
      </c>
      <c r="R32" s="226">
        <f t="shared" si="8"/>
        <v>20</v>
      </c>
      <c r="S32" s="220">
        <v>3.9856000000000001E-4</v>
      </c>
      <c r="T32" s="226">
        <v>51334.81</v>
      </c>
      <c r="U32" s="233">
        <f t="shared" si="4"/>
        <v>3.9855996350234864E-4</v>
      </c>
      <c r="V32" s="232">
        <f t="shared" si="6"/>
        <v>0.76529017925898257</v>
      </c>
      <c r="W32" s="6"/>
      <c r="AB32" s="6"/>
      <c r="AC32" s="6"/>
    </row>
    <row r="33" spans="1:30">
      <c r="B33" s="225">
        <v>44314.052083333336</v>
      </c>
      <c r="C33" s="226">
        <v>1.03</v>
      </c>
      <c r="D33" s="226">
        <v>0.03</v>
      </c>
      <c r="E33" s="226">
        <v>1</v>
      </c>
      <c r="F33" s="220">
        <v>1.8450000000000001E-5</v>
      </c>
      <c r="G33" s="226">
        <v>54200.54</v>
      </c>
      <c r="H33" s="220">
        <f t="shared" si="0"/>
        <v>1.8450000682650023E-5</v>
      </c>
      <c r="I33" s="234">
        <f t="shared" si="7"/>
        <v>57452.572400000005</v>
      </c>
      <c r="J33" s="230">
        <f t="shared" si="1"/>
        <v>1.06</v>
      </c>
      <c r="K33" s="231">
        <f t="shared" si="2"/>
        <v>1.2144749051886792</v>
      </c>
      <c r="L33" s="226">
        <f t="shared" si="3"/>
        <v>1.2873433995000001</v>
      </c>
      <c r="M33" s="232">
        <f t="shared" si="5"/>
        <v>1.2498479606796118</v>
      </c>
      <c r="N33" s="192"/>
      <c r="O33" s="225">
        <v>44475.34097222222</v>
      </c>
      <c r="P33" s="226">
        <v>20.46</v>
      </c>
      <c r="Q33" s="226">
        <v>0.46</v>
      </c>
      <c r="R33" s="226">
        <f t="shared" si="8"/>
        <v>20</v>
      </c>
      <c r="S33" s="220">
        <v>3.8603999999999998E-4</v>
      </c>
      <c r="T33" s="226">
        <v>53000</v>
      </c>
      <c r="U33" s="233">
        <f t="shared" si="4"/>
        <v>3.8603773584905665E-4</v>
      </c>
      <c r="V33" s="232">
        <f t="shared" si="6"/>
        <v>0.79010997265946559</v>
      </c>
      <c r="W33" s="6"/>
      <c r="AB33" s="6"/>
      <c r="AC33" s="6"/>
    </row>
    <row r="34" spans="1:30">
      <c r="A34" s="105"/>
      <c r="B34" s="225">
        <v>44320.739583333336</v>
      </c>
      <c r="C34" s="226">
        <v>2.06</v>
      </c>
      <c r="D34" s="226">
        <v>0.06</v>
      </c>
      <c r="E34" s="226">
        <v>2</v>
      </c>
      <c r="F34" s="220">
        <v>3.7289999999999997E-5</v>
      </c>
      <c r="G34" s="226">
        <v>53633.68</v>
      </c>
      <c r="H34" s="220">
        <f t="shared" si="0"/>
        <v>3.7290001357356051E-5</v>
      </c>
      <c r="I34" s="234">
        <f t="shared" si="7"/>
        <v>56851.700800000006</v>
      </c>
      <c r="J34" s="230">
        <f t="shared" si="1"/>
        <v>2.12</v>
      </c>
      <c r="K34" s="231">
        <f t="shared" si="2"/>
        <v>1.2273108188207547</v>
      </c>
      <c r="L34" s="226">
        <f t="shared" si="3"/>
        <v>2.6018989359</v>
      </c>
      <c r="M34" s="232">
        <f t="shared" si="5"/>
        <v>1.2630577358737864</v>
      </c>
      <c r="N34" s="192"/>
      <c r="O34" s="225">
        <v>44475.348611111112</v>
      </c>
      <c r="P34" s="226">
        <v>20.46</v>
      </c>
      <c r="Q34" s="226">
        <v>0.46</v>
      </c>
      <c r="R34" s="226">
        <f t="shared" si="8"/>
        <v>20</v>
      </c>
      <c r="S34" s="220">
        <v>3.7609999999999998E-4</v>
      </c>
      <c r="T34" s="226">
        <v>54400.43</v>
      </c>
      <c r="U34" s="233">
        <f t="shared" si="4"/>
        <v>3.7609996832745627E-4</v>
      </c>
      <c r="V34" s="232">
        <f t="shared" si="6"/>
        <v>0.81099190067923455</v>
      </c>
      <c r="W34" s="6"/>
      <c r="AB34" s="6"/>
      <c r="AC34" s="6"/>
    </row>
    <row r="35" spans="1:30">
      <c r="B35" s="225">
        <v>44328.718055555553</v>
      </c>
      <c r="C35" s="226">
        <v>10</v>
      </c>
      <c r="D35" s="226">
        <v>0.23</v>
      </c>
      <c r="E35" s="226">
        <f t="shared" ref="E35:E97" si="9">C35-D35</f>
        <v>9.77</v>
      </c>
      <c r="F35" s="220">
        <v>1.8668999999999999E-4</v>
      </c>
      <c r="G35" s="226">
        <v>52332.74</v>
      </c>
      <c r="H35" s="220">
        <f t="shared" si="0"/>
        <v>1.8669001470207752E-4</v>
      </c>
      <c r="I35" s="234">
        <f t="shared" si="7"/>
        <v>54796.717523029685</v>
      </c>
      <c r="J35" s="230">
        <f t="shared" si="1"/>
        <v>10.23</v>
      </c>
      <c r="K35" s="231">
        <f t="shared" si="2"/>
        <v>1.2733373030205279</v>
      </c>
      <c r="L35" s="226">
        <f t="shared" si="3"/>
        <v>13.0262406099</v>
      </c>
      <c r="M35" s="232">
        <f t="shared" si="5"/>
        <v>1.3026240609899999</v>
      </c>
      <c r="N35" s="192"/>
      <c r="O35" s="225">
        <v>44475.679861111108</v>
      </c>
      <c r="P35" s="226">
        <v>10.23</v>
      </c>
      <c r="Q35" s="226">
        <v>0.23</v>
      </c>
      <c r="R35" s="226">
        <f t="shared" si="8"/>
        <v>10</v>
      </c>
      <c r="S35" s="220">
        <v>1.8587000000000001E-4</v>
      </c>
      <c r="T35" s="226">
        <v>55038.47</v>
      </c>
      <c r="U35" s="233">
        <f t="shared" si="4"/>
        <v>1.8586999238895995E-4</v>
      </c>
      <c r="V35" s="232">
        <f t="shared" si="6"/>
        <v>0.82050372261650639</v>
      </c>
      <c r="W35" s="6"/>
      <c r="AB35" s="6"/>
      <c r="AC35" s="6"/>
    </row>
    <row r="36" spans="1:30">
      <c r="B36" s="225">
        <v>44328.775000000001</v>
      </c>
      <c r="C36" s="226">
        <v>1.03</v>
      </c>
      <c r="D36" s="226">
        <v>0.03</v>
      </c>
      <c r="E36" s="226">
        <f t="shared" si="9"/>
        <v>1</v>
      </c>
      <c r="F36" s="220">
        <v>1.9449999999999998E-5</v>
      </c>
      <c r="G36" s="226">
        <v>51413.88</v>
      </c>
      <c r="H36" s="220">
        <f t="shared" si="0"/>
        <v>1.9450000661300023E-5</v>
      </c>
      <c r="I36" s="234">
        <f t="shared" si="7"/>
        <v>54498.712800000001</v>
      </c>
      <c r="J36" s="230">
        <f t="shared" si="1"/>
        <v>1.06</v>
      </c>
      <c r="K36" s="231">
        <f t="shared" si="2"/>
        <v>1.2803001033018868</v>
      </c>
      <c r="L36" s="226">
        <f t="shared" si="3"/>
        <v>1.3571181095</v>
      </c>
      <c r="M36" s="232">
        <f t="shared" si="5"/>
        <v>1.3175903975728156</v>
      </c>
      <c r="N36" s="192"/>
      <c r="O36" s="225">
        <v>44479.974999999999</v>
      </c>
      <c r="P36" s="226">
        <v>10.23</v>
      </c>
      <c r="Q36" s="226">
        <v>0.23</v>
      </c>
      <c r="R36" s="226">
        <f t="shared" si="8"/>
        <v>10</v>
      </c>
      <c r="S36" s="220">
        <v>1.8044E-4</v>
      </c>
      <c r="T36" s="226">
        <v>56694.75</v>
      </c>
      <c r="U36" s="233">
        <f t="shared" si="4"/>
        <v>1.8043998782956095E-4</v>
      </c>
      <c r="V36" s="232">
        <f t="shared" si="6"/>
        <v>0.84519522790251633</v>
      </c>
      <c r="X36" s="6"/>
      <c r="AC36" s="6"/>
      <c r="AD36" s="6"/>
    </row>
    <row r="37" spans="1:30">
      <c r="B37" s="225">
        <v>44328.791666666664</v>
      </c>
      <c r="C37" s="226">
        <v>1.03</v>
      </c>
      <c r="D37" s="226">
        <v>0.03</v>
      </c>
      <c r="E37" s="226">
        <f t="shared" si="9"/>
        <v>1</v>
      </c>
      <c r="F37" s="220">
        <v>2.037E-5</v>
      </c>
      <c r="G37" s="226">
        <v>49091.8</v>
      </c>
      <c r="H37" s="220">
        <f t="shared" si="0"/>
        <v>2.0370000692580023E-5</v>
      </c>
      <c r="I37" s="234">
        <f t="shared" si="7"/>
        <v>52037.308000000005</v>
      </c>
      <c r="J37" s="230">
        <f t="shared" si="1"/>
        <v>1.06</v>
      </c>
      <c r="K37" s="231">
        <f t="shared" si="2"/>
        <v>1.3408592855660377</v>
      </c>
      <c r="L37" s="226">
        <f t="shared" si="3"/>
        <v>1.4213108427000001</v>
      </c>
      <c r="M37" s="232">
        <f t="shared" si="5"/>
        <v>1.3799134395145631</v>
      </c>
      <c r="N37" s="192"/>
      <c r="O37" s="225">
        <v>44480.615277777775</v>
      </c>
      <c r="P37" s="226">
        <v>10.23</v>
      </c>
      <c r="Q37" s="226">
        <v>0.23</v>
      </c>
      <c r="R37" s="226">
        <f t="shared" si="8"/>
        <v>10</v>
      </c>
      <c r="S37" s="220">
        <v>1.7714E-4</v>
      </c>
      <c r="T37" s="226">
        <v>57750</v>
      </c>
      <c r="U37" s="233">
        <f t="shared" si="4"/>
        <v>1.7714285714285716E-4</v>
      </c>
      <c r="V37" s="232">
        <f t="shared" si="6"/>
        <v>0.860940651025912</v>
      </c>
      <c r="X37" s="6"/>
      <c r="Z37" s="6"/>
      <c r="AA37" s="6"/>
      <c r="AC37" s="6"/>
      <c r="AD37" s="6"/>
    </row>
    <row r="38" spans="1:30">
      <c r="B38" s="225">
        <v>44328.794444444444</v>
      </c>
      <c r="C38" s="226">
        <v>2.06</v>
      </c>
      <c r="D38" s="226">
        <v>7.0000000000000007E-2</v>
      </c>
      <c r="E38" s="226">
        <f t="shared" si="9"/>
        <v>1.99</v>
      </c>
      <c r="F38" s="220">
        <v>4.2799999999999997E-5</v>
      </c>
      <c r="G38" s="226">
        <v>46495.33</v>
      </c>
      <c r="H38" s="220">
        <f>E38/G38</f>
        <v>4.2799997333065493E-5</v>
      </c>
      <c r="I38" s="234">
        <f t="shared" si="7"/>
        <v>49766.358241206028</v>
      </c>
      <c r="J38" s="230">
        <f t="shared" si="1"/>
        <v>2.13</v>
      </c>
      <c r="K38" s="231">
        <f t="shared" si="2"/>
        <v>1.4020458159624414</v>
      </c>
      <c r="L38" s="226">
        <f t="shared" si="3"/>
        <v>2.9863575880000002</v>
      </c>
      <c r="M38" s="232">
        <f t="shared" si="5"/>
        <v>1.4496881495145633</v>
      </c>
      <c r="N38" s="192"/>
      <c r="O38" s="225">
        <v>44482.842361111114</v>
      </c>
      <c r="P38" s="226">
        <v>4.12</v>
      </c>
      <c r="Q38" s="226">
        <v>0.12</v>
      </c>
      <c r="R38" s="226">
        <f t="shared" si="8"/>
        <v>4</v>
      </c>
      <c r="S38" s="220">
        <v>7.0850000000000001E-5</v>
      </c>
      <c r="T38" s="226">
        <v>58151.02</v>
      </c>
      <c r="U38" s="233">
        <f t="shared" si="4"/>
        <v>7.085000400680849E-5</v>
      </c>
      <c r="V38" s="232">
        <f t="shared" si="6"/>
        <v>0.86101356060821477</v>
      </c>
      <c r="X38" s="6"/>
      <c r="Z38" s="6"/>
      <c r="AA38" s="6"/>
      <c r="AC38" s="6"/>
      <c r="AD38" s="6"/>
    </row>
    <row r="39" spans="1:30">
      <c r="B39" s="225">
        <v>44331.794444444444</v>
      </c>
      <c r="C39" s="226">
        <v>1.03</v>
      </c>
      <c r="D39" s="226">
        <v>0.03</v>
      </c>
      <c r="E39" s="226">
        <f t="shared" si="9"/>
        <v>1</v>
      </c>
      <c r="F39" s="220">
        <v>2.1460000000000001E-5</v>
      </c>
      <c r="G39" s="226">
        <v>46598.32</v>
      </c>
      <c r="H39" s="220">
        <f>E39/G39</f>
        <v>2.146000113308806E-5</v>
      </c>
      <c r="I39" s="234">
        <f t="shared" si="7"/>
        <v>49394.2192</v>
      </c>
      <c r="J39" s="230">
        <f t="shared" si="1"/>
        <v>1.06</v>
      </c>
      <c r="K39" s="231">
        <f t="shared" si="2"/>
        <v>1.4126087515094341</v>
      </c>
      <c r="L39" s="226">
        <f t="shared" si="3"/>
        <v>1.4973652766000003</v>
      </c>
      <c r="M39" s="232">
        <f t="shared" si="5"/>
        <v>1.4537526957281557</v>
      </c>
      <c r="N39" s="192"/>
      <c r="O39" s="225">
        <v>44484.375</v>
      </c>
      <c r="P39" s="226">
        <v>4.12</v>
      </c>
      <c r="Q39" s="226">
        <v>0.12</v>
      </c>
      <c r="R39" s="226">
        <f t="shared" si="8"/>
        <v>4</v>
      </c>
      <c r="S39" s="220">
        <v>6.8670000000000005E-5</v>
      </c>
      <c r="T39" s="226">
        <v>60000</v>
      </c>
      <c r="U39" s="233">
        <f t="shared" si="4"/>
        <v>6.8666666666666664E-5</v>
      </c>
      <c r="V39" s="232">
        <f t="shared" si="6"/>
        <v>0.88834732443704689</v>
      </c>
      <c r="X39" s="6"/>
      <c r="Y39" s="6"/>
      <c r="Z39" s="6"/>
      <c r="AA39" s="6"/>
      <c r="AC39" s="6"/>
      <c r="AD39" s="6"/>
    </row>
    <row r="40" spans="1:30">
      <c r="B40" s="225">
        <v>44332.584027777775</v>
      </c>
      <c r="C40" s="226">
        <v>2.06</v>
      </c>
      <c r="D40" s="226">
        <v>0.06</v>
      </c>
      <c r="E40" s="226">
        <f t="shared" si="9"/>
        <v>2</v>
      </c>
      <c r="F40" s="220">
        <v>4.3959999999999999E-5</v>
      </c>
      <c r="G40" s="226">
        <v>45495.91</v>
      </c>
      <c r="H40" s="220">
        <f>E40/G40</f>
        <v>4.3959995524872455E-5</v>
      </c>
      <c r="I40" s="234">
        <f t="shared" si="7"/>
        <v>48225.664600000004</v>
      </c>
      <c r="J40" s="230">
        <f t="shared" si="1"/>
        <v>2.12</v>
      </c>
      <c r="K40" s="231">
        <f t="shared" si="2"/>
        <v>1.4468378545283018</v>
      </c>
      <c r="L40" s="226">
        <f t="shared" si="3"/>
        <v>3.0672962516000002</v>
      </c>
      <c r="M40" s="232">
        <f t="shared" si="5"/>
        <v>1.4889787629126214</v>
      </c>
      <c r="N40" s="192"/>
      <c r="O40" s="225">
        <v>44484.640277777777</v>
      </c>
      <c r="P40" s="226">
        <v>1.03</v>
      </c>
      <c r="Q40" s="226">
        <v>0.03</v>
      </c>
      <c r="R40" s="226">
        <f t="shared" si="8"/>
        <v>1</v>
      </c>
      <c r="S40" s="220">
        <v>1.6609999999999999E-5</v>
      </c>
      <c r="T40" s="226">
        <v>62000</v>
      </c>
      <c r="U40" s="233">
        <f t="shared" si="4"/>
        <v>1.6612903225806451E-5</v>
      </c>
      <c r="V40" s="232">
        <f t="shared" si="6"/>
        <v>0.91816391886050608</v>
      </c>
      <c r="X40" s="63"/>
      <c r="Y40" s="6"/>
      <c r="Z40" s="6"/>
      <c r="AA40" s="6"/>
      <c r="AC40" s="6"/>
      <c r="AD40" s="6"/>
    </row>
    <row r="41" spans="1:30">
      <c r="B41" s="225">
        <v>44332.59097222222</v>
      </c>
      <c r="C41" s="226">
        <v>2.06</v>
      </c>
      <c r="D41" s="226">
        <v>0.06</v>
      </c>
      <c r="E41" s="226">
        <f t="shared" si="9"/>
        <v>2</v>
      </c>
      <c r="F41" s="220">
        <v>4.4230000000000002E-5</v>
      </c>
      <c r="G41" s="226">
        <v>45218.18</v>
      </c>
      <c r="H41" s="220">
        <f t="shared" ref="H41:H85" si="10">E41/G41</f>
        <v>4.4229997757539112E-5</v>
      </c>
      <c r="I41" s="234">
        <f t="shared" si="7"/>
        <v>47931.270800000006</v>
      </c>
      <c r="J41" s="230">
        <f t="shared" si="1"/>
        <v>2.12</v>
      </c>
      <c r="K41" s="231">
        <f t="shared" si="2"/>
        <v>1.455724256273585</v>
      </c>
      <c r="L41" s="226">
        <f t="shared" si="3"/>
        <v>3.0861354233000005</v>
      </c>
      <c r="M41" s="232">
        <f t="shared" si="5"/>
        <v>1.4981239918932041</v>
      </c>
      <c r="N41" s="192"/>
      <c r="O41" s="225">
        <v>44488.60833333333</v>
      </c>
      <c r="P41" s="226">
        <v>1.03</v>
      </c>
      <c r="Q41" s="226">
        <v>0.03</v>
      </c>
      <c r="R41" s="226">
        <f t="shared" si="8"/>
        <v>1</v>
      </c>
      <c r="S41" s="220">
        <v>1.609E-5</v>
      </c>
      <c r="T41" s="226">
        <v>64000</v>
      </c>
      <c r="U41" s="233">
        <f t="shared" si="4"/>
        <v>1.6093750000000002E-5</v>
      </c>
      <c r="V41" s="232">
        <f t="shared" si="6"/>
        <v>0.94783733326743336</v>
      </c>
      <c r="X41" s="63"/>
      <c r="Y41" s="6"/>
      <c r="Z41" s="6"/>
      <c r="AA41" s="6"/>
      <c r="AC41" s="6"/>
      <c r="AD41" s="6"/>
    </row>
    <row r="42" spans="1:30">
      <c r="B42" s="225">
        <v>44332.617361111108</v>
      </c>
      <c r="C42" s="226">
        <v>2.06</v>
      </c>
      <c r="D42" s="226">
        <v>0.06</v>
      </c>
      <c r="E42" s="226">
        <f t="shared" si="9"/>
        <v>2</v>
      </c>
      <c r="F42" s="220">
        <v>4.4270000000000001E-5</v>
      </c>
      <c r="G42" s="226">
        <v>45177.32</v>
      </c>
      <c r="H42" s="220">
        <f t="shared" si="10"/>
        <v>4.4270000965086024E-5</v>
      </c>
      <c r="I42" s="234">
        <f t="shared" si="7"/>
        <v>47887.959200000005</v>
      </c>
      <c r="J42" s="230">
        <f t="shared" si="1"/>
        <v>2.12</v>
      </c>
      <c r="K42" s="231">
        <f t="shared" si="2"/>
        <v>1.4570407602358493</v>
      </c>
      <c r="L42" s="226">
        <f t="shared" si="3"/>
        <v>3.0889264117000006</v>
      </c>
      <c r="M42" s="232">
        <f t="shared" si="5"/>
        <v>1.4994788406310682</v>
      </c>
      <c r="N42" s="192"/>
      <c r="O42" s="225">
        <v>44489.4</v>
      </c>
      <c r="P42" s="226">
        <v>2.06</v>
      </c>
      <c r="Q42" s="226">
        <v>0.06</v>
      </c>
      <c r="R42" s="226">
        <f t="shared" si="8"/>
        <v>2</v>
      </c>
      <c r="S42" s="220">
        <v>3.0970000000000003E-5</v>
      </c>
      <c r="T42" s="226">
        <v>66515.98</v>
      </c>
      <c r="U42" s="233">
        <f t="shared" si="4"/>
        <v>3.0970001494377745E-5</v>
      </c>
      <c r="V42" s="232">
        <f t="shared" si="6"/>
        <v>0.98486940214872465</v>
      </c>
      <c r="X42" s="6"/>
      <c r="Y42" s="6"/>
      <c r="Z42" s="6"/>
      <c r="AA42" s="6"/>
      <c r="AC42" s="6"/>
      <c r="AD42" s="6"/>
    </row>
    <row r="43" spans="1:30">
      <c r="B43" s="225">
        <v>44332.658333333333</v>
      </c>
      <c r="C43" s="226">
        <v>1.03</v>
      </c>
      <c r="D43" s="226">
        <v>0.03</v>
      </c>
      <c r="E43" s="226">
        <f t="shared" si="9"/>
        <v>1</v>
      </c>
      <c r="F43" s="220">
        <v>2.2750000000000001E-5</v>
      </c>
      <c r="G43" s="226">
        <v>43956.04</v>
      </c>
      <c r="H43" s="220">
        <f t="shared" si="10"/>
        <v>2.2750002047500184E-5</v>
      </c>
      <c r="I43" s="234">
        <f t="shared" si="7"/>
        <v>46593.402400000006</v>
      </c>
      <c r="J43" s="230">
        <f t="shared" si="1"/>
        <v>1.06</v>
      </c>
      <c r="K43" s="231">
        <f t="shared" si="2"/>
        <v>1.4975232570754717</v>
      </c>
      <c r="L43" s="226">
        <f t="shared" si="3"/>
        <v>1.5873746525000001</v>
      </c>
      <c r="M43" s="232">
        <f t="shared" si="5"/>
        <v>1.5411404393203885</v>
      </c>
      <c r="N43" s="192"/>
      <c r="O43" s="225">
        <v>44508.865277777775</v>
      </c>
      <c r="P43" s="226">
        <v>2.06</v>
      </c>
      <c r="Q43" s="226">
        <v>0.06</v>
      </c>
      <c r="R43" s="226">
        <f t="shared" si="8"/>
        <v>2</v>
      </c>
      <c r="S43" s="220">
        <v>3.046E-5</v>
      </c>
      <c r="T43" s="226">
        <v>67629.679999999993</v>
      </c>
      <c r="U43" s="233">
        <f t="shared" si="4"/>
        <v>3.0459999219277694E-5</v>
      </c>
      <c r="V43" s="232">
        <f t="shared" si="6"/>
        <v>1.0013593363278401</v>
      </c>
      <c r="X43" s="6"/>
      <c r="Y43" s="6"/>
      <c r="Z43" s="6"/>
      <c r="AA43" s="6"/>
      <c r="AC43" s="6"/>
      <c r="AD43" s="6"/>
    </row>
    <row r="44" spans="1:30">
      <c r="B44" s="225">
        <v>44334.86041666667</v>
      </c>
      <c r="C44" s="226">
        <v>2.06</v>
      </c>
      <c r="D44" s="226">
        <v>0.06</v>
      </c>
      <c r="E44" s="226">
        <f t="shared" si="9"/>
        <v>2</v>
      </c>
      <c r="F44" s="220">
        <v>4.8539999999999999E-5</v>
      </c>
      <c r="G44" s="226">
        <v>41203.129999999997</v>
      </c>
      <c r="H44" s="220">
        <f t="shared" si="10"/>
        <v>4.854000169404606E-5</v>
      </c>
      <c r="I44" s="234">
        <f t="shared" si="7"/>
        <v>43675.317799999997</v>
      </c>
      <c r="J44" s="230">
        <f t="shared" si="1"/>
        <v>2.12</v>
      </c>
      <c r="K44" s="231">
        <f t="shared" si="2"/>
        <v>1.5975775582075473</v>
      </c>
      <c r="L44" s="226">
        <f t="shared" si="3"/>
        <v>3.3868644234000005</v>
      </c>
      <c r="M44" s="232">
        <f t="shared" si="5"/>
        <v>1.6441089433980585</v>
      </c>
      <c r="N44" s="192"/>
      <c r="O44" s="225">
        <v>45292.993750000001</v>
      </c>
      <c r="P44" s="226">
        <v>100</v>
      </c>
      <c r="Q44" s="6">
        <v>2.25</v>
      </c>
      <c r="R44" s="226">
        <f t="shared" si="8"/>
        <v>97.75</v>
      </c>
      <c r="S44" s="220">
        <v>2.2178800000000002E-3</v>
      </c>
      <c r="T44" s="226">
        <v>45088.08</v>
      </c>
      <c r="U44" s="233">
        <f t="shared" si="4"/>
        <v>2.2178810896361077E-3</v>
      </c>
      <c r="V44" s="232">
        <f t="shared" si="6"/>
        <v>0.67215367295330941</v>
      </c>
      <c r="X44" s="6"/>
      <c r="Y44" s="6"/>
      <c r="AC44" s="6"/>
      <c r="AD44" s="6"/>
    </row>
    <row r="45" spans="1:30">
      <c r="B45" s="225">
        <v>44334.99722222222</v>
      </c>
      <c r="C45" s="226">
        <v>2.06</v>
      </c>
      <c r="D45" s="226">
        <v>0.06</v>
      </c>
      <c r="E45" s="226">
        <f t="shared" si="9"/>
        <v>2</v>
      </c>
      <c r="F45" s="220">
        <v>5.1730000000000001E-5</v>
      </c>
      <c r="G45" s="226">
        <v>38662.28</v>
      </c>
      <c r="H45" s="220">
        <f t="shared" si="10"/>
        <v>5.1730006611094845E-5</v>
      </c>
      <c r="I45" s="234">
        <f t="shared" si="7"/>
        <v>40982.016799999998</v>
      </c>
      <c r="J45" s="230">
        <f t="shared" si="1"/>
        <v>2.12</v>
      </c>
      <c r="K45" s="231">
        <f t="shared" si="2"/>
        <v>1.7025687491981132</v>
      </c>
      <c r="L45" s="226">
        <f t="shared" si="3"/>
        <v>3.6094457483000002</v>
      </c>
      <c r="M45" s="232">
        <f t="shared" si="5"/>
        <v>1.7521581302427185</v>
      </c>
      <c r="N45" s="192"/>
      <c r="O45" s="225">
        <v>45299.522222222222</v>
      </c>
      <c r="P45" s="226">
        <v>127.68</v>
      </c>
      <c r="Q45" s="226">
        <v>2.56</v>
      </c>
      <c r="R45" s="226">
        <f t="shared" si="8"/>
        <v>125.12</v>
      </c>
      <c r="S45" s="220">
        <v>2.7636363636363639E-3</v>
      </c>
      <c r="T45" s="226">
        <v>46200</v>
      </c>
      <c r="U45" s="233">
        <f t="shared" si="4"/>
        <v>2.7636363636363639E-3</v>
      </c>
      <c r="V45" s="232">
        <f t="shared" si="6"/>
        <v>0.69045549767859149</v>
      </c>
      <c r="X45" s="106"/>
      <c r="Y45" s="6"/>
      <c r="AC45" s="6"/>
      <c r="AD45" s="6"/>
    </row>
    <row r="46" spans="1:30">
      <c r="B46" s="225">
        <v>44340.320138888892</v>
      </c>
      <c r="C46" s="226">
        <v>2.06</v>
      </c>
      <c r="D46" s="226">
        <v>0.06</v>
      </c>
      <c r="E46" s="226">
        <f t="shared" si="9"/>
        <v>2</v>
      </c>
      <c r="F46" s="220">
        <v>5.1860000000000002E-5</v>
      </c>
      <c r="G46" s="226">
        <v>38565.370000000003</v>
      </c>
      <c r="H46" s="220">
        <f t="shared" si="10"/>
        <v>5.18599977129741E-5</v>
      </c>
      <c r="I46" s="234">
        <f t="shared" si="7"/>
        <v>40879.292200000004</v>
      </c>
      <c r="J46" s="230">
        <f t="shared" si="1"/>
        <v>2.12</v>
      </c>
      <c r="K46" s="231">
        <f t="shared" si="2"/>
        <v>1.7068473870754719</v>
      </c>
      <c r="L46" s="226">
        <f t="shared" si="3"/>
        <v>3.6185164606000004</v>
      </c>
      <c r="M46" s="232">
        <f t="shared" si="5"/>
        <v>1.7565613886407769</v>
      </c>
      <c r="N46" s="192"/>
      <c r="O46" s="225">
        <v>45331.517361111109</v>
      </c>
      <c r="P46" s="226">
        <v>100</v>
      </c>
      <c r="Q46" s="226">
        <v>2.25</v>
      </c>
      <c r="R46" s="226">
        <f t="shared" si="8"/>
        <v>97.75</v>
      </c>
      <c r="S46" s="220">
        <v>2.08333E-3</v>
      </c>
      <c r="T46" s="226">
        <v>48000</v>
      </c>
      <c r="U46" s="233">
        <f t="shared" si="4"/>
        <v>2.0833333333333333E-3</v>
      </c>
      <c r="V46" s="232">
        <f>R46/(S46*$I$12)</f>
        <v>0.71556411522403363</v>
      </c>
      <c r="Y46" s="6"/>
      <c r="AC46" s="6"/>
      <c r="AD46" s="6"/>
    </row>
    <row r="47" spans="1:30">
      <c r="B47" s="225">
        <v>44340.327777777777</v>
      </c>
      <c r="C47" s="226">
        <v>1.03</v>
      </c>
      <c r="D47" s="226">
        <v>0.03</v>
      </c>
      <c r="E47" s="226">
        <f t="shared" si="9"/>
        <v>1</v>
      </c>
      <c r="F47" s="220">
        <v>2.6089999999999999E-5</v>
      </c>
      <c r="G47" s="226">
        <v>38328.86</v>
      </c>
      <c r="H47" s="220">
        <f t="shared" si="10"/>
        <v>2.6090001111434047E-5</v>
      </c>
      <c r="I47" s="234">
        <f t="shared" si="7"/>
        <v>40628.5916</v>
      </c>
      <c r="J47" s="230">
        <f t="shared" si="1"/>
        <v>1.06</v>
      </c>
      <c r="K47" s="231">
        <f t="shared" si="2"/>
        <v>1.7173794187735849</v>
      </c>
      <c r="L47" s="226">
        <f t="shared" si="3"/>
        <v>1.8204221839000001</v>
      </c>
      <c r="M47" s="232">
        <f t="shared" si="5"/>
        <v>1.7674001785436895</v>
      </c>
      <c r="N47" s="192"/>
      <c r="O47" s="225">
        <v>45343.87777777778</v>
      </c>
      <c r="P47" s="226">
        <v>10</v>
      </c>
      <c r="Q47" s="226">
        <v>0.22</v>
      </c>
      <c r="R47" s="226">
        <f t="shared" ref="R47:R57" si="11">P47-Q47</f>
        <v>9.7799999999999994</v>
      </c>
      <c r="S47" s="220">
        <v>1.9552E-4</v>
      </c>
      <c r="T47" s="226">
        <v>51144.81</v>
      </c>
      <c r="U47" s="233">
        <f t="shared" ref="U47:U62" si="12">P47/T47</f>
        <v>1.9552326032690317E-4</v>
      </c>
      <c r="V47" s="232">
        <f>R47/(S47*$I$12)</f>
        <v>0.76284713753288658</v>
      </c>
      <c r="Y47" s="6"/>
      <c r="AC47" s="6"/>
      <c r="AD47" s="6"/>
    </row>
    <row r="48" spans="1:30">
      <c r="B48" s="225">
        <v>44344.343055555553</v>
      </c>
      <c r="C48" s="226">
        <v>2.06</v>
      </c>
      <c r="D48" s="226">
        <v>0.06</v>
      </c>
      <c r="E48" s="226">
        <f t="shared" si="9"/>
        <v>2</v>
      </c>
      <c r="F48" s="220">
        <v>5.4219999999999999E-5</v>
      </c>
      <c r="G48" s="226">
        <v>36886.76</v>
      </c>
      <c r="H48" s="220">
        <f t="shared" si="10"/>
        <v>5.421999655160822E-5</v>
      </c>
      <c r="I48" s="234">
        <f t="shared" si="7"/>
        <v>39099.965600000003</v>
      </c>
      <c r="J48" s="230">
        <f t="shared" si="1"/>
        <v>2.12</v>
      </c>
      <c r="K48" s="231">
        <f t="shared" si="2"/>
        <v>1.7845211208490566</v>
      </c>
      <c r="L48" s="226">
        <f t="shared" si="3"/>
        <v>3.7831847762000002</v>
      </c>
      <c r="M48" s="232">
        <f t="shared" si="5"/>
        <v>1.8364974641747573</v>
      </c>
      <c r="N48" s="192"/>
      <c r="O48" s="225">
        <v>45349.59652777778</v>
      </c>
      <c r="P48" s="226">
        <v>10</v>
      </c>
      <c r="Q48" s="226">
        <v>0.22</v>
      </c>
      <c r="R48" s="226">
        <f t="shared" si="11"/>
        <v>9.7799999999999994</v>
      </c>
      <c r="S48" s="220">
        <v>1.7593E-4</v>
      </c>
      <c r="T48" s="226">
        <v>56841.63</v>
      </c>
      <c r="U48" s="233">
        <f t="shared" si="12"/>
        <v>1.7592739687443868E-4</v>
      </c>
      <c r="V48" s="232">
        <f>R48/(S48*$I$12)</f>
        <v>0.84779100966537801</v>
      </c>
      <c r="Y48" s="6"/>
      <c r="AC48" s="6"/>
      <c r="AD48" s="6"/>
    </row>
    <row r="49" spans="1:30">
      <c r="B49" s="225">
        <v>44344.750694444447</v>
      </c>
      <c r="C49" s="226">
        <v>2.06</v>
      </c>
      <c r="D49" s="226">
        <v>0.06</v>
      </c>
      <c r="E49" s="226">
        <f t="shared" si="9"/>
        <v>2</v>
      </c>
      <c r="F49" s="220">
        <v>5.715E-5</v>
      </c>
      <c r="G49" s="226">
        <v>34995.629999999997</v>
      </c>
      <c r="H49" s="220">
        <f t="shared" si="10"/>
        <v>5.7149992727663431E-5</v>
      </c>
      <c r="I49" s="234">
        <f t="shared" si="7"/>
        <v>37095.3678</v>
      </c>
      <c r="J49" s="230">
        <f t="shared" si="1"/>
        <v>2.12</v>
      </c>
      <c r="K49" s="231">
        <f t="shared" si="2"/>
        <v>1.8809550360849057</v>
      </c>
      <c r="L49" s="226">
        <f t="shared" ref="L49:L80" si="13">F49*$L$5</f>
        <v>3.9876246765000003</v>
      </c>
      <c r="M49" s="232">
        <f t="shared" si="5"/>
        <v>1.9357401342233012</v>
      </c>
      <c r="N49" s="192"/>
      <c r="O49" s="225">
        <v>45355.107638888891</v>
      </c>
      <c r="P49" s="226">
        <v>15.87</v>
      </c>
      <c r="Q49" s="226">
        <v>0.36</v>
      </c>
      <c r="R49" s="226">
        <f t="shared" si="11"/>
        <v>15.51</v>
      </c>
      <c r="S49" s="220">
        <v>2.4415E-4</v>
      </c>
      <c r="T49" s="226">
        <v>65000</v>
      </c>
      <c r="U49" s="233">
        <f t="shared" si="12"/>
        <v>2.4415384615384615E-4</v>
      </c>
      <c r="V49" s="232">
        <f>R49/(S49*$I$12)</f>
        <v>0.96882407846469087</v>
      </c>
      <c r="AC49" s="6"/>
      <c r="AD49" s="6"/>
    </row>
    <row r="50" spans="1:30">
      <c r="A50" s="105"/>
      <c r="B50" s="225">
        <v>44354.834722222222</v>
      </c>
      <c r="C50" s="226">
        <v>2.06</v>
      </c>
      <c r="D50" s="226">
        <v>0.06</v>
      </c>
      <c r="E50" s="226">
        <f t="shared" si="9"/>
        <v>2</v>
      </c>
      <c r="F50" s="220">
        <v>5.9509999999999998E-5</v>
      </c>
      <c r="G50" s="226">
        <v>33607.800000000003</v>
      </c>
      <c r="H50" s="220">
        <f t="shared" si="10"/>
        <v>5.9509994703610464E-5</v>
      </c>
      <c r="I50" s="234">
        <f t="shared" si="7"/>
        <v>35624.268000000004</v>
      </c>
      <c r="J50" s="230">
        <f t="shared" si="1"/>
        <v>2.12</v>
      </c>
      <c r="K50" s="231">
        <f t="shared" si="2"/>
        <v>1.9586287698584908</v>
      </c>
      <c r="L50" s="226">
        <f t="shared" si="13"/>
        <v>4.1522929921000005</v>
      </c>
      <c r="M50" s="232">
        <f t="shared" si="5"/>
        <v>2.0156762097572818</v>
      </c>
      <c r="N50" s="192"/>
      <c r="O50" s="225">
        <v>45358.531944444447</v>
      </c>
      <c r="P50" s="226">
        <v>7.77</v>
      </c>
      <c r="Q50" s="226">
        <v>0.23</v>
      </c>
      <c r="R50" s="226">
        <f t="shared" si="11"/>
        <v>7.5399999999999991</v>
      </c>
      <c r="S50" s="220">
        <v>1.1464E-4</v>
      </c>
      <c r="T50" s="226">
        <v>67776.66</v>
      </c>
      <c r="U50" s="233">
        <f t="shared" si="12"/>
        <v>1.1464123490298872E-4</v>
      </c>
      <c r="V50" s="232">
        <f t="shared" ref="V50:V59" si="14">R50/(S50*$I$12)</f>
        <v>1.0030556376460087</v>
      </c>
      <c r="AC50" s="6"/>
      <c r="AD50" s="6"/>
    </row>
    <row r="51" spans="1:30">
      <c r="B51" s="225">
        <v>44367.314583333333</v>
      </c>
      <c r="C51" s="226">
        <v>2.06</v>
      </c>
      <c r="D51" s="226">
        <v>0.06</v>
      </c>
      <c r="E51" s="226">
        <f t="shared" si="9"/>
        <v>2</v>
      </c>
      <c r="F51" s="220">
        <v>5.9500000000000003E-5</v>
      </c>
      <c r="G51" s="226">
        <v>33613.449999999997</v>
      </c>
      <c r="H51" s="220">
        <f t="shared" si="10"/>
        <v>5.9499991818751132E-5</v>
      </c>
      <c r="I51" s="234">
        <f t="shared" si="7"/>
        <v>35630.256999999998</v>
      </c>
      <c r="J51" s="230">
        <f t="shared" si="1"/>
        <v>2.12</v>
      </c>
      <c r="K51" s="231">
        <f t="shared" si="2"/>
        <v>1.9582996438679245</v>
      </c>
      <c r="L51" s="226">
        <f t="shared" si="13"/>
        <v>4.1515952450000002</v>
      </c>
      <c r="M51" s="232">
        <f t="shared" si="5"/>
        <v>2.0153374975728156</v>
      </c>
      <c r="N51" s="192"/>
      <c r="O51" s="225">
        <v>45359.395138888889</v>
      </c>
      <c r="P51" s="226">
        <v>11.69</v>
      </c>
      <c r="Q51" s="226">
        <v>0.26</v>
      </c>
      <c r="R51" s="226">
        <f t="shared" si="11"/>
        <v>11.43</v>
      </c>
      <c r="S51" s="220">
        <v>1.6773999999999999E-4</v>
      </c>
      <c r="T51" s="226">
        <v>69691.69</v>
      </c>
      <c r="U51" s="233">
        <f t="shared" si="12"/>
        <v>1.6773879353478154E-4</v>
      </c>
      <c r="V51" s="232">
        <f t="shared" si="14"/>
        <v>1.039200737884109</v>
      </c>
      <c r="AC51" s="6"/>
      <c r="AD51" s="6"/>
    </row>
    <row r="52" spans="1:30">
      <c r="B52" s="225">
        <v>44368.525000000001</v>
      </c>
      <c r="C52" s="226">
        <v>2.06</v>
      </c>
      <c r="D52" s="226">
        <v>0.06</v>
      </c>
      <c r="E52" s="226">
        <f t="shared" si="9"/>
        <v>2</v>
      </c>
      <c r="F52" s="220">
        <v>6.1539999999999997E-5</v>
      </c>
      <c r="G52" s="226">
        <v>32499.19</v>
      </c>
      <c r="H52" s="220">
        <f t="shared" si="10"/>
        <v>6.153999530449836E-5</v>
      </c>
      <c r="I52" s="234">
        <f t="shared" si="7"/>
        <v>34449.1414</v>
      </c>
      <c r="J52" s="230">
        <f t="shared" si="1"/>
        <v>2.12</v>
      </c>
      <c r="K52" s="231">
        <f t="shared" si="2"/>
        <v>2.0254413459433964</v>
      </c>
      <c r="L52" s="226">
        <f t="shared" si="13"/>
        <v>4.2939356534000002</v>
      </c>
      <c r="M52" s="232">
        <f t="shared" si="5"/>
        <v>2.0844347832038834</v>
      </c>
      <c r="N52" s="192"/>
      <c r="O52" s="225">
        <v>45375.7</v>
      </c>
      <c r="P52" s="226">
        <v>20</v>
      </c>
      <c r="Q52" s="226">
        <v>0.45</v>
      </c>
      <c r="R52" s="226">
        <f t="shared" si="11"/>
        <v>19.55</v>
      </c>
      <c r="S52" s="220">
        <v>2.8571E-4</v>
      </c>
      <c r="T52" s="226">
        <v>70000</v>
      </c>
      <c r="U52" s="233">
        <f t="shared" si="12"/>
        <v>2.8571428571428574E-4</v>
      </c>
      <c r="V52" s="232">
        <f t="shared" si="14"/>
        <v>1.0435449848935536</v>
      </c>
      <c r="AC52" s="6"/>
      <c r="AD52" s="6"/>
    </row>
    <row r="53" spans="1:30">
      <c r="B53" s="225">
        <v>44369.380555555559</v>
      </c>
      <c r="C53" s="226">
        <v>4.12</v>
      </c>
      <c r="D53" s="226">
        <v>0.12</v>
      </c>
      <c r="E53" s="226">
        <f t="shared" si="9"/>
        <v>4</v>
      </c>
      <c r="F53" s="220">
        <v>1.3752E-4</v>
      </c>
      <c r="G53" s="226">
        <v>29086.68</v>
      </c>
      <c r="H53" s="220">
        <f t="shared" si="10"/>
        <v>1.3751999196883247E-4</v>
      </c>
      <c r="I53" s="234">
        <f t="shared" si="7"/>
        <v>30831.880800000003</v>
      </c>
      <c r="J53" s="230">
        <f t="shared" si="1"/>
        <v>4.24</v>
      </c>
      <c r="K53" s="231">
        <f t="shared" si="2"/>
        <v>2.2630703111320756</v>
      </c>
      <c r="L53" s="226">
        <f t="shared" si="13"/>
        <v>9.5954181192000014</v>
      </c>
      <c r="M53" s="232">
        <f t="shared" si="5"/>
        <v>2.3289849803883498</v>
      </c>
      <c r="N53" s="192"/>
      <c r="O53" s="225">
        <v>45427.644444444442</v>
      </c>
      <c r="P53" s="226">
        <v>10</v>
      </c>
      <c r="Q53" s="226">
        <v>0.22</v>
      </c>
      <c r="R53" s="226">
        <f t="shared" si="11"/>
        <v>9.7799999999999994</v>
      </c>
      <c r="S53" s="220">
        <v>1.5138E-4</v>
      </c>
      <c r="T53" s="226">
        <v>66060</v>
      </c>
      <c r="U53" s="233">
        <f t="shared" si="12"/>
        <v>1.5137753557372085E-4</v>
      </c>
      <c r="V53" s="232">
        <f t="shared" si="14"/>
        <v>0.98528122823642472</v>
      </c>
      <c r="AC53" s="6"/>
      <c r="AD53" s="6"/>
    </row>
    <row r="54" spans="1:30">
      <c r="A54" s="105"/>
      <c r="B54" s="225">
        <v>44392.614583333336</v>
      </c>
      <c r="C54" s="226">
        <v>4.12</v>
      </c>
      <c r="D54" s="226">
        <v>0.12</v>
      </c>
      <c r="E54" s="226">
        <f t="shared" si="9"/>
        <v>4</v>
      </c>
      <c r="F54" s="220">
        <v>1.2695999999999999E-4</v>
      </c>
      <c r="G54" s="226">
        <v>31505.99</v>
      </c>
      <c r="H54" s="220">
        <f t="shared" si="10"/>
        <v>1.269599844347059E-4</v>
      </c>
      <c r="I54" s="234">
        <f t="shared" si="7"/>
        <v>33396.349400000006</v>
      </c>
      <c r="J54" s="230">
        <f t="shared" si="1"/>
        <v>4.24</v>
      </c>
      <c r="K54" s="231">
        <f t="shared" si="2"/>
        <v>2.0892917881132074</v>
      </c>
      <c r="L54" s="226">
        <f t="shared" si="13"/>
        <v>8.8585971816000004</v>
      </c>
      <c r="M54" s="232">
        <f t="shared" si="5"/>
        <v>2.1501449469902911</v>
      </c>
      <c r="N54" s="192"/>
      <c r="O54" s="225">
        <v>45462.635416666664</v>
      </c>
      <c r="P54" s="226">
        <v>12</v>
      </c>
      <c r="Q54" s="226">
        <v>0.27</v>
      </c>
      <c r="R54" s="226">
        <f t="shared" si="11"/>
        <v>11.73</v>
      </c>
      <c r="S54" s="220">
        <v>1.8611999999999999E-4</v>
      </c>
      <c r="T54" s="226">
        <v>64473.57</v>
      </c>
      <c r="U54" s="233">
        <f t="shared" si="12"/>
        <v>1.8612277868279979E-4</v>
      </c>
      <c r="V54" s="232">
        <f t="shared" si="14"/>
        <v>0.96115808392629687</v>
      </c>
      <c r="AC54" s="6"/>
      <c r="AD54" s="6"/>
    </row>
    <row r="55" spans="1:30">
      <c r="B55" s="225">
        <v>44404.881944444445</v>
      </c>
      <c r="C55" s="226">
        <v>4.12</v>
      </c>
      <c r="D55" s="226">
        <v>0.12</v>
      </c>
      <c r="E55" s="226">
        <f t="shared" si="9"/>
        <v>4</v>
      </c>
      <c r="F55" s="220">
        <v>1.0009E-4</v>
      </c>
      <c r="G55" s="226">
        <v>39964.03</v>
      </c>
      <c r="H55" s="220">
        <f t="shared" si="10"/>
        <v>1.000900059378396E-4</v>
      </c>
      <c r="I55" s="234">
        <f t="shared" si="7"/>
        <v>42361.871800000001</v>
      </c>
      <c r="J55" s="230">
        <f t="shared" si="1"/>
        <v>4.24</v>
      </c>
      <c r="K55" s="231">
        <f t="shared" si="2"/>
        <v>1.6471110197877359</v>
      </c>
      <c r="L55" s="226">
        <f t="shared" si="13"/>
        <v>6.983750723900001</v>
      </c>
      <c r="M55" s="232">
        <f t="shared" si="5"/>
        <v>1.6950851271601943</v>
      </c>
      <c r="N55" s="192"/>
      <c r="O55" s="225">
        <v>45470.384027777778</v>
      </c>
      <c r="P55" s="226">
        <v>50</v>
      </c>
      <c r="Q55" s="226">
        <v>1.1200000000000001</v>
      </c>
      <c r="R55" s="226">
        <f t="shared" si="11"/>
        <v>48.88</v>
      </c>
      <c r="S55" s="220">
        <v>8.0730999999999999E-4</v>
      </c>
      <c r="T55" s="226">
        <v>61934.34</v>
      </c>
      <c r="U55" s="233">
        <f t="shared" si="12"/>
        <v>8.0730657661000349E-4</v>
      </c>
      <c r="V55" s="232">
        <f t="shared" si="14"/>
        <v>0.92338054477004428</v>
      </c>
      <c r="AC55" s="6"/>
      <c r="AD55" s="6"/>
    </row>
    <row r="56" spans="1:30">
      <c r="A56" s="105"/>
      <c r="B56" s="225">
        <v>44409.811111111114</v>
      </c>
      <c r="C56" s="226">
        <v>2.06</v>
      </c>
      <c r="D56" s="226">
        <v>0.06</v>
      </c>
      <c r="E56" s="226">
        <f t="shared" si="9"/>
        <v>2</v>
      </c>
      <c r="F56" s="220">
        <v>5.0080000000000002E-5</v>
      </c>
      <c r="G56" s="226">
        <v>39936.1</v>
      </c>
      <c r="H56" s="220">
        <f t="shared" si="10"/>
        <v>5.008000280448016E-5</v>
      </c>
      <c r="I56" s="234">
        <f t="shared" si="7"/>
        <v>42332.266000000003</v>
      </c>
      <c r="J56" s="230">
        <f t="shared" si="1"/>
        <v>2.12</v>
      </c>
      <c r="K56" s="231">
        <f t="shared" si="2"/>
        <v>1.6482629607547172</v>
      </c>
      <c r="L56" s="226">
        <f t="shared" si="13"/>
        <v>3.4943174768000005</v>
      </c>
      <c r="M56" s="232">
        <f t="shared" si="5"/>
        <v>1.6962706198058255</v>
      </c>
      <c r="N56" s="192"/>
      <c r="O56" s="225">
        <v>45606.484027777777</v>
      </c>
      <c r="P56" s="226">
        <v>80</v>
      </c>
      <c r="Q56" s="226">
        <v>1.8</v>
      </c>
      <c r="R56" s="226">
        <f t="shared" si="11"/>
        <v>78.2</v>
      </c>
      <c r="S56" s="220">
        <v>1E-3</v>
      </c>
      <c r="T56" s="226">
        <v>80000</v>
      </c>
      <c r="U56" s="233">
        <f t="shared" si="12"/>
        <v>1E-3</v>
      </c>
      <c r="V56" s="232">
        <f t="shared" si="14"/>
        <v>1.192604950535749</v>
      </c>
      <c r="AC56" s="6"/>
      <c r="AD56" s="6"/>
    </row>
    <row r="57" spans="1:30">
      <c r="B57" s="225">
        <v>44413.844444444447</v>
      </c>
      <c r="C57" s="226">
        <v>2.06</v>
      </c>
      <c r="D57" s="226">
        <v>0.06</v>
      </c>
      <c r="E57" s="226">
        <f t="shared" si="9"/>
        <v>2</v>
      </c>
      <c r="F57" s="220">
        <v>5.0009999999999997E-5</v>
      </c>
      <c r="G57" s="226">
        <v>39992</v>
      </c>
      <c r="H57" s="220">
        <f t="shared" si="10"/>
        <v>5.001000200040008E-5</v>
      </c>
      <c r="I57" s="234">
        <f t="shared" si="7"/>
        <v>42391.520000000004</v>
      </c>
      <c r="J57" s="230">
        <f t="shared" si="1"/>
        <v>2.12</v>
      </c>
      <c r="K57" s="231">
        <f t="shared" si="2"/>
        <v>1.6459590788207545</v>
      </c>
      <c r="L57" s="226">
        <f t="shared" si="13"/>
        <v>3.4894332471</v>
      </c>
      <c r="M57" s="232">
        <f t="shared" si="5"/>
        <v>1.6938996345145632</v>
      </c>
      <c r="N57" s="192"/>
      <c r="O57" s="225">
        <v>45609.371527777781</v>
      </c>
      <c r="P57" s="226">
        <v>100</v>
      </c>
      <c r="Q57" s="226">
        <v>2.2599999999999998</v>
      </c>
      <c r="R57" s="226">
        <f t="shared" si="11"/>
        <v>97.74</v>
      </c>
      <c r="S57" s="220">
        <v>1.0968099999999999E-3</v>
      </c>
      <c r="T57" s="226">
        <v>91173.38</v>
      </c>
      <c r="U57" s="233">
        <f t="shared" si="12"/>
        <v>1.0968113719157938E-3</v>
      </c>
      <c r="V57" s="232">
        <f t="shared" si="14"/>
        <v>1.3590354584137303</v>
      </c>
      <c r="AC57" s="6"/>
      <c r="AD57" s="6"/>
    </row>
    <row r="58" spans="1:30">
      <c r="B58" s="225">
        <v>44416.844444444447</v>
      </c>
      <c r="C58" s="226">
        <v>4.12</v>
      </c>
      <c r="D58" s="226">
        <v>0.12</v>
      </c>
      <c r="E58" s="226">
        <f t="shared" si="9"/>
        <v>4</v>
      </c>
      <c r="F58" s="220">
        <v>9.3129999999999998E-5</v>
      </c>
      <c r="G58" s="226">
        <v>42950.71</v>
      </c>
      <c r="H58" s="220">
        <f t="shared" si="10"/>
        <v>9.313000879380108E-5</v>
      </c>
      <c r="I58" s="234">
        <f t="shared" si="7"/>
        <v>45527.7526</v>
      </c>
      <c r="J58" s="230">
        <f t="shared" si="1"/>
        <v>4.24</v>
      </c>
      <c r="K58" s="231">
        <f t="shared" si="2"/>
        <v>1.5325751750707548</v>
      </c>
      <c r="L58" s="226">
        <f t="shared" si="13"/>
        <v>6.4981187423000009</v>
      </c>
      <c r="M58" s="232">
        <f t="shared" si="5"/>
        <v>1.5772132869660196</v>
      </c>
      <c r="N58" s="192"/>
      <c r="O58" s="225">
        <v>45620.415972222225</v>
      </c>
      <c r="P58" s="226">
        <v>100</v>
      </c>
      <c r="Q58" s="226">
        <v>2.2599999999999998</v>
      </c>
      <c r="R58" s="226">
        <f t="shared" ref="R58:R64" si="15">P58-Q58</f>
        <v>97.74</v>
      </c>
      <c r="S58" s="220">
        <v>1.04167E-3</v>
      </c>
      <c r="T58" s="226">
        <v>96000</v>
      </c>
      <c r="U58" s="233">
        <f t="shared" si="12"/>
        <v>1.0416666666666667E-3</v>
      </c>
      <c r="V58" s="232">
        <f t="shared" si="14"/>
        <v>1.4309749547771977</v>
      </c>
    </row>
    <row r="59" spans="1:30">
      <c r="B59" s="225">
        <v>44420.460416666669</v>
      </c>
      <c r="C59" s="226">
        <v>4.12</v>
      </c>
      <c r="D59" s="226">
        <v>0.12</v>
      </c>
      <c r="E59" s="226">
        <f t="shared" si="9"/>
        <v>4</v>
      </c>
      <c r="F59" s="220">
        <v>9.0719999999999999E-5</v>
      </c>
      <c r="G59" s="226">
        <v>44091.71</v>
      </c>
      <c r="H59" s="220">
        <f t="shared" si="10"/>
        <v>9.0720001560384023E-5</v>
      </c>
      <c r="I59" s="234">
        <f t="shared" si="7"/>
        <v>46737.212599999999</v>
      </c>
      <c r="J59" s="230">
        <f t="shared" si="1"/>
        <v>4.24</v>
      </c>
      <c r="K59" s="231">
        <f t="shared" si="2"/>
        <v>1.4929154932075472</v>
      </c>
      <c r="L59" s="226">
        <f t="shared" si="13"/>
        <v>6.3299616912000003</v>
      </c>
      <c r="M59" s="232">
        <f t="shared" si="5"/>
        <v>1.536398468737864</v>
      </c>
      <c r="N59" s="192"/>
      <c r="O59" s="225">
        <v>45621.94027777778</v>
      </c>
      <c r="P59" s="226">
        <v>117</v>
      </c>
      <c r="Q59" s="226">
        <v>2.34</v>
      </c>
      <c r="R59" s="226">
        <f t="shared" si="15"/>
        <v>114.66</v>
      </c>
      <c r="S59" s="220">
        <v>1.1965999999999999E-3</v>
      </c>
      <c r="T59" s="226">
        <v>97777</v>
      </c>
      <c r="U59" s="233">
        <f t="shared" si="12"/>
        <v>1.1966004275034007E-3</v>
      </c>
      <c r="V59" s="232">
        <f t="shared" si="14"/>
        <v>1.4613451200869318</v>
      </c>
    </row>
    <row r="60" spans="1:30">
      <c r="B60" s="225">
        <v>44420.488888888889</v>
      </c>
      <c r="C60" s="226">
        <v>4.12</v>
      </c>
      <c r="D60" s="226">
        <v>0.12</v>
      </c>
      <c r="E60" s="226">
        <f t="shared" si="9"/>
        <v>4</v>
      </c>
      <c r="F60" s="220">
        <v>9.0970000000000005E-5</v>
      </c>
      <c r="G60" s="226">
        <v>43970.54</v>
      </c>
      <c r="H60" s="220">
        <f t="shared" si="10"/>
        <v>9.0969999458728496E-5</v>
      </c>
      <c r="I60" s="234">
        <f t="shared" si="7"/>
        <v>46608.772400000002</v>
      </c>
      <c r="J60" s="230">
        <f t="shared" si="1"/>
        <v>4.24</v>
      </c>
      <c r="K60" s="231">
        <f t="shared" si="2"/>
        <v>1.4970295680896226</v>
      </c>
      <c r="L60" s="226">
        <f t="shared" si="13"/>
        <v>6.3474053687000005</v>
      </c>
      <c r="M60" s="232">
        <f t="shared" si="5"/>
        <v>1.5406323710436893</v>
      </c>
      <c r="N60" s="192"/>
      <c r="O60" s="225">
        <v>45641.547222222223</v>
      </c>
      <c r="P60" s="226">
        <v>33.33</v>
      </c>
      <c r="Q60" s="226">
        <v>0.75</v>
      </c>
      <c r="R60" s="226">
        <f t="shared" si="15"/>
        <v>32.58</v>
      </c>
      <c r="S60" s="220">
        <v>3.2255000000000001E-4</v>
      </c>
      <c r="T60" s="226">
        <v>103333.33</v>
      </c>
      <c r="U60" s="233">
        <f t="shared" si="12"/>
        <v>3.2254839750156121E-4</v>
      </c>
      <c r="V60" s="232">
        <f>R60/(S60*$I$12)</f>
        <v>1.5404368120113299</v>
      </c>
    </row>
    <row r="61" spans="1:30">
      <c r="B61" s="225">
        <v>44425.656944444447</v>
      </c>
      <c r="C61" s="226">
        <v>10.23</v>
      </c>
      <c r="D61" s="226">
        <v>0.23</v>
      </c>
      <c r="E61" s="226">
        <f t="shared" si="9"/>
        <v>10</v>
      </c>
      <c r="F61" s="220">
        <v>2.2268E-4</v>
      </c>
      <c r="G61" s="226">
        <v>44907.49</v>
      </c>
      <c r="H61" s="220">
        <f t="shared" si="10"/>
        <v>2.2268000282358243E-4</v>
      </c>
      <c r="I61" s="234">
        <f t="shared" si="7"/>
        <v>46973.234540000005</v>
      </c>
      <c r="J61" s="230">
        <f t="shared" si="1"/>
        <v>10.46</v>
      </c>
      <c r="K61" s="231">
        <f t="shared" si="2"/>
        <v>1.4854141895602295</v>
      </c>
      <c r="L61" s="226">
        <f t="shared" si="13"/>
        <v>15.537432422800002</v>
      </c>
      <c r="M61" s="232">
        <f t="shared" si="5"/>
        <v>1.5188105985141742</v>
      </c>
      <c r="N61" s="192"/>
      <c r="O61" s="225">
        <v>45642.520833333336</v>
      </c>
      <c r="P61" s="226">
        <v>7.77</v>
      </c>
      <c r="Q61" s="226">
        <v>0.23</v>
      </c>
      <c r="R61" s="226">
        <f t="shared" si="15"/>
        <v>7.5399999999999991</v>
      </c>
      <c r="S61" s="220">
        <v>7.2089999999999996E-5</v>
      </c>
      <c r="T61" s="226">
        <v>107777.77</v>
      </c>
      <c r="U61" s="233">
        <f t="shared" si="12"/>
        <v>7.2092788707727018E-5</v>
      </c>
      <c r="V61" s="232">
        <f>R61/(S61*$I$12)</f>
        <v>1.5950936093735393</v>
      </c>
    </row>
    <row r="62" spans="1:30">
      <c r="B62" s="225">
        <v>44426.92083333333</v>
      </c>
      <c r="C62" s="226">
        <v>4.12</v>
      </c>
      <c r="D62" s="226">
        <v>0.12</v>
      </c>
      <c r="E62" s="226">
        <f t="shared" si="9"/>
        <v>4</v>
      </c>
      <c r="F62" s="220">
        <v>8.9770000000000003E-5</v>
      </c>
      <c r="G62" s="226">
        <v>44558.32</v>
      </c>
      <c r="H62" s="220">
        <f t="shared" si="10"/>
        <v>8.9769991328218841E-5</v>
      </c>
      <c r="I62" s="234">
        <f t="shared" si="7"/>
        <v>47231.819200000005</v>
      </c>
      <c r="J62" s="230">
        <f t="shared" si="1"/>
        <v>4.24</v>
      </c>
      <c r="K62" s="231">
        <f t="shared" si="2"/>
        <v>1.4772820086556604</v>
      </c>
      <c r="L62" s="226">
        <f t="shared" si="13"/>
        <v>6.2636757167000008</v>
      </c>
      <c r="M62" s="232">
        <f t="shared" si="5"/>
        <v>1.5203096399757283</v>
      </c>
      <c r="N62" s="192"/>
      <c r="O62" s="225">
        <v>45788.577777777777</v>
      </c>
      <c r="P62" s="226">
        <v>48</v>
      </c>
      <c r="Q62" s="226">
        <v>1.08</v>
      </c>
      <c r="R62" s="226">
        <f t="shared" si="15"/>
        <v>46.92</v>
      </c>
      <c r="S62" s="220">
        <v>4.5802000000000001E-4</v>
      </c>
      <c r="T62" s="226">
        <v>104800</v>
      </c>
      <c r="U62" s="233">
        <f t="shared" si="12"/>
        <v>4.580152671755725E-4</v>
      </c>
      <c r="V62" s="232">
        <f>R62/(S62*$I$12)</f>
        <v>1.5622963414729694</v>
      </c>
    </row>
    <row r="63" spans="1:30">
      <c r="A63" s="105"/>
      <c r="B63" s="225">
        <v>44446.595833333333</v>
      </c>
      <c r="C63" s="226">
        <v>10.23</v>
      </c>
      <c r="D63" s="226">
        <v>0.23</v>
      </c>
      <c r="E63" s="226">
        <f t="shared" si="9"/>
        <v>10</v>
      </c>
      <c r="F63" s="220">
        <v>2.1211E-4</v>
      </c>
      <c r="G63" s="226">
        <v>47145.35</v>
      </c>
      <c r="H63" s="220">
        <f t="shared" si="10"/>
        <v>2.1210999600172658E-4</v>
      </c>
      <c r="I63" s="234">
        <f t="shared" si="7"/>
        <v>49314.036100000005</v>
      </c>
      <c r="J63" s="230">
        <f t="shared" si="1"/>
        <v>10.46</v>
      </c>
      <c r="K63" s="231">
        <f t="shared" si="2"/>
        <v>1.4149057110994263</v>
      </c>
      <c r="L63" s="226">
        <f t="shared" si="13"/>
        <v>14.799913738100001</v>
      </c>
      <c r="M63" s="232">
        <f t="shared" si="5"/>
        <v>1.4467168854447703</v>
      </c>
      <c r="N63" s="192"/>
      <c r="O63" s="225">
        <v>45798.945833333331</v>
      </c>
      <c r="P63" s="226">
        <v>25</v>
      </c>
      <c r="Q63" s="226">
        <v>0.99</v>
      </c>
      <c r="R63" s="226">
        <f t="shared" si="15"/>
        <v>24.01</v>
      </c>
      <c r="S63" s="220">
        <v>2.2523000000000001E-4</v>
      </c>
      <c r="T63" s="226">
        <v>111000</v>
      </c>
      <c r="U63" s="233">
        <f>P63/T63</f>
        <v>2.2522522522522523E-4</v>
      </c>
      <c r="V63" s="232">
        <f>R63/(S63*$I$12)</f>
        <v>1.625757544028215</v>
      </c>
    </row>
    <row r="64" spans="1:30">
      <c r="B64" s="225">
        <v>44447.04583333333</v>
      </c>
      <c r="C64" s="226">
        <v>10.23</v>
      </c>
      <c r="D64" s="226">
        <v>0.23</v>
      </c>
      <c r="E64" s="226">
        <f t="shared" si="9"/>
        <v>10</v>
      </c>
      <c r="F64" s="220">
        <v>2.1610999999999999E-4</v>
      </c>
      <c r="G64" s="226">
        <v>46272.73</v>
      </c>
      <c r="H64" s="220">
        <f t="shared" si="10"/>
        <v>2.1611000690903692E-4</v>
      </c>
      <c r="I64" s="234">
        <f t="shared" si="7"/>
        <v>48401.275580000009</v>
      </c>
      <c r="J64" s="230">
        <f t="shared" si="1"/>
        <v>10.46</v>
      </c>
      <c r="K64" s="231">
        <f t="shared" si="2"/>
        <v>1.4415882005831739</v>
      </c>
      <c r="L64" s="226">
        <f t="shared" si="13"/>
        <v>15.0790125781</v>
      </c>
      <c r="M64" s="232">
        <f t="shared" si="5"/>
        <v>1.4739992744965786</v>
      </c>
      <c r="N64" s="192"/>
      <c r="O64" s="225">
        <v>45818.713194444441</v>
      </c>
      <c r="P64" s="226">
        <v>50</v>
      </c>
      <c r="Q64" s="226">
        <v>1.49</v>
      </c>
      <c r="R64" s="226">
        <f t="shared" si="15"/>
        <v>48.51</v>
      </c>
      <c r="S64" s="220">
        <v>4.2991999999999998E-4</v>
      </c>
      <c r="T64" s="226">
        <v>116300</v>
      </c>
      <c r="U64" s="233">
        <f>P64/T64</f>
        <v>4.299226139294927E-4</v>
      </c>
      <c r="V64" s="232">
        <f>R64/(S64*$I$12)</f>
        <v>1.7208122153009011</v>
      </c>
    </row>
    <row r="65" spans="1:22">
      <c r="B65" s="225">
        <v>44449.78402777778</v>
      </c>
      <c r="C65" s="226">
        <v>5.15</v>
      </c>
      <c r="D65" s="226">
        <v>0.15</v>
      </c>
      <c r="E65" s="226">
        <f t="shared" si="9"/>
        <v>5</v>
      </c>
      <c r="F65" s="220">
        <v>1.117E-4</v>
      </c>
      <c r="G65" s="226">
        <v>44762.76</v>
      </c>
      <c r="H65" s="220">
        <f t="shared" si="10"/>
        <v>1.1169999347672038E-4</v>
      </c>
      <c r="I65" s="234">
        <f t="shared" si="7"/>
        <v>47448.525600000008</v>
      </c>
      <c r="J65" s="230">
        <f t="shared" si="1"/>
        <v>5.3000000000000007</v>
      </c>
      <c r="K65" s="231">
        <f t="shared" si="2"/>
        <v>1.4705349258490568</v>
      </c>
      <c r="L65" s="226">
        <f t="shared" si="13"/>
        <v>7.7938351070000014</v>
      </c>
      <c r="M65" s="232">
        <f t="shared" si="5"/>
        <v>1.5133660401941749</v>
      </c>
      <c r="N65" s="192"/>
      <c r="O65" s="225"/>
      <c r="P65" s="226"/>
      <c r="Q65" s="226"/>
      <c r="R65" s="226"/>
      <c r="S65" s="220"/>
      <c r="T65" s="226"/>
      <c r="U65" s="233"/>
      <c r="V65" s="232"/>
    </row>
    <row r="66" spans="1:22">
      <c r="B66" s="225">
        <v>44452.400694444441</v>
      </c>
      <c r="C66" s="226">
        <v>10.23</v>
      </c>
      <c r="D66" s="226">
        <v>0.23</v>
      </c>
      <c r="E66" s="226">
        <f t="shared" si="9"/>
        <v>10</v>
      </c>
      <c r="F66" s="220">
        <v>2.2758000000000001E-4</v>
      </c>
      <c r="G66" s="226">
        <v>43940.59</v>
      </c>
      <c r="H66" s="220">
        <f t="shared" si="10"/>
        <v>2.2758001201167306E-4</v>
      </c>
      <c r="I66" s="234">
        <f t="shared" si="7"/>
        <v>45961.85714</v>
      </c>
      <c r="J66" s="230">
        <f t="shared" si="1"/>
        <v>10.46</v>
      </c>
      <c r="K66" s="231">
        <f t="shared" si="2"/>
        <v>1.5181002391778202</v>
      </c>
      <c r="L66" s="226">
        <f t="shared" si="13"/>
        <v>15.879328501800002</v>
      </c>
      <c r="M66" s="232">
        <f t="shared" si="5"/>
        <v>1.5522315251026393</v>
      </c>
      <c r="N66" s="192"/>
      <c r="O66" s="225"/>
      <c r="P66" s="226"/>
      <c r="Q66" s="226"/>
      <c r="R66" s="226"/>
      <c r="S66" s="220"/>
      <c r="T66" s="226"/>
      <c r="U66" s="233"/>
      <c r="V66" s="232"/>
    </row>
    <row r="67" spans="1:22">
      <c r="B67" s="225">
        <v>44459.581944444442</v>
      </c>
      <c r="C67" s="226">
        <v>10.23</v>
      </c>
      <c r="D67" s="226">
        <v>0.23</v>
      </c>
      <c r="E67" s="226">
        <f t="shared" si="9"/>
        <v>10</v>
      </c>
      <c r="F67" s="220">
        <v>2.3064E-4</v>
      </c>
      <c r="G67" s="226">
        <v>43357.61</v>
      </c>
      <c r="H67" s="220">
        <f t="shared" si="10"/>
        <v>2.3064001913389599E-4</v>
      </c>
      <c r="I67" s="234">
        <f t="shared" si="7"/>
        <v>45352.060060000003</v>
      </c>
      <c r="J67" s="230">
        <f t="shared" si="1"/>
        <v>10.46</v>
      </c>
      <c r="K67" s="231">
        <f t="shared" si="2"/>
        <v>1.5385123436328871</v>
      </c>
      <c r="L67" s="226">
        <f t="shared" si="13"/>
        <v>16.0928391144</v>
      </c>
      <c r="M67" s="232">
        <f t="shared" si="5"/>
        <v>1.5731025527272726</v>
      </c>
      <c r="N67" s="192"/>
      <c r="O67" s="225"/>
      <c r="P67" s="226"/>
      <c r="Q67" s="226"/>
      <c r="R67" s="226"/>
      <c r="S67" s="220"/>
      <c r="T67" s="226"/>
      <c r="U67" s="233"/>
      <c r="V67" s="232"/>
    </row>
    <row r="68" spans="1:22">
      <c r="B68" s="225">
        <v>44459.839583333334</v>
      </c>
      <c r="C68" s="226">
        <v>10.23</v>
      </c>
      <c r="D68" s="226">
        <v>0.23</v>
      </c>
      <c r="E68" s="226">
        <f t="shared" si="9"/>
        <v>10</v>
      </c>
      <c r="F68" s="220">
        <v>2.3912E-4</v>
      </c>
      <c r="G68" s="226">
        <v>41820.01</v>
      </c>
      <c r="H68" s="220">
        <f t="shared" si="10"/>
        <v>2.3911998108082708E-4</v>
      </c>
      <c r="I68" s="234">
        <f t="shared" si="7"/>
        <v>43743.730460000006</v>
      </c>
      <c r="J68" s="230">
        <f t="shared" si="1"/>
        <v>10.46</v>
      </c>
      <c r="K68" s="231">
        <f t="shared" si="2"/>
        <v>1.5950792213384322</v>
      </c>
      <c r="L68" s="226">
        <f t="shared" si="13"/>
        <v>16.684528655200001</v>
      </c>
      <c r="M68" s="232">
        <f t="shared" si="5"/>
        <v>1.6309412175171065</v>
      </c>
      <c r="N68" s="192"/>
      <c r="O68" s="225"/>
      <c r="P68" s="226"/>
      <c r="Q68" s="226"/>
      <c r="R68" s="226"/>
      <c r="S68" s="220"/>
      <c r="T68" s="226"/>
      <c r="U68" s="233"/>
      <c r="V68" s="232"/>
    </row>
    <row r="69" spans="1:22">
      <c r="B69" s="225">
        <v>44460.753472222219</v>
      </c>
      <c r="C69" s="226">
        <v>4.12</v>
      </c>
      <c r="D69" s="226">
        <v>0.12</v>
      </c>
      <c r="E69" s="226">
        <f t="shared" si="9"/>
        <v>4</v>
      </c>
      <c r="F69" s="220">
        <v>9.87E-5</v>
      </c>
      <c r="G69" s="226">
        <v>40526.85</v>
      </c>
      <c r="H69" s="220">
        <f t="shared" si="10"/>
        <v>9.8699997655875065E-5</v>
      </c>
      <c r="I69" s="234">
        <f t="shared" si="7"/>
        <v>42958.461000000003</v>
      </c>
      <c r="J69" s="230">
        <f t="shared" si="1"/>
        <v>4.24</v>
      </c>
      <c r="K69" s="231">
        <f t="shared" si="2"/>
        <v>1.6242367634433963</v>
      </c>
      <c r="L69" s="226">
        <f t="shared" si="13"/>
        <v>6.8867638770000008</v>
      </c>
      <c r="M69" s="232">
        <f t="shared" si="5"/>
        <v>1.671544630339806</v>
      </c>
      <c r="N69" s="192"/>
      <c r="O69" s="225"/>
      <c r="P69" s="226"/>
      <c r="Q69" s="226"/>
      <c r="R69" s="226"/>
      <c r="S69" s="220"/>
      <c r="T69" s="226"/>
      <c r="U69" s="233"/>
      <c r="V69" s="232"/>
    </row>
    <row r="70" spans="1:22">
      <c r="B70" s="225">
        <v>44516.013888888891</v>
      </c>
      <c r="C70" s="226">
        <v>4.2</v>
      </c>
      <c r="D70" s="226">
        <v>0.13</v>
      </c>
      <c r="E70" s="226">
        <f t="shared" si="9"/>
        <v>4.07</v>
      </c>
      <c r="F70" s="220">
        <v>6.6920000000000003E-5</v>
      </c>
      <c r="G70" s="226">
        <v>60818.89</v>
      </c>
      <c r="H70" s="220">
        <f t="shared" si="10"/>
        <v>6.6919998046659519E-5</v>
      </c>
      <c r="I70" s="234">
        <f t="shared" si="7"/>
        <v>64704.126216216209</v>
      </c>
      <c r="J70" s="230">
        <f t="shared" si="1"/>
        <v>4.33</v>
      </c>
      <c r="K70" s="231">
        <f t="shared" si="2"/>
        <v>1.0783657259122403</v>
      </c>
      <c r="L70" s="226">
        <f t="shared" si="13"/>
        <v>4.6693235932000006</v>
      </c>
      <c r="M70" s="232">
        <f t="shared" si="5"/>
        <v>1.1117437126666667</v>
      </c>
      <c r="N70" s="192"/>
      <c r="O70" s="225"/>
      <c r="P70" s="226"/>
      <c r="Q70" s="226"/>
      <c r="R70" s="226"/>
      <c r="S70" s="220"/>
      <c r="T70" s="226"/>
      <c r="U70" s="233"/>
      <c r="V70" s="232"/>
    </row>
    <row r="71" spans="1:22">
      <c r="B71" s="225">
        <v>44518.707638888889</v>
      </c>
      <c r="C71" s="226">
        <v>4.12</v>
      </c>
      <c r="D71" s="226">
        <v>0.12</v>
      </c>
      <c r="E71" s="226">
        <f t="shared" si="9"/>
        <v>4</v>
      </c>
      <c r="F71" s="220">
        <v>7.0599999999999995E-5</v>
      </c>
      <c r="G71" s="226">
        <v>56660</v>
      </c>
      <c r="H71" s="220">
        <f t="shared" si="10"/>
        <v>7.0596540769502297E-5</v>
      </c>
      <c r="I71" s="234">
        <f t="shared" si="7"/>
        <v>60059.600000000006</v>
      </c>
      <c r="J71" s="230">
        <f t="shared" si="1"/>
        <v>4.24</v>
      </c>
      <c r="K71" s="231">
        <f t="shared" si="2"/>
        <v>1.1618147466981132</v>
      </c>
      <c r="L71" s="226">
        <f t="shared" si="13"/>
        <v>4.926094526</v>
      </c>
      <c r="M71" s="232">
        <f t="shared" si="5"/>
        <v>1.1956540111650484</v>
      </c>
      <c r="N71" s="192"/>
      <c r="O71" s="225"/>
      <c r="P71" s="226"/>
      <c r="Q71" s="226"/>
      <c r="R71" s="226"/>
      <c r="S71" s="220"/>
      <c r="T71" s="226"/>
      <c r="U71" s="233"/>
      <c r="V71" s="232"/>
    </row>
    <row r="72" spans="1:22">
      <c r="B72" s="225">
        <v>44526.120138888888</v>
      </c>
      <c r="C72" s="226">
        <v>10.23</v>
      </c>
      <c r="D72" s="226">
        <v>0.23</v>
      </c>
      <c r="E72" s="226">
        <f t="shared" si="9"/>
        <v>10</v>
      </c>
      <c r="F72" s="220">
        <v>1.8181999999999999E-4</v>
      </c>
      <c r="G72" s="226">
        <v>55000</v>
      </c>
      <c r="H72" s="220">
        <f t="shared" si="10"/>
        <v>1.8181818181818181E-4</v>
      </c>
      <c r="I72" s="234">
        <f t="shared" si="7"/>
        <v>57530.000000000007</v>
      </c>
      <c r="J72" s="230">
        <f t="shared" si="1"/>
        <v>10.46</v>
      </c>
      <c r="K72" s="231">
        <f t="shared" si="2"/>
        <v>1.2128525594837474</v>
      </c>
      <c r="L72" s="226">
        <f t="shared" si="13"/>
        <v>12.6864377722</v>
      </c>
      <c r="M72" s="232">
        <f t="shared" si="5"/>
        <v>1.2401209943499509</v>
      </c>
      <c r="N72" s="192"/>
      <c r="O72" s="225"/>
      <c r="P72" s="226"/>
      <c r="Q72" s="226"/>
      <c r="R72" s="226"/>
      <c r="S72" s="220"/>
      <c r="T72" s="226"/>
      <c r="U72" s="233"/>
      <c r="V72" s="232"/>
    </row>
    <row r="73" spans="1:22">
      <c r="B73" s="225">
        <v>44526.324305555558</v>
      </c>
      <c r="C73" s="226">
        <v>10.23</v>
      </c>
      <c r="D73" s="226">
        <v>0.23</v>
      </c>
      <c r="E73" s="226">
        <f t="shared" si="9"/>
        <v>10</v>
      </c>
      <c r="F73" s="220">
        <v>1.8382000000000001E-4</v>
      </c>
      <c r="G73" s="226">
        <v>54401.04</v>
      </c>
      <c r="H73" s="220">
        <f t="shared" si="10"/>
        <v>1.8382001520559165E-4</v>
      </c>
      <c r="I73" s="234">
        <f t="shared" si="7"/>
        <v>56903.487840000002</v>
      </c>
      <c r="J73" s="230">
        <f t="shared" si="1"/>
        <v>10.46</v>
      </c>
      <c r="K73" s="231">
        <f t="shared" si="2"/>
        <v>1.2261938042256215</v>
      </c>
      <c r="L73" s="226">
        <f t="shared" si="13"/>
        <v>12.825987192200001</v>
      </c>
      <c r="M73" s="232">
        <f t="shared" si="5"/>
        <v>1.2537621888758554</v>
      </c>
      <c r="N73" s="192"/>
      <c r="O73" s="225"/>
      <c r="P73" s="226"/>
      <c r="Q73" s="226"/>
      <c r="R73" s="226"/>
      <c r="S73" s="220"/>
      <c r="T73" s="226"/>
      <c r="U73" s="233"/>
      <c r="V73" s="232"/>
    </row>
    <row r="74" spans="1:22">
      <c r="A74" s="105"/>
      <c r="B74" s="225">
        <v>44533.857638888891</v>
      </c>
      <c r="C74" s="226">
        <v>10.23</v>
      </c>
      <c r="D74" s="226">
        <v>0.23</v>
      </c>
      <c r="E74" s="226">
        <f t="shared" si="9"/>
        <v>10</v>
      </c>
      <c r="F74" s="220">
        <v>1.8916000000000001E-4</v>
      </c>
      <c r="G74" s="226">
        <v>52865.3</v>
      </c>
      <c r="H74" s="220">
        <f t="shared" si="10"/>
        <v>1.8915999720043203E-4</v>
      </c>
      <c r="I74" s="234">
        <f t="shared" si="7"/>
        <v>55297.103800000004</v>
      </c>
      <c r="J74" s="230">
        <f t="shared" si="1"/>
        <v>10.46</v>
      </c>
      <c r="K74" s="231">
        <f t="shared" si="2"/>
        <v>1.2618149276864246</v>
      </c>
      <c r="L74" s="226">
        <f t="shared" si="13"/>
        <v>13.198584143600002</v>
      </c>
      <c r="M74" s="232">
        <f t="shared" si="5"/>
        <v>1.2901841782600196</v>
      </c>
      <c r="N74" s="192"/>
      <c r="O74" s="225"/>
      <c r="P74" s="226"/>
      <c r="Q74" s="226"/>
      <c r="R74" s="226"/>
      <c r="S74" s="220"/>
      <c r="T74" s="226"/>
      <c r="U74" s="233"/>
      <c r="V74" s="232"/>
    </row>
    <row r="75" spans="1:22">
      <c r="A75" s="105"/>
      <c r="B75" s="225">
        <v>44534.531944444447</v>
      </c>
      <c r="C75" s="226">
        <v>10.23</v>
      </c>
      <c r="D75" s="226">
        <v>0.23</v>
      </c>
      <c r="E75" s="226">
        <f t="shared" si="9"/>
        <v>10</v>
      </c>
      <c r="F75" s="220">
        <v>2.0515E-4</v>
      </c>
      <c r="G75" s="226">
        <v>48744.82</v>
      </c>
      <c r="H75" s="220">
        <f t="shared" si="10"/>
        <v>2.0515000363115505E-4</v>
      </c>
      <c r="I75" s="234">
        <f t="shared" si="7"/>
        <v>50987.081720000002</v>
      </c>
      <c r="J75" s="230">
        <f t="shared" si="1"/>
        <v>10.46</v>
      </c>
      <c r="K75" s="231">
        <f t="shared" si="2"/>
        <v>1.3684781793977057</v>
      </c>
      <c r="L75" s="226">
        <f t="shared" si="13"/>
        <v>14.314281756500002</v>
      </c>
      <c r="M75" s="232">
        <f t="shared" si="5"/>
        <v>1.3992455284946237</v>
      </c>
      <c r="N75" s="192"/>
      <c r="O75" s="225"/>
      <c r="P75" s="226"/>
      <c r="Q75" s="226"/>
      <c r="R75" s="226"/>
      <c r="S75" s="220"/>
      <c r="T75" s="226"/>
      <c r="U75" s="233"/>
      <c r="V75" s="232"/>
    </row>
    <row r="76" spans="1:22">
      <c r="A76" s="105"/>
      <c r="B76" s="225">
        <v>44569.48541666667</v>
      </c>
      <c r="C76" s="226">
        <v>10.23</v>
      </c>
      <c r="D76" s="226">
        <v>0.23</v>
      </c>
      <c r="E76" s="226">
        <f t="shared" si="9"/>
        <v>10</v>
      </c>
      <c r="F76" s="220">
        <v>2.4342999999999999E-4</v>
      </c>
      <c r="G76" s="226">
        <v>41079.57</v>
      </c>
      <c r="H76" s="220">
        <f t="shared" si="10"/>
        <v>2.4343000669189088E-4</v>
      </c>
      <c r="I76" s="234">
        <f t="shared" si="7"/>
        <v>42969.230220000005</v>
      </c>
      <c r="J76" s="230">
        <f t="shared" si="1"/>
        <v>10.46</v>
      </c>
      <c r="K76" s="231">
        <f t="shared" si="2"/>
        <v>1.62382960375717</v>
      </c>
      <c r="L76" s="226">
        <f t="shared" si="13"/>
        <v>16.9852576553</v>
      </c>
      <c r="M76" s="232">
        <f t="shared" si="5"/>
        <v>1.66033799172043</v>
      </c>
      <c r="N76" s="192"/>
      <c r="O76" s="225"/>
      <c r="P76" s="226"/>
      <c r="Q76" s="226"/>
      <c r="R76" s="226"/>
      <c r="S76" s="220"/>
      <c r="T76" s="226"/>
      <c r="U76" s="233"/>
      <c r="V76" s="232"/>
    </row>
    <row r="77" spans="1:22">
      <c r="A77" s="105"/>
      <c r="B77" s="225">
        <v>44582.044444444444</v>
      </c>
      <c r="C77" s="226">
        <v>10.23</v>
      </c>
      <c r="D77" s="226">
        <v>0.23</v>
      </c>
      <c r="E77" s="226">
        <f t="shared" si="9"/>
        <v>10</v>
      </c>
      <c r="F77" s="220">
        <v>2.5894999999999998E-4</v>
      </c>
      <c r="G77" s="226">
        <v>38617.49</v>
      </c>
      <c r="H77" s="220">
        <f t="shared" si="10"/>
        <v>2.589500249757299E-4</v>
      </c>
      <c r="I77" s="234">
        <f t="shared" si="7"/>
        <v>40393.894540000001</v>
      </c>
      <c r="J77" s="230">
        <f t="shared" si="1"/>
        <v>10.46</v>
      </c>
      <c r="K77" s="231">
        <f t="shared" si="2"/>
        <v>1.7273576629541108</v>
      </c>
      <c r="L77" s="226">
        <f t="shared" si="13"/>
        <v>18.0681611545</v>
      </c>
      <c r="M77" s="232">
        <f t="shared" si="5"/>
        <v>1.7661936612414466</v>
      </c>
      <c r="N77" s="192"/>
      <c r="O77" s="225"/>
      <c r="P77" s="226"/>
      <c r="Q77" s="226"/>
      <c r="R77" s="226"/>
      <c r="S77" s="220"/>
      <c r="T77" s="226"/>
      <c r="U77" s="233"/>
      <c r="V77" s="232"/>
    </row>
    <row r="78" spans="1:22">
      <c r="A78" s="105"/>
      <c r="B78" s="225">
        <v>44688.904166666667</v>
      </c>
      <c r="C78" s="226">
        <v>20.46</v>
      </c>
      <c r="D78" s="226">
        <v>0.46</v>
      </c>
      <c r="E78" s="226">
        <f t="shared" si="9"/>
        <v>20</v>
      </c>
      <c r="F78" s="220">
        <v>5.8001999999999999E-4</v>
      </c>
      <c r="G78" s="226">
        <v>34481.57</v>
      </c>
      <c r="H78" s="220">
        <f t="shared" si="10"/>
        <v>5.8001999328916867E-4</v>
      </c>
      <c r="I78" s="234">
        <f t="shared" si="7"/>
        <v>36067.722220000003</v>
      </c>
      <c r="J78" s="230">
        <f t="shared" si="1"/>
        <v>20.92</v>
      </c>
      <c r="K78" s="231">
        <f t="shared" si="2"/>
        <v>1.9345471937954111</v>
      </c>
      <c r="L78" s="226">
        <f t="shared" si="13"/>
        <v>40.470727294200003</v>
      </c>
      <c r="M78" s="232">
        <f t="shared" si="5"/>
        <v>1.9780414122287391</v>
      </c>
      <c r="N78" s="192"/>
      <c r="O78" s="225"/>
      <c r="P78" s="226"/>
      <c r="Q78" s="226"/>
      <c r="R78" s="226"/>
      <c r="S78" s="220"/>
      <c r="T78" s="226"/>
      <c r="U78" s="233"/>
      <c r="V78" s="232"/>
    </row>
    <row r="79" spans="1:22">
      <c r="A79" s="105"/>
      <c r="B79" s="225">
        <v>44692.324999999997</v>
      </c>
      <c r="C79" s="226">
        <v>10.23</v>
      </c>
      <c r="D79" s="226">
        <v>0.23</v>
      </c>
      <c r="E79" s="226">
        <f t="shared" si="9"/>
        <v>10</v>
      </c>
      <c r="F79" s="220">
        <v>3.3388999999999999E-4</v>
      </c>
      <c r="G79" s="226">
        <v>29950</v>
      </c>
      <c r="H79" s="220">
        <f t="shared" si="10"/>
        <v>3.33889816360601E-4</v>
      </c>
      <c r="I79" s="234">
        <f t="shared" si="7"/>
        <v>31327.700000000004</v>
      </c>
      <c r="J79" s="230">
        <f t="shared" si="1"/>
        <v>10.46</v>
      </c>
      <c r="K79" s="231">
        <f t="shared" si="2"/>
        <v>2.2272541034321223</v>
      </c>
      <c r="L79" s="226">
        <f t="shared" si="13"/>
        <v>23.297077921900001</v>
      </c>
      <c r="M79" s="232">
        <f t="shared" si="5"/>
        <v>2.2773292201270774</v>
      </c>
      <c r="N79" s="192"/>
      <c r="O79" s="225"/>
      <c r="P79" s="226"/>
      <c r="Q79" s="226"/>
      <c r="R79" s="226"/>
      <c r="S79" s="220"/>
      <c r="T79" s="226"/>
      <c r="U79" s="233"/>
      <c r="V79" s="232"/>
    </row>
    <row r="80" spans="1:22">
      <c r="A80" s="105"/>
      <c r="B80" s="225">
        <v>44693.588194444441</v>
      </c>
      <c r="C80" s="226">
        <v>20.46</v>
      </c>
      <c r="D80" s="226">
        <v>0.46</v>
      </c>
      <c r="E80" s="226">
        <f t="shared" si="9"/>
        <v>20</v>
      </c>
      <c r="F80" s="220">
        <v>7.0483999999999998E-4</v>
      </c>
      <c r="G80" s="226">
        <v>28375.23</v>
      </c>
      <c r="H80" s="220">
        <f t="shared" si="10"/>
        <v>7.048401017366203E-4</v>
      </c>
      <c r="I80" s="234">
        <f t="shared" si="7"/>
        <v>29680.490580000002</v>
      </c>
      <c r="J80" s="230">
        <f t="shared" si="1"/>
        <v>20.92</v>
      </c>
      <c r="K80" s="231">
        <f t="shared" si="2"/>
        <v>2.3508607359655831</v>
      </c>
      <c r="L80" s="226">
        <f t="shared" si="13"/>
        <v>49.180006596400005</v>
      </c>
      <c r="M80" s="232">
        <f t="shared" si="5"/>
        <v>2.4037148874095799</v>
      </c>
      <c r="N80" s="192"/>
      <c r="O80" s="225"/>
      <c r="P80" s="226"/>
      <c r="Q80" s="226"/>
      <c r="R80" s="226"/>
      <c r="S80" s="220"/>
      <c r="T80" s="226"/>
      <c r="U80" s="233"/>
      <c r="V80" s="232"/>
    </row>
    <row r="81" spans="1:22">
      <c r="A81" s="105"/>
      <c r="B81" s="225">
        <v>44725.448611111111</v>
      </c>
      <c r="C81" s="226">
        <v>20.47</v>
      </c>
      <c r="D81" s="226">
        <v>0.47</v>
      </c>
      <c r="E81" s="226">
        <f t="shared" si="9"/>
        <v>20</v>
      </c>
      <c r="F81" s="220">
        <v>8.5689999999999996E-4</v>
      </c>
      <c r="G81" s="226">
        <v>23339.95</v>
      </c>
      <c r="H81" s="220">
        <f t="shared" si="10"/>
        <v>8.568998648240463E-4</v>
      </c>
      <c r="I81" s="234">
        <f t="shared" si="7"/>
        <v>24436.927649999998</v>
      </c>
      <c r="J81" s="230">
        <f>C81+D81</f>
        <v>20.939999999999998</v>
      </c>
      <c r="K81" s="231">
        <f>L81/J81</f>
        <v>2.8552984240210129</v>
      </c>
      <c r="L81" s="226">
        <f t="shared" ref="L81:L94" si="16">F81*$L$5</f>
        <v>59.789948999000003</v>
      </c>
      <c r="M81" s="232">
        <f t="shared" ref="M81:M87" si="17">L81/C81</f>
        <v>2.9208573033219349</v>
      </c>
      <c r="N81" s="192"/>
      <c r="O81" s="225"/>
      <c r="P81" s="226"/>
      <c r="Q81" s="226"/>
      <c r="R81" s="226"/>
      <c r="S81" s="220"/>
      <c r="T81" s="226"/>
      <c r="U81" s="233"/>
      <c r="V81" s="232"/>
    </row>
    <row r="82" spans="1:22">
      <c r="A82" s="105"/>
      <c r="B82" s="225">
        <v>44730.081250000003</v>
      </c>
      <c r="C82" s="226">
        <v>20.47</v>
      </c>
      <c r="D82" s="226">
        <v>0.47</v>
      </c>
      <c r="E82" s="226">
        <f t="shared" si="9"/>
        <v>20</v>
      </c>
      <c r="F82" s="220">
        <v>1.03736E-3</v>
      </c>
      <c r="G82" s="226">
        <v>23340.95</v>
      </c>
      <c r="H82" s="220">
        <f t="shared" si="10"/>
        <v>8.5686315252806757E-4</v>
      </c>
      <c r="I82" s="234">
        <f t="shared" si="7"/>
        <v>24437.974649999996</v>
      </c>
      <c r="J82" s="230">
        <f>C82+D82</f>
        <v>20.939999999999998</v>
      </c>
      <c r="K82" s="231">
        <f>L82/J82</f>
        <v>3.4566138092454639</v>
      </c>
      <c r="L82" s="226">
        <f t="shared" si="16"/>
        <v>72.381493165600006</v>
      </c>
      <c r="M82" s="232">
        <f>L82/C82</f>
        <v>3.5359791482950662</v>
      </c>
      <c r="N82" s="192"/>
      <c r="O82" s="225"/>
      <c r="P82" s="226"/>
      <c r="Q82" s="226"/>
      <c r="R82" s="226"/>
      <c r="S82" s="220"/>
      <c r="T82" s="226"/>
      <c r="U82" s="233"/>
      <c r="V82" s="232"/>
    </row>
    <row r="83" spans="1:22">
      <c r="A83" s="105"/>
      <c r="B83" s="225">
        <v>44800.431944444441</v>
      </c>
      <c r="C83" s="226">
        <v>10</v>
      </c>
      <c r="D83" s="226">
        <v>0.22</v>
      </c>
      <c r="E83" s="226">
        <f t="shared" si="9"/>
        <v>9.7799999999999994</v>
      </c>
      <c r="F83" s="220">
        <v>4.8899999999999996E-4</v>
      </c>
      <c r="G83" s="226">
        <v>20000</v>
      </c>
      <c r="H83" s="220">
        <f t="shared" si="10"/>
        <v>4.8899999999999996E-4</v>
      </c>
      <c r="I83" s="234">
        <f t="shared" si="7"/>
        <v>20899.795501022498</v>
      </c>
      <c r="J83" s="230">
        <f>C83+D83</f>
        <v>10.220000000000001</v>
      </c>
      <c r="K83" s="231">
        <f>L83/J83</f>
        <v>3.338535537181996</v>
      </c>
      <c r="L83" s="226">
        <f t="shared" si="16"/>
        <v>34.119833190000001</v>
      </c>
      <c r="M83" s="232">
        <f>L83/C83</f>
        <v>3.411983319</v>
      </c>
      <c r="N83" s="192"/>
      <c r="O83" s="225"/>
      <c r="P83" s="226"/>
      <c r="Q83" s="226"/>
      <c r="R83" s="226"/>
      <c r="S83" s="220"/>
      <c r="T83" s="226"/>
      <c r="U83" s="233"/>
      <c r="V83" s="232"/>
    </row>
    <row r="84" spans="1:22">
      <c r="A84" s="105"/>
      <c r="B84" s="225">
        <v>45265.15</v>
      </c>
      <c r="C84" s="226">
        <v>25</v>
      </c>
      <c r="D84" s="226">
        <v>0.56000000000000005</v>
      </c>
      <c r="E84" s="226">
        <f t="shared" si="9"/>
        <v>24.44</v>
      </c>
      <c r="F84" s="220">
        <v>5.8109999999999998E-4</v>
      </c>
      <c r="G84" s="226">
        <v>42058.04</v>
      </c>
      <c r="H84" s="220">
        <f t="shared" si="10"/>
        <v>5.8110173465049733E-4</v>
      </c>
      <c r="I84" s="234">
        <f>G84+((J84-E84)/E84)*G84</f>
        <v>43985.413355155477</v>
      </c>
      <c r="J84" s="230">
        <f>C84+D84</f>
        <v>25.56</v>
      </c>
      <c r="K84" s="231">
        <f>L84/J84</f>
        <v>1.5863100149061036</v>
      </c>
      <c r="L84" s="226">
        <f t="shared" si="16"/>
        <v>40.546083981000002</v>
      </c>
      <c r="M84" s="232">
        <f t="shared" si="17"/>
        <v>1.6218433592400001</v>
      </c>
      <c r="N84" s="192"/>
      <c r="O84" s="225"/>
      <c r="P84" s="226"/>
      <c r="Q84" s="226"/>
      <c r="R84" s="226"/>
      <c r="S84" s="220"/>
      <c r="T84" s="226"/>
      <c r="U84" s="233"/>
      <c r="V84" s="232"/>
    </row>
    <row r="85" spans="1:22">
      <c r="A85" s="105"/>
      <c r="B85" s="225">
        <v>45278.817361111112</v>
      </c>
      <c r="C85" s="226">
        <v>20</v>
      </c>
      <c r="D85" s="226">
        <v>0.45</v>
      </c>
      <c r="E85" s="226">
        <f t="shared" si="9"/>
        <v>19.55</v>
      </c>
      <c r="F85" s="220">
        <v>4.7682999999999997E-4</v>
      </c>
      <c r="G85" s="226">
        <v>41000</v>
      </c>
      <c r="H85" s="220">
        <f t="shared" si="10"/>
        <v>4.7682926829268295E-4</v>
      </c>
      <c r="I85" s="234">
        <f>G85+((J85-E85)/E85)*G85</f>
        <v>42887.468030690536</v>
      </c>
      <c r="J85" s="230">
        <f>C85+D85</f>
        <v>20.45</v>
      </c>
      <c r="K85" s="231">
        <f>L85/J85</f>
        <v>1.6269278713594135</v>
      </c>
      <c r="L85" s="226">
        <f t="shared" si="16"/>
        <v>33.270674969300003</v>
      </c>
      <c r="M85" s="232">
        <f t="shared" si="17"/>
        <v>1.6635337484650001</v>
      </c>
      <c r="N85" s="192"/>
      <c r="O85" s="225"/>
      <c r="P85" s="226"/>
      <c r="Q85" s="226"/>
      <c r="R85" s="226"/>
      <c r="S85" s="220"/>
      <c r="T85" s="226"/>
      <c r="U85" s="233"/>
      <c r="V85" s="232"/>
    </row>
    <row r="86" spans="1:22">
      <c r="A86" s="105"/>
      <c r="B86" s="225">
        <v>45286.613888888889</v>
      </c>
      <c r="C86" s="226">
        <v>25</v>
      </c>
      <c r="D86" s="226">
        <v>0.56000000000000005</v>
      </c>
      <c r="E86" s="226">
        <f t="shared" si="9"/>
        <v>24.44</v>
      </c>
      <c r="F86" s="220">
        <v>5.7664000000000001E-4</v>
      </c>
      <c r="G86" s="226">
        <v>42383.19</v>
      </c>
      <c r="H86" s="220">
        <f t="shared" ref="H86:H92" si="18">E86/G86</f>
        <v>5.7664371181121571E-4</v>
      </c>
      <c r="I86" s="234">
        <f>G86+((J86-E86)/E86)*G86</f>
        <v>44325.463846153842</v>
      </c>
      <c r="J86" s="230">
        <f t="shared" ref="J86:J92" si="19">C86+D86</f>
        <v>25.56</v>
      </c>
      <c r="K86" s="231">
        <f t="shared" ref="K86:K92" si="20">L86/J86</f>
        <v>1.5741349285759001</v>
      </c>
      <c r="L86" s="226">
        <f t="shared" si="16"/>
        <v>40.234888774400005</v>
      </c>
      <c r="M86" s="232">
        <f t="shared" si="17"/>
        <v>1.6093955509760003</v>
      </c>
      <c r="N86" s="192"/>
      <c r="O86" s="225"/>
      <c r="P86" s="226"/>
      <c r="Q86" s="226"/>
      <c r="R86" s="226"/>
      <c r="S86" s="220"/>
      <c r="T86" s="226"/>
      <c r="U86" s="233"/>
      <c r="V86" s="232"/>
    </row>
    <row r="87" spans="1:22">
      <c r="A87" s="105"/>
      <c r="B87" s="225">
        <v>45313.553472222222</v>
      </c>
      <c r="C87" s="226">
        <v>50</v>
      </c>
      <c r="D87" s="226">
        <v>1.1200000000000001</v>
      </c>
      <c r="E87" s="226">
        <f t="shared" si="9"/>
        <v>48.88</v>
      </c>
      <c r="F87" s="220">
        <v>1.222E-3</v>
      </c>
      <c r="G87" s="226">
        <v>40000</v>
      </c>
      <c r="H87" s="220">
        <f t="shared" si="18"/>
        <v>1.222E-3</v>
      </c>
      <c r="I87" s="234">
        <f>G87+((J87-E87)/E87)*G87</f>
        <v>41833.060556464807</v>
      </c>
      <c r="J87" s="230">
        <f t="shared" si="19"/>
        <v>51.12</v>
      </c>
      <c r="K87" s="231">
        <f t="shared" si="20"/>
        <v>1.6679322304381849</v>
      </c>
      <c r="L87" s="226">
        <f t="shared" si="16"/>
        <v>85.264695620000012</v>
      </c>
      <c r="M87" s="232">
        <f t="shared" si="17"/>
        <v>1.7052939124000002</v>
      </c>
      <c r="N87" s="192"/>
      <c r="O87" s="225"/>
      <c r="P87" s="226"/>
      <c r="Q87" s="226"/>
      <c r="R87" s="226"/>
      <c r="S87" s="220"/>
      <c r="T87" s="226"/>
      <c r="U87" s="233"/>
      <c r="V87" s="232"/>
    </row>
    <row r="88" spans="1:22">
      <c r="A88" s="105"/>
      <c r="B88" s="225">
        <v>45359.424305555556</v>
      </c>
      <c r="C88" s="226">
        <v>7.77</v>
      </c>
      <c r="D88" s="226">
        <v>0.23</v>
      </c>
      <c r="E88" s="226">
        <f t="shared" si="9"/>
        <v>7.5399999999999991</v>
      </c>
      <c r="F88" s="220">
        <v>1.1307999999999999E-4</v>
      </c>
      <c r="G88" s="226">
        <v>66677.77</v>
      </c>
      <c r="H88" s="220">
        <f t="shared" si="18"/>
        <v>1.1308116633174743E-4</v>
      </c>
      <c r="I88" s="234">
        <f t="shared" ref="I88:I94" si="21">G88+((J88-E88)/E88)*G88</f>
        <v>70745.64456233423</v>
      </c>
      <c r="J88" s="230">
        <f t="shared" si="19"/>
        <v>8</v>
      </c>
      <c r="K88" s="231">
        <f t="shared" si="20"/>
        <v>0.98626552585000005</v>
      </c>
      <c r="L88" s="226">
        <f t="shared" si="16"/>
        <v>7.8901242068000004</v>
      </c>
      <c r="M88" s="232">
        <f t="shared" ref="M88:M94" si="22">L88/C88</f>
        <v>1.0154600008751611</v>
      </c>
      <c r="N88" s="192"/>
      <c r="O88" s="225"/>
      <c r="P88" s="226"/>
      <c r="Q88" s="226"/>
      <c r="R88" s="226"/>
      <c r="S88" s="220"/>
      <c r="T88" s="226"/>
      <c r="U88" s="233"/>
      <c r="V88" s="232"/>
    </row>
    <row r="89" spans="1:22">
      <c r="A89" s="105"/>
      <c r="B89" s="225">
        <v>45365.479861111111</v>
      </c>
      <c r="C89" s="226">
        <v>20</v>
      </c>
      <c r="D89" s="226">
        <v>0.45</v>
      </c>
      <c r="E89" s="226">
        <f t="shared" si="9"/>
        <v>19.55</v>
      </c>
      <c r="F89" s="220">
        <v>2.7929000000000002E-4</v>
      </c>
      <c r="G89" s="226">
        <v>70000</v>
      </c>
      <c r="H89" s="220">
        <f t="shared" si="18"/>
        <v>2.7928571428571428E-4</v>
      </c>
      <c r="I89" s="234">
        <f t="shared" si="21"/>
        <v>73222.506393861884</v>
      </c>
      <c r="J89" s="230">
        <f t="shared" si="19"/>
        <v>20.45</v>
      </c>
      <c r="K89" s="231">
        <f t="shared" si="20"/>
        <v>0.95292805652322754</v>
      </c>
      <c r="L89" s="226">
        <f t="shared" si="16"/>
        <v>19.487378755900004</v>
      </c>
      <c r="M89" s="232">
        <f t="shared" si="22"/>
        <v>0.97436893779500022</v>
      </c>
      <c r="N89" s="192"/>
      <c r="O89" s="225"/>
      <c r="P89" s="226"/>
      <c r="Q89" s="226"/>
      <c r="R89" s="226"/>
      <c r="S89" s="220"/>
      <c r="T89" s="226"/>
      <c r="U89" s="233"/>
      <c r="V89" s="232"/>
    </row>
    <row r="90" spans="1:22">
      <c r="A90" s="105"/>
      <c r="B90" s="225">
        <v>45366.170138888891</v>
      </c>
      <c r="C90" s="226">
        <v>20</v>
      </c>
      <c r="D90" s="226">
        <v>0.45</v>
      </c>
      <c r="E90" s="226">
        <f t="shared" si="9"/>
        <v>19.55</v>
      </c>
      <c r="F90" s="220">
        <v>2.9179E-4</v>
      </c>
      <c r="G90" s="226">
        <v>67000</v>
      </c>
      <c r="H90" s="220">
        <f t="shared" si="18"/>
        <v>2.917910447761194E-4</v>
      </c>
      <c r="I90" s="234">
        <f t="shared" si="21"/>
        <v>70084.398976982091</v>
      </c>
      <c r="J90" s="230">
        <f t="shared" si="19"/>
        <v>20.45</v>
      </c>
      <c r="K90" s="231">
        <f t="shared" si="20"/>
        <v>0.99557763476283623</v>
      </c>
      <c r="L90" s="226">
        <f t="shared" si="16"/>
        <v>20.359562630900001</v>
      </c>
      <c r="M90" s="232">
        <f t="shared" si="22"/>
        <v>1.0179781315450001</v>
      </c>
      <c r="N90" s="192"/>
      <c r="O90" s="225"/>
      <c r="P90" s="226"/>
      <c r="Q90" s="226"/>
      <c r="R90" s="226"/>
      <c r="S90" s="220"/>
      <c r="T90" s="226"/>
      <c r="U90" s="233"/>
      <c r="V90" s="232"/>
    </row>
    <row r="91" spans="1:22">
      <c r="A91" s="105"/>
      <c r="B91" s="225">
        <v>45367.762499999997</v>
      </c>
      <c r="C91" s="226">
        <v>20</v>
      </c>
      <c r="D91" s="226">
        <v>0.45</v>
      </c>
      <c r="E91" s="226">
        <f t="shared" si="9"/>
        <v>19.55</v>
      </c>
      <c r="F91" s="220">
        <v>3.0077000000000001E-4</v>
      </c>
      <c r="G91" s="226">
        <v>65000</v>
      </c>
      <c r="H91" s="220">
        <f t="shared" si="18"/>
        <v>3.0076923076923076E-4</v>
      </c>
      <c r="I91" s="234">
        <f t="shared" si="21"/>
        <v>67992.327365728896</v>
      </c>
      <c r="J91" s="230">
        <f t="shared" si="19"/>
        <v>20.45</v>
      </c>
      <c r="K91" s="231">
        <f t="shared" si="20"/>
        <v>1.0262170917701714</v>
      </c>
      <c r="L91" s="226">
        <f t="shared" si="16"/>
        <v>20.986139526700004</v>
      </c>
      <c r="M91" s="232">
        <f t="shared" si="22"/>
        <v>1.0493069763350003</v>
      </c>
      <c r="N91" s="192"/>
      <c r="O91" s="225"/>
      <c r="P91" s="226"/>
      <c r="Q91" s="226"/>
      <c r="R91" s="226"/>
      <c r="S91" s="220"/>
      <c r="T91" s="226"/>
      <c r="U91" s="233"/>
      <c r="V91" s="232"/>
    </row>
    <row r="92" spans="1:22">
      <c r="A92" s="105"/>
      <c r="B92" s="225">
        <v>45415.625694444447</v>
      </c>
      <c r="C92" s="226">
        <v>10</v>
      </c>
      <c r="D92" s="226">
        <v>0.22</v>
      </c>
      <c r="E92" s="226">
        <f t="shared" si="9"/>
        <v>9.7799999999999994</v>
      </c>
      <c r="F92" s="220">
        <v>1.5678E-4</v>
      </c>
      <c r="G92" s="226">
        <v>62381.51</v>
      </c>
      <c r="H92" s="220">
        <f t="shared" si="18"/>
        <v>1.5677722453335931E-4</v>
      </c>
      <c r="I92" s="234">
        <f t="shared" si="21"/>
        <v>65188.040102249499</v>
      </c>
      <c r="J92" s="230">
        <f t="shared" si="19"/>
        <v>10.220000000000001</v>
      </c>
      <c r="K92" s="231">
        <f t="shared" si="20"/>
        <v>1.0703795532093934</v>
      </c>
      <c r="L92" s="226">
        <f t="shared" si="16"/>
        <v>10.939279033800002</v>
      </c>
      <c r="M92" s="232">
        <f t="shared" si="22"/>
        <v>1.0939279033800002</v>
      </c>
      <c r="N92" s="192"/>
      <c r="O92" s="225"/>
      <c r="P92" s="226"/>
      <c r="Q92" s="226"/>
      <c r="R92" s="226"/>
      <c r="S92" s="220"/>
      <c r="T92" s="226"/>
      <c r="U92" s="233"/>
      <c r="V92" s="232"/>
    </row>
    <row r="93" spans="1:22">
      <c r="A93" s="105"/>
      <c r="B93" s="225">
        <v>45457.474999999999</v>
      </c>
      <c r="C93" s="226">
        <v>10</v>
      </c>
      <c r="D93" s="226">
        <v>0.22</v>
      </c>
      <c r="E93" s="226">
        <f t="shared" si="9"/>
        <v>9.7799999999999994</v>
      </c>
      <c r="F93" s="220">
        <v>1.4875000000000001E-4</v>
      </c>
      <c r="G93" s="226">
        <v>65750</v>
      </c>
      <c r="H93" s="220">
        <f>E93/G93</f>
        <v>1.4874524714828896E-4</v>
      </c>
      <c r="I93" s="234">
        <f t="shared" si="21"/>
        <v>68708.077709611462</v>
      </c>
      <c r="J93" s="230">
        <f>C93+D93</f>
        <v>10.220000000000001</v>
      </c>
      <c r="K93" s="231">
        <f>L93/J93</f>
        <v>1.015556566780822</v>
      </c>
      <c r="L93" s="226">
        <f t="shared" si="16"/>
        <v>10.378988112500002</v>
      </c>
      <c r="M93" s="232">
        <f t="shared" si="22"/>
        <v>1.0378988112500003</v>
      </c>
      <c r="N93" s="192"/>
      <c r="O93" s="225"/>
      <c r="P93" s="226"/>
      <c r="Q93" s="226"/>
      <c r="R93" s="226"/>
      <c r="S93" s="220"/>
      <c r="T93" s="226"/>
      <c r="U93" s="233"/>
      <c r="V93" s="232"/>
    </row>
    <row r="94" spans="1:22">
      <c r="A94" s="105"/>
      <c r="B94" s="225">
        <v>45461.543749999997</v>
      </c>
      <c r="C94" s="226">
        <v>10</v>
      </c>
      <c r="D94" s="226">
        <v>0.22</v>
      </c>
      <c r="E94" s="226">
        <f t="shared" si="9"/>
        <v>9.7799999999999994</v>
      </c>
      <c r="F94" s="220">
        <v>1.5176999999999999E-4</v>
      </c>
      <c r="G94" s="226">
        <v>64440</v>
      </c>
      <c r="H94" s="220">
        <f>E94/G94</f>
        <v>1.5176908752327745E-4</v>
      </c>
      <c r="I94" s="234">
        <f t="shared" si="21"/>
        <v>67339.141104294482</v>
      </c>
      <c r="J94" s="230">
        <f>C94+D94</f>
        <v>10.220000000000001</v>
      </c>
      <c r="K94" s="231">
        <f>L94/J94</f>
        <v>1.0361749253131116</v>
      </c>
      <c r="L94" s="226">
        <f t="shared" si="16"/>
        <v>10.589707736700001</v>
      </c>
      <c r="M94" s="232">
        <f t="shared" si="22"/>
        <v>1.05897077367</v>
      </c>
      <c r="N94" s="192"/>
      <c r="O94" s="225"/>
      <c r="P94" s="226"/>
      <c r="Q94" s="226"/>
      <c r="R94" s="226"/>
      <c r="S94" s="220"/>
      <c r="T94" s="226"/>
      <c r="U94" s="233"/>
      <c r="V94" s="232"/>
    </row>
    <row r="95" spans="1:22">
      <c r="A95" s="105"/>
      <c r="B95" s="225">
        <v>45471.624305555553</v>
      </c>
      <c r="C95" s="226">
        <v>50</v>
      </c>
      <c r="D95" s="226">
        <v>1.1200000000000001</v>
      </c>
      <c r="E95" s="226">
        <f t="shared" si="9"/>
        <v>48.88</v>
      </c>
      <c r="F95" s="220">
        <v>8.1466999999999998E-4</v>
      </c>
      <c r="G95" s="226">
        <v>60000</v>
      </c>
      <c r="H95" s="220">
        <f>E95/G95</f>
        <v>8.1466666666666666E-4</v>
      </c>
      <c r="I95" s="234">
        <f>G95+((J95-E95)/E95)*G95</f>
        <v>62749.590834697214</v>
      </c>
      <c r="J95" s="230">
        <f>C95+D95</f>
        <v>51.12</v>
      </c>
      <c r="K95" s="231">
        <f t="shared" ref="K95:K101" si="23">L95/J95</f>
        <v>1.1119593700254304</v>
      </c>
      <c r="L95" s="226">
        <f t="shared" ref="L95:L100" si="24">F95*$L$5</f>
        <v>56.843362995700005</v>
      </c>
      <c r="M95" s="232">
        <f t="shared" ref="M95:M100" si="25">L95/C95</f>
        <v>1.1368672599140002</v>
      </c>
      <c r="N95" s="192"/>
      <c r="O95" s="225"/>
      <c r="P95" s="226"/>
      <c r="Q95" s="226"/>
      <c r="R95" s="226"/>
      <c r="S95" s="220"/>
      <c r="T95" s="226"/>
      <c r="U95" s="233"/>
      <c r="V95" s="232"/>
    </row>
    <row r="96" spans="1:22">
      <c r="A96" s="105"/>
      <c r="B96" s="225">
        <v>45478.451388888891</v>
      </c>
      <c r="C96" s="226">
        <v>5</v>
      </c>
      <c r="D96" s="226">
        <v>0.15</v>
      </c>
      <c r="E96" s="226">
        <f t="shared" si="9"/>
        <v>4.8499999999999996</v>
      </c>
      <c r="F96" s="220">
        <v>8.5489999999999996E-5</v>
      </c>
      <c r="G96" s="226">
        <v>56733.84</v>
      </c>
      <c r="H96" s="220">
        <f>E96/G96</f>
        <v>8.5486898119358751E-5</v>
      </c>
      <c r="I96" s="234">
        <f>G96+((J96-E96)/E96)*G96</f>
        <v>60243.149690721657</v>
      </c>
      <c r="J96" s="230">
        <f>C96+D96</f>
        <v>5.15</v>
      </c>
      <c r="K96" s="231">
        <f t="shared" si="23"/>
        <v>1.1582601859999999</v>
      </c>
      <c r="L96" s="226">
        <f t="shared" si="24"/>
        <v>5.9650399579000002</v>
      </c>
      <c r="M96" s="232">
        <f t="shared" si="25"/>
        <v>1.19300799158</v>
      </c>
      <c r="N96" s="192"/>
      <c r="O96" s="225"/>
      <c r="P96" s="226"/>
      <c r="Q96" s="226"/>
      <c r="R96" s="226"/>
      <c r="S96" s="220"/>
      <c r="T96" s="226"/>
      <c r="U96" s="233"/>
      <c r="V96" s="232"/>
    </row>
    <row r="97" spans="1:22">
      <c r="A97" s="105"/>
      <c r="B97" s="225">
        <v>45504.661805555559</v>
      </c>
      <c r="C97" s="226">
        <v>20</v>
      </c>
      <c r="D97" s="226">
        <v>0.45</v>
      </c>
      <c r="E97" s="226">
        <f t="shared" si="9"/>
        <v>19.55</v>
      </c>
      <c r="F97" s="220">
        <v>3.0103999999999998E-4</v>
      </c>
      <c r="G97" s="226">
        <v>64940.91</v>
      </c>
      <c r="H97" s="220">
        <f>E97/G97</f>
        <v>3.0104290192422618E-4</v>
      </c>
      <c r="I97" s="234">
        <f>G97+((J97-E97)/E97)*G97</f>
        <v>67930.517109974418</v>
      </c>
      <c r="J97" s="230">
        <f>C97+D97</f>
        <v>20.45</v>
      </c>
      <c r="K97" s="231">
        <f t="shared" si="23"/>
        <v>1.0271383226601467</v>
      </c>
      <c r="L97" s="226">
        <f t="shared" si="24"/>
        <v>21.004978698399999</v>
      </c>
      <c r="M97" s="232">
        <f t="shared" si="25"/>
        <v>1.0502489349199999</v>
      </c>
      <c r="N97" s="192"/>
      <c r="O97" s="225"/>
      <c r="P97" s="226"/>
      <c r="Q97" s="226"/>
      <c r="R97" s="226"/>
      <c r="S97" s="220"/>
      <c r="T97" s="226"/>
      <c r="U97" s="233"/>
      <c r="V97" s="232"/>
    </row>
    <row r="98" spans="1:22">
      <c r="A98" s="105"/>
      <c r="B98" s="225">
        <v>45505.454861111109</v>
      </c>
      <c r="C98" s="226">
        <v>20</v>
      </c>
      <c r="D98" s="226">
        <v>0.45</v>
      </c>
      <c r="E98" s="226">
        <f t="shared" ref="E98:E108" si="26">C98-D98</f>
        <v>19.55</v>
      </c>
      <c r="F98" s="220">
        <v>3.0917E-4</v>
      </c>
      <c r="G98" s="226">
        <v>63234.17</v>
      </c>
      <c r="H98" s="220">
        <f t="shared" ref="H98:H108" si="27">E98/G98</f>
        <v>3.0916828670321761E-4</v>
      </c>
      <c r="I98" s="234">
        <f t="shared" ref="I98:I108" si="28">G98+((J98-E98)/E98)*G98</f>
        <v>66145.205959079278</v>
      </c>
      <c r="J98" s="230">
        <f t="shared" ref="J98:J108" si="29">C98+D98</f>
        <v>20.45</v>
      </c>
      <c r="K98" s="231">
        <f t="shared" si="23"/>
        <v>1.0548776083471885</v>
      </c>
      <c r="L98" s="226">
        <f t="shared" si="24"/>
        <v>21.572247090700003</v>
      </c>
      <c r="M98" s="232">
        <f t="shared" si="25"/>
        <v>1.0786123545350002</v>
      </c>
      <c r="N98" s="192"/>
      <c r="O98" s="225"/>
      <c r="P98" s="226"/>
      <c r="Q98" s="226"/>
      <c r="R98" s="226"/>
      <c r="S98" s="220"/>
      <c r="T98" s="226"/>
      <c r="U98" s="233"/>
      <c r="V98" s="232"/>
    </row>
    <row r="99" spans="1:22" ht="15" customHeight="1">
      <c r="A99" s="105"/>
      <c r="B99" s="225">
        <v>45509.047222222223</v>
      </c>
      <c r="C99" s="226">
        <v>25</v>
      </c>
      <c r="D99" s="226">
        <v>0.56000000000000005</v>
      </c>
      <c r="E99" s="226">
        <f t="shared" si="26"/>
        <v>24.44</v>
      </c>
      <c r="F99" s="220">
        <v>4.6999999999999999E-4</v>
      </c>
      <c r="G99" s="226">
        <v>52000</v>
      </c>
      <c r="H99" s="220">
        <f t="shared" si="27"/>
        <v>4.7000000000000004E-4</v>
      </c>
      <c r="I99" s="234">
        <f t="shared" si="28"/>
        <v>54382.978723404252</v>
      </c>
      <c r="J99" s="230">
        <f t="shared" si="29"/>
        <v>25.56</v>
      </c>
      <c r="K99" s="231">
        <f t="shared" si="23"/>
        <v>1.2830247926447576</v>
      </c>
      <c r="L99" s="226">
        <f t="shared" si="24"/>
        <v>32.794113700000004</v>
      </c>
      <c r="M99" s="232">
        <f t="shared" si="25"/>
        <v>1.3117645480000002</v>
      </c>
      <c r="N99" s="192"/>
      <c r="O99" s="225"/>
      <c r="P99" s="226"/>
      <c r="Q99" s="226"/>
      <c r="R99" s="226"/>
      <c r="S99" s="220"/>
      <c r="T99" s="226"/>
      <c r="U99" s="233"/>
      <c r="V99" s="232"/>
    </row>
    <row r="100" spans="1:22" ht="15" customHeight="1">
      <c r="A100" s="105"/>
      <c r="B100" s="225">
        <v>45534.438194444447</v>
      </c>
      <c r="C100" s="226">
        <v>15</v>
      </c>
      <c r="D100" s="226">
        <v>0.34</v>
      </c>
      <c r="E100" s="226">
        <f t="shared" si="26"/>
        <v>14.66</v>
      </c>
      <c r="F100" s="220">
        <v>2.5134000000000002E-4</v>
      </c>
      <c r="G100" s="226">
        <v>58327.33</v>
      </c>
      <c r="H100" s="220">
        <f t="shared" si="27"/>
        <v>2.5134015220652138E-4</v>
      </c>
      <c r="I100" s="234">
        <f t="shared" si="28"/>
        <v>61032.826889495227</v>
      </c>
      <c r="J100" s="230">
        <f t="shared" si="29"/>
        <v>15.34</v>
      </c>
      <c r="K100" s="231">
        <f t="shared" si="23"/>
        <v>1.143231786923077</v>
      </c>
      <c r="L100" s="226">
        <f t="shared" si="24"/>
        <v>17.537175611400002</v>
      </c>
      <c r="M100" s="232">
        <f t="shared" si="25"/>
        <v>1.1691450407600001</v>
      </c>
      <c r="N100" s="192"/>
      <c r="O100" s="225"/>
      <c r="P100" s="226"/>
      <c r="Q100" s="226"/>
      <c r="R100" s="226"/>
      <c r="S100" s="220"/>
      <c r="T100" s="226"/>
      <c r="U100" s="233"/>
      <c r="V100" s="232"/>
    </row>
    <row r="101" spans="1:22" ht="15" customHeight="1">
      <c r="A101" s="105"/>
      <c r="B101" s="225">
        <v>45541.503472222219</v>
      </c>
      <c r="C101" s="226">
        <v>50</v>
      </c>
      <c r="D101" s="226">
        <v>1.1200000000000001</v>
      </c>
      <c r="E101" s="226">
        <f t="shared" si="26"/>
        <v>48.88</v>
      </c>
      <c r="F101" s="220">
        <v>8.9948000000000003E-4</v>
      </c>
      <c r="G101" s="226">
        <v>54342.35</v>
      </c>
      <c r="H101" s="220">
        <f t="shared" si="27"/>
        <v>8.9948263186998727E-4</v>
      </c>
      <c r="I101" s="234">
        <f t="shared" si="28"/>
        <v>56832.670458265129</v>
      </c>
      <c r="J101" s="230">
        <f t="shared" si="29"/>
        <v>51.12</v>
      </c>
      <c r="K101" s="231">
        <f t="shared" si="23"/>
        <v>1.2277182345618156</v>
      </c>
      <c r="L101" s="226">
        <f t="shared" ref="L101:L108" si="30">F101*$L$5</f>
        <v>62.760956150800006</v>
      </c>
      <c r="M101" s="232">
        <f t="shared" ref="M101:M108" si="31">L101/C101</f>
        <v>1.2552191230160001</v>
      </c>
      <c r="N101" s="192"/>
      <c r="O101" s="225"/>
      <c r="P101" s="226"/>
      <c r="Q101" s="226"/>
      <c r="R101" s="226"/>
      <c r="S101" s="220"/>
      <c r="T101" s="226"/>
      <c r="U101" s="233"/>
      <c r="V101" s="232"/>
    </row>
    <row r="102" spans="1:22" ht="15" customHeight="1">
      <c r="A102" s="105"/>
      <c r="B102" s="225">
        <v>45567.620833333334</v>
      </c>
      <c r="C102" s="226">
        <v>50</v>
      </c>
      <c r="D102" s="226">
        <v>1.1200000000000001</v>
      </c>
      <c r="E102" s="226">
        <f t="shared" si="26"/>
        <v>48.88</v>
      </c>
      <c r="F102" s="220">
        <v>8.0729E-4</v>
      </c>
      <c r="G102" s="226">
        <v>60548.24</v>
      </c>
      <c r="H102" s="220">
        <f t="shared" si="27"/>
        <v>8.0729018713012965E-4</v>
      </c>
      <c r="I102" s="234">
        <f t="shared" si="28"/>
        <v>63322.954762684116</v>
      </c>
      <c r="J102" s="230">
        <f t="shared" si="29"/>
        <v>51.12</v>
      </c>
      <c r="K102" s="231">
        <f t="shared" ref="K102:K108" si="32">L102/J102</f>
        <v>1.1018862604831769</v>
      </c>
      <c r="L102" s="226">
        <f t="shared" si="30"/>
        <v>56.328425635900004</v>
      </c>
      <c r="M102" s="232">
        <f t="shared" si="31"/>
        <v>1.1265685127180001</v>
      </c>
      <c r="N102" s="192"/>
      <c r="O102" s="225"/>
      <c r="P102" s="226"/>
      <c r="Q102" s="226"/>
      <c r="R102" s="226"/>
      <c r="S102" s="220"/>
      <c r="T102" s="226"/>
      <c r="U102" s="233"/>
      <c r="V102" s="232"/>
    </row>
    <row r="103" spans="1:22">
      <c r="A103" s="105"/>
      <c r="B103" s="225">
        <v>45609.584722222222</v>
      </c>
      <c r="C103" s="226">
        <v>100</v>
      </c>
      <c r="D103" s="226">
        <v>2.2599999999999998</v>
      </c>
      <c r="E103" s="226">
        <f t="shared" si="26"/>
        <v>97.74</v>
      </c>
      <c r="F103" s="220">
        <v>1.0866000000000001E-3</v>
      </c>
      <c r="G103" s="226">
        <v>89950</v>
      </c>
      <c r="H103" s="220">
        <f t="shared" si="27"/>
        <v>1.0866036687048359E-3</v>
      </c>
      <c r="I103" s="234">
        <f t="shared" si="28"/>
        <v>94109.750358092904</v>
      </c>
      <c r="J103" s="230">
        <f t="shared" si="29"/>
        <v>102.26</v>
      </c>
      <c r="K103" s="231">
        <f t="shared" si="32"/>
        <v>0.74141599732055552</v>
      </c>
      <c r="L103" s="226">
        <f t="shared" si="30"/>
        <v>75.817199886000012</v>
      </c>
      <c r="M103" s="232">
        <f t="shared" si="31"/>
        <v>0.75817199886000008</v>
      </c>
      <c r="N103" s="192"/>
      <c r="O103" s="225"/>
      <c r="P103" s="226"/>
      <c r="Q103" s="226"/>
      <c r="R103" s="226"/>
      <c r="S103" s="220"/>
      <c r="T103" s="226"/>
      <c r="U103" s="233"/>
      <c r="V103" s="232"/>
    </row>
    <row r="104" spans="1:22">
      <c r="A104" s="105"/>
      <c r="B104" s="225">
        <v>45643.828472222223</v>
      </c>
      <c r="C104" s="226">
        <v>50</v>
      </c>
      <c r="D104" s="226">
        <v>1.1200000000000001</v>
      </c>
      <c r="E104" s="226">
        <f t="shared" si="26"/>
        <v>48.88</v>
      </c>
      <c r="F104" s="220">
        <v>4.6331999999999998E-4</v>
      </c>
      <c r="G104" s="226">
        <v>105500</v>
      </c>
      <c r="H104" s="220">
        <f t="shared" si="27"/>
        <v>4.6331753554502373E-4</v>
      </c>
      <c r="I104" s="234">
        <f t="shared" si="28"/>
        <v>110334.69721767593</v>
      </c>
      <c r="J104" s="230">
        <f t="shared" si="29"/>
        <v>51.12</v>
      </c>
      <c r="K104" s="231">
        <f t="shared" si="32"/>
        <v>0.63239473077464803</v>
      </c>
      <c r="L104" s="226">
        <f t="shared" si="30"/>
        <v>32.328018637200003</v>
      </c>
      <c r="M104" s="232">
        <f t="shared" si="31"/>
        <v>0.64656037274400002</v>
      </c>
      <c r="N104" s="192"/>
      <c r="O104" s="225"/>
      <c r="P104" s="226"/>
      <c r="Q104" s="226"/>
      <c r="R104" s="226"/>
      <c r="S104" s="220"/>
      <c r="T104" s="226"/>
      <c r="U104" s="233"/>
      <c r="V104" s="232"/>
    </row>
    <row r="105" spans="1:22">
      <c r="A105" s="105"/>
      <c r="B105" s="225">
        <v>45644.032638888886</v>
      </c>
      <c r="C105" s="226">
        <v>33.33</v>
      </c>
      <c r="D105" s="226">
        <v>0.75</v>
      </c>
      <c r="E105" s="226">
        <f t="shared" si="26"/>
        <v>32.58</v>
      </c>
      <c r="F105" s="220">
        <v>3.1529000000000003E-4</v>
      </c>
      <c r="G105" s="226">
        <v>103333.33</v>
      </c>
      <c r="H105" s="220">
        <f t="shared" si="27"/>
        <v>3.1529033275130104E-4</v>
      </c>
      <c r="I105" s="234">
        <f t="shared" si="28"/>
        <v>108090.84979742173</v>
      </c>
      <c r="J105" s="230">
        <f t="shared" si="29"/>
        <v>34.08</v>
      </c>
      <c r="K105" s="231">
        <f t="shared" si="32"/>
        <v>0.64551843649941332</v>
      </c>
      <c r="L105" s="226">
        <f t="shared" si="30"/>
        <v>21.999268315900004</v>
      </c>
      <c r="M105" s="232">
        <f t="shared" si="31"/>
        <v>0.6600440538823884</v>
      </c>
      <c r="N105" s="192"/>
      <c r="O105" s="225"/>
      <c r="P105" s="226"/>
      <c r="Q105" s="226"/>
      <c r="R105" s="226"/>
      <c r="S105" s="220"/>
      <c r="T105" s="226"/>
      <c r="U105" s="233"/>
      <c r="V105" s="232"/>
    </row>
    <row r="106" spans="1:22">
      <c r="A106" s="105"/>
      <c r="B106" s="225">
        <v>45653.474999999999</v>
      </c>
      <c r="C106" s="226">
        <v>93</v>
      </c>
      <c r="D106" s="226">
        <v>2.09</v>
      </c>
      <c r="E106" s="226">
        <f t="shared" si="26"/>
        <v>90.91</v>
      </c>
      <c r="F106" s="220">
        <v>9.7404000000000002E-4</v>
      </c>
      <c r="G106" s="226">
        <v>93333</v>
      </c>
      <c r="H106" s="220">
        <f t="shared" si="27"/>
        <v>9.7403919299711786E-4</v>
      </c>
      <c r="I106" s="234">
        <f t="shared" si="28"/>
        <v>97624.408425915753</v>
      </c>
      <c r="J106" s="230">
        <f t="shared" si="29"/>
        <v>95.09</v>
      </c>
      <c r="K106" s="231">
        <f t="shared" si="32"/>
        <v>0.71472666451151545</v>
      </c>
      <c r="L106" s="226">
        <f t="shared" si="30"/>
        <v>67.963358528400008</v>
      </c>
      <c r="M106" s="232">
        <f t="shared" si="31"/>
        <v>0.73078880138064528</v>
      </c>
      <c r="N106" s="192"/>
      <c r="O106" s="225"/>
      <c r="P106" s="226"/>
      <c r="Q106" s="226"/>
      <c r="R106" s="226"/>
      <c r="S106" s="220"/>
      <c r="T106" s="226"/>
      <c r="U106" s="233"/>
      <c r="V106" s="232"/>
    </row>
    <row r="107" spans="1:22">
      <c r="A107" s="105"/>
      <c r="B107" s="225">
        <v>45714.357638888891</v>
      </c>
      <c r="C107" s="226">
        <v>30</v>
      </c>
      <c r="D107" s="226">
        <v>0.68</v>
      </c>
      <c r="E107" s="226">
        <f t="shared" si="26"/>
        <v>29.32</v>
      </c>
      <c r="F107" s="220">
        <v>3.4172E-4</v>
      </c>
      <c r="G107" s="226">
        <v>85800</v>
      </c>
      <c r="H107" s="220">
        <f t="shared" si="27"/>
        <v>3.4172494172494174E-4</v>
      </c>
      <c r="I107" s="234">
        <f t="shared" si="28"/>
        <v>89779.809004092764</v>
      </c>
      <c r="J107" s="230">
        <f t="shared" si="29"/>
        <v>30.68</v>
      </c>
      <c r="K107" s="231">
        <f t="shared" si="32"/>
        <v>0.77716472950456328</v>
      </c>
      <c r="L107" s="226">
        <f t="shared" si="30"/>
        <v>23.843413901200002</v>
      </c>
      <c r="M107" s="232">
        <f t="shared" si="31"/>
        <v>0.79478046337333341</v>
      </c>
      <c r="N107" s="192"/>
      <c r="O107" s="225"/>
      <c r="P107" s="226"/>
      <c r="Q107" s="226"/>
      <c r="R107" s="226"/>
      <c r="S107" s="220"/>
      <c r="T107" s="226"/>
      <c r="U107" s="233"/>
      <c r="V107" s="232"/>
    </row>
    <row r="108" spans="1:22">
      <c r="A108" s="105"/>
      <c r="B108" s="225">
        <v>45753.522222222222</v>
      </c>
      <c r="C108" s="226">
        <v>50</v>
      </c>
      <c r="D108" s="226">
        <v>1.1200000000000001</v>
      </c>
      <c r="E108" s="226">
        <f t="shared" si="26"/>
        <v>48.88</v>
      </c>
      <c r="F108" s="220">
        <v>5.9975000000000002E-4</v>
      </c>
      <c r="G108" s="226">
        <v>81500</v>
      </c>
      <c r="H108" s="220">
        <f t="shared" si="27"/>
        <v>5.9975460122699395E-4</v>
      </c>
      <c r="I108" s="234">
        <f t="shared" si="28"/>
        <v>85234.860883797039</v>
      </c>
      <c r="J108" s="230">
        <f t="shared" si="29"/>
        <v>51.12</v>
      </c>
      <c r="K108" s="231">
        <f t="shared" si="32"/>
        <v>0.81861076530712062</v>
      </c>
      <c r="L108" s="226">
        <f t="shared" si="30"/>
        <v>41.847382322500003</v>
      </c>
      <c r="M108" s="232">
        <f t="shared" si="31"/>
        <v>0.83694764645000008</v>
      </c>
      <c r="N108" s="192"/>
      <c r="O108" s="225"/>
      <c r="P108" s="226"/>
      <c r="Q108" s="226"/>
      <c r="R108" s="226"/>
      <c r="S108" s="220"/>
      <c r="T108" s="226"/>
      <c r="U108" s="233"/>
      <c r="V108" s="232"/>
    </row>
    <row r="109" spans="1:22">
      <c r="A109" s="105"/>
      <c r="B109" s="225"/>
      <c r="C109" s="226"/>
      <c r="D109" s="226"/>
      <c r="E109" s="226"/>
      <c r="F109" s="220"/>
      <c r="G109" s="226"/>
      <c r="H109" s="220"/>
      <c r="I109" s="234"/>
      <c r="J109" s="230"/>
      <c r="K109" s="231"/>
      <c r="L109" s="226"/>
      <c r="M109" s="232"/>
      <c r="N109" s="192"/>
      <c r="O109" s="225"/>
      <c r="P109" s="226"/>
      <c r="Q109" s="226"/>
      <c r="R109" s="226"/>
      <c r="S109" s="220"/>
      <c r="T109" s="226"/>
      <c r="U109" s="233"/>
      <c r="V109" s="232"/>
    </row>
    <row r="110" spans="1:22">
      <c r="A110" s="105"/>
      <c r="B110" s="225"/>
      <c r="C110" s="226"/>
      <c r="D110" s="226"/>
      <c r="E110" s="226"/>
      <c r="F110" s="220"/>
      <c r="G110" s="226"/>
      <c r="H110" s="220"/>
      <c r="I110" s="234"/>
      <c r="J110" s="230"/>
      <c r="K110" s="231"/>
      <c r="L110" s="226"/>
      <c r="M110" s="232"/>
      <c r="N110" s="192"/>
      <c r="O110" s="225"/>
      <c r="P110" s="226"/>
      <c r="Q110" s="226"/>
      <c r="R110" s="226"/>
      <c r="S110" s="220"/>
      <c r="T110" s="226"/>
      <c r="U110" s="233"/>
      <c r="V110" s="232"/>
    </row>
    <row r="111" spans="1:22">
      <c r="A111" s="105"/>
      <c r="B111" s="225"/>
      <c r="C111" s="226"/>
      <c r="D111" s="226"/>
      <c r="E111" s="226"/>
      <c r="F111" s="220"/>
      <c r="G111" s="226"/>
      <c r="H111" s="220"/>
      <c r="I111" s="234"/>
      <c r="J111" s="230"/>
      <c r="K111" s="231"/>
      <c r="L111" s="226"/>
      <c r="M111" s="232"/>
      <c r="N111" s="192"/>
      <c r="O111" s="225"/>
      <c r="P111" s="226"/>
      <c r="Q111" s="226"/>
      <c r="R111" s="226"/>
      <c r="S111" s="220"/>
      <c r="T111" s="226"/>
      <c r="U111" s="233"/>
      <c r="V111" s="232"/>
    </row>
    <row r="112" spans="1:22" ht="15.75" customHeight="1">
      <c r="A112" s="105"/>
      <c r="B112" s="225"/>
      <c r="C112" s="226"/>
      <c r="D112" s="226"/>
      <c r="E112" s="226"/>
      <c r="F112" s="220"/>
      <c r="G112" s="226"/>
      <c r="H112" s="220"/>
      <c r="I112" s="234"/>
      <c r="J112" s="230"/>
      <c r="K112" s="231"/>
      <c r="L112" s="226"/>
      <c r="M112" s="232"/>
      <c r="N112" s="192"/>
      <c r="O112" s="225"/>
      <c r="P112" s="226"/>
      <c r="Q112" s="226"/>
      <c r="R112" s="226"/>
      <c r="S112" s="220"/>
      <c r="T112" s="226"/>
      <c r="U112" s="233"/>
      <c r="V112" s="232"/>
    </row>
    <row r="113" spans="1:22">
      <c r="A113" s="105"/>
      <c r="B113" s="225"/>
      <c r="C113" s="226"/>
      <c r="D113" s="226"/>
      <c r="E113" s="226"/>
      <c r="F113" s="220"/>
      <c r="G113" s="226"/>
      <c r="H113" s="220"/>
      <c r="I113" s="234"/>
      <c r="J113" s="230"/>
      <c r="K113" s="231"/>
      <c r="L113" s="226"/>
      <c r="M113" s="232"/>
      <c r="N113" s="192"/>
      <c r="O113" s="225"/>
      <c r="P113" s="226"/>
      <c r="Q113" s="226"/>
      <c r="R113" s="226"/>
      <c r="S113" s="220"/>
      <c r="T113" s="226"/>
      <c r="U113" s="233"/>
      <c r="V113" s="232"/>
    </row>
    <row r="114" spans="1:22" ht="15.75" thickBot="1">
      <c r="B114" s="237"/>
      <c r="C114" s="226"/>
      <c r="D114" s="226"/>
      <c r="E114" s="226"/>
      <c r="F114" s="220"/>
      <c r="G114" s="226"/>
      <c r="H114" s="220"/>
      <c r="I114" s="238"/>
      <c r="J114" s="239"/>
      <c r="K114" s="240"/>
      <c r="L114" s="241"/>
      <c r="M114" s="242"/>
      <c r="N114" s="192"/>
      <c r="O114" s="237"/>
      <c r="P114" s="241"/>
      <c r="Q114" s="241"/>
      <c r="R114" s="241"/>
      <c r="S114" s="218"/>
      <c r="T114" s="241"/>
      <c r="U114" s="219"/>
      <c r="V114" s="242"/>
    </row>
    <row r="115" spans="1:22" ht="15.75" thickBot="1">
      <c r="B115" s="553" t="s">
        <v>362</v>
      </c>
      <c r="C115" s="554"/>
      <c r="D115" s="554"/>
      <c r="E115" s="554"/>
      <c r="F115" s="554"/>
      <c r="G115" s="554"/>
      <c r="H115" s="554"/>
      <c r="I115" s="554"/>
      <c r="J115" s="554"/>
      <c r="K115" s="554"/>
      <c r="L115" s="554"/>
      <c r="M115" s="555"/>
      <c r="N115" s="243"/>
      <c r="O115" s="553" t="s">
        <v>362</v>
      </c>
      <c r="P115" s="554"/>
      <c r="Q115" s="554"/>
      <c r="R115" s="554"/>
      <c r="S115" s="554"/>
      <c r="T115" s="554"/>
      <c r="U115" s="554"/>
      <c r="V115" s="555"/>
    </row>
    <row r="116" spans="1:22" ht="15.75" thickTop="1">
      <c r="B116" s="556" t="s">
        <v>363</v>
      </c>
      <c r="C116" s="557"/>
      <c r="D116" s="557"/>
      <c r="E116" s="557"/>
      <c r="F116" s="557"/>
      <c r="G116" s="557"/>
      <c r="H116" s="557"/>
      <c r="I116" s="557"/>
      <c r="J116" s="557"/>
      <c r="K116" s="557"/>
      <c r="L116" s="557"/>
      <c r="M116" s="558"/>
      <c r="N116" s="243"/>
      <c r="O116" s="562" t="s">
        <v>363</v>
      </c>
      <c r="P116" s="563"/>
      <c r="Q116" s="563"/>
      <c r="R116" s="563"/>
      <c r="S116" s="563"/>
      <c r="T116" s="563"/>
      <c r="U116" s="563"/>
      <c r="V116" s="564"/>
    </row>
    <row r="117" spans="1:22" ht="15.75" thickBot="1">
      <c r="B117" s="559"/>
      <c r="C117" s="560"/>
      <c r="D117" s="560"/>
      <c r="E117" s="560"/>
      <c r="F117" s="560"/>
      <c r="G117" s="560"/>
      <c r="H117" s="560"/>
      <c r="I117" s="560"/>
      <c r="J117" s="560"/>
      <c r="K117" s="560"/>
      <c r="L117" s="560"/>
      <c r="M117" s="561"/>
      <c r="N117" s="243"/>
      <c r="O117" s="565"/>
      <c r="P117" s="566"/>
      <c r="Q117" s="566"/>
      <c r="R117" s="566"/>
      <c r="S117" s="566"/>
      <c r="T117" s="566"/>
      <c r="U117" s="566"/>
      <c r="V117" s="567"/>
    </row>
    <row r="118" spans="1:22" ht="18" thickBot="1">
      <c r="B118" s="244" t="s">
        <v>364</v>
      </c>
      <c r="C118" s="245">
        <v>1.03</v>
      </c>
      <c r="D118" s="246">
        <f>C118*D8</f>
        <v>2.3871939243158311E-2</v>
      </c>
      <c r="E118" s="246">
        <f>C118-D118</f>
        <v>1.0061280607568417</v>
      </c>
      <c r="F118" s="247">
        <v>1.8510000000000001E-5</v>
      </c>
      <c r="G118" s="246">
        <f>E118/F118</f>
        <v>54355.91900361111</v>
      </c>
      <c r="H118" s="248">
        <f>E118/G118</f>
        <v>1.8510000000000001E-5</v>
      </c>
      <c r="I118" s="249">
        <f>G118+((J118-E118)/E118)*G118</f>
        <v>56935.274945605524</v>
      </c>
      <c r="J118" s="250">
        <f>C118+D118</f>
        <v>1.0538719392431584</v>
      </c>
      <c r="K118" s="251">
        <f>L118/J118</f>
        <v>1.2255093185491934</v>
      </c>
      <c r="L118" s="246">
        <f>F118*$L$5</f>
        <v>1.2915298821000001</v>
      </c>
      <c r="M118" s="252">
        <f>L118/C118</f>
        <v>1.253912506893204</v>
      </c>
      <c r="N118" s="243"/>
      <c r="O118" s="244" t="s">
        <v>364</v>
      </c>
      <c r="P118" s="245">
        <v>1</v>
      </c>
      <c r="Q118" s="246">
        <f>P118*$E$8</f>
        <v>2.2993573884003294E-2</v>
      </c>
      <c r="R118" s="246">
        <f>P118-Q118</f>
        <v>0.97700642611599675</v>
      </c>
      <c r="S118" s="247">
        <v>2.9E-4</v>
      </c>
      <c r="T118" s="246">
        <f>P118/S118</f>
        <v>3448.2758620689656</v>
      </c>
      <c r="U118" s="253">
        <f>P118/T118</f>
        <v>2.9E-4</v>
      </c>
      <c r="V118" s="252" t="e">
        <f>R118/(S118*$L$6)</f>
        <v>#DIV/0!</v>
      </c>
    </row>
    <row r="119" spans="1:22" ht="18" thickBot="1">
      <c r="B119" s="244" t="s">
        <v>364</v>
      </c>
      <c r="C119" s="245">
        <v>82.79</v>
      </c>
      <c r="D119" s="246">
        <f>C119*D8</f>
        <v>1.9187940290690064</v>
      </c>
      <c r="E119" s="246">
        <f>C119-D119</f>
        <v>80.871205970931001</v>
      </c>
      <c r="F119" s="248">
        <f>E119/G119</f>
        <v>1.3478534328488501E-3</v>
      </c>
      <c r="G119" s="245">
        <v>60000</v>
      </c>
      <c r="H119" s="248">
        <f>E119/G119</f>
        <v>1.3478534328488501E-3</v>
      </c>
      <c r="I119" s="249">
        <f>G119+((J119-E119)/E119)*G119</f>
        <v>62847.184986595174</v>
      </c>
      <c r="J119" s="250">
        <f>C119+D119</f>
        <v>84.708794029069011</v>
      </c>
      <c r="K119" s="251">
        <f>L119/J119</f>
        <v>1.1102280876205104</v>
      </c>
      <c r="L119" s="246">
        <f>F119*$L$5</f>
        <v>94.046082399532992</v>
      </c>
      <c r="M119" s="252">
        <f>L119/C119</f>
        <v>1.1359594443716994</v>
      </c>
      <c r="N119" s="243"/>
      <c r="O119" s="244" t="s">
        <v>364</v>
      </c>
      <c r="P119" s="245">
        <v>20</v>
      </c>
      <c r="Q119" s="246">
        <f>P119*$E$8</f>
        <v>0.45987147768006587</v>
      </c>
      <c r="R119" s="246">
        <f>P119-Q119</f>
        <v>19.540128522319932</v>
      </c>
      <c r="S119" s="248">
        <f>P119/T119</f>
        <v>2.7777777777777778E-4</v>
      </c>
      <c r="T119" s="245">
        <v>72000</v>
      </c>
      <c r="U119" s="253">
        <f>P119/T119</f>
        <v>2.7777777777777778E-4</v>
      </c>
      <c r="V119" s="252" t="e">
        <f>R119/(S119*$L$6)</f>
        <v>#DIV/0!</v>
      </c>
    </row>
    <row r="120" spans="1:22">
      <c r="B120" s="192"/>
      <c r="C120" s="192"/>
      <c r="D120" s="192"/>
      <c r="E120" s="192"/>
      <c r="F120" s="192"/>
      <c r="G120" s="192"/>
      <c r="H120" s="192"/>
      <c r="I120" s="192"/>
      <c r="J120" s="192"/>
      <c r="K120" s="192"/>
      <c r="L120" s="192"/>
      <c r="M120" s="192"/>
      <c r="N120" s="192"/>
      <c r="O120" s="192"/>
      <c r="P120" s="192"/>
      <c r="Q120" s="192"/>
      <c r="R120" s="192"/>
      <c r="S120" s="192"/>
      <c r="T120" s="192"/>
      <c r="U120" s="192"/>
      <c r="V120" s="192"/>
    </row>
    <row r="123" spans="1:22">
      <c r="C123" s="6"/>
      <c r="P123" s="6"/>
    </row>
    <row r="125" spans="1:22">
      <c r="B125" s="1"/>
    </row>
    <row r="126" spans="1:22">
      <c r="B126" s="1"/>
      <c r="C126" s="1"/>
      <c r="D126" s="1"/>
      <c r="E126" s="1"/>
      <c r="F126" s="162"/>
      <c r="G126" s="162"/>
      <c r="H126" s="162"/>
      <c r="I126" s="162"/>
    </row>
    <row r="127" spans="1:22">
      <c r="B127" s="254"/>
      <c r="C127" s="63"/>
      <c r="D127" s="63"/>
      <c r="E127" s="63"/>
      <c r="I127" s="162"/>
    </row>
    <row r="128" spans="1:22">
      <c r="F128" s="162"/>
      <c r="G128" s="162"/>
      <c r="H128" s="162"/>
      <c r="I128" s="162"/>
    </row>
    <row r="129" spans="2:8">
      <c r="B129" s="8"/>
      <c r="C129" s="255"/>
      <c r="D129" s="255"/>
      <c r="E129" s="255"/>
      <c r="F129" s="162"/>
      <c r="G129" s="162"/>
      <c r="H129" s="162"/>
    </row>
    <row r="130" spans="2:8">
      <c r="C130" s="63"/>
      <c r="D130" s="63"/>
      <c r="E130" s="63"/>
      <c r="F130" s="162"/>
      <c r="G130" s="162"/>
      <c r="H130" s="162"/>
    </row>
    <row r="131" spans="2:8">
      <c r="B131" s="8"/>
      <c r="C131" s="6"/>
      <c r="D131" s="6"/>
      <c r="E131" s="6"/>
    </row>
  </sheetData>
  <mergeCells count="17">
    <mergeCell ref="B115:M115"/>
    <mergeCell ref="O115:V115"/>
    <mergeCell ref="B116:M117"/>
    <mergeCell ref="O116:V117"/>
    <mergeCell ref="J7:K7"/>
    <mergeCell ref="L7:M7"/>
    <mergeCell ref="J8:K8"/>
    <mergeCell ref="L8:M8"/>
    <mergeCell ref="I11:J11"/>
    <mergeCell ref="I16:J16"/>
    <mergeCell ref="G8:H8"/>
    <mergeCell ref="C2:F2"/>
    <mergeCell ref="C3:E3"/>
    <mergeCell ref="J5:K5"/>
    <mergeCell ref="L5:M5"/>
    <mergeCell ref="J6:K6"/>
    <mergeCell ref="L6:M6"/>
  </mergeCells>
  <conditionalFormatting sqref="C8">
    <cfRule type="colorScale" priority="11">
      <colorScale>
        <cfvo type="min"/>
        <cfvo type="num" val="$C$7"/>
        <cfvo type="max"/>
        <color rgb="FFF8696B"/>
        <color rgb="FFFFEB84"/>
        <color rgb="FF63BE7B"/>
      </colorScale>
    </cfRule>
  </conditionalFormatting>
  <conditionalFormatting sqref="C9:C10">
    <cfRule type="colorScale" priority="12">
      <colorScale>
        <cfvo type="min"/>
        <cfvo type="num" val="$D$9"/>
        <cfvo type="max"/>
        <color rgb="FFF8696B"/>
        <color rgb="FFFFEB84"/>
        <color rgb="FF63BE7B"/>
      </colorScale>
    </cfRule>
  </conditionalFormatting>
  <conditionalFormatting sqref="I5">
    <cfRule type="colorScale" priority="2">
      <colorScale>
        <cfvo type="min"/>
        <cfvo type="num" val="1"/>
        <cfvo type="max"/>
        <color rgb="FFF8696B"/>
        <color rgb="FFFFEB84"/>
        <color rgb="FF63BE7B"/>
      </colorScale>
    </cfRule>
  </conditionalFormatting>
  <conditionalFormatting sqref="I6:I7">
    <cfRule type="colorScale" priority="4">
      <colorScale>
        <cfvo type="min"/>
        <cfvo type="num" val="1"/>
        <cfvo type="max"/>
        <color rgb="FFF8696B"/>
        <color rgb="FFFFEB84"/>
        <color rgb="FF63BE7B"/>
      </colorScale>
    </cfRule>
  </conditionalFormatting>
  <conditionalFormatting sqref="I8">
    <cfRule type="colorScale" priority="3">
      <colorScale>
        <cfvo type="min"/>
        <cfvo type="num" val="1"/>
        <cfvo type="max"/>
        <color rgb="FFF8696B"/>
        <color rgb="FFFFEB84"/>
        <color rgb="FF63BE7B"/>
      </colorScale>
    </cfRule>
  </conditionalFormatting>
  <conditionalFormatting sqref="L6:M6">
    <cfRule type="colorScale" priority="1">
      <colorScale>
        <cfvo type="num" val="0"/>
        <cfvo type="formula" val="$L$5/2"/>
        <cfvo type="num" val="$L$5"/>
        <color rgb="FF00B050"/>
        <color rgb="FFFFC000"/>
        <color rgb="FFC00000"/>
      </colorScale>
    </cfRule>
  </conditionalFormatting>
  <conditionalFormatting sqref="M12">
    <cfRule type="colorScale" priority="8">
      <colorScale>
        <cfvo type="num" val="0"/>
        <cfvo type="num" val="$M$14"/>
        <cfvo type="max"/>
        <color rgb="FFF8696B"/>
        <color rgb="FFFFEB84"/>
        <color rgb="FF63BE7B"/>
      </colorScale>
    </cfRule>
  </conditionalFormatting>
  <conditionalFormatting sqref="M13">
    <cfRule type="colorScale" priority="7">
      <colorScale>
        <cfvo type="min"/>
        <cfvo type="num" val="1"/>
        <cfvo type="max"/>
        <color rgb="FFF8696B"/>
        <color rgb="FFFFEB84"/>
        <color rgb="FF63BE7B"/>
      </colorScale>
    </cfRule>
  </conditionalFormatting>
  <conditionalFormatting sqref="M17:M112">
    <cfRule type="colorScale" priority="1116">
      <colorScale>
        <cfvo type="min"/>
        <cfvo type="num" val="$M$14"/>
        <cfvo type="max"/>
        <color rgb="FFF8696B"/>
        <color rgb="FFFFEB84"/>
        <color rgb="FF63BE7B"/>
      </colorScale>
    </cfRule>
  </conditionalFormatting>
  <conditionalFormatting sqref="M17:M113">
    <cfRule type="colorScale" priority="1118">
      <colorScale>
        <cfvo type="min"/>
        <cfvo type="num" val="$M$14"/>
        <cfvo type="max"/>
        <color rgb="FFF8696B"/>
        <color rgb="FFFFEB84"/>
        <color rgb="FF63BE7B"/>
      </colorScale>
    </cfRule>
  </conditionalFormatting>
  <conditionalFormatting sqref="M49">
    <cfRule type="colorScale" priority="22">
      <colorScale>
        <cfvo type="min"/>
        <cfvo type="num" val="$M$14"/>
        <cfvo type="max"/>
        <color rgb="FFF8696B"/>
        <color rgb="FFFFEB84"/>
        <color rgb="FF63BE7B"/>
      </colorScale>
    </cfRule>
  </conditionalFormatting>
  <conditionalFormatting sqref="M114">
    <cfRule type="colorScale" priority="18">
      <colorScale>
        <cfvo type="min"/>
        <cfvo type="num" val="$M$14"/>
        <cfvo type="max"/>
        <color rgb="FFF8696B"/>
        <color rgb="FFFFEB84"/>
        <color rgb="FF63BE7B"/>
      </colorScale>
    </cfRule>
  </conditionalFormatting>
  <conditionalFormatting sqref="M118:M119">
    <cfRule type="colorScale" priority="15">
      <colorScale>
        <cfvo type="min"/>
        <cfvo type="num" val="$M$14"/>
        <cfvo type="max"/>
        <color rgb="FFF8696B"/>
        <color rgb="FFFFEB84"/>
        <color rgb="FF63BE7B"/>
      </colorScale>
    </cfRule>
  </conditionalFormatting>
  <conditionalFormatting sqref="N115:N117 N119">
    <cfRule type="colorScale" priority="10">
      <colorScale>
        <cfvo type="min"/>
        <cfvo type="num" val="1"/>
        <cfvo type="max"/>
        <color rgb="FFF8696B"/>
        <color rgb="FFFFEB84"/>
        <color rgb="FF63BE7B"/>
      </colorScale>
    </cfRule>
  </conditionalFormatting>
  <conditionalFormatting sqref="N118">
    <cfRule type="colorScale" priority="5">
      <colorScale>
        <cfvo type="min"/>
        <cfvo type="num" val="1"/>
        <cfvo type="max"/>
        <color rgb="FFF8696B"/>
        <color rgb="FFFFEB84"/>
        <color rgb="FF63BE7B"/>
      </colorScale>
    </cfRule>
  </conditionalFormatting>
  <conditionalFormatting sqref="V12">
    <cfRule type="colorScale" priority="9">
      <colorScale>
        <cfvo type="num" val="0"/>
        <cfvo type="num" val="$M$14"/>
        <cfvo type="max"/>
        <color rgb="FFF8696B"/>
        <color rgb="FFFFEB84"/>
        <color rgb="FF63BE7B"/>
      </colorScale>
    </cfRule>
  </conditionalFormatting>
  <conditionalFormatting sqref="V13">
    <cfRule type="colorScale" priority="6">
      <colorScale>
        <cfvo type="min"/>
        <cfvo type="num" val="1"/>
        <cfvo type="max"/>
        <color rgb="FFF8696B"/>
        <color rgb="FFFFEB84"/>
        <color rgb="FF63BE7B"/>
      </colorScale>
    </cfRule>
  </conditionalFormatting>
  <conditionalFormatting sqref="V17:V46">
    <cfRule type="colorScale" priority="19">
      <colorScale>
        <cfvo type="min"/>
        <cfvo type="num" val="$M$14"/>
        <cfvo type="max"/>
        <color rgb="FFF8696B"/>
        <color rgb="FFFFEB84"/>
        <color rgb="FF63BE7B"/>
      </colorScale>
    </cfRule>
  </conditionalFormatting>
  <conditionalFormatting sqref="V47:V113">
    <cfRule type="colorScale" priority="1121">
      <colorScale>
        <cfvo type="min"/>
        <cfvo type="num" val="$M$14"/>
        <cfvo type="max"/>
        <color rgb="FFF8696B"/>
        <color rgb="FFFFEB84"/>
        <color rgb="FF63BE7B"/>
      </colorScale>
    </cfRule>
  </conditionalFormatting>
  <conditionalFormatting sqref="V114">
    <cfRule type="colorScale" priority="17">
      <colorScale>
        <cfvo type="min"/>
        <cfvo type="num" val="$M$14"/>
        <cfvo type="max"/>
        <color rgb="FFF8696B"/>
        <color rgb="FFFFEB84"/>
        <color rgb="FF63BE7B"/>
      </colorScale>
    </cfRule>
  </conditionalFormatting>
  <conditionalFormatting sqref="V118">
    <cfRule type="colorScale" priority="13">
      <colorScale>
        <cfvo type="min"/>
        <cfvo type="num" val="$M$14"/>
        <cfvo type="max"/>
        <color rgb="FFF8696B"/>
        <color rgb="FFFFEB84"/>
        <color rgb="FF63BE7B"/>
      </colorScale>
    </cfRule>
  </conditionalFormatting>
  <conditionalFormatting sqref="V119">
    <cfRule type="colorScale" priority="14">
      <colorScale>
        <cfvo type="min"/>
        <cfvo type="num" val="$M$14"/>
        <cfvo type="max"/>
        <color rgb="FFF8696B"/>
        <color rgb="FFFFEB84"/>
        <color rgb="FF63BE7B"/>
      </colorScale>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A47A-265A-4778-80C8-9800F35834A2}">
  <sheetPr codeName="Sheet3">
    <tabColor rgb="FFFFFF00"/>
  </sheetPr>
  <dimension ref="A1:AC367"/>
  <sheetViews>
    <sheetView zoomScale="80" zoomScaleNormal="80" workbookViewId="0">
      <selection activeCell="M6" sqref="M6:N6"/>
    </sheetView>
  </sheetViews>
  <sheetFormatPr defaultColWidth="8.85546875" defaultRowHeight="15"/>
  <cols>
    <col min="3" max="3" width="17.140625" customWidth="1"/>
    <col min="4" max="4" width="12" bestFit="1" customWidth="1"/>
    <col min="5" max="5" width="12.28515625" bestFit="1" customWidth="1"/>
    <col min="6" max="6" width="11.42578125" customWidth="1"/>
    <col min="7" max="7" width="17.85546875" bestFit="1" customWidth="1"/>
    <col min="8" max="8" width="15" bestFit="1" customWidth="1"/>
    <col min="9" max="9" width="13.140625" bestFit="1" customWidth="1"/>
    <col min="10" max="10" width="12.140625" bestFit="1" customWidth="1"/>
    <col min="11" max="11" width="17.140625" bestFit="1" customWidth="1"/>
    <col min="12" max="14" width="11.28515625" bestFit="1" customWidth="1"/>
    <col min="15" max="15" width="12.7109375" bestFit="1" customWidth="1"/>
    <col min="16" max="16" width="16.7109375" bestFit="1" customWidth="1"/>
    <col min="17" max="17" width="11.28515625" bestFit="1" customWidth="1"/>
    <col min="18" max="18" width="9.28515625" bestFit="1" customWidth="1"/>
    <col min="19" max="19" width="11.28515625" bestFit="1" customWidth="1"/>
    <col min="20" max="20" width="14.140625" bestFit="1" customWidth="1"/>
    <col min="21" max="22" width="14.28515625" bestFit="1" customWidth="1"/>
    <col min="23" max="23" width="7.85546875" bestFit="1" customWidth="1"/>
    <col min="24" max="24" width="11.42578125" bestFit="1" customWidth="1"/>
    <col min="25" max="26" width="12.140625" bestFit="1" customWidth="1"/>
    <col min="27" max="27" width="11.42578125" bestFit="1" customWidth="1"/>
    <col min="28" max="29" width="11.28515625" bestFit="1" customWidth="1"/>
    <col min="30" max="32" width="12.140625" bestFit="1" customWidth="1"/>
    <col min="33" max="33" width="10.28515625" bestFit="1" customWidth="1"/>
    <col min="34" max="34" width="9.5703125" bestFit="1" customWidth="1"/>
    <col min="35" max="35" width="13.7109375" bestFit="1" customWidth="1"/>
    <col min="36" max="37" width="10.28515625" bestFit="1" customWidth="1"/>
    <col min="38" max="38" width="10.140625" bestFit="1" customWidth="1"/>
    <col min="39" max="39" width="9.5703125" bestFit="1" customWidth="1"/>
    <col min="40" max="40" width="9.5703125" customWidth="1"/>
    <col min="41" max="41" width="9.5703125" bestFit="1" customWidth="1"/>
    <col min="42" max="42" width="9.5703125" customWidth="1"/>
    <col min="43" max="43" width="13.7109375" bestFit="1" customWidth="1"/>
    <col min="44" max="44" width="9.5703125" customWidth="1"/>
  </cols>
  <sheetData>
    <row r="1" spans="3:29" ht="15.75" thickBot="1"/>
    <row r="2" spans="3:29" ht="39" customHeight="1" thickBot="1">
      <c r="D2" s="540" t="s">
        <v>371</v>
      </c>
      <c r="E2" s="541"/>
      <c r="F2" s="541"/>
      <c r="G2" s="542"/>
      <c r="H2" s="154"/>
      <c r="I2" s="154"/>
      <c r="J2" s="154"/>
      <c r="K2" s="154"/>
      <c r="O2" s="25">
        <v>2905.78</v>
      </c>
      <c r="P2" t="s">
        <v>985</v>
      </c>
      <c r="Q2" s="1"/>
      <c r="R2" s="63"/>
    </row>
    <row r="3" spans="3:29" ht="15.75" thickTop="1">
      <c r="D3" s="543" t="s">
        <v>329</v>
      </c>
      <c r="E3" s="544"/>
      <c r="F3" s="537"/>
      <c r="G3" s="155" t="s">
        <v>330</v>
      </c>
      <c r="O3" s="25">
        <v>1191.6500000000001</v>
      </c>
      <c r="P3" t="s">
        <v>637</v>
      </c>
      <c r="Q3" s="63"/>
      <c r="Z3" s="1"/>
      <c r="AA3" s="1"/>
      <c r="AB3" s="1"/>
      <c r="AC3" s="1"/>
    </row>
    <row r="4" spans="3:29" ht="15.75" thickBot="1">
      <c r="D4" s="156" t="s">
        <v>331</v>
      </c>
      <c r="E4" s="157" t="s">
        <v>332</v>
      </c>
      <c r="F4" s="157" t="s">
        <v>333</v>
      </c>
      <c r="G4" s="158" t="s">
        <v>334</v>
      </c>
      <c r="J4" s="119"/>
      <c r="L4" s="306" t="s">
        <v>424</v>
      </c>
      <c r="M4" s="25">
        <v>4251.2</v>
      </c>
      <c r="O4" s="63">
        <v>1193.68</v>
      </c>
      <c r="P4" t="s">
        <v>633</v>
      </c>
      <c r="S4" s="8"/>
      <c r="Y4" s="8"/>
    </row>
    <row r="5" spans="3:29" ht="18.75" thickTop="1" thickBot="1">
      <c r="C5" s="159" t="s">
        <v>382</v>
      </c>
      <c r="D5" s="160">
        <f>SUM(D17:D1000)</f>
        <v>14320.56</v>
      </c>
      <c r="E5" s="161">
        <f>SUM(E17:E1000)</f>
        <v>10005.710000000001</v>
      </c>
      <c r="F5" s="161">
        <f>SUM(F17:F1000)</f>
        <v>9960.35</v>
      </c>
      <c r="G5" s="162"/>
      <c r="H5" s="163" t="s">
        <v>335</v>
      </c>
      <c r="I5" s="164">
        <f>(D8-D7)+E6</f>
        <v>1869.8999999999994</v>
      </c>
      <c r="J5" s="165">
        <f>(F6+D8)/D5</f>
        <v>1.130411101241851</v>
      </c>
      <c r="K5" s="545" t="s">
        <v>336</v>
      </c>
      <c r="L5" s="546"/>
      <c r="M5" s="578">
        <v>10755.35</v>
      </c>
      <c r="N5" s="579"/>
      <c r="Q5" s="121"/>
      <c r="S5" s="270"/>
      <c r="T5" s="271"/>
      <c r="U5" s="271"/>
      <c r="V5" s="271"/>
      <c r="W5" s="271"/>
      <c r="Y5" s="8"/>
    </row>
    <row r="6" spans="3:29" ht="16.5" thickTop="1" thickBot="1">
      <c r="C6" s="166" t="s">
        <v>383</v>
      </c>
      <c r="D6" s="167">
        <f>SUM(L17:L1000)</f>
        <v>5435.11</v>
      </c>
      <c r="E6" s="168">
        <f>SUM(M17:M1000)</f>
        <v>2.3399999999999941</v>
      </c>
      <c r="F6" s="169">
        <f>D6-E6</f>
        <v>5432.7699999999995</v>
      </c>
      <c r="G6" s="170"/>
      <c r="H6" s="171" t="s">
        <v>337</v>
      </c>
      <c r="I6" s="172">
        <f>D8+F6</f>
        <v>16188.119999999999</v>
      </c>
      <c r="J6" s="173">
        <f>I6/D5</f>
        <v>1.130411101241851</v>
      </c>
      <c r="K6" s="549" t="s">
        <v>338</v>
      </c>
      <c r="L6" s="550"/>
      <c r="M6" s="551"/>
      <c r="N6" s="552"/>
      <c r="P6" t="s">
        <v>635</v>
      </c>
      <c r="Q6" s="121"/>
      <c r="S6" s="8"/>
      <c r="T6" s="6"/>
      <c r="Y6" s="8"/>
    </row>
    <row r="7" spans="3:29" ht="18.75" thickTop="1" thickBot="1">
      <c r="C7" s="174" t="s">
        <v>12</v>
      </c>
      <c r="D7" s="175">
        <f>D5-F6</f>
        <v>8887.7900000000009</v>
      </c>
      <c r="E7" s="161">
        <f>E6+E5</f>
        <v>10008.050000000001</v>
      </c>
      <c r="F7" s="161">
        <f>F5-D6</f>
        <v>4525.2400000000007</v>
      </c>
      <c r="G7" s="162"/>
      <c r="H7" s="176" t="s">
        <v>339</v>
      </c>
      <c r="I7" s="177">
        <f>D5+I5</f>
        <v>16190.46</v>
      </c>
      <c r="J7" s="178">
        <f>I7/D5</f>
        <v>1.1305745026730798</v>
      </c>
      <c r="K7" s="549" t="s">
        <v>340</v>
      </c>
      <c r="L7" s="550"/>
      <c r="M7" s="551"/>
      <c r="N7" s="552"/>
      <c r="P7" t="s">
        <v>636</v>
      </c>
      <c r="Q7" s="121"/>
    </row>
    <row r="8" spans="3:29" ht="16.5" thickTop="1" thickBot="1">
      <c r="C8" s="179" t="s">
        <v>343</v>
      </c>
      <c r="D8" s="180">
        <f>M5</f>
        <v>10755.35</v>
      </c>
      <c r="E8" s="181"/>
      <c r="F8" s="182">
        <f>E6/D6</f>
        <v>4.3053406462794573E-4</v>
      </c>
      <c r="G8" s="183" t="s">
        <v>341</v>
      </c>
      <c r="H8" s="25"/>
      <c r="I8" s="25"/>
      <c r="J8" s="184"/>
      <c r="K8" s="568" t="s">
        <v>342</v>
      </c>
      <c r="L8" s="569"/>
      <c r="M8" s="570"/>
      <c r="N8" s="571"/>
      <c r="P8" t="s">
        <v>709</v>
      </c>
      <c r="Q8" s="121"/>
    </row>
    <row r="9" spans="3:29" ht="15.75" thickBot="1">
      <c r="C9" s="185" t="s">
        <v>182</v>
      </c>
      <c r="D9" s="186">
        <f>M5*G7</f>
        <v>0</v>
      </c>
      <c r="E9" s="187">
        <f>D7+(D7*F8)</f>
        <v>8891.6164963542597</v>
      </c>
      <c r="F9" s="188" t="s">
        <v>344</v>
      </c>
      <c r="G9" s="162"/>
      <c r="J9" s="184"/>
      <c r="U9" s="25"/>
    </row>
    <row r="10" spans="3:29" ht="18" thickBot="1">
      <c r="C10" s="189"/>
      <c r="D10" s="190"/>
      <c r="E10" s="191"/>
      <c r="F10" s="192"/>
      <c r="G10" s="162"/>
      <c r="H10" s="25"/>
      <c r="I10" s="25"/>
      <c r="P10" s="25"/>
    </row>
    <row r="11" spans="3:29" ht="15.75" thickBot="1">
      <c r="C11" s="192"/>
      <c r="D11" s="193" t="s">
        <v>345</v>
      </c>
      <c r="E11" s="194" t="s">
        <v>332</v>
      </c>
      <c r="F11" s="194" t="s">
        <v>346</v>
      </c>
      <c r="G11" s="224" t="s">
        <v>372</v>
      </c>
      <c r="H11" s="194" t="s">
        <v>348</v>
      </c>
      <c r="I11" s="194" t="s">
        <v>349</v>
      </c>
      <c r="J11" s="192"/>
      <c r="K11" s="192"/>
      <c r="L11" s="193" t="s">
        <v>354</v>
      </c>
      <c r="M11" s="194" t="s">
        <v>332</v>
      </c>
      <c r="N11" s="194" t="s">
        <v>355</v>
      </c>
      <c r="O11" s="194" t="s">
        <v>486</v>
      </c>
      <c r="P11" s="194" t="s">
        <v>348</v>
      </c>
      <c r="Q11" s="196" t="s">
        <v>349</v>
      </c>
    </row>
    <row r="12" spans="3:29" ht="15.75" thickTop="1">
      <c r="C12" s="179" t="s">
        <v>357</v>
      </c>
      <c r="D12" s="197">
        <f>AVERAGE(D39:D1000)</f>
        <v>40.92778461538461</v>
      </c>
      <c r="E12" s="198">
        <f>AVERAGE(E17:E1000)</f>
        <v>44.469822222222227</v>
      </c>
      <c r="F12" s="198">
        <f>AVERAGE(F39:F1000)</f>
        <v>44.123076923076923</v>
      </c>
      <c r="G12" s="199" t="e">
        <f>AVERAGE(G17:G1000)</f>
        <v>#DIV/0!</v>
      </c>
      <c r="H12" s="200" t="e">
        <f>AVERAGE(H17:H91)</f>
        <v>#DIV/0!</v>
      </c>
      <c r="I12" s="201" t="e">
        <f>AVERAGE(I17:I91)</f>
        <v>#REF!</v>
      </c>
      <c r="J12" s="192"/>
      <c r="K12" s="179" t="s">
        <v>357</v>
      </c>
      <c r="L12" s="207">
        <f>AVERAGE(L17:L1000)</f>
        <v>39.384855072463765</v>
      </c>
      <c r="M12" s="205">
        <f>AVERAGE(M17:M1000)</f>
        <v>1.6956521739130391E-2</v>
      </c>
      <c r="N12" s="205">
        <f>AVERAGE(N17:N1000)</f>
        <v>39.36789855072459</v>
      </c>
      <c r="O12" s="199">
        <f>AVERAGE(O17:O1000)</f>
        <v>2.9951906618421065</v>
      </c>
      <c r="P12" s="208">
        <f>AVERAGE(P17:P91)</f>
        <v>210.09078431372552</v>
      </c>
      <c r="Q12" s="209">
        <f>AVERAGE(Q17:Q91)</f>
        <v>15.562393375284003</v>
      </c>
    </row>
    <row r="13" spans="3:29" ht="15.75" thickBot="1">
      <c r="C13" s="185" t="s">
        <v>358</v>
      </c>
      <c r="D13" s="210">
        <f>SUM(D39:D1000)</f>
        <v>13301.529999999999</v>
      </c>
      <c r="E13" s="211">
        <f>SUM(E17:E1000)</f>
        <v>10005.710000000001</v>
      </c>
      <c r="F13" s="211">
        <f>SUM(F39:F91000)</f>
        <v>9177.6</v>
      </c>
      <c r="G13" s="212">
        <f>SUM(G17:G91)</f>
        <v>0</v>
      </c>
      <c r="H13" s="212"/>
      <c r="I13" s="212" t="e">
        <f>SUM(I17:I91)</f>
        <v>#REF!</v>
      </c>
      <c r="J13" s="192"/>
      <c r="K13" s="185" t="s">
        <v>359</v>
      </c>
      <c r="L13" s="216">
        <f>SUM(L17:L1000)</f>
        <v>5435.11</v>
      </c>
      <c r="M13" s="63">
        <f>COUNT(L17:L1000)*0.02</f>
        <v>2.7600000000000002</v>
      </c>
      <c r="N13" s="216">
        <f>SUM(N17:N1000)</f>
        <v>5432.7699999999932</v>
      </c>
      <c r="O13" s="218">
        <f>SUM(O17:O91)</f>
        <v>116.26954153</v>
      </c>
      <c r="P13" s="215"/>
      <c r="Q13" s="219">
        <f>SUM(Q17:Q91)</f>
        <v>1167.1795031463002</v>
      </c>
    </row>
    <row r="14" spans="3:29">
      <c r="C14" s="192"/>
      <c r="D14" s="192"/>
      <c r="E14" s="192"/>
      <c r="F14" s="192"/>
      <c r="G14" s="192"/>
      <c r="H14" s="220"/>
      <c r="I14" s="220"/>
      <c r="J14" s="192"/>
      <c r="K14" s="189"/>
      <c r="L14" s="221"/>
      <c r="M14" s="221"/>
      <c r="N14" s="221"/>
      <c r="O14" s="220"/>
      <c r="P14" s="192"/>
      <c r="Q14" s="220"/>
    </row>
    <row r="15" spans="3:29" ht="15.75" thickBot="1">
      <c r="O15" s="63"/>
    </row>
    <row r="16" spans="3:29" ht="15.75" thickBot="1">
      <c r="C16" s="223" t="s">
        <v>360</v>
      </c>
      <c r="D16" s="95" t="s">
        <v>346</v>
      </c>
      <c r="E16" s="95" t="s">
        <v>370</v>
      </c>
      <c r="F16" s="95" t="s">
        <v>14</v>
      </c>
      <c r="G16" s="224" t="s">
        <v>372</v>
      </c>
      <c r="H16" s="224" t="s">
        <v>348</v>
      </c>
      <c r="I16" s="95" t="s">
        <v>349</v>
      </c>
      <c r="K16" s="223" t="s">
        <v>360</v>
      </c>
      <c r="L16" s="95" t="s">
        <v>354</v>
      </c>
      <c r="M16" s="95" t="s">
        <v>332</v>
      </c>
      <c r="N16" s="95" t="s">
        <v>355</v>
      </c>
      <c r="O16" s="95" t="s">
        <v>486</v>
      </c>
      <c r="P16" s="95" t="s">
        <v>348</v>
      </c>
      <c r="Q16" s="51" t="s">
        <v>349</v>
      </c>
      <c r="S16" t="s">
        <v>475</v>
      </c>
      <c r="T16" t="s">
        <v>476</v>
      </c>
      <c r="U16" t="s">
        <v>683</v>
      </c>
    </row>
    <row r="17" spans="2:21" ht="15.75" thickTop="1">
      <c r="B17" s="105"/>
      <c r="C17" s="225"/>
      <c r="D17" s="63">
        <v>30</v>
      </c>
      <c r="E17" s="63">
        <f>10+10+10</f>
        <v>30</v>
      </c>
      <c r="F17" s="63">
        <v>30</v>
      </c>
      <c r="G17" s="220"/>
      <c r="H17" s="227"/>
      <c r="I17" s="228" t="e">
        <f>#REF!/H17</f>
        <v>#REF!</v>
      </c>
      <c r="J17" s="192"/>
      <c r="K17" s="225"/>
      <c r="L17" s="63">
        <v>10.41</v>
      </c>
      <c r="M17" s="226">
        <v>0.02</v>
      </c>
      <c r="N17" s="226">
        <f t="shared" ref="N17:N37" si="0">L17-M17</f>
        <v>10.39</v>
      </c>
      <c r="O17" s="220"/>
      <c r="P17" s="226"/>
      <c r="Q17" s="310">
        <f t="shared" ref="Q17:Q40" si="1">P17*O17</f>
        <v>0</v>
      </c>
      <c r="R17" s="63"/>
      <c r="S17">
        <f>98.82+50+11+65+100+60+84.75+(-10)+4+18.43+85-150+90+15+20+55+(-50)+26.3+(-20)+(-20)+(-25)+(-25)+(-13)+(-49.15)+(-50+2.23)+55+25+60+2+(-48.78)+30+115-0.32</f>
        <v>611.28</v>
      </c>
      <c r="T17">
        <f>1.73+0.25+1.48+0.32+0.46</f>
        <v>4.24</v>
      </c>
      <c r="U17" s="280">
        <f>SUM(S22:S100)</f>
        <v>33.830000000000013</v>
      </c>
    </row>
    <row r="18" spans="2:21">
      <c r="C18" s="225"/>
      <c r="D18" s="63">
        <f>20+20+10+20+10+10+20+10+10+10+10</f>
        <v>150</v>
      </c>
      <c r="E18" s="63">
        <f>20+20+10+10+10+10+10+20+10+10+20</f>
        <v>150</v>
      </c>
      <c r="F18" s="63">
        <v>150</v>
      </c>
      <c r="G18" s="220"/>
      <c r="H18" s="226"/>
      <c r="I18" s="220" t="e">
        <f>#REF!/H18</f>
        <v>#REF!</v>
      </c>
      <c r="J18" s="192"/>
      <c r="K18" s="225"/>
      <c r="L18" s="63">
        <v>10</v>
      </c>
      <c r="M18" s="226">
        <v>0.02</v>
      </c>
      <c r="N18" s="226">
        <f t="shared" si="0"/>
        <v>9.98</v>
      </c>
      <c r="O18" s="220"/>
      <c r="P18" s="226"/>
      <c r="Q18" s="310">
        <f t="shared" si="1"/>
        <v>0</v>
      </c>
      <c r="R18" s="63"/>
      <c r="S18" s="8"/>
    </row>
    <row r="19" spans="2:21">
      <c r="C19" s="225"/>
      <c r="D19" s="63">
        <v>20</v>
      </c>
      <c r="E19" s="63">
        <f>20</f>
        <v>20</v>
      </c>
      <c r="F19" s="63">
        <v>20</v>
      </c>
      <c r="H19" s="226"/>
      <c r="I19" s="220" t="e">
        <f>#REF!/H19</f>
        <v>#REF!</v>
      </c>
      <c r="J19" s="192"/>
      <c r="K19" s="225"/>
      <c r="L19" s="63">
        <v>15.45</v>
      </c>
      <c r="M19" s="226">
        <v>0.02</v>
      </c>
      <c r="N19" s="226">
        <f t="shared" si="0"/>
        <v>15.43</v>
      </c>
      <c r="O19" s="220"/>
      <c r="P19" s="226"/>
      <c r="Q19" s="310">
        <f t="shared" si="1"/>
        <v>0</v>
      </c>
      <c r="R19" s="63"/>
      <c r="S19" s="6">
        <f>SUM(L32:L200)-SUM(D39:D300)-SUM(M32:M200)+SUM(Bitcoin!R46:R114)-SUM(Bitcoin!C87:C114)-S17+SUM(E39:E300)+SUM(S25:S105)</f>
        <v>1259.129999999999</v>
      </c>
      <c r="T19" t="s">
        <v>474</v>
      </c>
    </row>
    <row r="20" spans="2:21">
      <c r="C20" s="225"/>
      <c r="D20" s="63">
        <f>20+20+10+20+14.36+10</f>
        <v>94.36</v>
      </c>
      <c r="E20" s="63">
        <f>20+20+14.36+20+10+10</f>
        <v>94.36</v>
      </c>
      <c r="F20" s="63">
        <v>94.36</v>
      </c>
      <c r="H20" s="226"/>
      <c r="I20" s="220" t="e">
        <f>#REF!/H20</f>
        <v>#REF!</v>
      </c>
      <c r="J20" s="192"/>
      <c r="K20" s="225"/>
      <c r="L20" s="63">
        <v>10</v>
      </c>
      <c r="M20" s="226">
        <v>0.02</v>
      </c>
      <c r="N20" s="226">
        <f t="shared" si="0"/>
        <v>9.98</v>
      </c>
      <c r="O20" s="220"/>
      <c r="P20" s="226"/>
      <c r="Q20" s="310">
        <f t="shared" si="1"/>
        <v>0</v>
      </c>
      <c r="R20" s="63"/>
    </row>
    <row r="21" spans="2:21">
      <c r="C21" s="225"/>
      <c r="D21" s="63">
        <f>15+20+15.64</f>
        <v>50.64</v>
      </c>
      <c r="E21" s="63">
        <f>15+20+15.64</f>
        <v>50.64</v>
      </c>
      <c r="F21" s="63">
        <v>50.64</v>
      </c>
      <c r="H21" s="226"/>
      <c r="I21" s="220" t="e">
        <f>#REF!/H21</f>
        <v>#REF!</v>
      </c>
      <c r="J21" s="192"/>
      <c r="K21" s="225"/>
      <c r="L21" s="63">
        <v>5</v>
      </c>
      <c r="M21" s="226">
        <v>0.02</v>
      </c>
      <c r="N21" s="226">
        <f t="shared" si="0"/>
        <v>4.9800000000000004</v>
      </c>
      <c r="O21" s="220"/>
      <c r="P21" s="226"/>
      <c r="Q21" s="310">
        <f t="shared" si="1"/>
        <v>0</v>
      </c>
      <c r="R21" s="63"/>
      <c r="S21" s="1" t="s">
        <v>404</v>
      </c>
    </row>
    <row r="22" spans="2:21">
      <c r="C22" s="225"/>
      <c r="D22" s="63">
        <f>20+20+15+10+10</f>
        <v>75</v>
      </c>
      <c r="E22" s="63">
        <f>20+20+5+10+20</f>
        <v>75</v>
      </c>
      <c r="F22" s="63">
        <v>75</v>
      </c>
      <c r="H22" s="226"/>
      <c r="I22" s="220" t="e">
        <f>#REF!/H22</f>
        <v>#REF!</v>
      </c>
      <c r="J22" s="192"/>
      <c r="K22" s="225"/>
      <c r="L22" s="63">
        <v>10.83</v>
      </c>
      <c r="M22" s="226">
        <v>0.02</v>
      </c>
      <c r="N22" s="226">
        <f t="shared" si="0"/>
        <v>10.81</v>
      </c>
      <c r="O22" s="220"/>
      <c r="P22" s="226"/>
      <c r="Q22" s="310">
        <f t="shared" si="1"/>
        <v>0</v>
      </c>
      <c r="R22" s="63"/>
      <c r="S22" s="63">
        <v>0.19</v>
      </c>
      <c r="T22" s="119" t="s">
        <v>482</v>
      </c>
    </row>
    <row r="23" spans="2:21">
      <c r="C23" s="225"/>
      <c r="D23" s="63">
        <v>10</v>
      </c>
      <c r="H23" s="226"/>
      <c r="I23" s="220" t="e">
        <f>#REF!/H23</f>
        <v>#REF!</v>
      </c>
      <c r="J23" s="192"/>
      <c r="K23" s="225"/>
      <c r="L23" s="130">
        <v>21.13</v>
      </c>
      <c r="M23" s="226">
        <v>0.02</v>
      </c>
      <c r="N23" s="226">
        <f t="shared" si="0"/>
        <v>21.11</v>
      </c>
      <c r="O23" s="220"/>
      <c r="P23" s="226"/>
      <c r="Q23" s="310">
        <f t="shared" si="1"/>
        <v>0</v>
      </c>
      <c r="R23" s="63"/>
      <c r="S23" s="63">
        <v>0.03</v>
      </c>
      <c r="T23" s="119"/>
    </row>
    <row r="24" spans="2:21">
      <c r="C24" s="225"/>
      <c r="D24" s="63">
        <v>10</v>
      </c>
      <c r="H24" s="226"/>
      <c r="I24" s="220"/>
      <c r="J24" s="192"/>
      <c r="K24" s="225"/>
      <c r="L24" s="63">
        <f>34.31</f>
        <v>34.31</v>
      </c>
      <c r="M24" s="226">
        <v>0.02</v>
      </c>
      <c r="N24" s="226">
        <f t="shared" si="0"/>
        <v>34.29</v>
      </c>
      <c r="O24" s="220"/>
      <c r="P24" s="226"/>
      <c r="Q24" s="310">
        <f t="shared" si="1"/>
        <v>0</v>
      </c>
      <c r="R24" s="63"/>
      <c r="S24" s="63">
        <v>0.02</v>
      </c>
      <c r="T24" s="119" t="s">
        <v>483</v>
      </c>
    </row>
    <row r="25" spans="2:21">
      <c r="C25" s="225"/>
      <c r="D25" s="63">
        <v>10</v>
      </c>
      <c r="H25" s="226"/>
      <c r="I25" s="220"/>
      <c r="J25" s="192"/>
      <c r="K25" s="225"/>
      <c r="L25" s="63">
        <v>32.61</v>
      </c>
      <c r="M25" s="226">
        <v>0.02</v>
      </c>
      <c r="N25" s="226">
        <f t="shared" si="0"/>
        <v>32.589999999999996</v>
      </c>
      <c r="O25" s="220"/>
      <c r="P25" s="226"/>
      <c r="Q25" s="310">
        <f t="shared" si="1"/>
        <v>0</v>
      </c>
      <c r="R25" s="63"/>
      <c r="S25" s="63">
        <v>0.01</v>
      </c>
      <c r="T25" s="119" t="s">
        <v>484</v>
      </c>
    </row>
    <row r="26" spans="2:21">
      <c r="C26" s="225"/>
      <c r="D26" s="63">
        <v>5</v>
      </c>
      <c r="H26" s="226"/>
      <c r="I26" s="220"/>
      <c r="J26" s="192"/>
      <c r="K26" s="225"/>
      <c r="L26" s="63">
        <f>39.65</f>
        <v>39.65</v>
      </c>
      <c r="M26" s="226">
        <v>0.02</v>
      </c>
      <c r="N26" s="226">
        <f t="shared" si="0"/>
        <v>39.629999999999995</v>
      </c>
      <c r="O26" s="220"/>
      <c r="P26" s="226"/>
      <c r="Q26" s="310">
        <f t="shared" si="1"/>
        <v>0</v>
      </c>
      <c r="R26" s="63"/>
      <c r="S26" s="63">
        <v>0.09</v>
      </c>
      <c r="T26" s="119" t="s">
        <v>206</v>
      </c>
    </row>
    <row r="27" spans="2:21">
      <c r="C27" s="225"/>
      <c r="D27" s="63">
        <v>10</v>
      </c>
      <c r="E27" s="63">
        <v>9.1999999999999993</v>
      </c>
      <c r="F27" s="63">
        <v>9.1999999999999993</v>
      </c>
      <c r="H27" s="226"/>
      <c r="I27" s="220" t="e">
        <f>#REF!/H27</f>
        <v>#REF!</v>
      </c>
      <c r="J27" s="192"/>
      <c r="K27" s="225"/>
      <c r="L27" s="63">
        <v>22.89</v>
      </c>
      <c r="M27" s="226">
        <v>0.02</v>
      </c>
      <c r="N27" s="226">
        <f t="shared" si="0"/>
        <v>22.87</v>
      </c>
      <c r="O27" s="220"/>
      <c r="P27" s="226"/>
      <c r="Q27" s="310">
        <f t="shared" si="1"/>
        <v>0</v>
      </c>
      <c r="S27" s="63">
        <v>0.19</v>
      </c>
      <c r="T27" s="119" t="s">
        <v>548</v>
      </c>
    </row>
    <row r="28" spans="2:21">
      <c r="C28" s="225"/>
      <c r="D28" s="63">
        <f>10+10</f>
        <v>20</v>
      </c>
      <c r="E28" s="63">
        <f>10+10</f>
        <v>20</v>
      </c>
      <c r="F28" s="63">
        <f>10+10</f>
        <v>20</v>
      </c>
      <c r="H28" s="226"/>
      <c r="I28" s="220" t="e">
        <f>#REF!/H28</f>
        <v>#REF!</v>
      </c>
      <c r="J28" s="192"/>
      <c r="K28" s="225"/>
      <c r="L28" s="63">
        <v>21.46</v>
      </c>
      <c r="M28" s="226">
        <v>0.02</v>
      </c>
      <c r="N28" s="226">
        <f t="shared" si="0"/>
        <v>21.44</v>
      </c>
      <c r="O28" s="220"/>
      <c r="P28" s="226"/>
      <c r="Q28" s="310">
        <f t="shared" si="1"/>
        <v>0</v>
      </c>
      <c r="S28" s="63">
        <v>0.1</v>
      </c>
      <c r="T28" s="119" t="s">
        <v>561</v>
      </c>
    </row>
    <row r="29" spans="2:21">
      <c r="C29" s="225"/>
      <c r="D29" s="63">
        <v>5</v>
      </c>
      <c r="E29" s="63"/>
      <c r="F29" s="63"/>
      <c r="H29" s="226"/>
      <c r="I29" s="220" t="e">
        <f>#REF!/H29</f>
        <v>#REF!</v>
      </c>
      <c r="J29" s="192"/>
      <c r="K29" s="225"/>
      <c r="L29" s="235">
        <v>10.25</v>
      </c>
      <c r="M29" s="226">
        <v>0.02</v>
      </c>
      <c r="N29" s="226">
        <f t="shared" si="0"/>
        <v>10.23</v>
      </c>
      <c r="O29" s="220"/>
      <c r="P29" s="226"/>
      <c r="Q29" s="310">
        <f t="shared" si="1"/>
        <v>0</v>
      </c>
      <c r="S29" s="63">
        <v>0.04</v>
      </c>
      <c r="T29" s="119" t="s">
        <v>561</v>
      </c>
    </row>
    <row r="30" spans="2:21">
      <c r="C30" s="225"/>
      <c r="D30" s="63">
        <v>20</v>
      </c>
      <c r="E30" s="63">
        <v>15.02</v>
      </c>
      <c r="F30" s="63">
        <v>15.02</v>
      </c>
      <c r="H30" s="226"/>
      <c r="I30" s="220" t="e">
        <f>#REF!/H30</f>
        <v>#REF!</v>
      </c>
      <c r="J30" s="192"/>
      <c r="K30" s="225"/>
      <c r="L30" s="226">
        <v>10.46</v>
      </c>
      <c r="M30" s="226">
        <v>0.02</v>
      </c>
      <c r="N30" s="226">
        <f t="shared" si="0"/>
        <v>10.440000000000001</v>
      </c>
      <c r="O30" s="220"/>
      <c r="P30" s="226"/>
      <c r="Q30" s="310">
        <f t="shared" si="1"/>
        <v>0</v>
      </c>
      <c r="S30" s="63">
        <v>0.15</v>
      </c>
      <c r="T30" s="119" t="s">
        <v>562</v>
      </c>
    </row>
    <row r="31" spans="2:21">
      <c r="C31" s="225"/>
      <c r="D31" s="63">
        <v>20</v>
      </c>
      <c r="E31" s="63">
        <v>20</v>
      </c>
      <c r="F31" s="63">
        <v>20</v>
      </c>
      <c r="H31" s="226"/>
      <c r="I31" s="220" t="e">
        <f>#REF!/H31</f>
        <v>#REF!</v>
      </c>
      <c r="J31" s="192"/>
      <c r="K31" s="225"/>
      <c r="L31" s="226">
        <v>10.3</v>
      </c>
      <c r="M31" s="226">
        <v>0.02</v>
      </c>
      <c r="N31" s="226">
        <f t="shared" si="0"/>
        <v>10.280000000000001</v>
      </c>
      <c r="O31" s="220"/>
      <c r="P31" s="226"/>
      <c r="Q31" s="310">
        <f t="shared" si="1"/>
        <v>0</v>
      </c>
      <c r="S31" s="63">
        <v>0.2</v>
      </c>
      <c r="T31" s="119" t="s">
        <v>107</v>
      </c>
    </row>
    <row r="32" spans="2:21">
      <c r="C32" s="225"/>
      <c r="D32" s="63">
        <v>3.96</v>
      </c>
      <c r="H32" s="226"/>
      <c r="I32" s="220" t="e">
        <f>#REF!/H32</f>
        <v>#REF!</v>
      </c>
      <c r="J32" s="192"/>
      <c r="K32" s="225"/>
      <c r="L32" s="226">
        <v>76.45</v>
      </c>
      <c r="M32" s="226">
        <v>0.02</v>
      </c>
      <c r="N32" s="226">
        <f t="shared" si="0"/>
        <v>76.430000000000007</v>
      </c>
      <c r="O32" s="220"/>
      <c r="P32" s="226"/>
      <c r="Q32" s="310">
        <f t="shared" si="1"/>
        <v>0</v>
      </c>
      <c r="S32" s="63">
        <v>0.3</v>
      </c>
      <c r="T32" s="119" t="s">
        <v>482</v>
      </c>
    </row>
    <row r="33" spans="2:20">
      <c r="C33" s="225"/>
      <c r="D33" s="63">
        <v>10</v>
      </c>
      <c r="E33" s="63">
        <v>8.98</v>
      </c>
      <c r="F33" s="63">
        <v>8.98</v>
      </c>
      <c r="H33" s="226"/>
      <c r="I33" s="220" t="e">
        <f>#REF!/H33</f>
        <v>#REF!</v>
      </c>
      <c r="J33" s="192"/>
      <c r="K33" s="225"/>
      <c r="L33" s="226">
        <v>21.45</v>
      </c>
      <c r="M33" s="226">
        <v>0.02</v>
      </c>
      <c r="N33" s="226">
        <f t="shared" si="0"/>
        <v>21.43</v>
      </c>
      <c r="O33" s="220"/>
      <c r="P33" s="226"/>
      <c r="Q33" s="310">
        <f t="shared" si="1"/>
        <v>0</v>
      </c>
      <c r="S33" s="63">
        <v>0.59</v>
      </c>
      <c r="T33" s="119" t="s">
        <v>681</v>
      </c>
    </row>
    <row r="34" spans="2:20">
      <c r="C34" s="225"/>
      <c r="D34" s="130">
        <f>10</f>
        <v>10</v>
      </c>
      <c r="H34" s="226"/>
      <c r="I34" s="220" t="e">
        <f>#REF!/H34</f>
        <v>#REF!</v>
      </c>
      <c r="J34" s="192"/>
      <c r="K34" s="225"/>
      <c r="L34" s="226">
        <v>10.9</v>
      </c>
      <c r="M34" s="226">
        <v>0.02</v>
      </c>
      <c r="N34" s="226">
        <f t="shared" si="0"/>
        <v>10.88</v>
      </c>
      <c r="O34" s="220"/>
      <c r="P34" s="226"/>
      <c r="Q34" s="310">
        <f t="shared" si="1"/>
        <v>0</v>
      </c>
      <c r="S34" s="63">
        <v>0.14000000000000001</v>
      </c>
      <c r="T34" s="119" t="s">
        <v>206</v>
      </c>
    </row>
    <row r="35" spans="2:20">
      <c r="C35" s="225"/>
      <c r="D35" s="130">
        <f>10+10+10+25+25+15.33+10+36.7+10+10+25+20+50+5+10+10+10</f>
        <v>292.02999999999997</v>
      </c>
      <c r="E35" s="130">
        <f>8.08+25+25+15.33+10+36.7+10+10+25+20</f>
        <v>185.11</v>
      </c>
      <c r="F35" s="130">
        <f>8.08+25+25+15.33+10+36.7+20+10+25+10</f>
        <v>185.11</v>
      </c>
      <c r="H35" s="226"/>
      <c r="I35" s="220" t="e">
        <f>#REF!/H35</f>
        <v>#REF!</v>
      </c>
      <c r="J35" s="192"/>
      <c r="K35" s="225"/>
      <c r="L35" s="226">
        <v>10.8</v>
      </c>
      <c r="M35" s="226">
        <v>0.02</v>
      </c>
      <c r="N35" s="226">
        <f t="shared" si="0"/>
        <v>10.780000000000001</v>
      </c>
      <c r="O35" s="220"/>
      <c r="P35" s="226"/>
      <c r="Q35" s="310">
        <f t="shared" si="1"/>
        <v>0</v>
      </c>
      <c r="S35" s="63">
        <v>0.21</v>
      </c>
      <c r="T35" s="119" t="s">
        <v>482</v>
      </c>
    </row>
    <row r="36" spans="2:20">
      <c r="C36" s="225"/>
      <c r="D36" s="130">
        <v>10</v>
      </c>
      <c r="E36" s="130">
        <v>49.81</v>
      </c>
      <c r="F36" s="130">
        <v>10</v>
      </c>
      <c r="H36" s="226"/>
      <c r="I36" s="220" t="e">
        <f>#REF!/H36</f>
        <v>#REF!</v>
      </c>
      <c r="J36" s="192"/>
      <c r="K36" s="225"/>
      <c r="L36" s="226">
        <v>10.01</v>
      </c>
      <c r="M36" s="226">
        <v>0.02</v>
      </c>
      <c r="N36" s="226">
        <f t="shared" si="0"/>
        <v>9.99</v>
      </c>
      <c r="O36" s="220"/>
      <c r="P36" s="226"/>
      <c r="Q36" s="310">
        <f t="shared" si="1"/>
        <v>0</v>
      </c>
      <c r="S36" s="63">
        <v>0.59</v>
      </c>
      <c r="T36" s="119" t="s">
        <v>681</v>
      </c>
    </row>
    <row r="37" spans="2:20">
      <c r="B37" s="105"/>
      <c r="C37" s="225"/>
      <c r="D37" s="130">
        <v>10</v>
      </c>
      <c r="E37" s="130">
        <v>10</v>
      </c>
      <c r="F37" s="130">
        <v>10</v>
      </c>
      <c r="H37" s="226"/>
      <c r="I37" s="220" t="e">
        <f>#REF!/H37</f>
        <v>#REF!</v>
      </c>
      <c r="J37" s="192"/>
      <c r="K37" s="225"/>
      <c r="L37" s="226">
        <v>10.45</v>
      </c>
      <c r="M37" s="226">
        <v>0.02</v>
      </c>
      <c r="N37" s="226">
        <f t="shared" si="0"/>
        <v>10.43</v>
      </c>
      <c r="O37" s="220"/>
      <c r="P37" s="226"/>
      <c r="Q37" s="310">
        <f t="shared" si="1"/>
        <v>0</v>
      </c>
      <c r="S37" s="63">
        <v>0.04</v>
      </c>
      <c r="T37" s="119" t="s">
        <v>206</v>
      </c>
    </row>
    <row r="38" spans="2:20">
      <c r="C38" s="225"/>
      <c r="D38" s="130">
        <f>10.1+20+9+25.53+10+10+28.64+20+19.77</f>
        <v>153.04</v>
      </c>
      <c r="E38" s="130">
        <f>10+14.63+10+10</f>
        <v>44.63</v>
      </c>
      <c r="F38" s="130">
        <f>49.81+14.63+10+10</f>
        <v>84.44</v>
      </c>
      <c r="H38" s="226"/>
      <c r="I38" s="220" t="e">
        <f>#REF!/H38</f>
        <v>#REF!</v>
      </c>
      <c r="J38" s="192"/>
      <c r="K38" s="225"/>
      <c r="L38" s="226">
        <v>10.050000000000001</v>
      </c>
      <c r="M38" s="226">
        <v>0.02</v>
      </c>
      <c r="N38" s="226">
        <f>L38-M38</f>
        <v>10.030000000000001</v>
      </c>
      <c r="O38" s="220"/>
      <c r="P38" s="226"/>
      <c r="Q38" s="310">
        <f t="shared" si="1"/>
        <v>0</v>
      </c>
      <c r="S38" s="63">
        <v>0.03</v>
      </c>
      <c r="T38" s="119" t="s">
        <v>728</v>
      </c>
    </row>
    <row r="39" spans="2:20">
      <c r="C39" s="225"/>
      <c r="D39" s="226">
        <v>20</v>
      </c>
      <c r="E39" s="226"/>
      <c r="F39" s="226"/>
      <c r="H39" s="226"/>
      <c r="I39" s="220" t="e">
        <f>F39/H39</f>
        <v>#DIV/0!</v>
      </c>
      <c r="J39" s="192"/>
      <c r="K39" s="225"/>
      <c r="L39" s="226">
        <v>30.75</v>
      </c>
      <c r="M39" s="226">
        <v>0.02</v>
      </c>
      <c r="N39" s="226">
        <f>L39-M39</f>
        <v>30.73</v>
      </c>
      <c r="O39" s="220"/>
      <c r="P39" s="226"/>
      <c r="Q39" s="310">
        <f t="shared" si="1"/>
        <v>0</v>
      </c>
      <c r="S39" s="63">
        <v>0.34</v>
      </c>
      <c r="T39" s="119" t="s">
        <v>703</v>
      </c>
    </row>
    <row r="40" spans="2:20">
      <c r="C40" s="225"/>
      <c r="D40" s="226">
        <v>20</v>
      </c>
      <c r="E40" s="226"/>
      <c r="F40" s="226"/>
      <c r="H40" s="226"/>
      <c r="I40" s="220" t="e">
        <f>F40/H40</f>
        <v>#DIV/0!</v>
      </c>
      <c r="J40" s="192"/>
      <c r="K40" s="225"/>
      <c r="L40" s="226">
        <v>23.14</v>
      </c>
      <c r="M40" s="226">
        <v>0.02</v>
      </c>
      <c r="N40" s="226">
        <f>L40-M40</f>
        <v>23.12</v>
      </c>
      <c r="O40" s="220"/>
      <c r="P40" s="226"/>
      <c r="Q40" s="310">
        <f t="shared" si="1"/>
        <v>0</v>
      </c>
      <c r="S40" s="63">
        <v>0.25</v>
      </c>
      <c r="T40" s="119" t="s">
        <v>733</v>
      </c>
    </row>
    <row r="41" spans="2:20">
      <c r="C41" s="225"/>
      <c r="D41" s="226">
        <v>15</v>
      </c>
      <c r="E41" s="226"/>
      <c r="F41" s="226"/>
      <c r="H41" s="226"/>
      <c r="I41" s="220" t="e">
        <f>F41/H41</f>
        <v>#DIV/0!</v>
      </c>
      <c r="J41" s="192"/>
      <c r="K41" s="225">
        <v>45317.420138888891</v>
      </c>
      <c r="L41" s="226">
        <v>17.68</v>
      </c>
      <c r="M41" s="226">
        <v>0.02</v>
      </c>
      <c r="N41" s="226">
        <f t="shared" ref="N41:N87" si="2">L41-M41</f>
        <v>17.66</v>
      </c>
      <c r="O41" s="309">
        <v>4.6153846100000004</v>
      </c>
      <c r="P41" s="226">
        <v>3.83</v>
      </c>
      <c r="Q41" s="310">
        <f t="shared" ref="Q41:Q46" si="3">P41*O41</f>
        <v>17.676923056300001</v>
      </c>
      <c r="R41" s="220" t="s">
        <v>485</v>
      </c>
      <c r="S41" s="63">
        <v>1.24</v>
      </c>
      <c r="T41" s="119" t="s">
        <v>482</v>
      </c>
    </row>
    <row r="42" spans="2:20">
      <c r="C42" s="225"/>
      <c r="D42" s="226">
        <v>10</v>
      </c>
      <c r="E42" s="226">
        <v>10</v>
      </c>
      <c r="F42" s="226">
        <v>10</v>
      </c>
      <c r="G42" s="220"/>
      <c r="H42" s="226"/>
      <c r="I42" s="220" t="e">
        <f>F42/H42</f>
        <v>#DIV/0!</v>
      </c>
      <c r="J42" s="192"/>
      <c r="K42" s="225">
        <v>45321.510416666664</v>
      </c>
      <c r="L42" s="226">
        <v>17.39</v>
      </c>
      <c r="M42" s="226">
        <v>0.02</v>
      </c>
      <c r="N42" s="226">
        <f t="shared" si="2"/>
        <v>17.37</v>
      </c>
      <c r="O42" s="220">
        <v>0.12326772</v>
      </c>
      <c r="P42" s="226">
        <v>141.08000000000001</v>
      </c>
      <c r="Q42" s="310">
        <f t="shared" si="3"/>
        <v>17.390609937600001</v>
      </c>
      <c r="R42" t="s">
        <v>495</v>
      </c>
      <c r="S42" s="63">
        <v>0.01</v>
      </c>
      <c r="T42" s="119" t="s">
        <v>704</v>
      </c>
    </row>
    <row r="43" spans="2:20">
      <c r="C43" s="225"/>
      <c r="D43" s="226">
        <v>25</v>
      </c>
      <c r="E43" s="226"/>
      <c r="F43" s="226"/>
      <c r="G43" s="220"/>
      <c r="H43" s="226"/>
      <c r="I43" s="220" t="e">
        <f>F43/H43</f>
        <v>#DIV/0!</v>
      </c>
      <c r="J43" s="192"/>
      <c r="K43" s="225">
        <v>45324.574305555558</v>
      </c>
      <c r="L43" s="226">
        <v>46.02</v>
      </c>
      <c r="M43" s="226">
        <v>0.02</v>
      </c>
      <c r="N43" s="226">
        <f t="shared" si="2"/>
        <v>46</v>
      </c>
      <c r="O43" s="220">
        <v>0.2678972</v>
      </c>
      <c r="P43" s="226">
        <v>171.78</v>
      </c>
      <c r="Q43" s="310">
        <f t="shared" si="3"/>
        <v>46.019381016000004</v>
      </c>
      <c r="R43" t="s">
        <v>105</v>
      </c>
      <c r="S43" s="63">
        <v>0.32</v>
      </c>
      <c r="T43" s="119" t="s">
        <v>681</v>
      </c>
    </row>
    <row r="44" spans="2:20">
      <c r="C44" s="225"/>
      <c r="D44" s="226">
        <v>30</v>
      </c>
      <c r="E44" s="226"/>
      <c r="F44" s="226"/>
      <c r="G44" s="220"/>
      <c r="H44" s="226"/>
      <c r="I44" s="220" t="e">
        <f t="shared" ref="I44:I88" si="4">F44/H44</f>
        <v>#DIV/0!</v>
      </c>
      <c r="J44" s="192"/>
      <c r="K44" s="225">
        <v>45324.574999999997</v>
      </c>
      <c r="L44" s="226">
        <v>25.6</v>
      </c>
      <c r="M44" s="226">
        <v>0.02</v>
      </c>
      <c r="N44" s="226">
        <f t="shared" si="2"/>
        <v>25.580000000000002</v>
      </c>
      <c r="O44" s="220">
        <v>0.52193374000000003</v>
      </c>
      <c r="P44" s="226">
        <v>49.05</v>
      </c>
      <c r="Q44" s="310">
        <f t="shared" si="3"/>
        <v>25.600849947</v>
      </c>
      <c r="R44" t="s">
        <v>502</v>
      </c>
      <c r="S44" s="63">
        <v>0.06</v>
      </c>
      <c r="T44" s="119" t="s">
        <v>622</v>
      </c>
    </row>
    <row r="45" spans="2:20">
      <c r="C45" s="225"/>
      <c r="D45" s="226">
        <v>25</v>
      </c>
      <c r="E45" s="226"/>
      <c r="F45" s="226"/>
      <c r="G45" s="220"/>
      <c r="H45" s="226"/>
      <c r="I45" s="220" t="e">
        <f t="shared" si="4"/>
        <v>#DIV/0!</v>
      </c>
      <c r="J45" s="192"/>
      <c r="K45" s="225">
        <v>45330.604166666664</v>
      </c>
      <c r="L45" s="226">
        <v>27.78</v>
      </c>
      <c r="M45" s="226">
        <v>0.02</v>
      </c>
      <c r="N45" s="226">
        <f t="shared" si="2"/>
        <v>27.76</v>
      </c>
      <c r="O45" s="220">
        <v>3.1852002800000001</v>
      </c>
      <c r="P45" s="226">
        <v>8.7200000000000006</v>
      </c>
      <c r="Q45" s="310">
        <f t="shared" si="3"/>
        <v>27.774946441600004</v>
      </c>
      <c r="R45" t="s">
        <v>522</v>
      </c>
      <c r="S45" s="63">
        <v>0.49</v>
      </c>
      <c r="T45" s="119" t="s">
        <v>733</v>
      </c>
    </row>
    <row r="46" spans="2:20">
      <c r="C46" s="225"/>
      <c r="D46" s="226">
        <v>30</v>
      </c>
      <c r="E46" s="226"/>
      <c r="F46" s="226"/>
      <c r="G46" s="220"/>
      <c r="H46" s="226"/>
      <c r="I46" s="220" t="e">
        <f t="shared" si="4"/>
        <v>#DIV/0!</v>
      </c>
      <c r="J46" s="192"/>
      <c r="K46" s="225">
        <v>45337.371527777781</v>
      </c>
      <c r="L46" s="226">
        <v>52.74</v>
      </c>
      <c r="M46" s="226">
        <v>0.02</v>
      </c>
      <c r="N46" s="226">
        <f t="shared" si="2"/>
        <v>52.72</v>
      </c>
      <c r="O46" s="220">
        <v>3.0069958400000001</v>
      </c>
      <c r="P46" s="226">
        <v>17.54</v>
      </c>
      <c r="Q46" s="310">
        <f t="shared" si="3"/>
        <v>52.742707033599999</v>
      </c>
      <c r="R46" t="s">
        <v>528</v>
      </c>
      <c r="S46" s="63">
        <v>0.28000000000000003</v>
      </c>
      <c r="T46" s="119" t="s">
        <v>892</v>
      </c>
    </row>
    <row r="47" spans="2:20">
      <c r="C47" s="225"/>
      <c r="D47" s="226">
        <v>50</v>
      </c>
      <c r="E47" s="226"/>
      <c r="F47" s="226"/>
      <c r="G47" s="220"/>
      <c r="H47" s="226"/>
      <c r="I47" s="220" t="e">
        <f t="shared" si="4"/>
        <v>#DIV/0!</v>
      </c>
      <c r="J47" s="192"/>
      <c r="K47" s="225">
        <v>45342.597222222219</v>
      </c>
      <c r="L47" s="226">
        <v>50.3</v>
      </c>
      <c r="M47" s="226">
        <v>0.02</v>
      </c>
      <c r="N47" s="226">
        <f t="shared" si="2"/>
        <v>50.279999999999994</v>
      </c>
      <c r="O47" s="220">
        <v>49.29179817</v>
      </c>
      <c r="P47" s="226">
        <v>1.02</v>
      </c>
      <c r="Q47" s="310">
        <f t="shared" ref="Q47:Q87" si="5">P47*O47</f>
        <v>50.277634133399999</v>
      </c>
      <c r="R47" t="s">
        <v>546</v>
      </c>
      <c r="S47" s="63">
        <v>0.01</v>
      </c>
      <c r="T47" s="119" t="s">
        <v>704</v>
      </c>
    </row>
    <row r="48" spans="2:20">
      <c r="C48" s="225"/>
      <c r="D48" s="226">
        <v>25</v>
      </c>
      <c r="E48" s="226"/>
      <c r="F48" s="226"/>
      <c r="G48" s="220"/>
      <c r="H48" s="226"/>
      <c r="I48" s="220" t="e">
        <f t="shared" si="4"/>
        <v>#DIV/0!</v>
      </c>
      <c r="J48" s="192"/>
      <c r="K48" s="225">
        <v>45344.550694444442</v>
      </c>
      <c r="L48" s="226">
        <v>10.5</v>
      </c>
      <c r="M48" s="226">
        <v>0.02</v>
      </c>
      <c r="N48" s="226">
        <f t="shared" si="2"/>
        <v>10.48</v>
      </c>
      <c r="O48" s="220">
        <v>0.11795401</v>
      </c>
      <c r="P48" s="226">
        <v>89.02</v>
      </c>
      <c r="Q48" s="310">
        <f t="shared" si="5"/>
        <v>10.500265970199999</v>
      </c>
      <c r="R48" t="s">
        <v>547</v>
      </c>
      <c r="S48" s="63">
        <v>1.17</v>
      </c>
      <c r="T48" s="119" t="s">
        <v>482</v>
      </c>
    </row>
    <row r="49" spans="2:28">
      <c r="C49" s="225"/>
      <c r="D49" s="226">
        <v>25</v>
      </c>
      <c r="E49" s="226"/>
      <c r="F49" s="226"/>
      <c r="G49" s="220"/>
      <c r="H49" s="226"/>
      <c r="I49" s="220" t="e">
        <f t="shared" si="4"/>
        <v>#DIV/0!</v>
      </c>
      <c r="J49" s="192"/>
      <c r="K49" s="225">
        <v>45348.617361111108</v>
      </c>
      <c r="L49" s="226">
        <v>27.12</v>
      </c>
      <c r="M49" s="226">
        <v>0.02</v>
      </c>
      <c r="N49" s="226">
        <f t="shared" si="2"/>
        <v>27.1</v>
      </c>
      <c r="O49" s="220">
        <v>0.18017757000000001</v>
      </c>
      <c r="P49" s="226">
        <v>150.52000000000001</v>
      </c>
      <c r="Q49" s="310">
        <f t="shared" si="5"/>
        <v>27.120327836400005</v>
      </c>
      <c r="R49" t="s">
        <v>107</v>
      </c>
      <c r="S49" s="63">
        <v>0.32</v>
      </c>
      <c r="T49" s="119" t="s">
        <v>681</v>
      </c>
    </row>
    <row r="50" spans="2:28">
      <c r="B50" t="s">
        <v>544</v>
      </c>
      <c r="C50" s="225"/>
      <c r="D50" s="226">
        <v>50</v>
      </c>
      <c r="E50" s="226"/>
      <c r="F50" s="226"/>
      <c r="G50" s="220"/>
      <c r="H50" s="226"/>
      <c r="I50" s="220" t="e">
        <f t="shared" si="4"/>
        <v>#DIV/0!</v>
      </c>
      <c r="J50" s="192"/>
      <c r="K50" s="225">
        <v>45348.622916666667</v>
      </c>
      <c r="L50" s="226">
        <v>10.34</v>
      </c>
      <c r="M50" s="226">
        <v>0.02</v>
      </c>
      <c r="N50" s="226">
        <f t="shared" si="2"/>
        <v>10.32</v>
      </c>
      <c r="O50" s="220">
        <v>0.63537244999999998</v>
      </c>
      <c r="P50" s="226">
        <v>16.27</v>
      </c>
      <c r="Q50" s="310">
        <f t="shared" si="5"/>
        <v>10.3375097615</v>
      </c>
      <c r="R50" t="s">
        <v>549</v>
      </c>
      <c r="S50" s="63">
        <v>0.13</v>
      </c>
      <c r="T50" s="119" t="s">
        <v>890</v>
      </c>
    </row>
    <row r="51" spans="2:28">
      <c r="B51" t="s">
        <v>545</v>
      </c>
      <c r="C51" s="225"/>
      <c r="D51" s="226">
        <v>25</v>
      </c>
      <c r="E51" s="226">
        <v>1</v>
      </c>
      <c r="F51" s="226"/>
      <c r="G51" s="220"/>
      <c r="H51" s="226"/>
      <c r="I51" s="220" t="e">
        <f t="shared" si="4"/>
        <v>#DIV/0!</v>
      </c>
      <c r="J51" s="192"/>
      <c r="K51" s="225">
        <v>45349.433333333334</v>
      </c>
      <c r="L51" s="226">
        <v>27.04</v>
      </c>
      <c r="M51" s="226">
        <v>0.02</v>
      </c>
      <c r="N51" s="226">
        <f t="shared" si="2"/>
        <v>27.02</v>
      </c>
      <c r="O51" s="220">
        <v>5.4599458299999997</v>
      </c>
      <c r="P51" s="226">
        <v>4.95</v>
      </c>
      <c r="Q51" s="310">
        <f t="shared" si="5"/>
        <v>27.0267318585</v>
      </c>
      <c r="R51" t="s">
        <v>550</v>
      </c>
      <c r="S51" s="63">
        <v>0.16</v>
      </c>
      <c r="T51" s="119" t="s">
        <v>891</v>
      </c>
    </row>
    <row r="52" spans="2:28">
      <c r="B52" t="s">
        <v>551</v>
      </c>
      <c r="C52" s="225"/>
      <c r="D52" s="226">
        <v>25</v>
      </c>
      <c r="E52" s="226"/>
      <c r="F52" s="226"/>
      <c r="G52" s="220"/>
      <c r="H52" s="226"/>
      <c r="I52" s="220" t="e">
        <f t="shared" si="4"/>
        <v>#DIV/0!</v>
      </c>
      <c r="J52" s="192"/>
      <c r="K52" s="225">
        <v>45349.436805555553</v>
      </c>
      <c r="L52" s="226">
        <v>59.6</v>
      </c>
      <c r="M52" s="226">
        <v>0.02</v>
      </c>
      <c r="N52" s="226">
        <f t="shared" si="2"/>
        <v>59.58</v>
      </c>
      <c r="O52" s="220">
        <v>4.5840270000000002E-2</v>
      </c>
      <c r="P52" s="226">
        <v>1300.17</v>
      </c>
      <c r="Q52" s="310">
        <f t="shared" si="5"/>
        <v>59.600143845900007</v>
      </c>
      <c r="R52" t="s">
        <v>482</v>
      </c>
      <c r="S52" s="63">
        <v>0.38</v>
      </c>
      <c r="T52" t="s">
        <v>919</v>
      </c>
    </row>
    <row r="53" spans="2:28">
      <c r="B53" s="105" t="s">
        <v>556</v>
      </c>
      <c r="C53" s="225"/>
      <c r="D53" s="226">
        <v>20</v>
      </c>
      <c r="E53" s="226"/>
      <c r="F53" s="226"/>
      <c r="G53" s="220"/>
      <c r="H53" s="226"/>
      <c r="I53" s="220" t="e">
        <f t="shared" si="4"/>
        <v>#DIV/0!</v>
      </c>
      <c r="J53" s="192"/>
      <c r="K53" s="225">
        <v>45349.442361111112</v>
      </c>
      <c r="L53" s="226">
        <v>29.22</v>
      </c>
      <c r="M53" s="226">
        <v>0.02</v>
      </c>
      <c r="N53" s="226">
        <f t="shared" si="2"/>
        <v>29.2</v>
      </c>
      <c r="O53" s="220">
        <v>1</v>
      </c>
      <c r="P53" s="226">
        <v>29.22</v>
      </c>
      <c r="Q53" s="310">
        <f t="shared" si="5"/>
        <v>29.22</v>
      </c>
      <c r="R53" t="s">
        <v>552</v>
      </c>
      <c r="S53" s="63">
        <v>0.51</v>
      </c>
      <c r="T53" t="s">
        <v>733</v>
      </c>
    </row>
    <row r="54" spans="2:28">
      <c r="B54" t="s">
        <v>546</v>
      </c>
      <c r="C54" s="225"/>
      <c r="D54" s="226">
        <v>20</v>
      </c>
      <c r="E54" s="226"/>
      <c r="F54" s="226"/>
      <c r="G54" s="220"/>
      <c r="H54" s="226"/>
      <c r="I54" s="220" t="e">
        <f t="shared" si="4"/>
        <v>#DIV/0!</v>
      </c>
      <c r="J54" s="192"/>
      <c r="K54" s="225">
        <v>45350.428472222222</v>
      </c>
      <c r="L54" s="226">
        <v>28.8</v>
      </c>
      <c r="M54" s="226">
        <v>0.02</v>
      </c>
      <c r="N54" s="226">
        <f t="shared" si="2"/>
        <v>28.78</v>
      </c>
      <c r="O54" s="220">
        <v>0.79067383999999996</v>
      </c>
      <c r="P54" s="226">
        <v>36.42</v>
      </c>
      <c r="Q54" s="310">
        <f t="shared" si="5"/>
        <v>28.796341252800001</v>
      </c>
      <c r="R54" t="s">
        <v>554</v>
      </c>
      <c r="S54" s="63">
        <v>0.62</v>
      </c>
      <c r="T54" s="119" t="s">
        <v>892</v>
      </c>
    </row>
    <row r="55" spans="2:28">
      <c r="B55" t="s">
        <v>482</v>
      </c>
      <c r="C55" s="225"/>
      <c r="D55" s="226">
        <v>50</v>
      </c>
      <c r="E55" s="226"/>
      <c r="F55" s="226"/>
      <c r="G55" s="220"/>
      <c r="H55" s="226"/>
      <c r="I55" s="220" t="e">
        <f t="shared" si="4"/>
        <v>#DIV/0!</v>
      </c>
      <c r="J55" s="192"/>
      <c r="K55" s="225">
        <v>45351.379166666666</v>
      </c>
      <c r="L55" s="226">
        <v>56.68</v>
      </c>
      <c r="M55" s="226">
        <v>0.02</v>
      </c>
      <c r="N55" s="226">
        <f t="shared" si="2"/>
        <v>56.66</v>
      </c>
      <c r="O55" s="220">
        <v>0.30754316999999998</v>
      </c>
      <c r="P55" s="226">
        <v>184.3</v>
      </c>
      <c r="Q55" s="310">
        <f t="shared" si="5"/>
        <v>56.680206231</v>
      </c>
      <c r="R55" t="s">
        <v>544</v>
      </c>
      <c r="S55" s="63">
        <v>1.62</v>
      </c>
      <c r="T55" s="119" t="s">
        <v>482</v>
      </c>
    </row>
    <row r="56" spans="2:28">
      <c r="B56" t="s">
        <v>206</v>
      </c>
      <c r="C56" s="225"/>
      <c r="D56" s="226">
        <v>30</v>
      </c>
      <c r="E56" s="226"/>
      <c r="F56" s="226"/>
      <c r="G56" s="220"/>
      <c r="H56" s="226"/>
      <c r="I56" s="220" t="e">
        <f t="shared" si="4"/>
        <v>#DIV/0!</v>
      </c>
      <c r="J56" s="192"/>
      <c r="K56" s="225">
        <v>45352.454861111109</v>
      </c>
      <c r="L56" s="226">
        <v>22.27</v>
      </c>
      <c r="M56" s="226">
        <v>0.02</v>
      </c>
      <c r="N56" s="226">
        <f t="shared" si="2"/>
        <v>22.25</v>
      </c>
      <c r="O56" s="220">
        <v>1.95886385</v>
      </c>
      <c r="P56" s="226">
        <v>11.37</v>
      </c>
      <c r="Q56" s="310">
        <f t="shared" si="5"/>
        <v>22.272281974499997</v>
      </c>
      <c r="R56" t="s">
        <v>556</v>
      </c>
      <c r="S56" s="63">
        <v>0.01</v>
      </c>
      <c r="T56" s="119" t="s">
        <v>704</v>
      </c>
    </row>
    <row r="57" spans="2:28">
      <c r="B57" s="105" t="s">
        <v>563</v>
      </c>
      <c r="C57" s="225"/>
      <c r="D57" s="226">
        <v>10</v>
      </c>
      <c r="E57" s="226"/>
      <c r="F57" s="226"/>
      <c r="G57" s="220"/>
      <c r="H57" s="226"/>
      <c r="I57" s="220" t="e">
        <f t="shared" si="4"/>
        <v>#DIV/0!</v>
      </c>
      <c r="J57" s="192"/>
      <c r="K57" s="225">
        <v>45355.45208333333</v>
      </c>
      <c r="L57" s="226">
        <v>65.400000000000006</v>
      </c>
      <c r="M57" s="226">
        <v>0.02</v>
      </c>
      <c r="N57" s="226">
        <f t="shared" si="2"/>
        <v>65.38000000000001</v>
      </c>
      <c r="O57" s="220">
        <v>5.801659E-2</v>
      </c>
      <c r="P57" s="226">
        <v>1127.26</v>
      </c>
      <c r="Q57" s="310">
        <f t="shared" si="5"/>
        <v>65.3997812434</v>
      </c>
      <c r="R57" t="s">
        <v>563</v>
      </c>
      <c r="S57" s="63">
        <v>0.32</v>
      </c>
      <c r="T57" s="119" t="s">
        <v>681</v>
      </c>
    </row>
    <row r="58" spans="2:28">
      <c r="B58" t="s">
        <v>544</v>
      </c>
      <c r="C58" s="225"/>
      <c r="D58" s="226">
        <v>20</v>
      </c>
      <c r="E58" s="226"/>
      <c r="F58" s="226"/>
      <c r="G58" s="220"/>
      <c r="H58" s="226"/>
      <c r="I58" s="220" t="e">
        <f t="shared" si="4"/>
        <v>#DIV/0!</v>
      </c>
      <c r="J58" s="192"/>
      <c r="K58" s="225">
        <v>45356.395138888889</v>
      </c>
      <c r="L58" s="226">
        <v>30.98</v>
      </c>
      <c r="M58" s="226">
        <v>0.02</v>
      </c>
      <c r="N58" s="226">
        <f t="shared" si="2"/>
        <v>30.96</v>
      </c>
      <c r="O58" s="220">
        <v>2.0791749799999999</v>
      </c>
      <c r="P58" s="226">
        <v>14.9</v>
      </c>
      <c r="Q58" s="310">
        <f t="shared" si="5"/>
        <v>30.979707202</v>
      </c>
      <c r="R58" t="s">
        <v>568</v>
      </c>
      <c r="S58" s="63">
        <v>0.13</v>
      </c>
      <c r="T58" s="119" t="s">
        <v>622</v>
      </c>
    </row>
    <row r="59" spans="2:28">
      <c r="B59" s="105" t="s">
        <v>575</v>
      </c>
      <c r="C59" s="225"/>
      <c r="D59" s="226">
        <v>15</v>
      </c>
      <c r="E59" s="226"/>
      <c r="F59" s="226"/>
      <c r="G59" s="220"/>
      <c r="H59" s="226"/>
      <c r="I59" s="220" t="e">
        <f t="shared" si="4"/>
        <v>#DIV/0!</v>
      </c>
      <c r="J59" s="192"/>
      <c r="K59" s="225">
        <v>45358.617361111108</v>
      </c>
      <c r="L59" s="226">
        <v>20.09</v>
      </c>
      <c r="M59" s="226">
        <v>0.02</v>
      </c>
      <c r="N59" s="226">
        <f t="shared" si="2"/>
        <v>20.07</v>
      </c>
      <c r="O59" s="220">
        <v>0.17838029999999999</v>
      </c>
      <c r="P59" s="226">
        <v>112.62</v>
      </c>
      <c r="Q59" s="310">
        <f t="shared" si="5"/>
        <v>20.089189386000001</v>
      </c>
      <c r="R59" t="s">
        <v>578</v>
      </c>
      <c r="S59" s="63">
        <v>0.21</v>
      </c>
      <c r="T59" s="119" t="s">
        <v>891</v>
      </c>
    </row>
    <row r="60" spans="2:28">
      <c r="B60" t="s">
        <v>576</v>
      </c>
      <c r="C60" s="225"/>
      <c r="D60" s="226">
        <v>20</v>
      </c>
      <c r="E60" s="226">
        <v>29.66</v>
      </c>
      <c r="F60" s="226"/>
      <c r="G60" s="220"/>
      <c r="H60" s="226"/>
      <c r="I60" s="220" t="e">
        <f t="shared" si="4"/>
        <v>#DIV/0!</v>
      </c>
      <c r="J60" s="192"/>
      <c r="K60" s="225">
        <v>45362.550694444442</v>
      </c>
      <c r="L60" s="226">
        <v>10.4</v>
      </c>
      <c r="M60" s="226">
        <v>0.02</v>
      </c>
      <c r="N60" s="226">
        <f t="shared" si="2"/>
        <v>10.38</v>
      </c>
      <c r="O60" s="220">
        <v>0.80007680000000003</v>
      </c>
      <c r="P60" s="226">
        <v>13</v>
      </c>
      <c r="Q60" s="310">
        <f t="shared" si="5"/>
        <v>10.400998400000001</v>
      </c>
      <c r="R60" t="s">
        <v>577</v>
      </c>
      <c r="S60" s="63">
        <v>0.8</v>
      </c>
      <c r="T60" s="119" t="s">
        <v>919</v>
      </c>
    </row>
    <row r="61" spans="2:28">
      <c r="B61" s="105" t="s">
        <v>563</v>
      </c>
      <c r="C61" s="225"/>
      <c r="D61" s="226">
        <v>10</v>
      </c>
      <c r="E61" s="226"/>
      <c r="F61" s="226"/>
      <c r="G61" s="220"/>
      <c r="H61" s="226"/>
      <c r="I61" s="220" t="e">
        <f t="shared" si="4"/>
        <v>#DIV/0!</v>
      </c>
      <c r="J61" s="192"/>
      <c r="K61" s="225">
        <v>45362.553472222222</v>
      </c>
      <c r="L61" s="226">
        <v>32.22</v>
      </c>
      <c r="M61" s="226">
        <v>0.02</v>
      </c>
      <c r="N61" s="226">
        <f t="shared" si="2"/>
        <v>32.199999999999996</v>
      </c>
      <c r="O61" s="220">
        <v>2.10757415</v>
      </c>
      <c r="P61" s="226">
        <v>15.29</v>
      </c>
      <c r="Q61" s="310">
        <f t="shared" si="5"/>
        <v>32.2248087535</v>
      </c>
      <c r="R61" t="s">
        <v>575</v>
      </c>
      <c r="S61" s="63">
        <v>0.51</v>
      </c>
      <c r="T61" s="119" t="s">
        <v>733</v>
      </c>
    </row>
    <row r="62" spans="2:28">
      <c r="B62" t="s">
        <v>577</v>
      </c>
      <c r="C62" s="225"/>
      <c r="D62" s="226">
        <v>10</v>
      </c>
      <c r="E62" s="226"/>
      <c r="F62" s="226"/>
      <c r="G62" s="220"/>
      <c r="H62" s="226"/>
      <c r="I62" s="220" t="e">
        <f t="shared" si="4"/>
        <v>#DIV/0!</v>
      </c>
      <c r="J62" s="192"/>
      <c r="K62" s="225">
        <v>45363.594444444447</v>
      </c>
      <c r="L62" s="226">
        <v>10.29</v>
      </c>
      <c r="M62" s="226">
        <v>0.02</v>
      </c>
      <c r="N62" s="226">
        <f t="shared" si="2"/>
        <v>10.27</v>
      </c>
      <c r="O62" s="220">
        <v>0.36766326999999999</v>
      </c>
      <c r="P62" s="226">
        <v>27.99</v>
      </c>
      <c r="Q62" s="310">
        <f t="shared" si="5"/>
        <v>10.290894927299998</v>
      </c>
      <c r="R62" t="s">
        <v>562</v>
      </c>
      <c r="S62" s="63">
        <v>0.62</v>
      </c>
      <c r="T62" s="119" t="s">
        <v>892</v>
      </c>
    </row>
    <row r="63" spans="2:28">
      <c r="B63" s="105" t="s">
        <v>482</v>
      </c>
      <c r="C63" s="225"/>
      <c r="D63" s="226">
        <v>25</v>
      </c>
      <c r="E63" s="226"/>
      <c r="F63" s="226"/>
      <c r="G63" s="220"/>
      <c r="H63" s="226"/>
      <c r="I63" s="220" t="e">
        <f t="shared" si="4"/>
        <v>#DIV/0!</v>
      </c>
      <c r="J63" s="192"/>
      <c r="K63" s="225">
        <v>45370.606249999997</v>
      </c>
      <c r="L63" s="226">
        <v>50.19</v>
      </c>
      <c r="M63" s="226">
        <v>0.02</v>
      </c>
      <c r="N63" s="226">
        <f t="shared" si="2"/>
        <v>50.169999999999995</v>
      </c>
      <c r="O63" s="220">
        <v>0.74496541000000005</v>
      </c>
      <c r="P63" s="226">
        <v>67.37</v>
      </c>
      <c r="Q63" s="310">
        <f t="shared" si="5"/>
        <v>50.188319671700008</v>
      </c>
      <c r="R63" t="s">
        <v>548</v>
      </c>
      <c r="S63" s="63">
        <v>1.79</v>
      </c>
      <c r="T63" s="119" t="s">
        <v>482</v>
      </c>
    </row>
    <row r="64" spans="2:28">
      <c r="B64" t="s">
        <v>544</v>
      </c>
      <c r="C64" s="225"/>
      <c r="D64" s="226">
        <v>30</v>
      </c>
      <c r="E64" s="226">
        <v>30</v>
      </c>
      <c r="F64" s="226">
        <v>30</v>
      </c>
      <c r="G64" s="220"/>
      <c r="H64" s="226"/>
      <c r="I64" s="220" t="e">
        <f t="shared" si="4"/>
        <v>#DIV/0!</v>
      </c>
      <c r="J64" s="192"/>
      <c r="K64" s="225">
        <v>45375.585416666669</v>
      </c>
      <c r="L64" s="226">
        <v>20.010000000000002</v>
      </c>
      <c r="M64" s="226">
        <v>0.02</v>
      </c>
      <c r="N64" s="226">
        <f t="shared" si="2"/>
        <v>19.990000000000002</v>
      </c>
      <c r="O64" s="220">
        <v>20.010005</v>
      </c>
      <c r="P64" s="226">
        <v>1</v>
      </c>
      <c r="Q64" s="310">
        <f t="shared" si="5"/>
        <v>20.010005</v>
      </c>
      <c r="R64" t="s">
        <v>546</v>
      </c>
      <c r="S64" s="63">
        <v>0.01</v>
      </c>
      <c r="T64" s="119" t="s">
        <v>704</v>
      </c>
      <c r="AB64" s="1"/>
    </row>
    <row r="65" spans="2:25">
      <c r="B65" s="105" t="s">
        <v>620</v>
      </c>
      <c r="C65" s="225"/>
      <c r="D65" s="226">
        <v>10</v>
      </c>
      <c r="E65" s="226">
        <v>10</v>
      </c>
      <c r="F65" s="226">
        <v>10</v>
      </c>
      <c r="G65" s="220"/>
      <c r="H65" s="226"/>
      <c r="I65" s="220" t="e">
        <f t="shared" si="4"/>
        <v>#DIV/0!</v>
      </c>
      <c r="J65" s="192"/>
      <c r="K65" s="225">
        <v>45375.620833333334</v>
      </c>
      <c r="L65" s="226">
        <v>27.58</v>
      </c>
      <c r="M65" s="226">
        <v>0.02</v>
      </c>
      <c r="N65" s="226">
        <f t="shared" si="2"/>
        <v>27.56</v>
      </c>
      <c r="O65" s="220">
        <v>1.99866755</v>
      </c>
      <c r="P65" s="226">
        <v>13.8</v>
      </c>
      <c r="Q65" s="310">
        <f t="shared" si="5"/>
        <v>27.581612190000001</v>
      </c>
      <c r="R65" t="s">
        <v>613</v>
      </c>
      <c r="S65" s="63">
        <v>0.32</v>
      </c>
      <c r="T65" s="119" t="s">
        <v>681</v>
      </c>
      <c r="W65" s="1"/>
    </row>
    <row r="66" spans="2:25">
      <c r="B66" s="105" t="s">
        <v>621</v>
      </c>
      <c r="C66" s="225"/>
      <c r="D66" s="226">
        <v>10</v>
      </c>
      <c r="E66" s="226">
        <v>10</v>
      </c>
      <c r="F66" s="226">
        <v>10</v>
      </c>
      <c r="G66" s="220"/>
      <c r="H66" s="226"/>
      <c r="I66" s="220" t="e">
        <f t="shared" si="4"/>
        <v>#DIV/0!</v>
      </c>
      <c r="J66" s="192"/>
      <c r="K66" s="225">
        <v>45386.434027777781</v>
      </c>
      <c r="L66" s="226">
        <v>57.45</v>
      </c>
      <c r="M66" s="226">
        <v>0.02</v>
      </c>
      <c r="N66" s="226">
        <f t="shared" si="2"/>
        <v>57.43</v>
      </c>
      <c r="O66" s="220">
        <v>1.1587485500000001</v>
      </c>
      <c r="P66" s="226">
        <v>49.58</v>
      </c>
      <c r="Q66" s="310">
        <f t="shared" si="5"/>
        <v>57.450753109000004</v>
      </c>
      <c r="R66" t="s">
        <v>502</v>
      </c>
      <c r="S66" s="63">
        <v>0.13</v>
      </c>
      <c r="T66" s="119" t="s">
        <v>622</v>
      </c>
      <c r="W66" s="25"/>
    </row>
    <row r="67" spans="2:25">
      <c r="B67" s="105" t="s">
        <v>622</v>
      </c>
      <c r="C67" s="225"/>
      <c r="D67" s="226">
        <v>25</v>
      </c>
      <c r="E67" s="226">
        <v>24.7</v>
      </c>
      <c r="F67" s="226">
        <v>10</v>
      </c>
      <c r="G67" s="220"/>
      <c r="H67" s="226"/>
      <c r="I67" s="220" t="e">
        <f t="shared" si="4"/>
        <v>#DIV/0!</v>
      </c>
      <c r="J67" s="192"/>
      <c r="K67" s="225">
        <v>45415.443055555559</v>
      </c>
      <c r="L67" s="226">
        <v>11.75</v>
      </c>
      <c r="M67" s="226">
        <v>0.02</v>
      </c>
      <c r="N67" s="226">
        <f t="shared" si="2"/>
        <v>11.73</v>
      </c>
      <c r="O67" s="220">
        <v>0.86956520999999998</v>
      </c>
      <c r="P67" s="226">
        <v>13.51</v>
      </c>
      <c r="Q67" s="310">
        <f t="shared" si="5"/>
        <v>11.747825987099999</v>
      </c>
      <c r="R67" t="s">
        <v>620</v>
      </c>
      <c r="S67" s="63">
        <v>0.5</v>
      </c>
      <c r="T67" s="119" t="s">
        <v>972</v>
      </c>
      <c r="W67" s="25"/>
      <c r="X67" s="25"/>
      <c r="Y67" s="6"/>
    </row>
    <row r="68" spans="2:25">
      <c r="B68" s="105" t="s">
        <v>544</v>
      </c>
      <c r="C68" s="225"/>
      <c r="D68" s="226">
        <v>25</v>
      </c>
      <c r="E68" s="226"/>
      <c r="F68" s="226"/>
      <c r="G68" s="220"/>
      <c r="H68" s="226"/>
      <c r="I68" s="220" t="e">
        <f t="shared" si="4"/>
        <v>#DIV/0!</v>
      </c>
      <c r="J68" s="192"/>
      <c r="K68" s="225">
        <v>45427.624305555553</v>
      </c>
      <c r="L68" s="226">
        <v>25</v>
      </c>
      <c r="M68" s="226">
        <v>0.02</v>
      </c>
      <c r="N68" s="226">
        <f t="shared" si="2"/>
        <v>24.98</v>
      </c>
      <c r="O68" s="220">
        <v>1.7392250000000001E-2</v>
      </c>
      <c r="P68" s="226">
        <v>1437.42</v>
      </c>
      <c r="Q68" s="310">
        <f t="shared" si="5"/>
        <v>24.999967995000002</v>
      </c>
      <c r="R68" s="105" t="s">
        <v>482</v>
      </c>
      <c r="S68" s="63">
        <v>0.14000000000000001</v>
      </c>
      <c r="T68" s="119" t="s">
        <v>891</v>
      </c>
      <c r="U68" s="8"/>
      <c r="V68" s="25"/>
      <c r="W68" s="25"/>
      <c r="X68" s="25"/>
      <c r="Y68" s="6"/>
    </row>
    <row r="69" spans="2:25">
      <c r="B69" s="105" t="s">
        <v>563</v>
      </c>
      <c r="C69" s="225"/>
      <c r="D69" s="226">
        <v>20</v>
      </c>
      <c r="E69" s="226"/>
      <c r="F69" s="226"/>
      <c r="G69" s="220"/>
      <c r="H69" s="226"/>
      <c r="I69" s="220" t="e">
        <f t="shared" si="4"/>
        <v>#DIV/0!</v>
      </c>
      <c r="J69" s="192"/>
      <c r="K69" s="225">
        <v>45440.50277777778</v>
      </c>
      <c r="L69" s="226">
        <v>11.1</v>
      </c>
      <c r="M69" s="226">
        <v>0.02</v>
      </c>
      <c r="N69" s="226">
        <f t="shared" si="2"/>
        <v>11.08</v>
      </c>
      <c r="O69" s="220">
        <v>6.9444439999999996E-2</v>
      </c>
      <c r="P69" s="226">
        <v>159.84</v>
      </c>
      <c r="Q69" s="310">
        <f t="shared" si="5"/>
        <v>11.099999289599999</v>
      </c>
      <c r="R69" t="s">
        <v>621</v>
      </c>
      <c r="S69" s="25">
        <v>0.04</v>
      </c>
      <c r="T69" s="119" t="s">
        <v>976</v>
      </c>
      <c r="V69" s="6"/>
    </row>
    <row r="70" spans="2:25">
      <c r="B70" s="105" t="s">
        <v>682</v>
      </c>
      <c r="C70" s="225"/>
      <c r="D70" s="226">
        <v>10</v>
      </c>
      <c r="E70" s="226">
        <v>7.68</v>
      </c>
      <c r="F70" s="226">
        <v>7.68</v>
      </c>
      <c r="G70" s="220"/>
      <c r="H70" s="226"/>
      <c r="I70" s="220" t="e">
        <f t="shared" si="4"/>
        <v>#DIV/0!</v>
      </c>
      <c r="J70" s="192"/>
      <c r="K70" s="225">
        <v>45440.515972222223</v>
      </c>
      <c r="L70" s="226">
        <v>54</v>
      </c>
      <c r="M70" s="226">
        <v>0.02</v>
      </c>
      <c r="N70" s="226">
        <f t="shared" si="2"/>
        <v>53.98</v>
      </c>
      <c r="O70" s="220">
        <v>0.28267632999999998</v>
      </c>
      <c r="P70" s="226">
        <v>191.03</v>
      </c>
      <c r="Q70" s="310">
        <f t="shared" si="5"/>
        <v>53.999659319899997</v>
      </c>
      <c r="R70" t="s">
        <v>206</v>
      </c>
      <c r="S70" s="25">
        <v>1.29</v>
      </c>
      <c r="T70" s="119" t="s">
        <v>919</v>
      </c>
    </row>
    <row r="71" spans="2:25">
      <c r="B71" s="105" t="s">
        <v>703</v>
      </c>
      <c r="C71" s="225"/>
      <c r="D71" s="226">
        <v>25</v>
      </c>
      <c r="E71" s="226"/>
      <c r="F71" s="226"/>
      <c r="G71" s="220"/>
      <c r="H71" s="226"/>
      <c r="I71" s="220" t="e">
        <f t="shared" si="4"/>
        <v>#DIV/0!</v>
      </c>
      <c r="J71" s="192"/>
      <c r="K71" s="225">
        <v>45450.421527777777</v>
      </c>
      <c r="L71" s="226">
        <v>22.08</v>
      </c>
      <c r="M71" s="226">
        <v>0.02</v>
      </c>
      <c r="N71" s="226">
        <f t="shared" si="2"/>
        <v>22.06</v>
      </c>
      <c r="O71" s="220">
        <v>0.66898581000000001</v>
      </c>
      <c r="P71" s="226">
        <v>33.01</v>
      </c>
      <c r="Q71" s="310">
        <f t="shared" si="5"/>
        <v>22.083221588099999</v>
      </c>
      <c r="R71" t="s">
        <v>620</v>
      </c>
      <c r="S71" s="63">
        <v>0.28999999999999998</v>
      </c>
      <c r="T71" s="119" t="s">
        <v>733</v>
      </c>
      <c r="V71" s="1"/>
      <c r="W71" s="1"/>
      <c r="X71" s="1"/>
    </row>
    <row r="72" spans="2:25">
      <c r="B72" s="105" t="s">
        <v>704</v>
      </c>
      <c r="C72" s="225"/>
      <c r="D72" s="226">
        <v>25</v>
      </c>
      <c r="E72" s="226"/>
      <c r="F72" s="226"/>
      <c r="G72" s="220"/>
      <c r="H72" s="226"/>
      <c r="I72" s="220" t="e">
        <f t="shared" si="4"/>
        <v>#DIV/0!</v>
      </c>
      <c r="J72" s="192"/>
      <c r="K72" s="225">
        <v>45450.003472222219</v>
      </c>
      <c r="L72" s="226">
        <v>20.34</v>
      </c>
      <c r="M72" s="226">
        <v>0.02</v>
      </c>
      <c r="N72" s="226">
        <f t="shared" si="2"/>
        <v>20.32</v>
      </c>
      <c r="O72" s="220">
        <v>0.88809945999999995</v>
      </c>
      <c r="P72" s="226">
        <v>22.9</v>
      </c>
      <c r="Q72" s="310">
        <f t="shared" si="5"/>
        <v>20.337477633999999</v>
      </c>
      <c r="R72" t="s">
        <v>708</v>
      </c>
      <c r="S72" s="63">
        <v>1.37</v>
      </c>
      <c r="T72" s="119" t="s">
        <v>892</v>
      </c>
    </row>
    <row r="73" spans="2:25">
      <c r="B73" s="105" t="s">
        <v>705</v>
      </c>
      <c r="C73" s="225"/>
      <c r="D73" s="226">
        <v>20</v>
      </c>
      <c r="E73" s="226"/>
      <c r="F73" s="226"/>
      <c r="G73" s="220"/>
      <c r="H73" s="226"/>
      <c r="I73" s="220" t="e">
        <f t="shared" si="4"/>
        <v>#DIV/0!</v>
      </c>
      <c r="J73" s="192"/>
      <c r="K73" s="225">
        <v>45454.482638888891</v>
      </c>
      <c r="L73" s="226">
        <v>15</v>
      </c>
      <c r="M73" s="226">
        <v>0.02</v>
      </c>
      <c r="N73" s="226">
        <f t="shared" si="2"/>
        <v>14.98</v>
      </c>
      <c r="O73" s="220">
        <v>7.3514560000000007E-2</v>
      </c>
      <c r="P73" s="226">
        <v>204.04</v>
      </c>
      <c r="Q73" s="310">
        <f t="shared" si="5"/>
        <v>14.9999108224</v>
      </c>
      <c r="R73" t="s">
        <v>206</v>
      </c>
      <c r="S73" s="63">
        <v>1.93</v>
      </c>
      <c r="T73" s="119" t="s">
        <v>482</v>
      </c>
      <c r="U73" s="6"/>
      <c r="V73" s="6"/>
    </row>
    <row r="74" spans="2:25">
      <c r="B74" s="105" t="s">
        <v>706</v>
      </c>
      <c r="C74" s="225"/>
      <c r="D74" s="226">
        <v>25</v>
      </c>
      <c r="E74" s="226"/>
      <c r="F74" s="226"/>
      <c r="G74" s="220"/>
      <c r="H74" s="226"/>
      <c r="I74" s="220" t="e">
        <f t="shared" si="4"/>
        <v>#DIV/0!</v>
      </c>
      <c r="J74" s="192"/>
      <c r="K74" s="225">
        <v>45455.373611111114</v>
      </c>
      <c r="L74" s="226">
        <v>8</v>
      </c>
      <c r="M74" s="226">
        <v>0.02</v>
      </c>
      <c r="N74" s="226">
        <f t="shared" si="2"/>
        <v>7.98</v>
      </c>
      <c r="O74" s="220">
        <v>3.749334E-2</v>
      </c>
      <c r="P74" s="226">
        <v>213.37</v>
      </c>
      <c r="Q74" s="310">
        <f t="shared" si="5"/>
        <v>7.9999539558000006</v>
      </c>
      <c r="R74" t="s">
        <v>206</v>
      </c>
      <c r="S74" s="63">
        <v>0.01</v>
      </c>
      <c r="T74" s="119" t="s">
        <v>704</v>
      </c>
    </row>
    <row r="75" spans="2:25">
      <c r="B75" s="105" t="s">
        <v>620</v>
      </c>
      <c r="C75" s="225"/>
      <c r="D75" s="226">
        <v>25</v>
      </c>
      <c r="E75" s="226"/>
      <c r="F75" s="226"/>
      <c r="G75" s="220"/>
      <c r="H75" s="226"/>
      <c r="I75" s="220" t="e">
        <f t="shared" si="4"/>
        <v>#DIV/0!</v>
      </c>
      <c r="J75" s="192"/>
      <c r="K75" s="225">
        <v>45457.469444444447</v>
      </c>
      <c r="L75" s="226">
        <v>10</v>
      </c>
      <c r="M75" s="226">
        <v>0.02</v>
      </c>
      <c r="N75" s="226">
        <f t="shared" si="2"/>
        <v>9.98</v>
      </c>
      <c r="O75" s="220">
        <v>5.836E-3</v>
      </c>
      <c r="P75" s="226">
        <v>1713.5</v>
      </c>
      <c r="Q75" s="310">
        <f t="shared" si="5"/>
        <v>9.9999859999999998</v>
      </c>
      <c r="R75" t="s">
        <v>482</v>
      </c>
      <c r="S75" s="63">
        <v>0.87</v>
      </c>
      <c r="T75" s="119" t="s">
        <v>681</v>
      </c>
    </row>
    <row r="76" spans="2:25">
      <c r="B76" s="105" t="s">
        <v>707</v>
      </c>
      <c r="C76" s="225"/>
      <c r="D76" s="226">
        <v>10</v>
      </c>
      <c r="E76" s="226"/>
      <c r="F76" s="226"/>
      <c r="G76" s="220"/>
      <c r="H76" s="226"/>
      <c r="I76" s="220" t="e">
        <f t="shared" si="4"/>
        <v>#DIV/0!</v>
      </c>
      <c r="J76" s="192"/>
      <c r="K76" s="225">
        <v>45457.616666666669</v>
      </c>
      <c r="L76" s="226">
        <v>6</v>
      </c>
      <c r="M76" s="226">
        <v>0.02</v>
      </c>
      <c r="N76" s="226">
        <f t="shared" si="2"/>
        <v>5.98</v>
      </c>
      <c r="O76" s="220">
        <v>2.8365950000000001E-2</v>
      </c>
      <c r="P76" s="226">
        <v>211.52</v>
      </c>
      <c r="Q76" s="310">
        <f t="shared" si="5"/>
        <v>5.9999657440000007</v>
      </c>
      <c r="R76" t="s">
        <v>206</v>
      </c>
      <c r="S76" s="63">
        <v>0.25</v>
      </c>
      <c r="T76" s="119" t="s">
        <v>622</v>
      </c>
    </row>
    <row r="77" spans="2:25">
      <c r="B77" s="105" t="s">
        <v>620</v>
      </c>
      <c r="C77" s="225"/>
      <c r="D77" s="226">
        <v>10</v>
      </c>
      <c r="E77" s="226"/>
      <c r="F77" s="226"/>
      <c r="G77" s="220"/>
      <c r="H77" s="226"/>
      <c r="I77" s="220" t="e">
        <f t="shared" si="4"/>
        <v>#DIV/0!</v>
      </c>
      <c r="J77" s="192"/>
      <c r="K77" s="225">
        <v>45457.619444444441</v>
      </c>
      <c r="L77" s="226">
        <v>27.19</v>
      </c>
      <c r="M77" s="226">
        <v>0.02</v>
      </c>
      <c r="N77" s="226">
        <f t="shared" si="2"/>
        <v>27.17</v>
      </c>
      <c r="O77" s="220">
        <v>0.19232247999999999</v>
      </c>
      <c r="P77" s="226">
        <v>141.38</v>
      </c>
      <c r="Q77" s="310">
        <f t="shared" si="5"/>
        <v>27.190552222399997</v>
      </c>
      <c r="R77" t="s">
        <v>622</v>
      </c>
      <c r="S77" s="63">
        <v>0.14000000000000001</v>
      </c>
      <c r="T77" s="119" t="s">
        <v>891</v>
      </c>
    </row>
    <row r="78" spans="2:25">
      <c r="B78" s="105" t="s">
        <v>620</v>
      </c>
      <c r="C78" s="225"/>
      <c r="D78" s="226">
        <v>10</v>
      </c>
      <c r="E78" s="226">
        <v>9.7200000000000006</v>
      </c>
      <c r="F78" s="226">
        <v>9.7200000000000006</v>
      </c>
      <c r="G78" s="220"/>
      <c r="H78" s="226"/>
      <c r="I78" s="220" t="e">
        <f t="shared" si="4"/>
        <v>#DIV/0!</v>
      </c>
      <c r="J78" s="192"/>
      <c r="K78" s="225">
        <v>45461.37222222222</v>
      </c>
      <c r="L78" s="226">
        <v>27.94</v>
      </c>
      <c r="M78" s="226">
        <v>0.02</v>
      </c>
      <c r="N78" s="226">
        <f t="shared" si="2"/>
        <v>27.92</v>
      </c>
      <c r="O78" s="220">
        <v>1.13947128</v>
      </c>
      <c r="P78" s="226">
        <v>24.52</v>
      </c>
      <c r="Q78" s="310">
        <f t="shared" si="5"/>
        <v>27.9398357856</v>
      </c>
      <c r="R78" t="s">
        <v>727</v>
      </c>
      <c r="S78" s="63">
        <v>1.37</v>
      </c>
      <c r="T78" s="119" t="s">
        <v>988</v>
      </c>
    </row>
    <row r="79" spans="2:25">
      <c r="B79" s="105" t="s">
        <v>550</v>
      </c>
      <c r="C79" s="225"/>
      <c r="D79" s="226">
        <v>20</v>
      </c>
      <c r="E79" s="226">
        <v>20</v>
      </c>
      <c r="F79" s="226">
        <v>20</v>
      </c>
      <c r="G79" s="220"/>
      <c r="H79" s="226"/>
      <c r="I79" s="220" t="e">
        <f t="shared" si="4"/>
        <v>#DIV/0!</v>
      </c>
      <c r="J79" s="192"/>
      <c r="K79" s="225">
        <v>45461.624305555553</v>
      </c>
      <c r="L79" s="226">
        <v>5</v>
      </c>
      <c r="M79" s="226">
        <v>0.02</v>
      </c>
      <c r="N79" s="226">
        <f t="shared" si="2"/>
        <v>4.9800000000000004</v>
      </c>
      <c r="O79" s="220">
        <v>3.685923E-2</v>
      </c>
      <c r="P79" s="226">
        <v>135.65</v>
      </c>
      <c r="Q79" s="310">
        <f t="shared" si="5"/>
        <v>4.9999545495</v>
      </c>
      <c r="R79" t="s">
        <v>704</v>
      </c>
      <c r="S79" s="63">
        <v>7.0000000000000007E-2</v>
      </c>
      <c r="T79" s="119" t="s">
        <v>971</v>
      </c>
    </row>
    <row r="80" spans="2:25">
      <c r="B80" s="105" t="s">
        <v>726</v>
      </c>
      <c r="C80" s="225"/>
      <c r="D80" s="226">
        <v>25</v>
      </c>
      <c r="E80" s="226">
        <v>25</v>
      </c>
      <c r="F80" s="226">
        <v>25</v>
      </c>
      <c r="G80" s="220"/>
      <c r="H80" s="226"/>
      <c r="I80" s="220" t="e">
        <f t="shared" si="4"/>
        <v>#DIV/0!</v>
      </c>
      <c r="J80" s="192"/>
      <c r="K80" s="225">
        <v>45467.383333333331</v>
      </c>
      <c r="L80" s="226">
        <v>22.41</v>
      </c>
      <c r="M80" s="226">
        <v>0.02</v>
      </c>
      <c r="N80" s="226">
        <f t="shared" si="2"/>
        <v>22.39</v>
      </c>
      <c r="O80" s="220">
        <v>8.5499316000000007</v>
      </c>
      <c r="P80" s="226">
        <v>2.62</v>
      </c>
      <c r="Q80" s="310">
        <f t="shared" si="5"/>
        <v>22.400820792000001</v>
      </c>
      <c r="R80" t="s">
        <v>550</v>
      </c>
      <c r="S80" s="63">
        <v>0.46</v>
      </c>
      <c r="T80" s="119" t="s">
        <v>992</v>
      </c>
    </row>
    <row r="81" spans="2:20">
      <c r="B81" s="105" t="s">
        <v>727</v>
      </c>
      <c r="C81" s="225"/>
      <c r="D81" s="226">
        <v>25</v>
      </c>
      <c r="E81" s="226">
        <v>25</v>
      </c>
      <c r="F81" s="226">
        <v>25</v>
      </c>
      <c r="G81" s="220"/>
      <c r="H81" s="226"/>
      <c r="I81" s="220" t="e">
        <f t="shared" si="4"/>
        <v>#DIV/0!</v>
      </c>
      <c r="J81" s="192"/>
      <c r="K81" s="225">
        <v>45467.385416666664</v>
      </c>
      <c r="L81" s="226">
        <v>5.07</v>
      </c>
      <c r="M81" s="226">
        <v>0.02</v>
      </c>
      <c r="N81" s="226">
        <f t="shared" si="2"/>
        <v>5.0500000000000007</v>
      </c>
      <c r="O81" s="220">
        <v>1.08960948</v>
      </c>
      <c r="P81" s="226">
        <v>4.6500000000000004</v>
      </c>
      <c r="Q81" s="310">
        <f t="shared" si="5"/>
        <v>5.0666840820000001</v>
      </c>
      <c r="R81" t="s">
        <v>730</v>
      </c>
      <c r="S81" s="63">
        <v>1.83</v>
      </c>
      <c r="T81" s="119" t="s">
        <v>919</v>
      </c>
    </row>
    <row r="82" spans="2:20">
      <c r="B82" s="105" t="s">
        <v>544</v>
      </c>
      <c r="C82" s="225"/>
      <c r="D82" s="226">
        <v>25</v>
      </c>
      <c r="E82" s="226"/>
      <c r="F82" s="226"/>
      <c r="G82" s="220"/>
      <c r="H82" s="226"/>
      <c r="I82" s="220" t="e">
        <f t="shared" si="4"/>
        <v>#DIV/0!</v>
      </c>
      <c r="J82" s="192"/>
      <c r="K82" s="225">
        <v>45467.388194444444</v>
      </c>
      <c r="L82" s="226">
        <v>4.87</v>
      </c>
      <c r="M82" s="226">
        <v>0.02</v>
      </c>
      <c r="N82" s="226">
        <f t="shared" si="2"/>
        <v>4.8500000000000005</v>
      </c>
      <c r="O82" s="220">
        <v>2.328904E-2</v>
      </c>
      <c r="P82" s="226">
        <v>209.11</v>
      </c>
      <c r="Q82" s="310">
        <f t="shared" si="5"/>
        <v>4.8699711544000008</v>
      </c>
      <c r="R82" t="s">
        <v>206</v>
      </c>
      <c r="S82" s="63">
        <v>0.28999999999999998</v>
      </c>
      <c r="T82" s="119" t="s">
        <v>733</v>
      </c>
    </row>
    <row r="83" spans="2:20">
      <c r="B83" s="105" t="s">
        <v>482</v>
      </c>
      <c r="C83" s="225"/>
      <c r="D83" s="226">
        <v>10</v>
      </c>
      <c r="E83" s="226">
        <v>1.85</v>
      </c>
      <c r="F83" s="226">
        <v>1.85</v>
      </c>
      <c r="G83" s="220"/>
      <c r="H83" s="226"/>
      <c r="I83" s="220" t="e">
        <f t="shared" si="4"/>
        <v>#DIV/0!</v>
      </c>
      <c r="J83" s="192"/>
      <c r="K83" s="225">
        <v>45467.550694444442</v>
      </c>
      <c r="L83" s="226">
        <v>9.7200000000000006</v>
      </c>
      <c r="M83" s="226">
        <v>0.02</v>
      </c>
      <c r="N83" s="226">
        <f t="shared" si="2"/>
        <v>9.7000000000000011</v>
      </c>
      <c r="O83" s="220">
        <v>6.0197200000000001E-3</v>
      </c>
      <c r="P83" s="226">
        <v>1614.69</v>
      </c>
      <c r="Q83" s="310">
        <f t="shared" si="5"/>
        <v>9.7199816868000006</v>
      </c>
      <c r="R83" t="s">
        <v>482</v>
      </c>
      <c r="S83" s="63">
        <v>0.01</v>
      </c>
      <c r="T83" s="119" t="s">
        <v>704</v>
      </c>
    </row>
    <row r="84" spans="2:20">
      <c r="B84" s="105" t="s">
        <v>707</v>
      </c>
      <c r="C84" s="225"/>
      <c r="D84" s="226">
        <v>5</v>
      </c>
      <c r="E84" s="226"/>
      <c r="F84" s="226"/>
      <c r="G84" s="220"/>
      <c r="H84" s="226"/>
      <c r="I84" s="220" t="e">
        <f t="shared" si="4"/>
        <v>#DIV/0!</v>
      </c>
      <c r="J84" s="192"/>
      <c r="K84" s="225">
        <v>45470.61041666667</v>
      </c>
      <c r="L84" s="226">
        <v>5.12</v>
      </c>
      <c r="M84" s="226">
        <v>0.02</v>
      </c>
      <c r="N84" s="226">
        <f t="shared" si="2"/>
        <v>5.1000000000000005</v>
      </c>
      <c r="O84" s="220">
        <v>0.17064846</v>
      </c>
      <c r="P84" s="226">
        <v>30</v>
      </c>
      <c r="Q84" s="310">
        <f t="shared" si="5"/>
        <v>5.1194538000000005</v>
      </c>
      <c r="R84" t="s">
        <v>727</v>
      </c>
      <c r="S84" s="63">
        <v>1.44</v>
      </c>
      <c r="T84" s="119" t="s">
        <v>892</v>
      </c>
    </row>
    <row r="85" spans="2:20">
      <c r="B85" s="105" t="s">
        <v>728</v>
      </c>
      <c r="C85" s="225"/>
      <c r="D85" s="226">
        <v>10</v>
      </c>
      <c r="E85" s="226"/>
      <c r="F85" s="226"/>
      <c r="G85" s="220"/>
      <c r="H85" s="226"/>
      <c r="I85" s="220" t="e">
        <f t="shared" si="4"/>
        <v>#DIV/0!</v>
      </c>
      <c r="J85" s="192"/>
      <c r="K85" s="225">
        <v>45470.611111111109</v>
      </c>
      <c r="L85" s="226">
        <v>4.3600000000000003</v>
      </c>
      <c r="M85" s="226">
        <v>0.02</v>
      </c>
      <c r="N85" s="226">
        <f t="shared" si="2"/>
        <v>4.3400000000000007</v>
      </c>
      <c r="O85" s="220">
        <v>2.0452080000000001E-2</v>
      </c>
      <c r="P85" s="226">
        <v>213.18</v>
      </c>
      <c r="Q85" s="310">
        <f t="shared" si="5"/>
        <v>4.3599744144000008</v>
      </c>
      <c r="R85" t="s">
        <v>206</v>
      </c>
      <c r="S85" s="63">
        <v>2.71</v>
      </c>
      <c r="T85" s="119" t="s">
        <v>482</v>
      </c>
    </row>
    <row r="86" spans="2:20">
      <c r="B86" s="105" t="s">
        <v>729</v>
      </c>
      <c r="C86" s="225"/>
      <c r="D86" s="226">
        <v>10</v>
      </c>
      <c r="E86" s="226">
        <v>7.08</v>
      </c>
      <c r="F86" s="226">
        <v>7.08</v>
      </c>
      <c r="G86" s="220"/>
      <c r="H86" s="226"/>
      <c r="I86" s="220" t="e">
        <f t="shared" si="4"/>
        <v>#DIV/0!</v>
      </c>
      <c r="J86" s="192"/>
      <c r="K86" s="225">
        <v>45471.384027777778</v>
      </c>
      <c r="L86" s="226">
        <v>10.96</v>
      </c>
      <c r="M86" s="226">
        <v>0.02</v>
      </c>
      <c r="N86" s="226">
        <f t="shared" si="2"/>
        <v>10.940000000000001</v>
      </c>
      <c r="O86" s="220">
        <v>8.753909E-2</v>
      </c>
      <c r="P86" s="226">
        <v>125.2</v>
      </c>
      <c r="Q86" s="310">
        <f t="shared" si="5"/>
        <v>10.959894068000001</v>
      </c>
      <c r="R86" t="s">
        <v>704</v>
      </c>
      <c r="S86" s="63">
        <v>0.98</v>
      </c>
      <c r="T86" s="119" t="s">
        <v>681</v>
      </c>
    </row>
    <row r="87" spans="2:20">
      <c r="B87" s="105" t="s">
        <v>730</v>
      </c>
      <c r="C87" s="225"/>
      <c r="D87" s="226">
        <v>5</v>
      </c>
      <c r="E87" s="226">
        <v>5</v>
      </c>
      <c r="F87" s="226">
        <v>5</v>
      </c>
      <c r="G87" s="220"/>
      <c r="H87" s="226"/>
      <c r="I87" s="220" t="e">
        <f t="shared" si="4"/>
        <v>#DIV/0!</v>
      </c>
      <c r="J87" s="192"/>
      <c r="K87" s="225">
        <v>45478.446527777778</v>
      </c>
      <c r="L87" s="226">
        <v>5.65</v>
      </c>
      <c r="M87" s="226">
        <v>0.02</v>
      </c>
      <c r="N87" s="226">
        <f t="shared" si="2"/>
        <v>5.6300000000000008</v>
      </c>
      <c r="O87" s="220">
        <v>2.5097589999999999E-2</v>
      </c>
      <c r="P87" s="226">
        <v>225.12</v>
      </c>
      <c r="Q87" s="310">
        <f t="shared" si="5"/>
        <v>5.6499694608000004</v>
      </c>
      <c r="R87" t="s">
        <v>206</v>
      </c>
      <c r="S87" s="63">
        <v>0.21</v>
      </c>
      <c r="T87" s="119" t="s">
        <v>622</v>
      </c>
    </row>
    <row r="88" spans="2:20">
      <c r="B88" s="105" t="s">
        <v>731</v>
      </c>
      <c r="C88" s="225"/>
      <c r="D88" s="226">
        <v>10</v>
      </c>
      <c r="E88" s="226"/>
      <c r="F88" s="226"/>
      <c r="G88" s="220"/>
      <c r="H88" s="226"/>
      <c r="I88" s="220" t="e">
        <f t="shared" si="4"/>
        <v>#DIV/0!</v>
      </c>
      <c r="J88" s="192"/>
      <c r="K88" s="225">
        <v>45481.43472222222</v>
      </c>
      <c r="L88" s="226">
        <v>5</v>
      </c>
      <c r="M88" s="226">
        <v>0.02</v>
      </c>
      <c r="N88" s="226">
        <f t="shared" ref="N88:N94" si="6">L88-M88</f>
        <v>4.9800000000000004</v>
      </c>
      <c r="O88" s="220">
        <v>0.14938214999999999</v>
      </c>
      <c r="P88" s="226">
        <v>33.47</v>
      </c>
      <c r="Q88" s="310">
        <f t="shared" ref="Q88:Q131" si="7">P88*O88</f>
        <v>4.9998205604999999</v>
      </c>
      <c r="R88" t="s">
        <v>703</v>
      </c>
      <c r="S88" s="63">
        <v>1.1100000000000001</v>
      </c>
      <c r="T88" s="119" t="s">
        <v>972</v>
      </c>
    </row>
    <row r="89" spans="2:20">
      <c r="B89" s="105" t="s">
        <v>577</v>
      </c>
      <c r="C89" s="225"/>
      <c r="D89" s="236">
        <v>5</v>
      </c>
      <c r="E89" s="226"/>
      <c r="F89" s="226"/>
      <c r="G89" s="220"/>
      <c r="H89" s="226"/>
      <c r="I89" s="220"/>
      <c r="J89" s="192"/>
      <c r="K89" s="225">
        <v>45482.357638888891</v>
      </c>
      <c r="L89" s="226">
        <v>3.05</v>
      </c>
      <c r="M89" s="226">
        <v>0.02</v>
      </c>
      <c r="N89" s="226">
        <f t="shared" si="6"/>
        <v>3.03</v>
      </c>
      <c r="O89" s="220">
        <v>8.6990739999999997E-2</v>
      </c>
      <c r="P89" s="226">
        <v>35.06</v>
      </c>
      <c r="Q89" s="310">
        <f t="shared" si="7"/>
        <v>3.0498953443999999</v>
      </c>
      <c r="R89" t="s">
        <v>703</v>
      </c>
      <c r="S89" s="63">
        <v>0.71</v>
      </c>
      <c r="T89" s="119" t="s">
        <v>988</v>
      </c>
    </row>
    <row r="90" spans="2:20">
      <c r="B90" s="105" t="s">
        <v>727</v>
      </c>
      <c r="C90" s="225"/>
      <c r="D90" s="226">
        <v>5</v>
      </c>
      <c r="E90" s="226"/>
      <c r="F90" s="226"/>
      <c r="G90" s="220"/>
      <c r="H90" s="226"/>
      <c r="I90" s="220"/>
      <c r="J90" s="192"/>
      <c r="K90" s="225">
        <v>45484.367361111108</v>
      </c>
      <c r="L90" s="226">
        <v>11.18</v>
      </c>
      <c r="M90" s="226">
        <v>0.02</v>
      </c>
      <c r="N90" s="226">
        <f t="shared" si="6"/>
        <v>11.16</v>
      </c>
      <c r="O90" s="220">
        <v>0.67768907</v>
      </c>
      <c r="P90" s="226">
        <v>16.5</v>
      </c>
      <c r="Q90" s="310">
        <f t="shared" si="7"/>
        <v>11.181869655</v>
      </c>
      <c r="R90" t="s">
        <v>577</v>
      </c>
      <c r="S90" s="63">
        <v>0.13</v>
      </c>
      <c r="T90" s="119" t="s">
        <v>891</v>
      </c>
    </row>
    <row r="91" spans="2:20" ht="15.75" thickBot="1">
      <c r="B91" s="105" t="s">
        <v>482</v>
      </c>
      <c r="C91" s="237"/>
      <c r="D91" s="226">
        <v>9.4700000000000006</v>
      </c>
      <c r="E91" s="226"/>
      <c r="F91" s="226"/>
      <c r="G91" s="220"/>
      <c r="H91" s="226"/>
      <c r="I91" s="220"/>
      <c r="J91" s="192"/>
      <c r="K91" s="225">
        <v>45484.368055555555</v>
      </c>
      <c r="L91" s="226">
        <v>2.75</v>
      </c>
      <c r="M91" s="226">
        <v>0.02</v>
      </c>
      <c r="N91" s="226">
        <f t="shared" si="6"/>
        <v>2.73</v>
      </c>
      <c r="O91" s="220">
        <v>6.0745019999999997E-2</v>
      </c>
      <c r="P91" s="226">
        <v>45.27</v>
      </c>
      <c r="Q91" s="310">
        <f t="shared" si="7"/>
        <v>2.7499270554000002</v>
      </c>
      <c r="R91" t="s">
        <v>745</v>
      </c>
      <c r="S91" s="63"/>
    </row>
    <row r="92" spans="2:20" ht="15" customHeight="1" thickBot="1">
      <c r="B92" s="105" t="s">
        <v>206</v>
      </c>
      <c r="D92" s="365">
        <v>24</v>
      </c>
      <c r="E92" s="63">
        <v>15.51</v>
      </c>
      <c r="F92" s="63">
        <v>15.51</v>
      </c>
      <c r="K92" s="237">
        <v>45484.523611111108</v>
      </c>
      <c r="L92" s="241">
        <v>13.65</v>
      </c>
      <c r="M92" s="241">
        <v>0.02</v>
      </c>
      <c r="N92" s="226">
        <f t="shared" si="6"/>
        <v>13.63</v>
      </c>
      <c r="O92" s="218">
        <v>5.09138381</v>
      </c>
      <c r="P92" s="241">
        <v>2.68</v>
      </c>
      <c r="Q92" s="336">
        <f t="shared" si="7"/>
        <v>13.6449086108</v>
      </c>
      <c r="R92" t="s">
        <v>550</v>
      </c>
      <c r="S92" s="63"/>
    </row>
    <row r="93" spans="2:20">
      <c r="B93" s="105" t="s">
        <v>577</v>
      </c>
      <c r="D93" s="365">
        <v>5</v>
      </c>
      <c r="E93" s="63">
        <v>5</v>
      </c>
      <c r="F93" s="63">
        <v>5</v>
      </c>
      <c r="K93" s="368">
        <v>45484.547222222223</v>
      </c>
      <c r="L93" s="365">
        <v>25</v>
      </c>
      <c r="M93" s="365">
        <v>0.02</v>
      </c>
      <c r="N93" s="226">
        <f t="shared" si="6"/>
        <v>24.98</v>
      </c>
      <c r="O93" s="220">
        <v>3.5913348200000001</v>
      </c>
      <c r="P93" s="365">
        <v>6.96</v>
      </c>
      <c r="Q93" s="367">
        <f t="shared" si="7"/>
        <v>24.9956903472</v>
      </c>
      <c r="R93" t="s">
        <v>746</v>
      </c>
      <c r="S93" s="63"/>
    </row>
    <row r="94" spans="2:20">
      <c r="B94" s="105" t="s">
        <v>544</v>
      </c>
      <c r="D94" s="365">
        <v>25</v>
      </c>
      <c r="E94" s="63">
        <v>25</v>
      </c>
      <c r="F94" s="63">
        <v>25</v>
      </c>
      <c r="K94" s="368">
        <v>45484.54791666667</v>
      </c>
      <c r="L94" s="365">
        <v>11.29</v>
      </c>
      <c r="M94" s="365">
        <v>0.02</v>
      </c>
      <c r="N94" s="226">
        <f t="shared" si="6"/>
        <v>11.27</v>
      </c>
      <c r="O94" s="220">
        <v>1.9235208100000001</v>
      </c>
      <c r="P94" s="365">
        <v>5.87</v>
      </c>
      <c r="Q94" s="367">
        <f t="shared" si="7"/>
        <v>11.2910671547</v>
      </c>
      <c r="R94" t="s">
        <v>729</v>
      </c>
      <c r="S94" s="63"/>
    </row>
    <row r="95" spans="2:20">
      <c r="B95" s="105" t="s">
        <v>732</v>
      </c>
      <c r="D95" s="365">
        <v>25</v>
      </c>
      <c r="E95" s="63">
        <v>25</v>
      </c>
      <c r="F95" s="63">
        <v>25</v>
      </c>
      <c r="K95" s="368">
        <v>45485.480555555558</v>
      </c>
      <c r="L95" s="365">
        <v>13.08</v>
      </c>
      <c r="M95" s="365">
        <v>0.02</v>
      </c>
      <c r="N95" s="226">
        <f t="shared" ref="N95:N131" si="8">L95-M95</f>
        <v>13.06</v>
      </c>
      <c r="O95" s="220">
        <v>4.9175512799999996</v>
      </c>
      <c r="P95" s="365">
        <v>2.66</v>
      </c>
      <c r="Q95" s="367">
        <f t="shared" si="7"/>
        <v>13.0806864048</v>
      </c>
      <c r="R95" t="s">
        <v>550</v>
      </c>
      <c r="S95" s="63"/>
    </row>
    <row r="96" spans="2:20" ht="15.75" customHeight="1">
      <c r="B96" s="105" t="s">
        <v>727</v>
      </c>
      <c r="D96" s="365">
        <v>50</v>
      </c>
      <c r="E96" s="63">
        <v>50</v>
      </c>
      <c r="F96" s="63">
        <v>50</v>
      </c>
      <c r="K96" s="368">
        <v>45489.540972222225</v>
      </c>
      <c r="L96" s="365">
        <v>5.46</v>
      </c>
      <c r="M96" s="365">
        <v>0.02</v>
      </c>
      <c r="N96" s="226">
        <f t="shared" si="8"/>
        <v>5.44</v>
      </c>
      <c r="O96" s="220">
        <v>0.10749893000000001</v>
      </c>
      <c r="P96" s="365">
        <v>50.79</v>
      </c>
      <c r="Q96" s="367">
        <f t="shared" si="7"/>
        <v>5.4598706547000004</v>
      </c>
      <c r="R96" t="s">
        <v>745</v>
      </c>
      <c r="S96" s="63"/>
    </row>
    <row r="97" spans="2:19">
      <c r="B97" s="105" t="s">
        <v>733</v>
      </c>
      <c r="D97" s="365">
        <v>27</v>
      </c>
      <c r="E97" s="63">
        <v>27</v>
      </c>
      <c r="F97" s="63">
        <v>27</v>
      </c>
      <c r="K97" s="368">
        <v>45496.448611111111</v>
      </c>
      <c r="L97" s="365">
        <v>24.39</v>
      </c>
      <c r="M97" s="365">
        <v>0.02</v>
      </c>
      <c r="N97" s="226">
        <f t="shared" si="8"/>
        <v>24.37</v>
      </c>
      <c r="O97" s="220">
        <v>21.774023270000001</v>
      </c>
      <c r="P97" s="365">
        <v>1.1200000000000001</v>
      </c>
      <c r="Q97" s="367">
        <f t="shared" si="7"/>
        <v>24.386906062400001</v>
      </c>
      <c r="R97" t="s">
        <v>776</v>
      </c>
      <c r="S97" s="63"/>
    </row>
    <row r="98" spans="2:19">
      <c r="B98" s="105" t="s">
        <v>707</v>
      </c>
      <c r="D98" s="365">
        <v>25</v>
      </c>
      <c r="E98" s="63">
        <v>25</v>
      </c>
      <c r="F98" s="63">
        <v>25</v>
      </c>
      <c r="K98" s="368">
        <v>45496.456250000003</v>
      </c>
      <c r="L98" s="365">
        <v>21.95</v>
      </c>
      <c r="M98" s="365">
        <v>0.02</v>
      </c>
      <c r="N98" s="226">
        <f t="shared" si="8"/>
        <v>21.93</v>
      </c>
      <c r="O98" s="220">
        <v>0.44128616999999998</v>
      </c>
      <c r="P98" s="365">
        <v>49.74</v>
      </c>
      <c r="Q98" s="367">
        <f t="shared" si="7"/>
        <v>21.949574095799999</v>
      </c>
      <c r="R98" t="s">
        <v>745</v>
      </c>
      <c r="S98" s="63"/>
    </row>
    <row r="99" spans="2:19">
      <c r="B99" s="105" t="s">
        <v>482</v>
      </c>
      <c r="D99" s="365">
        <v>25</v>
      </c>
      <c r="E99" s="63">
        <v>25</v>
      </c>
      <c r="F99" s="63">
        <v>25</v>
      </c>
      <c r="K99" s="368">
        <v>45518.482638888891</v>
      </c>
      <c r="L99" s="365">
        <v>44.69</v>
      </c>
      <c r="M99" s="365">
        <v>0.02</v>
      </c>
      <c r="N99" s="226">
        <f t="shared" si="8"/>
        <v>44.669999999999995</v>
      </c>
      <c r="O99" s="220">
        <v>2.1112860599999999</v>
      </c>
      <c r="P99" s="365">
        <v>21.17</v>
      </c>
      <c r="Q99" s="367">
        <f t="shared" si="7"/>
        <v>44.695925890200002</v>
      </c>
      <c r="R99" t="s">
        <v>780</v>
      </c>
      <c r="S99" s="63"/>
    </row>
    <row r="100" spans="2:19">
      <c r="B100" s="105" t="s">
        <v>550</v>
      </c>
      <c r="D100" s="365">
        <v>23.3</v>
      </c>
      <c r="E100" s="63">
        <v>23.3</v>
      </c>
      <c r="F100" s="63">
        <v>23.3</v>
      </c>
      <c r="K100" s="368">
        <v>45519.40902777778</v>
      </c>
      <c r="L100" s="365">
        <v>37.31</v>
      </c>
      <c r="M100" s="365">
        <v>0.02</v>
      </c>
      <c r="N100" s="226">
        <f t="shared" si="8"/>
        <v>37.29</v>
      </c>
      <c r="O100" s="220">
        <v>0.16573083999999999</v>
      </c>
      <c r="P100" s="365">
        <v>225.12</v>
      </c>
      <c r="Q100" s="367">
        <f t="shared" si="7"/>
        <v>37.3093267008</v>
      </c>
      <c r="R100" t="s">
        <v>206</v>
      </c>
      <c r="S100" s="63"/>
    </row>
    <row r="101" spans="2:19">
      <c r="B101" s="105" t="s">
        <v>744</v>
      </c>
      <c r="D101" s="365">
        <v>25</v>
      </c>
      <c r="E101" s="63">
        <v>24.79</v>
      </c>
      <c r="F101" s="63">
        <v>24.79</v>
      </c>
      <c r="K101" s="368">
        <v>45519.584027777775</v>
      </c>
      <c r="L101" s="365">
        <v>37.520000000000003</v>
      </c>
      <c r="M101" s="365">
        <v>0.02</v>
      </c>
      <c r="N101" s="226">
        <f t="shared" si="8"/>
        <v>37.5</v>
      </c>
      <c r="O101" s="220">
        <v>4.5038429100000004</v>
      </c>
      <c r="P101" s="365">
        <v>8.33</v>
      </c>
      <c r="Q101" s="367">
        <f t="shared" si="7"/>
        <v>37.517011440300003</v>
      </c>
      <c r="R101" t="s">
        <v>746</v>
      </c>
      <c r="S101" s="63"/>
    </row>
    <row r="102" spans="2:19">
      <c r="B102" s="105" t="s">
        <v>482</v>
      </c>
      <c r="D102" s="365">
        <v>20</v>
      </c>
      <c r="E102" s="63">
        <v>20</v>
      </c>
      <c r="F102" s="63">
        <v>20</v>
      </c>
      <c r="G102" s="1"/>
      <c r="H102" s="1"/>
      <c r="I102" s="1"/>
      <c r="K102" s="368">
        <v>45524.609722222223</v>
      </c>
      <c r="L102" s="365">
        <v>27.77</v>
      </c>
      <c r="M102" s="365">
        <v>0.02</v>
      </c>
      <c r="N102" s="226">
        <f t="shared" si="8"/>
        <v>27.75</v>
      </c>
      <c r="O102" s="220">
        <v>0.33218705999999998</v>
      </c>
      <c r="P102" s="365">
        <v>83.6</v>
      </c>
      <c r="Q102" s="367">
        <f t="shared" si="7"/>
        <v>27.770838215999998</v>
      </c>
      <c r="R102" t="s">
        <v>732</v>
      </c>
      <c r="S102" s="63"/>
    </row>
    <row r="103" spans="2:19">
      <c r="B103" s="105" t="s">
        <v>482</v>
      </c>
      <c r="C103" s="1"/>
      <c r="D103" s="120">
        <v>25.35</v>
      </c>
      <c r="E103" s="1"/>
      <c r="F103" s="1"/>
      <c r="G103" s="162"/>
      <c r="H103" s="162"/>
      <c r="I103" s="162"/>
      <c r="J103" s="162"/>
      <c r="K103" s="368">
        <v>45524.613194444442</v>
      </c>
      <c r="L103" s="365">
        <v>37.6</v>
      </c>
      <c r="M103" s="365">
        <v>0.02</v>
      </c>
      <c r="N103" s="365">
        <f t="shared" si="8"/>
        <v>37.58</v>
      </c>
      <c r="O103" s="220">
        <v>0.29461296999999997</v>
      </c>
      <c r="P103" s="365">
        <v>127.63</v>
      </c>
      <c r="Q103" s="367">
        <f t="shared" si="7"/>
        <v>37.601453361099992</v>
      </c>
      <c r="R103" t="s">
        <v>704</v>
      </c>
      <c r="S103" s="63"/>
    </row>
    <row r="104" spans="2:19">
      <c r="B104" s="105" t="s">
        <v>482</v>
      </c>
      <c r="C104" s="254"/>
      <c r="D104" s="63">
        <v>25</v>
      </c>
      <c r="E104" s="63"/>
      <c r="F104" s="63"/>
      <c r="J104" s="162"/>
      <c r="K104" s="368">
        <v>45530.354166666664</v>
      </c>
      <c r="L104" s="365">
        <v>15.5</v>
      </c>
      <c r="M104" s="365">
        <v>0.02</v>
      </c>
      <c r="N104" s="365">
        <f t="shared" si="8"/>
        <v>15.48</v>
      </c>
      <c r="O104" s="220">
        <v>34.62131574</v>
      </c>
      <c r="P104" s="365">
        <v>0.45</v>
      </c>
      <c r="Q104" s="367">
        <f t="shared" si="7"/>
        <v>15.579592083</v>
      </c>
      <c r="R104" t="s">
        <v>576</v>
      </c>
      <c r="S104" s="63"/>
    </row>
    <row r="105" spans="2:19">
      <c r="B105" s="105" t="s">
        <v>563</v>
      </c>
      <c r="D105" s="365">
        <v>20</v>
      </c>
      <c r="G105" s="162"/>
      <c r="H105" s="162"/>
      <c r="I105" s="162"/>
      <c r="J105" s="162"/>
      <c r="K105" s="368">
        <v>45546.749305555553</v>
      </c>
      <c r="L105" s="365">
        <v>0.76</v>
      </c>
      <c r="M105" s="365">
        <v>0</v>
      </c>
      <c r="N105" s="365">
        <f t="shared" si="8"/>
        <v>0.76</v>
      </c>
      <c r="O105" s="220">
        <v>41</v>
      </c>
      <c r="P105" s="365">
        <v>0.02</v>
      </c>
      <c r="Q105" s="367">
        <f t="shared" si="7"/>
        <v>0.82000000000000006</v>
      </c>
      <c r="R105" t="s">
        <v>776</v>
      </c>
      <c r="S105" s="63"/>
    </row>
    <row r="106" spans="2:19">
      <c r="B106" s="105" t="s">
        <v>752</v>
      </c>
      <c r="C106" s="8"/>
      <c r="D106" s="63">
        <v>15</v>
      </c>
      <c r="E106" s="255"/>
      <c r="F106" s="255"/>
      <c r="G106" s="162"/>
      <c r="H106" s="162"/>
      <c r="I106" s="162"/>
      <c r="K106" s="368">
        <v>45590.458333333336</v>
      </c>
      <c r="L106" s="365">
        <v>68.7</v>
      </c>
      <c r="M106" s="365">
        <v>0.02</v>
      </c>
      <c r="N106" s="365">
        <f t="shared" si="8"/>
        <v>68.680000000000007</v>
      </c>
      <c r="O106" s="220">
        <v>8.9180721999999992</v>
      </c>
      <c r="P106" s="365">
        <v>7.7</v>
      </c>
      <c r="Q106" s="367">
        <f t="shared" si="7"/>
        <v>68.669155939999996</v>
      </c>
      <c r="R106" t="s">
        <v>728</v>
      </c>
      <c r="S106" s="63"/>
    </row>
    <row r="107" spans="2:19">
      <c r="B107" s="105" t="s">
        <v>482</v>
      </c>
      <c r="D107" s="63">
        <v>10.02</v>
      </c>
      <c r="E107" s="63">
        <v>3.87</v>
      </c>
      <c r="F107" s="63">
        <v>3.87</v>
      </c>
      <c r="G107" s="162"/>
      <c r="H107" s="162"/>
      <c r="I107" s="162"/>
      <c r="K107" s="368">
        <v>45594.618750000001</v>
      </c>
      <c r="L107" s="365">
        <v>91.56</v>
      </c>
      <c r="M107" s="365">
        <v>0.02</v>
      </c>
      <c r="N107" s="365">
        <f t="shared" si="8"/>
        <v>91.54</v>
      </c>
      <c r="O107" s="220">
        <v>1.76018604</v>
      </c>
      <c r="P107" s="365">
        <v>52.02</v>
      </c>
      <c r="Q107" s="367">
        <f t="shared" si="7"/>
        <v>91.564877800800005</v>
      </c>
      <c r="R107" t="s">
        <v>895</v>
      </c>
      <c r="S107" s="63"/>
    </row>
    <row r="108" spans="2:19">
      <c r="B108" s="105" t="s">
        <v>776</v>
      </c>
      <c r="D108" s="63">
        <v>5</v>
      </c>
      <c r="E108" s="63">
        <v>5</v>
      </c>
      <c r="F108" s="63">
        <v>5</v>
      </c>
      <c r="K108" s="368">
        <v>45596.368055555555</v>
      </c>
      <c r="L108" s="365">
        <v>24.86</v>
      </c>
      <c r="M108" s="365">
        <v>0.02</v>
      </c>
      <c r="N108" s="365">
        <f t="shared" si="8"/>
        <v>24.84</v>
      </c>
      <c r="O108" s="220">
        <v>3.0322085799999998</v>
      </c>
      <c r="P108" s="365">
        <v>8.1999999999999993</v>
      </c>
      <c r="Q108" s="367">
        <f t="shared" si="7"/>
        <v>24.864110355999998</v>
      </c>
      <c r="R108" t="s">
        <v>898</v>
      </c>
      <c r="S108" s="63"/>
    </row>
    <row r="109" spans="2:19">
      <c r="B109" s="105" t="s">
        <v>776</v>
      </c>
      <c r="D109" s="63">
        <v>10</v>
      </c>
      <c r="E109" s="63">
        <v>10</v>
      </c>
      <c r="F109" s="63">
        <v>10</v>
      </c>
      <c r="K109" s="368">
        <v>45622.547222222223</v>
      </c>
      <c r="L109" s="365">
        <v>39.43</v>
      </c>
      <c r="M109" s="365">
        <v>0.02</v>
      </c>
      <c r="N109" s="365">
        <f t="shared" si="8"/>
        <v>39.409999999999997</v>
      </c>
      <c r="O109" s="220">
        <v>0.59183264999999996</v>
      </c>
      <c r="P109" s="365">
        <v>66.62</v>
      </c>
      <c r="Q109" s="367">
        <f t="shared" si="7"/>
        <v>39.427891142999997</v>
      </c>
      <c r="R109" t="s">
        <v>917</v>
      </c>
      <c r="S109" s="63"/>
    </row>
    <row r="110" spans="2:19">
      <c r="B110" s="105" t="s">
        <v>776</v>
      </c>
      <c r="D110" s="63">
        <v>20</v>
      </c>
      <c r="E110" s="63"/>
      <c r="F110" s="63"/>
      <c r="K110" s="368">
        <v>45639.53402777778</v>
      </c>
      <c r="L110" s="365">
        <v>100</v>
      </c>
      <c r="M110" s="365">
        <v>0.02</v>
      </c>
      <c r="N110" s="365">
        <f t="shared" si="8"/>
        <v>99.98</v>
      </c>
      <c r="O110" s="220">
        <v>0.45454296999999999</v>
      </c>
      <c r="P110" s="365">
        <v>220</v>
      </c>
      <c r="Q110" s="367">
        <f t="shared" si="7"/>
        <v>99.999453399999993</v>
      </c>
      <c r="R110" t="s">
        <v>482</v>
      </c>
      <c r="S110" s="63"/>
    </row>
    <row r="111" spans="2:19">
      <c r="B111" s="105" t="s">
        <v>482</v>
      </c>
      <c r="D111" s="63">
        <v>40</v>
      </c>
      <c r="E111" s="63">
        <v>40</v>
      </c>
      <c r="F111" s="63">
        <v>40</v>
      </c>
      <c r="K111" s="368">
        <v>45642.552777777775</v>
      </c>
      <c r="L111" s="365">
        <v>50</v>
      </c>
      <c r="M111" s="365">
        <v>0.02</v>
      </c>
      <c r="N111" s="365">
        <f t="shared" si="8"/>
        <v>49.98</v>
      </c>
      <c r="O111" s="220">
        <v>0.19989509</v>
      </c>
      <c r="P111" s="365">
        <v>250.13</v>
      </c>
      <c r="Q111" s="367">
        <f t="shared" si="7"/>
        <v>49.999758861700002</v>
      </c>
      <c r="R111" t="s">
        <v>482</v>
      </c>
    </row>
    <row r="112" spans="2:19">
      <c r="B112" s="105" t="s">
        <v>544</v>
      </c>
      <c r="C112" s="8"/>
      <c r="D112" s="6">
        <v>25</v>
      </c>
      <c r="E112" s="6">
        <v>25</v>
      </c>
      <c r="F112" s="6">
        <v>25</v>
      </c>
      <c r="K112" s="368">
        <v>45340.615277777775</v>
      </c>
      <c r="L112" s="365">
        <v>28.32</v>
      </c>
      <c r="M112" s="365">
        <v>0.02</v>
      </c>
      <c r="N112" s="365">
        <f t="shared" si="8"/>
        <v>28.3</v>
      </c>
      <c r="O112" s="220">
        <v>1.0827197900000001</v>
      </c>
      <c r="P112" s="365">
        <v>26.16</v>
      </c>
      <c r="Q112" s="367">
        <f t="shared" si="7"/>
        <v>28.323949706400001</v>
      </c>
      <c r="R112" t="s">
        <v>744</v>
      </c>
    </row>
    <row r="113" spans="2:18">
      <c r="B113" s="105" t="s">
        <v>544</v>
      </c>
      <c r="C113" s="8"/>
      <c r="D113" s="6">
        <v>25</v>
      </c>
      <c r="E113" s="6">
        <v>25</v>
      </c>
      <c r="F113" s="6">
        <v>25</v>
      </c>
      <c r="K113" s="368">
        <v>45796.6</v>
      </c>
      <c r="L113" s="365">
        <v>28</v>
      </c>
      <c r="M113" s="365">
        <v>0.02</v>
      </c>
      <c r="N113" s="365">
        <f t="shared" si="8"/>
        <v>27.98</v>
      </c>
      <c r="O113" s="220">
        <v>0.20717537</v>
      </c>
      <c r="P113" s="365">
        <v>135.15</v>
      </c>
      <c r="Q113" s="367">
        <f t="shared" si="7"/>
        <v>27.999751255500001</v>
      </c>
      <c r="R113" t="s">
        <v>704</v>
      </c>
    </row>
    <row r="114" spans="2:18">
      <c r="B114" s="105" t="s">
        <v>728</v>
      </c>
      <c r="D114" s="6">
        <v>25</v>
      </c>
      <c r="E114" s="6">
        <v>25</v>
      </c>
      <c r="F114" s="6">
        <v>25</v>
      </c>
      <c r="K114" s="368">
        <v>45796.618055555555</v>
      </c>
      <c r="L114" s="365">
        <v>100</v>
      </c>
      <c r="M114" s="365">
        <v>0.02</v>
      </c>
      <c r="N114" s="365">
        <f t="shared" si="8"/>
        <v>99.98</v>
      </c>
      <c r="O114" s="220">
        <v>0.43459138000000003</v>
      </c>
      <c r="P114" s="365">
        <v>230.1</v>
      </c>
      <c r="Q114" s="367">
        <f t="shared" si="7"/>
        <v>99.99947653800001</v>
      </c>
      <c r="R114" t="s">
        <v>482</v>
      </c>
    </row>
    <row r="115" spans="2:18">
      <c r="B115" s="105" t="s">
        <v>776</v>
      </c>
      <c r="D115" s="6">
        <v>20</v>
      </c>
      <c r="E115" s="6">
        <v>20</v>
      </c>
      <c r="F115" s="6">
        <v>20</v>
      </c>
      <c r="K115" s="368">
        <v>45819.387499999997</v>
      </c>
      <c r="L115" s="365">
        <v>63.49</v>
      </c>
      <c r="M115" s="365">
        <v>0.01</v>
      </c>
      <c r="N115" s="365">
        <f t="shared" si="8"/>
        <v>63.480000000000004</v>
      </c>
      <c r="O115" s="220">
        <v>26.89184101</v>
      </c>
      <c r="P115" s="365">
        <v>2.36</v>
      </c>
      <c r="Q115" s="367">
        <f t="shared" si="7"/>
        <v>63.464744783599997</v>
      </c>
      <c r="R115" s="105" t="s">
        <v>958</v>
      </c>
    </row>
    <row r="116" spans="2:18">
      <c r="B116" s="105" t="s">
        <v>544</v>
      </c>
      <c r="D116" s="6">
        <v>25</v>
      </c>
      <c r="E116" s="6">
        <v>25</v>
      </c>
      <c r="F116" s="6">
        <v>25</v>
      </c>
      <c r="K116" s="368">
        <v>45834.619444444441</v>
      </c>
      <c r="L116" s="365">
        <v>50</v>
      </c>
      <c r="M116" s="365">
        <v>0.01</v>
      </c>
      <c r="N116" s="365">
        <f t="shared" si="8"/>
        <v>49.99</v>
      </c>
      <c r="O116" s="220">
        <v>6.5231572</v>
      </c>
      <c r="P116" s="365">
        <v>7.67</v>
      </c>
      <c r="Q116" s="367">
        <f t="shared" si="7"/>
        <v>50.032615724000003</v>
      </c>
      <c r="R116" t="s">
        <v>752</v>
      </c>
    </row>
    <row r="117" spans="2:18">
      <c r="B117" s="105" t="s">
        <v>482</v>
      </c>
      <c r="D117" s="6">
        <v>50</v>
      </c>
      <c r="E117" s="6">
        <v>50</v>
      </c>
      <c r="F117" s="6">
        <v>50</v>
      </c>
      <c r="K117" s="368">
        <v>45834.620138888888</v>
      </c>
      <c r="L117" s="365">
        <v>50</v>
      </c>
      <c r="M117" s="365">
        <v>0.01</v>
      </c>
      <c r="N117" s="365">
        <f t="shared" si="8"/>
        <v>49.99</v>
      </c>
      <c r="O117" s="220">
        <v>0.32199647999999997</v>
      </c>
      <c r="P117" s="365">
        <v>155.28</v>
      </c>
      <c r="Q117" s="367">
        <f t="shared" si="7"/>
        <v>49.999613414399995</v>
      </c>
      <c r="R117" t="s">
        <v>704</v>
      </c>
    </row>
    <row r="118" spans="2:18">
      <c r="B118" s="105" t="s">
        <v>780</v>
      </c>
      <c r="D118" s="6">
        <v>21</v>
      </c>
      <c r="E118" s="6">
        <v>21</v>
      </c>
      <c r="F118" s="6">
        <v>21</v>
      </c>
      <c r="K118" s="368">
        <v>45834.620138888888</v>
      </c>
      <c r="L118" s="365">
        <v>50</v>
      </c>
      <c r="M118" s="365">
        <v>0.01</v>
      </c>
      <c r="N118" s="365">
        <f t="shared" si="8"/>
        <v>49.99</v>
      </c>
      <c r="O118" s="220">
        <v>0.19901194</v>
      </c>
      <c r="P118" s="365">
        <v>251.24</v>
      </c>
      <c r="Q118" s="367">
        <f t="shared" si="7"/>
        <v>49.9997598056</v>
      </c>
      <c r="R118" t="s">
        <v>891</v>
      </c>
    </row>
    <row r="119" spans="2:18">
      <c r="B119" s="105" t="s">
        <v>622</v>
      </c>
      <c r="D119" s="6">
        <v>25</v>
      </c>
      <c r="E119" s="6">
        <v>25</v>
      </c>
      <c r="F119" s="6">
        <v>25</v>
      </c>
      <c r="K119" s="368">
        <v>45834.62222222222</v>
      </c>
      <c r="L119" s="365">
        <v>100</v>
      </c>
      <c r="M119" s="365">
        <v>0.01</v>
      </c>
      <c r="N119" s="365">
        <f t="shared" si="8"/>
        <v>99.99</v>
      </c>
      <c r="O119" s="220">
        <v>0.37014936999999998</v>
      </c>
      <c r="P119" s="365">
        <v>270.16000000000003</v>
      </c>
      <c r="Q119" s="367">
        <f t="shared" si="7"/>
        <v>99.999553799200001</v>
      </c>
      <c r="R119" t="s">
        <v>482</v>
      </c>
    </row>
    <row r="120" spans="2:18">
      <c r="B120" s="105" t="s">
        <v>703</v>
      </c>
      <c r="D120" s="6">
        <v>43</v>
      </c>
      <c r="K120" s="368">
        <v>45853.511111111111</v>
      </c>
      <c r="L120" s="365">
        <v>20</v>
      </c>
      <c r="M120" s="365">
        <v>0.01</v>
      </c>
      <c r="N120" s="365">
        <f t="shared" si="8"/>
        <v>19.989999999999998</v>
      </c>
      <c r="O120" s="220">
        <v>1.8482238499999999</v>
      </c>
      <c r="P120" s="365">
        <v>10.82</v>
      </c>
      <c r="Q120" s="367">
        <f t="shared" si="7"/>
        <v>19.997782056999998</v>
      </c>
      <c r="R120" t="s">
        <v>752</v>
      </c>
    </row>
    <row r="121" spans="2:18">
      <c r="B121" s="105" t="s">
        <v>780</v>
      </c>
      <c r="D121" s="6">
        <v>20</v>
      </c>
      <c r="K121" s="368">
        <v>45856.454861111109</v>
      </c>
      <c r="L121" s="365">
        <v>10</v>
      </c>
      <c r="M121" s="365">
        <v>0.01</v>
      </c>
      <c r="N121" s="365">
        <f t="shared" si="8"/>
        <v>9.99</v>
      </c>
      <c r="O121" s="220">
        <v>0.67975419999999998</v>
      </c>
      <c r="P121" s="365">
        <v>14.71</v>
      </c>
      <c r="Q121" s="367">
        <f t="shared" si="7"/>
        <v>9.9991842819999999</v>
      </c>
      <c r="R121" t="s">
        <v>752</v>
      </c>
    </row>
    <row r="122" spans="2:18">
      <c r="B122" s="105" t="s">
        <v>482</v>
      </c>
      <c r="D122" s="6">
        <v>50</v>
      </c>
      <c r="E122" s="6">
        <v>50</v>
      </c>
      <c r="F122" s="6">
        <v>50</v>
      </c>
      <c r="K122" s="368">
        <v>45863.53125</v>
      </c>
      <c r="L122" s="365">
        <v>60</v>
      </c>
      <c r="M122" s="365">
        <v>0.01</v>
      </c>
      <c r="N122" s="365">
        <f t="shared" si="8"/>
        <v>59.99</v>
      </c>
      <c r="O122" s="220">
        <v>0.34532135000000003</v>
      </c>
      <c r="P122" s="365">
        <v>173.75</v>
      </c>
      <c r="Q122" s="367">
        <f t="shared" si="7"/>
        <v>59.999584562500004</v>
      </c>
      <c r="R122" t="s">
        <v>704</v>
      </c>
    </row>
    <row r="123" spans="2:18">
      <c r="B123" s="105" t="s">
        <v>704</v>
      </c>
      <c r="D123" s="6">
        <v>20</v>
      </c>
      <c r="E123" s="6">
        <v>20</v>
      </c>
      <c r="F123" s="6">
        <v>20</v>
      </c>
      <c r="K123" s="368">
        <v>45873.620833333334</v>
      </c>
      <c r="L123" s="365">
        <v>50</v>
      </c>
      <c r="M123" s="365">
        <v>0.01</v>
      </c>
      <c r="N123" s="365">
        <f t="shared" si="8"/>
        <v>49.99</v>
      </c>
      <c r="O123" s="220">
        <v>3.7622272300000001</v>
      </c>
      <c r="P123" s="365">
        <v>13.29</v>
      </c>
      <c r="Q123" s="367">
        <f t="shared" si="7"/>
        <v>49.999999886699996</v>
      </c>
      <c r="R123" t="s">
        <v>973</v>
      </c>
    </row>
    <row r="124" spans="2:18">
      <c r="B124" s="105" t="s">
        <v>728</v>
      </c>
      <c r="D124" s="6">
        <v>15</v>
      </c>
      <c r="E124" s="63"/>
      <c r="F124" s="63"/>
      <c r="K124" s="368">
        <v>45888.402777777781</v>
      </c>
      <c r="L124" s="365">
        <v>24.7</v>
      </c>
      <c r="M124" s="365">
        <v>0.01</v>
      </c>
      <c r="N124" s="365">
        <f t="shared" si="8"/>
        <v>24.689999999999998</v>
      </c>
      <c r="O124" s="220">
        <v>2.7871978199999998</v>
      </c>
      <c r="P124" s="365">
        <v>8.86</v>
      </c>
      <c r="Q124" s="367">
        <f t="shared" si="7"/>
        <v>24.694572685199997</v>
      </c>
      <c r="R124" t="s">
        <v>978</v>
      </c>
    </row>
    <row r="125" spans="2:18">
      <c r="B125" s="105" t="s">
        <v>704</v>
      </c>
      <c r="D125" s="6">
        <v>50</v>
      </c>
      <c r="E125" s="63"/>
      <c r="F125" s="63"/>
      <c r="K125" s="368">
        <v>45888.404166666667</v>
      </c>
      <c r="L125" s="365">
        <v>60</v>
      </c>
      <c r="M125" s="365">
        <v>0.01</v>
      </c>
      <c r="N125" s="365">
        <f t="shared" si="8"/>
        <v>59.99</v>
      </c>
      <c r="O125" s="220">
        <v>0.95936758</v>
      </c>
      <c r="P125" s="365">
        <v>62.54</v>
      </c>
      <c r="Q125" s="367">
        <f t="shared" si="7"/>
        <v>59.998848453199997</v>
      </c>
      <c r="R125" t="s">
        <v>733</v>
      </c>
    </row>
    <row r="126" spans="2:18">
      <c r="B126" t="s">
        <v>895</v>
      </c>
      <c r="D126" s="6">
        <v>30</v>
      </c>
      <c r="E126" s="63"/>
      <c r="F126" s="63"/>
      <c r="K126" s="368">
        <v>45889.400694444441</v>
      </c>
      <c r="L126" s="365">
        <v>100</v>
      </c>
      <c r="M126" s="365">
        <v>0.01</v>
      </c>
      <c r="N126" s="365">
        <f t="shared" si="8"/>
        <v>99.99</v>
      </c>
      <c r="O126" s="220">
        <v>2.4376925699999998</v>
      </c>
      <c r="P126" s="365">
        <v>41.02</v>
      </c>
      <c r="Q126" s="367">
        <f t="shared" si="7"/>
        <v>99.994149221400008</v>
      </c>
      <c r="R126" t="s">
        <v>727</v>
      </c>
    </row>
    <row r="127" spans="2:18">
      <c r="B127" s="105" t="s">
        <v>752</v>
      </c>
      <c r="D127" s="6">
        <v>60</v>
      </c>
      <c r="E127" s="63"/>
      <c r="F127" s="63"/>
      <c r="K127" s="368">
        <v>45904.455555555556</v>
      </c>
      <c r="L127" s="365">
        <v>50</v>
      </c>
      <c r="M127" s="365">
        <v>0.01</v>
      </c>
      <c r="N127" s="365">
        <f t="shared" si="8"/>
        <v>49.99</v>
      </c>
      <c r="O127" s="220">
        <v>2.7931088399999999</v>
      </c>
      <c r="P127" s="365">
        <v>17.899999999999999</v>
      </c>
      <c r="Q127" s="367">
        <f t="shared" si="7"/>
        <v>49.996648235999992</v>
      </c>
      <c r="R127" t="s">
        <v>973</v>
      </c>
    </row>
    <row r="128" spans="2:18">
      <c r="B128" s="105" t="s">
        <v>733</v>
      </c>
      <c r="D128" s="6">
        <v>33</v>
      </c>
      <c r="E128" s="63">
        <v>28.17</v>
      </c>
      <c r="F128" s="63">
        <v>28.17</v>
      </c>
      <c r="K128" s="368">
        <v>45905.552083333336</v>
      </c>
      <c r="L128" s="365">
        <v>110</v>
      </c>
      <c r="M128" s="365">
        <v>0.01</v>
      </c>
      <c r="N128" s="365">
        <f t="shared" si="8"/>
        <v>109.99</v>
      </c>
      <c r="O128" s="220">
        <v>0.32731158999999999</v>
      </c>
      <c r="P128" s="365">
        <v>336.07</v>
      </c>
      <c r="Q128" s="367">
        <f t="shared" si="7"/>
        <v>109.99960605129999</v>
      </c>
      <c r="R128" t="s">
        <v>482</v>
      </c>
    </row>
    <row r="129" spans="2:18">
      <c r="B129" s="105" t="s">
        <v>482</v>
      </c>
      <c r="D129" s="6">
        <v>50</v>
      </c>
      <c r="E129" s="63">
        <v>50</v>
      </c>
      <c r="F129" s="63">
        <v>50</v>
      </c>
      <c r="K129" s="368">
        <v>45931.624305555553</v>
      </c>
      <c r="L129" s="365">
        <v>50</v>
      </c>
      <c r="M129" s="365">
        <v>0.01</v>
      </c>
      <c r="N129" s="365">
        <f t="shared" si="8"/>
        <v>49.99</v>
      </c>
      <c r="O129" s="220">
        <v>3.4071550199999998</v>
      </c>
      <c r="P129" s="365">
        <v>14.68</v>
      </c>
      <c r="Q129" s="367">
        <f t="shared" si="7"/>
        <v>50.017035693599993</v>
      </c>
      <c r="R129" t="s">
        <v>752</v>
      </c>
    </row>
    <row r="130" spans="2:18">
      <c r="B130" s="105" t="s">
        <v>544</v>
      </c>
      <c r="D130" s="6">
        <v>50</v>
      </c>
      <c r="E130" s="63">
        <v>50</v>
      </c>
      <c r="F130" s="63">
        <v>50</v>
      </c>
      <c r="K130" s="368">
        <v>45931.624305555553</v>
      </c>
      <c r="L130" s="365">
        <v>50</v>
      </c>
      <c r="M130" s="365">
        <v>0.01</v>
      </c>
      <c r="N130" s="365">
        <f t="shared" si="8"/>
        <v>49.99</v>
      </c>
      <c r="O130" s="220">
        <v>0.27440683999999999</v>
      </c>
      <c r="P130" s="365">
        <v>182.21</v>
      </c>
      <c r="Q130" s="367">
        <f t="shared" si="7"/>
        <v>49.9996703164</v>
      </c>
      <c r="R130" t="s">
        <v>622</v>
      </c>
    </row>
    <row r="131" spans="2:18">
      <c r="B131" s="105" t="s">
        <v>704</v>
      </c>
      <c r="D131" s="6">
        <v>50</v>
      </c>
      <c r="E131" s="63">
        <v>50</v>
      </c>
      <c r="F131" s="63">
        <v>50</v>
      </c>
      <c r="K131" s="368">
        <v>45938.520138888889</v>
      </c>
      <c r="L131" s="365">
        <v>50</v>
      </c>
      <c r="M131" s="365">
        <v>0.01</v>
      </c>
      <c r="N131" s="365">
        <f t="shared" si="8"/>
        <v>49.99</v>
      </c>
      <c r="O131" s="220">
        <v>0.21819653999999999</v>
      </c>
      <c r="P131" s="365">
        <v>229.15</v>
      </c>
      <c r="Q131" s="367">
        <f t="shared" si="7"/>
        <v>49.999737140999997</v>
      </c>
      <c r="R131" t="s">
        <v>544</v>
      </c>
    </row>
    <row r="132" spans="2:18">
      <c r="B132" s="105" t="s">
        <v>891</v>
      </c>
      <c r="D132" s="6">
        <v>50</v>
      </c>
      <c r="E132" s="63">
        <v>49.61</v>
      </c>
      <c r="F132" s="63">
        <v>49.61</v>
      </c>
      <c r="K132" s="368">
        <v>45938.525694444441</v>
      </c>
      <c r="L132" s="365">
        <v>100</v>
      </c>
      <c r="M132" s="365">
        <v>0.01</v>
      </c>
      <c r="N132" s="365">
        <f t="shared" ref="N132:N142" si="9">L132-M132</f>
        <v>99.99</v>
      </c>
      <c r="O132" s="220">
        <v>0.51676595000000003</v>
      </c>
      <c r="P132" s="365">
        <v>193.51</v>
      </c>
      <c r="Q132" s="367">
        <f t="shared" ref="Q132:Q142" si="10">P132*O132</f>
        <v>99.999378984499998</v>
      </c>
      <c r="R132" t="s">
        <v>622</v>
      </c>
    </row>
    <row r="133" spans="2:18">
      <c r="B133" s="105" t="s">
        <v>892</v>
      </c>
      <c r="D133" s="6">
        <v>50</v>
      </c>
      <c r="E133" s="63">
        <v>50</v>
      </c>
      <c r="F133" s="63">
        <v>50</v>
      </c>
      <c r="K133" s="368">
        <v>45945.418055555558</v>
      </c>
      <c r="L133" s="365">
        <v>50</v>
      </c>
      <c r="M133" s="365">
        <v>0.01</v>
      </c>
      <c r="N133" s="365">
        <f t="shared" si="9"/>
        <v>49.99</v>
      </c>
      <c r="O133" s="220">
        <v>0.2106228</v>
      </c>
      <c r="P133" s="365">
        <v>237.39</v>
      </c>
      <c r="Q133" s="367">
        <f t="shared" si="10"/>
        <v>49.999746492</v>
      </c>
      <c r="R133" t="s">
        <v>544</v>
      </c>
    </row>
    <row r="134" spans="2:18">
      <c r="B134" s="105" t="s">
        <v>482</v>
      </c>
      <c r="D134" s="6">
        <v>50</v>
      </c>
      <c r="E134" s="63">
        <v>50</v>
      </c>
      <c r="F134" s="63">
        <v>50</v>
      </c>
      <c r="K134" s="368">
        <v>45954.618750000001</v>
      </c>
      <c r="L134" s="365">
        <v>50</v>
      </c>
      <c r="M134" s="365">
        <v>0.01</v>
      </c>
      <c r="N134" s="365">
        <f t="shared" si="9"/>
        <v>49.99</v>
      </c>
      <c r="O134" s="220">
        <v>0.19816797</v>
      </c>
      <c r="P134" s="365">
        <v>252.31</v>
      </c>
      <c r="Q134" s="367">
        <f t="shared" si="10"/>
        <v>49.9997605107</v>
      </c>
      <c r="R134" t="s">
        <v>544</v>
      </c>
    </row>
    <row r="135" spans="2:18">
      <c r="B135" s="105" t="s">
        <v>563</v>
      </c>
      <c r="D135" s="6">
        <v>60</v>
      </c>
      <c r="K135" s="368">
        <v>45954.621527777781</v>
      </c>
      <c r="L135" s="365">
        <v>50</v>
      </c>
      <c r="M135" s="365">
        <v>0.01</v>
      </c>
      <c r="N135" s="365">
        <f t="shared" si="9"/>
        <v>49.99</v>
      </c>
      <c r="O135" s="220">
        <v>0.22794495000000001</v>
      </c>
      <c r="P135" s="365">
        <v>219.35</v>
      </c>
      <c r="Q135" s="367">
        <f t="shared" si="10"/>
        <v>49.999724782500003</v>
      </c>
      <c r="R135" t="s">
        <v>622</v>
      </c>
    </row>
    <row r="136" spans="2:18">
      <c r="B136" s="105" t="s">
        <v>733</v>
      </c>
      <c r="D136" s="6">
        <v>60</v>
      </c>
      <c r="K136" s="368">
        <v>45954.623611111114</v>
      </c>
      <c r="L136" s="365">
        <v>50</v>
      </c>
      <c r="M136" s="365">
        <v>0.01</v>
      </c>
      <c r="N136" s="365">
        <f t="shared" si="9"/>
        <v>49.99</v>
      </c>
      <c r="O136" s="220">
        <v>0.19761189000000001</v>
      </c>
      <c r="P136" s="365">
        <v>253.02</v>
      </c>
      <c r="Q136" s="367">
        <f t="shared" si="10"/>
        <v>49.999760407800004</v>
      </c>
      <c r="R136" t="s">
        <v>544</v>
      </c>
    </row>
    <row r="137" spans="2:18">
      <c r="B137" s="105" t="s">
        <v>544</v>
      </c>
      <c r="D137" s="6">
        <v>50</v>
      </c>
      <c r="E137" s="63">
        <v>4.9400000000000004</v>
      </c>
      <c r="F137" s="63">
        <v>4.9400000000000004</v>
      </c>
      <c r="K137" s="368">
        <v>45971.515972222223</v>
      </c>
      <c r="L137" s="365">
        <v>100</v>
      </c>
      <c r="M137" s="365">
        <v>0.01</v>
      </c>
      <c r="N137" s="365">
        <f t="shared" si="9"/>
        <v>99.99</v>
      </c>
      <c r="O137" s="220">
        <v>0.39258609</v>
      </c>
      <c r="P137" s="365">
        <v>254.72</v>
      </c>
      <c r="Q137" s="367">
        <f t="shared" si="10"/>
        <v>99.999528844799997</v>
      </c>
      <c r="R137" t="s">
        <v>622</v>
      </c>
    </row>
    <row r="138" spans="2:18">
      <c r="B138" t="s">
        <v>895</v>
      </c>
      <c r="D138" s="6">
        <v>20</v>
      </c>
      <c r="K138" s="368">
        <v>45972.600694444445</v>
      </c>
      <c r="L138" s="365">
        <v>50</v>
      </c>
      <c r="M138" s="365">
        <v>0.01</v>
      </c>
      <c r="N138" s="365">
        <f t="shared" si="9"/>
        <v>49.99</v>
      </c>
      <c r="O138" s="220">
        <v>5.3640011100000002</v>
      </c>
      <c r="P138" s="365">
        <v>9.32</v>
      </c>
      <c r="Q138" s="367">
        <f t="shared" si="10"/>
        <v>49.992490345200004</v>
      </c>
      <c r="R138" t="s">
        <v>959</v>
      </c>
    </row>
    <row r="139" spans="2:18">
      <c r="B139" s="105" t="s">
        <v>704</v>
      </c>
      <c r="D139" s="6">
        <v>20</v>
      </c>
      <c r="E139" s="63"/>
      <c r="F139" s="63"/>
      <c r="G139" s="63"/>
      <c r="K139" s="368">
        <v>45973.402083333334</v>
      </c>
      <c r="L139" s="365">
        <v>100</v>
      </c>
      <c r="M139" s="365">
        <v>0.01</v>
      </c>
      <c r="N139" s="365">
        <f t="shared" si="9"/>
        <v>99.99</v>
      </c>
      <c r="O139" s="220">
        <v>0.38138650000000002</v>
      </c>
      <c r="P139" s="365">
        <v>262.2</v>
      </c>
      <c r="Q139" s="367">
        <f t="shared" si="10"/>
        <v>99.999540300000007</v>
      </c>
      <c r="R139" t="s">
        <v>544</v>
      </c>
    </row>
    <row r="140" spans="2:18">
      <c r="B140" s="105" t="s">
        <v>919</v>
      </c>
      <c r="D140" s="6">
        <v>50</v>
      </c>
      <c r="E140" s="63"/>
      <c r="F140" s="63"/>
      <c r="G140" s="63"/>
      <c r="K140" s="368">
        <v>45973.404166666667</v>
      </c>
      <c r="L140" s="365">
        <v>100</v>
      </c>
      <c r="M140" s="365">
        <v>0.01</v>
      </c>
      <c r="N140" s="365">
        <f t="shared" si="9"/>
        <v>99.99</v>
      </c>
      <c r="O140" s="220">
        <v>0.52001755000000005</v>
      </c>
      <c r="P140" s="365">
        <v>192.3</v>
      </c>
      <c r="Q140" s="367">
        <f t="shared" si="10"/>
        <v>99.999374865000021</v>
      </c>
      <c r="R140" t="s">
        <v>704</v>
      </c>
    </row>
    <row r="141" spans="2:18">
      <c r="B141" s="105" t="s">
        <v>704</v>
      </c>
      <c r="D141" s="6">
        <v>30</v>
      </c>
      <c r="E141" s="63"/>
      <c r="F141" s="63"/>
      <c r="G141" s="63"/>
      <c r="K141" s="368">
        <v>45973.419444444444</v>
      </c>
      <c r="L141" s="365">
        <v>100</v>
      </c>
      <c r="M141" s="365">
        <v>0.01</v>
      </c>
      <c r="N141" s="365">
        <f t="shared" si="9"/>
        <v>99.99</v>
      </c>
      <c r="O141" s="220">
        <v>0.41299922999999999</v>
      </c>
      <c r="P141" s="365">
        <v>242.13</v>
      </c>
      <c r="Q141" s="367">
        <f t="shared" si="10"/>
        <v>99.999503559899992</v>
      </c>
      <c r="R141" t="s">
        <v>622</v>
      </c>
    </row>
    <row r="142" spans="2:18">
      <c r="B142" s="105" t="s">
        <v>891</v>
      </c>
      <c r="D142" s="6">
        <v>50</v>
      </c>
      <c r="E142" s="63"/>
      <c r="F142" s="63"/>
      <c r="G142" s="63"/>
      <c r="K142" s="368">
        <v>45973.42083333333</v>
      </c>
      <c r="L142" s="365">
        <v>100</v>
      </c>
      <c r="M142" s="365">
        <v>0.01</v>
      </c>
      <c r="N142" s="365">
        <f t="shared" si="9"/>
        <v>99.99</v>
      </c>
      <c r="O142" s="220">
        <v>5.6018015300000004</v>
      </c>
      <c r="P142" s="365">
        <v>17.850000000000001</v>
      </c>
      <c r="Q142" s="367">
        <f t="shared" si="10"/>
        <v>99.992157310500019</v>
      </c>
      <c r="R142" t="s">
        <v>973</v>
      </c>
    </row>
    <row r="143" spans="2:18">
      <c r="B143" s="105" t="s">
        <v>622</v>
      </c>
      <c r="D143" s="6">
        <v>50</v>
      </c>
      <c r="E143" s="63"/>
      <c r="F143" s="63"/>
      <c r="G143" s="63"/>
      <c r="K143" s="368">
        <v>45973.458333333336</v>
      </c>
      <c r="L143" s="365">
        <v>100</v>
      </c>
      <c r="M143" s="365">
        <v>0.01</v>
      </c>
      <c r="N143" s="365">
        <f>L143-M143</f>
        <v>99.99</v>
      </c>
      <c r="O143" s="220">
        <v>0.38458402000000003</v>
      </c>
      <c r="P143" s="365">
        <v>260.02</v>
      </c>
      <c r="Q143" s="367">
        <f>P143*O143</f>
        <v>99.999536880400001</v>
      </c>
      <c r="R143" t="s">
        <v>544</v>
      </c>
    </row>
    <row r="144" spans="2:18">
      <c r="B144" s="105" t="s">
        <v>892</v>
      </c>
      <c r="D144" s="6">
        <v>50</v>
      </c>
      <c r="E144" s="63">
        <v>48.01</v>
      </c>
      <c r="F144" s="63">
        <v>48.01</v>
      </c>
      <c r="G144" s="63"/>
      <c r="K144" s="368">
        <v>45973.609027777777</v>
      </c>
      <c r="L144" s="365">
        <v>50</v>
      </c>
      <c r="M144" s="365">
        <v>0.01</v>
      </c>
      <c r="N144" s="365">
        <f t="shared" ref="N144:N154" si="11">L144-M144</f>
        <v>49.99</v>
      </c>
      <c r="O144" s="220">
        <v>0.19487008</v>
      </c>
      <c r="P144" s="365">
        <v>256.58</v>
      </c>
      <c r="Q144" s="367">
        <f t="shared" ref="Q144:Q154" si="12">P144*O144</f>
        <v>49.9997651264</v>
      </c>
      <c r="R144" t="s">
        <v>544</v>
      </c>
    </row>
    <row r="145" spans="2:18">
      <c r="B145" s="105" t="s">
        <v>544</v>
      </c>
      <c r="D145" s="6">
        <v>60</v>
      </c>
      <c r="E145" s="63">
        <v>59.71</v>
      </c>
      <c r="F145" s="63">
        <v>59.71</v>
      </c>
      <c r="G145" s="63"/>
      <c r="K145" s="368">
        <v>45974.493750000001</v>
      </c>
      <c r="L145" s="365">
        <v>178.41</v>
      </c>
      <c r="M145" s="365">
        <v>0.01</v>
      </c>
      <c r="N145" s="365">
        <f t="shared" si="11"/>
        <v>178.4</v>
      </c>
      <c r="O145" s="220">
        <v>0.82856609999999997</v>
      </c>
      <c r="P145" s="365">
        <v>215.32</v>
      </c>
      <c r="Q145" s="367">
        <f t="shared" si="12"/>
        <v>178.406852652</v>
      </c>
      <c r="R145" t="s">
        <v>993</v>
      </c>
    </row>
    <row r="146" spans="2:18">
      <c r="B146" s="105" t="s">
        <v>544</v>
      </c>
      <c r="D146" s="6">
        <v>40</v>
      </c>
      <c r="E146" s="63">
        <v>40</v>
      </c>
      <c r="F146" s="63">
        <v>40</v>
      </c>
      <c r="G146" s="63"/>
      <c r="K146" s="368">
        <v>45979.398611111108</v>
      </c>
      <c r="L146" s="365">
        <v>120</v>
      </c>
      <c r="M146" s="365">
        <v>0.01</v>
      </c>
      <c r="N146" s="365">
        <f t="shared" si="11"/>
        <v>119.99</v>
      </c>
      <c r="O146" s="220">
        <v>0.35410638999999999</v>
      </c>
      <c r="P146" s="365">
        <v>338.88</v>
      </c>
      <c r="Q146" s="367">
        <f t="shared" si="12"/>
        <v>119.99957344319999</v>
      </c>
      <c r="R146" t="s">
        <v>482</v>
      </c>
    </row>
    <row r="147" spans="2:18">
      <c r="B147" s="105" t="s">
        <v>482</v>
      </c>
      <c r="D147" s="6">
        <v>100</v>
      </c>
      <c r="E147" s="63">
        <v>100</v>
      </c>
      <c r="F147" s="63">
        <v>100</v>
      </c>
      <c r="G147" s="63"/>
      <c r="K147" s="368">
        <v>45981.404166666667</v>
      </c>
      <c r="L147" s="365">
        <v>80</v>
      </c>
      <c r="M147" s="365">
        <v>0.01</v>
      </c>
      <c r="N147" s="365">
        <f t="shared" si="11"/>
        <v>79.989999999999995</v>
      </c>
      <c r="O147" s="220">
        <v>0.21336678000000001</v>
      </c>
      <c r="P147" s="365">
        <v>374.94</v>
      </c>
      <c r="Q147" s="367">
        <f t="shared" si="12"/>
        <v>79.999740493200008</v>
      </c>
      <c r="R147" t="s">
        <v>482</v>
      </c>
    </row>
    <row r="148" spans="2:18">
      <c r="B148" s="105" t="s">
        <v>482</v>
      </c>
      <c r="D148" s="6">
        <v>50</v>
      </c>
      <c r="E148" s="63">
        <v>50</v>
      </c>
      <c r="F148" s="63">
        <v>50</v>
      </c>
      <c r="G148" s="63"/>
      <c r="K148" s="368">
        <v>45982.436805555553</v>
      </c>
      <c r="L148" s="365">
        <v>50</v>
      </c>
      <c r="M148" s="365">
        <v>0.01</v>
      </c>
      <c r="N148" s="365">
        <f t="shared" si="11"/>
        <v>49.99</v>
      </c>
      <c r="O148" s="220">
        <v>2.7083536399999999</v>
      </c>
      <c r="P148" s="365">
        <v>18.46</v>
      </c>
      <c r="Q148" s="367">
        <f t="shared" si="12"/>
        <v>49.996208194399998</v>
      </c>
      <c r="R148" t="s">
        <v>973</v>
      </c>
    </row>
    <row r="149" spans="2:18">
      <c r="B149" s="105" t="s">
        <v>482</v>
      </c>
      <c r="D149" s="6">
        <v>50</v>
      </c>
      <c r="E149" s="63">
        <v>50</v>
      </c>
      <c r="F149" s="63">
        <v>50</v>
      </c>
      <c r="G149" s="63"/>
      <c r="K149" s="368">
        <v>46000.457638888889</v>
      </c>
      <c r="L149" s="365">
        <v>108.69</v>
      </c>
      <c r="M149" s="365">
        <v>0.01</v>
      </c>
      <c r="N149" s="365">
        <f t="shared" si="11"/>
        <v>108.67999999999999</v>
      </c>
      <c r="O149" s="220">
        <v>0.26934720000000001</v>
      </c>
      <c r="P149" s="365">
        <v>403.53</v>
      </c>
      <c r="Q149" s="367">
        <f t="shared" si="12"/>
        <v>108.689675616</v>
      </c>
      <c r="R149" t="s">
        <v>482</v>
      </c>
    </row>
    <row r="150" spans="2:18">
      <c r="B150" s="105" t="s">
        <v>22</v>
      </c>
      <c r="D150" s="6">
        <v>50</v>
      </c>
      <c r="E150" s="63">
        <v>50</v>
      </c>
      <c r="F150" s="63">
        <v>50</v>
      </c>
      <c r="G150" s="63"/>
      <c r="K150" s="368">
        <v>46001.444444444445</v>
      </c>
      <c r="L150" s="365">
        <v>42</v>
      </c>
      <c r="M150" s="365">
        <v>0.01</v>
      </c>
      <c r="N150" s="365">
        <f t="shared" si="11"/>
        <v>41.99</v>
      </c>
      <c r="O150" s="220">
        <v>1.74543278</v>
      </c>
      <c r="P150" s="365">
        <v>24.06</v>
      </c>
      <c r="Q150" s="367">
        <f t="shared" si="12"/>
        <v>41.995112686799999</v>
      </c>
      <c r="R150" t="s">
        <v>973</v>
      </c>
    </row>
    <row r="151" spans="2:18">
      <c r="B151" s="105" t="s">
        <v>955</v>
      </c>
      <c r="D151" s="6">
        <v>50</v>
      </c>
      <c r="E151" s="63">
        <v>50</v>
      </c>
      <c r="F151" s="63">
        <v>50</v>
      </c>
      <c r="G151" s="63"/>
      <c r="K151" s="368">
        <v>46003.431944444441</v>
      </c>
      <c r="L151" s="365">
        <v>100</v>
      </c>
      <c r="M151" s="365">
        <v>0.01</v>
      </c>
      <c r="N151" s="365">
        <f t="shared" si="11"/>
        <v>99.99</v>
      </c>
      <c r="O151" s="220">
        <v>0.33580575000000001</v>
      </c>
      <c r="P151" s="365">
        <v>297.79000000000002</v>
      </c>
      <c r="Q151" s="367">
        <f t="shared" si="12"/>
        <v>99.999594292500007</v>
      </c>
      <c r="R151" t="s">
        <v>891</v>
      </c>
    </row>
    <row r="152" spans="2:18">
      <c r="B152" s="105" t="s">
        <v>22</v>
      </c>
      <c r="D152" s="6">
        <v>50</v>
      </c>
      <c r="E152" s="63">
        <v>50</v>
      </c>
      <c r="F152" s="63">
        <v>50</v>
      </c>
      <c r="G152" s="63"/>
      <c r="K152" s="368">
        <v>46003.433333333334</v>
      </c>
      <c r="L152" s="365">
        <v>150</v>
      </c>
      <c r="M152" s="365">
        <v>0.01</v>
      </c>
      <c r="N152" s="365">
        <f t="shared" si="11"/>
        <v>149.99</v>
      </c>
      <c r="O152" s="220">
        <v>5.2787719400000004</v>
      </c>
      <c r="P152" s="365">
        <v>28.42</v>
      </c>
      <c r="Q152" s="367">
        <f t="shared" si="12"/>
        <v>150.02269853480001</v>
      </c>
      <c r="R152" t="s">
        <v>992</v>
      </c>
    </row>
    <row r="153" spans="2:18">
      <c r="B153" s="105" t="s">
        <v>704</v>
      </c>
      <c r="D153" s="6">
        <v>50</v>
      </c>
      <c r="E153" s="63">
        <v>50</v>
      </c>
      <c r="F153" s="63">
        <v>50</v>
      </c>
      <c r="G153" s="63"/>
      <c r="K153" s="368">
        <v>46003.434027777781</v>
      </c>
      <c r="L153" s="365">
        <v>75</v>
      </c>
      <c r="M153" s="365">
        <v>0.01</v>
      </c>
      <c r="N153" s="365">
        <f t="shared" si="11"/>
        <v>74.989999999999995</v>
      </c>
      <c r="O153" s="220">
        <v>6.9179257200000004</v>
      </c>
      <c r="P153" s="365">
        <v>10.84</v>
      </c>
      <c r="Q153" s="367">
        <f t="shared" si="12"/>
        <v>74.990314804800008</v>
      </c>
      <c r="R153" t="s">
        <v>959</v>
      </c>
    </row>
    <row r="154" spans="2:18">
      <c r="B154" s="105" t="s">
        <v>957</v>
      </c>
      <c r="D154" s="6">
        <v>50</v>
      </c>
      <c r="E154" s="63">
        <v>50</v>
      </c>
      <c r="F154" s="63">
        <v>50</v>
      </c>
      <c r="G154" s="63"/>
      <c r="K154" s="368">
        <v>46003.435416666667</v>
      </c>
      <c r="L154" s="365">
        <v>100</v>
      </c>
      <c r="M154" s="365">
        <v>0.01</v>
      </c>
      <c r="N154" s="365">
        <f t="shared" si="11"/>
        <v>99.99</v>
      </c>
      <c r="O154" s="220">
        <v>0.22423978</v>
      </c>
      <c r="P154" s="365">
        <v>445.95</v>
      </c>
      <c r="Q154" s="367">
        <f t="shared" si="12"/>
        <v>99.999729891000001</v>
      </c>
      <c r="R154" t="s">
        <v>968</v>
      </c>
    </row>
    <row r="155" spans="2:18">
      <c r="B155" s="105" t="s">
        <v>958</v>
      </c>
      <c r="D155" s="6">
        <v>50</v>
      </c>
      <c r="E155" s="63">
        <v>50</v>
      </c>
      <c r="F155" s="63">
        <v>50</v>
      </c>
      <c r="G155" s="63"/>
    </row>
    <row r="156" spans="2:18">
      <c r="B156" s="105" t="s">
        <v>919</v>
      </c>
      <c r="D156" s="6">
        <v>50</v>
      </c>
      <c r="E156" s="63">
        <v>50</v>
      </c>
      <c r="F156" s="63">
        <v>50</v>
      </c>
      <c r="G156" s="63"/>
    </row>
    <row r="157" spans="2:18">
      <c r="B157" s="105" t="s">
        <v>959</v>
      </c>
      <c r="D157" s="6">
        <v>50</v>
      </c>
      <c r="E157" s="63">
        <v>50</v>
      </c>
      <c r="F157" s="63">
        <v>50</v>
      </c>
      <c r="G157" s="63"/>
    </row>
    <row r="158" spans="2:18">
      <c r="B158" s="105" t="s">
        <v>544</v>
      </c>
      <c r="D158" s="6">
        <v>100</v>
      </c>
      <c r="E158" s="63"/>
      <c r="F158" s="63"/>
      <c r="G158" s="63"/>
    </row>
    <row r="159" spans="2:18">
      <c r="B159" s="105" t="s">
        <v>563</v>
      </c>
      <c r="D159" s="6">
        <v>80</v>
      </c>
      <c r="E159" s="63"/>
      <c r="F159" s="63"/>
      <c r="G159" s="63"/>
    </row>
    <row r="160" spans="2:18">
      <c r="B160" s="105" t="s">
        <v>957</v>
      </c>
      <c r="D160" s="6">
        <v>50</v>
      </c>
      <c r="E160" s="63">
        <v>50</v>
      </c>
      <c r="F160" s="63">
        <v>50</v>
      </c>
      <c r="G160" s="63"/>
    </row>
    <row r="161" spans="2:7">
      <c r="B161" s="105" t="s">
        <v>482</v>
      </c>
      <c r="D161" s="6">
        <v>100</v>
      </c>
      <c r="E161" s="63">
        <v>100</v>
      </c>
      <c r="F161" s="63">
        <v>100</v>
      </c>
      <c r="G161" s="63"/>
    </row>
    <row r="162" spans="2:7">
      <c r="B162" s="105" t="s">
        <v>727</v>
      </c>
      <c r="D162" s="6">
        <v>50</v>
      </c>
      <c r="E162" s="63">
        <v>50</v>
      </c>
      <c r="F162" s="63">
        <v>50</v>
      </c>
      <c r="G162" s="63"/>
    </row>
    <row r="163" spans="2:7">
      <c r="B163" s="105" t="s">
        <v>892</v>
      </c>
      <c r="D163" s="6">
        <v>50</v>
      </c>
      <c r="E163" s="63">
        <v>50</v>
      </c>
      <c r="F163" s="63">
        <v>50</v>
      </c>
      <c r="G163" s="63"/>
    </row>
    <row r="164" spans="2:7">
      <c r="B164" s="105" t="s">
        <v>955</v>
      </c>
      <c r="D164" s="6">
        <v>50</v>
      </c>
      <c r="E164" s="63"/>
      <c r="F164" s="63"/>
      <c r="G164" s="63"/>
    </row>
    <row r="165" spans="2:7">
      <c r="B165" s="105" t="s">
        <v>620</v>
      </c>
      <c r="D165" s="6">
        <v>80</v>
      </c>
      <c r="E165" s="63">
        <v>80</v>
      </c>
      <c r="F165" s="63">
        <v>80</v>
      </c>
      <c r="G165" s="63"/>
    </row>
    <row r="166" spans="2:7">
      <c r="B166" s="105" t="s">
        <v>968</v>
      </c>
      <c r="D166" s="6">
        <v>50</v>
      </c>
      <c r="E166" s="63"/>
      <c r="F166" s="63"/>
      <c r="G166" s="63"/>
    </row>
    <row r="167" spans="2:7">
      <c r="B167" s="105" t="s">
        <v>681</v>
      </c>
      <c r="D167" s="6">
        <v>30</v>
      </c>
      <c r="E167" s="63"/>
      <c r="F167" s="63"/>
      <c r="G167" s="63"/>
    </row>
    <row r="168" spans="2:7">
      <c r="B168" s="105" t="s">
        <v>22</v>
      </c>
      <c r="D168" s="6">
        <v>100</v>
      </c>
      <c r="E168" s="63"/>
      <c r="F168" s="63"/>
      <c r="G168" s="63"/>
    </row>
    <row r="169" spans="2:7">
      <c r="B169" s="105" t="s">
        <v>968</v>
      </c>
      <c r="D169" s="6">
        <v>50</v>
      </c>
      <c r="E169" s="63"/>
      <c r="F169" s="63"/>
      <c r="G169" s="63"/>
    </row>
    <row r="170" spans="2:7">
      <c r="B170" s="105" t="s">
        <v>752</v>
      </c>
      <c r="D170" s="6">
        <v>20</v>
      </c>
      <c r="E170" s="63"/>
      <c r="F170" s="63"/>
      <c r="G170" s="63"/>
    </row>
    <row r="171" spans="2:7">
      <c r="B171" s="105" t="s">
        <v>727</v>
      </c>
      <c r="D171" s="6">
        <v>20</v>
      </c>
      <c r="E171" s="63"/>
      <c r="F171" s="63"/>
      <c r="G171" s="63"/>
    </row>
    <row r="172" spans="2:7">
      <c r="B172" s="105" t="s">
        <v>969</v>
      </c>
      <c r="D172" s="6">
        <v>10</v>
      </c>
      <c r="E172" s="63"/>
      <c r="F172" s="63"/>
      <c r="G172" s="63"/>
    </row>
    <row r="173" spans="2:7">
      <c r="B173" s="105" t="s">
        <v>727</v>
      </c>
      <c r="D173" s="6">
        <v>30</v>
      </c>
      <c r="E173" s="63">
        <v>30</v>
      </c>
      <c r="F173" s="63">
        <v>30</v>
      </c>
      <c r="G173" s="63"/>
    </row>
    <row r="174" spans="2:7">
      <c r="B174" s="105" t="s">
        <v>970</v>
      </c>
      <c r="D174" s="6">
        <v>50</v>
      </c>
      <c r="E174" s="63"/>
      <c r="F174" s="63"/>
      <c r="G174" s="63"/>
    </row>
    <row r="175" spans="2:7">
      <c r="B175" s="105" t="s">
        <v>22</v>
      </c>
      <c r="D175" s="6">
        <v>50</v>
      </c>
      <c r="E175" s="63">
        <v>50</v>
      </c>
      <c r="F175" s="63">
        <v>50</v>
      </c>
      <c r="G175" s="63"/>
    </row>
    <row r="176" spans="2:7">
      <c r="B176" s="105" t="s">
        <v>969</v>
      </c>
      <c r="D176" s="6">
        <v>10</v>
      </c>
      <c r="E176" s="63"/>
      <c r="F176" s="63"/>
      <c r="G176" s="63"/>
    </row>
    <row r="177" spans="2:10">
      <c r="B177" s="105" t="s">
        <v>752</v>
      </c>
      <c r="D177" s="6">
        <v>50</v>
      </c>
      <c r="E177" s="63">
        <v>50</v>
      </c>
      <c r="F177" s="63">
        <v>50</v>
      </c>
      <c r="G177" s="63"/>
    </row>
    <row r="178" spans="2:10">
      <c r="B178" s="105" t="s">
        <v>622</v>
      </c>
      <c r="D178" s="6">
        <v>50</v>
      </c>
      <c r="E178" s="63">
        <v>50</v>
      </c>
      <c r="F178" s="63">
        <v>50</v>
      </c>
      <c r="G178" s="63"/>
    </row>
    <row r="179" spans="2:10">
      <c r="B179" s="105" t="s">
        <v>971</v>
      </c>
      <c r="D179" s="6">
        <v>15</v>
      </c>
      <c r="E179" s="63"/>
      <c r="F179" s="63"/>
      <c r="G179" s="63"/>
    </row>
    <row r="180" spans="2:10">
      <c r="B180" s="105" t="s">
        <v>622</v>
      </c>
      <c r="D180" s="6">
        <v>50</v>
      </c>
      <c r="E180" s="63">
        <v>50</v>
      </c>
      <c r="F180" s="63">
        <v>50</v>
      </c>
      <c r="G180" s="63"/>
    </row>
    <row r="181" spans="2:10">
      <c r="B181" s="105" t="s">
        <v>482</v>
      </c>
      <c r="D181" s="6">
        <v>50</v>
      </c>
      <c r="E181" s="63">
        <v>50</v>
      </c>
      <c r="F181" s="63">
        <v>50</v>
      </c>
      <c r="G181" s="63"/>
    </row>
    <row r="182" spans="2:10">
      <c r="B182" s="105" t="s">
        <v>22</v>
      </c>
      <c r="D182" s="6">
        <v>50</v>
      </c>
      <c r="E182" s="63">
        <v>50</v>
      </c>
      <c r="F182" s="63">
        <v>50</v>
      </c>
      <c r="G182" s="63"/>
    </row>
    <row r="183" spans="2:10">
      <c r="B183" s="105" t="s">
        <v>892</v>
      </c>
      <c r="D183" s="6">
        <v>50</v>
      </c>
      <c r="E183" s="63">
        <v>50</v>
      </c>
      <c r="F183" s="63">
        <v>50</v>
      </c>
      <c r="G183" s="63"/>
    </row>
    <row r="184" spans="2:10">
      <c r="B184" s="105" t="s">
        <v>622</v>
      </c>
      <c r="D184" s="6">
        <v>25</v>
      </c>
      <c r="G184" s="63"/>
    </row>
    <row r="185" spans="2:10">
      <c r="B185" s="105" t="s">
        <v>919</v>
      </c>
      <c r="D185" s="6">
        <v>50</v>
      </c>
      <c r="E185" s="63">
        <v>50</v>
      </c>
      <c r="F185" s="63">
        <v>50</v>
      </c>
      <c r="G185" s="63"/>
    </row>
    <row r="186" spans="2:10">
      <c r="B186" s="105" t="s">
        <v>968</v>
      </c>
      <c r="D186" s="6">
        <v>50</v>
      </c>
      <c r="E186" s="63">
        <v>50</v>
      </c>
      <c r="F186" s="63">
        <v>50</v>
      </c>
      <c r="G186" s="63"/>
    </row>
    <row r="187" spans="2:10">
      <c r="B187" s="105" t="s">
        <v>919</v>
      </c>
      <c r="D187" s="6">
        <v>25</v>
      </c>
      <c r="E187" s="63">
        <v>25</v>
      </c>
      <c r="F187" s="63">
        <v>25</v>
      </c>
      <c r="G187" s="63"/>
    </row>
    <row r="188" spans="2:10">
      <c r="B188" s="105" t="s">
        <v>22</v>
      </c>
      <c r="D188" s="6">
        <v>50</v>
      </c>
      <c r="E188" s="63"/>
      <c r="F188" s="63"/>
      <c r="H188" s="105"/>
      <c r="J188" s="6"/>
    </row>
    <row r="189" spans="2:10">
      <c r="B189" s="105" t="s">
        <v>973</v>
      </c>
      <c r="D189" s="6">
        <v>15</v>
      </c>
      <c r="E189" s="63"/>
      <c r="F189" s="63"/>
    </row>
    <row r="190" spans="2:10">
      <c r="B190" s="105" t="s">
        <v>622</v>
      </c>
      <c r="D190" s="6">
        <v>25</v>
      </c>
      <c r="E190" s="63">
        <v>23.7</v>
      </c>
      <c r="F190" s="63">
        <v>23.7</v>
      </c>
    </row>
    <row r="191" spans="2:10">
      <c r="B191" s="105" t="s">
        <v>973</v>
      </c>
      <c r="D191" s="6">
        <v>85</v>
      </c>
      <c r="E191" s="63">
        <v>85</v>
      </c>
      <c r="F191" s="63">
        <v>85</v>
      </c>
    </row>
    <row r="192" spans="2:10">
      <c r="B192" s="105" t="s">
        <v>727</v>
      </c>
      <c r="D192" s="6">
        <v>50</v>
      </c>
      <c r="E192" s="63">
        <v>50</v>
      </c>
      <c r="F192" s="63">
        <v>50</v>
      </c>
    </row>
    <row r="193" spans="2:6">
      <c r="B193" s="105" t="s">
        <v>973</v>
      </c>
      <c r="D193" s="6">
        <v>50</v>
      </c>
      <c r="E193" s="63">
        <v>1</v>
      </c>
      <c r="F193" s="63">
        <v>1</v>
      </c>
    </row>
    <row r="194" spans="2:6">
      <c r="B194" s="105" t="s">
        <v>563</v>
      </c>
      <c r="D194" s="6">
        <v>50</v>
      </c>
      <c r="E194" s="63">
        <v>48.97</v>
      </c>
      <c r="F194" s="63">
        <v>48.97</v>
      </c>
    </row>
    <row r="195" spans="2:6">
      <c r="B195" s="105" t="s">
        <v>544</v>
      </c>
      <c r="D195" s="6">
        <v>50</v>
      </c>
      <c r="E195" s="63">
        <v>50</v>
      </c>
      <c r="F195" s="63">
        <v>50</v>
      </c>
    </row>
    <row r="196" spans="2:6">
      <c r="B196" s="105" t="s">
        <v>977</v>
      </c>
      <c r="D196" s="6">
        <v>20</v>
      </c>
      <c r="E196" s="63">
        <v>20</v>
      </c>
      <c r="F196" s="63">
        <v>20</v>
      </c>
    </row>
    <row r="197" spans="2:6">
      <c r="B197" s="105" t="s">
        <v>957</v>
      </c>
      <c r="D197" s="6">
        <v>20</v>
      </c>
      <c r="E197" s="63"/>
      <c r="F197" s="63"/>
    </row>
    <row r="198" spans="2:6">
      <c r="B198" s="105" t="s">
        <v>482</v>
      </c>
      <c r="D198" s="6">
        <v>20</v>
      </c>
      <c r="E198" s="63"/>
      <c r="F198" s="63"/>
    </row>
    <row r="199" spans="2:6">
      <c r="B199" s="105" t="s">
        <v>977</v>
      </c>
      <c r="D199" s="6">
        <v>20</v>
      </c>
      <c r="E199" s="63"/>
      <c r="F199" s="63"/>
    </row>
    <row r="200" spans="2:6">
      <c r="B200" s="105" t="s">
        <v>544</v>
      </c>
      <c r="D200" s="6">
        <v>20</v>
      </c>
      <c r="E200" s="63"/>
      <c r="F200" s="63"/>
    </row>
    <row r="201" spans="2:6">
      <c r="B201" s="105" t="s">
        <v>957</v>
      </c>
      <c r="D201" s="6">
        <v>20</v>
      </c>
      <c r="E201" s="63"/>
      <c r="F201" s="63"/>
    </row>
    <row r="202" spans="2:6">
      <c r="B202" s="105" t="s">
        <v>544</v>
      </c>
      <c r="D202" s="6">
        <v>20</v>
      </c>
      <c r="E202" s="63"/>
      <c r="F202" s="63"/>
    </row>
    <row r="203" spans="2:6">
      <c r="B203" s="105" t="s">
        <v>482</v>
      </c>
      <c r="D203" s="6">
        <v>20</v>
      </c>
      <c r="E203" s="63"/>
      <c r="F203" s="63"/>
    </row>
    <row r="204" spans="2:6">
      <c r="B204" s="105" t="s">
        <v>752</v>
      </c>
      <c r="D204" s="6">
        <v>20</v>
      </c>
      <c r="E204" s="63"/>
      <c r="F204" s="63"/>
    </row>
    <row r="205" spans="2:6">
      <c r="B205" s="105" t="s">
        <v>979</v>
      </c>
      <c r="D205" s="6">
        <v>24</v>
      </c>
      <c r="E205" s="63"/>
      <c r="F205" s="63"/>
    </row>
    <row r="206" spans="2:6">
      <c r="B206" s="105" t="s">
        <v>482</v>
      </c>
      <c r="D206" s="6">
        <v>100</v>
      </c>
      <c r="E206" s="63">
        <v>99.33</v>
      </c>
      <c r="F206" s="63">
        <v>99.33</v>
      </c>
    </row>
    <row r="207" spans="2:6">
      <c r="B207" s="105" t="s">
        <v>563</v>
      </c>
      <c r="D207" s="6">
        <v>50</v>
      </c>
      <c r="E207" s="63">
        <v>50</v>
      </c>
      <c r="F207" s="63">
        <v>50</v>
      </c>
    </row>
    <row r="208" spans="2:6">
      <c r="B208" s="105" t="s">
        <v>977</v>
      </c>
      <c r="D208" s="6">
        <v>60</v>
      </c>
      <c r="E208" s="63">
        <v>60</v>
      </c>
      <c r="F208" s="63">
        <v>60</v>
      </c>
    </row>
    <row r="209" spans="2:6">
      <c r="B209" s="105" t="s">
        <v>704</v>
      </c>
      <c r="D209" s="6">
        <v>100</v>
      </c>
      <c r="E209" s="63">
        <v>100</v>
      </c>
      <c r="F209" s="63">
        <v>100</v>
      </c>
    </row>
    <row r="210" spans="2:6">
      <c r="B210" s="105" t="s">
        <v>544</v>
      </c>
      <c r="D210" s="6">
        <v>10</v>
      </c>
      <c r="E210" s="63">
        <v>10</v>
      </c>
      <c r="F210" s="63">
        <v>10</v>
      </c>
    </row>
    <row r="211" spans="2:6">
      <c r="B211" s="105" t="s">
        <v>968</v>
      </c>
      <c r="D211" s="6">
        <v>50</v>
      </c>
      <c r="E211" s="63">
        <v>50</v>
      </c>
      <c r="F211" s="63">
        <v>50</v>
      </c>
    </row>
    <row r="212" spans="2:6">
      <c r="B212" s="105" t="s">
        <v>971</v>
      </c>
      <c r="D212" s="6">
        <v>15</v>
      </c>
      <c r="E212" s="63">
        <v>15</v>
      </c>
      <c r="F212" s="63">
        <v>15</v>
      </c>
    </row>
    <row r="213" spans="2:6">
      <c r="B213" s="105" t="s">
        <v>957</v>
      </c>
      <c r="D213" s="6">
        <v>60</v>
      </c>
      <c r="E213" s="63">
        <v>60</v>
      </c>
      <c r="F213" s="63">
        <v>60</v>
      </c>
    </row>
    <row r="214" spans="2:6">
      <c r="B214" s="105" t="s">
        <v>919</v>
      </c>
      <c r="D214" s="6">
        <v>25</v>
      </c>
      <c r="E214" s="63">
        <v>25</v>
      </c>
      <c r="F214" s="63">
        <v>25</v>
      </c>
    </row>
    <row r="215" spans="2:6">
      <c r="B215" s="105" t="s">
        <v>970</v>
      </c>
      <c r="D215" s="6">
        <v>50</v>
      </c>
      <c r="E215" s="63">
        <v>50</v>
      </c>
      <c r="F215" s="63">
        <v>50</v>
      </c>
    </row>
    <row r="216" spans="2:6">
      <c r="B216" s="105" t="s">
        <v>979</v>
      </c>
      <c r="D216" s="6">
        <v>26</v>
      </c>
      <c r="E216" s="63">
        <v>26</v>
      </c>
      <c r="F216" s="63">
        <v>26</v>
      </c>
    </row>
    <row r="217" spans="2:6">
      <c r="B217" s="105" t="s">
        <v>544</v>
      </c>
      <c r="D217" s="6">
        <v>100</v>
      </c>
      <c r="E217" s="63">
        <v>48.72</v>
      </c>
      <c r="F217" s="63">
        <v>48.72</v>
      </c>
    </row>
    <row r="218" spans="2:6">
      <c r="B218" s="105" t="s">
        <v>957</v>
      </c>
      <c r="D218" s="6">
        <v>100</v>
      </c>
      <c r="E218" s="63"/>
      <c r="F218" s="63"/>
    </row>
    <row r="219" spans="2:6">
      <c r="B219" s="105" t="s">
        <v>752</v>
      </c>
      <c r="D219" s="6">
        <v>50</v>
      </c>
      <c r="E219" s="63">
        <v>39.72</v>
      </c>
      <c r="F219" s="63">
        <v>39.72</v>
      </c>
    </row>
    <row r="220" spans="2:6">
      <c r="B220" s="105" t="s">
        <v>727</v>
      </c>
      <c r="D220" s="6">
        <v>75</v>
      </c>
      <c r="E220" s="63">
        <v>75</v>
      </c>
      <c r="F220" s="63">
        <v>75</v>
      </c>
    </row>
    <row r="221" spans="2:6">
      <c r="B221" s="105" t="s">
        <v>727</v>
      </c>
      <c r="D221" s="6">
        <v>25</v>
      </c>
      <c r="E221" s="63">
        <v>25</v>
      </c>
      <c r="F221" s="63">
        <v>25</v>
      </c>
    </row>
    <row r="222" spans="2:6">
      <c r="B222" s="105" t="s">
        <v>979</v>
      </c>
      <c r="D222" s="6">
        <v>50</v>
      </c>
      <c r="E222" s="63">
        <v>50</v>
      </c>
      <c r="F222" s="63">
        <v>50</v>
      </c>
    </row>
    <row r="223" spans="2:6">
      <c r="B223" s="105" t="s">
        <v>482</v>
      </c>
      <c r="D223" s="6">
        <v>100</v>
      </c>
      <c r="E223" s="63">
        <v>100</v>
      </c>
      <c r="F223" s="63">
        <v>100</v>
      </c>
    </row>
    <row r="224" spans="2:6">
      <c r="B224" s="105" t="s">
        <v>957</v>
      </c>
      <c r="D224" s="6">
        <v>50</v>
      </c>
      <c r="E224" s="63">
        <v>50</v>
      </c>
      <c r="F224" s="63">
        <v>50</v>
      </c>
    </row>
    <row r="225" spans="2:6">
      <c r="B225" s="105" t="s">
        <v>959</v>
      </c>
      <c r="D225" s="6">
        <v>50</v>
      </c>
      <c r="E225" s="63">
        <v>50</v>
      </c>
      <c r="F225" s="63">
        <v>50</v>
      </c>
    </row>
    <row r="226" spans="2:6">
      <c r="B226" s="105" t="s">
        <v>983</v>
      </c>
      <c r="D226" s="6">
        <v>50</v>
      </c>
      <c r="E226" s="63">
        <v>50</v>
      </c>
      <c r="F226" s="63">
        <v>50</v>
      </c>
    </row>
    <row r="227" spans="2:6">
      <c r="B227" s="105" t="s">
        <v>752</v>
      </c>
      <c r="D227" s="6">
        <v>50</v>
      </c>
      <c r="E227" s="63">
        <v>50</v>
      </c>
      <c r="F227" s="63">
        <v>50</v>
      </c>
    </row>
    <row r="228" spans="2:6">
      <c r="B228" s="105" t="s">
        <v>482</v>
      </c>
      <c r="D228" s="6">
        <v>50</v>
      </c>
      <c r="E228" s="63">
        <v>50</v>
      </c>
      <c r="F228" s="63">
        <v>50</v>
      </c>
    </row>
    <row r="229" spans="2:6">
      <c r="B229" s="105" t="s">
        <v>544</v>
      </c>
      <c r="D229" s="6">
        <v>50</v>
      </c>
      <c r="E229" s="63">
        <v>50</v>
      </c>
      <c r="F229" s="63">
        <v>50</v>
      </c>
    </row>
    <row r="230" spans="2:6">
      <c r="B230" s="105" t="s">
        <v>973</v>
      </c>
      <c r="D230" s="6">
        <v>25</v>
      </c>
      <c r="E230" s="63">
        <v>25</v>
      </c>
      <c r="F230" s="63">
        <v>25</v>
      </c>
    </row>
    <row r="231" spans="2:6">
      <c r="B231" s="105" t="s">
        <v>983</v>
      </c>
      <c r="D231" s="6">
        <v>50</v>
      </c>
      <c r="E231" s="63">
        <v>50</v>
      </c>
      <c r="F231" s="63">
        <v>50</v>
      </c>
    </row>
    <row r="232" spans="2:6">
      <c r="B232" s="105" t="s">
        <v>22</v>
      </c>
      <c r="D232" s="6">
        <v>50</v>
      </c>
      <c r="E232" s="63">
        <v>46.7</v>
      </c>
      <c r="F232" s="63">
        <v>46.7</v>
      </c>
    </row>
    <row r="233" spans="2:6">
      <c r="B233" s="105" t="s">
        <v>957</v>
      </c>
      <c r="D233" s="6">
        <v>50</v>
      </c>
    </row>
    <row r="234" spans="2:6">
      <c r="B234" s="105" t="s">
        <v>973</v>
      </c>
      <c r="D234" s="6">
        <v>50</v>
      </c>
      <c r="E234" s="63">
        <v>1</v>
      </c>
      <c r="F234" s="63">
        <v>1</v>
      </c>
    </row>
    <row r="235" spans="2:6">
      <c r="B235" s="105" t="s">
        <v>977</v>
      </c>
      <c r="D235" s="6">
        <v>50</v>
      </c>
    </row>
    <row r="236" spans="2:6">
      <c r="B236" s="105" t="s">
        <v>752</v>
      </c>
      <c r="D236" s="6">
        <v>50</v>
      </c>
    </row>
    <row r="237" spans="2:6">
      <c r="B237" s="105" t="s">
        <v>544</v>
      </c>
      <c r="D237" s="6">
        <v>50</v>
      </c>
    </row>
    <row r="238" spans="2:6">
      <c r="B238" s="105" t="s">
        <v>622</v>
      </c>
      <c r="D238" s="6">
        <v>50</v>
      </c>
      <c r="E238">
        <v>48.16</v>
      </c>
      <c r="F238">
        <v>48.16</v>
      </c>
    </row>
    <row r="239" spans="2:6">
      <c r="B239" s="105" t="s">
        <v>544</v>
      </c>
      <c r="D239" s="6">
        <v>50</v>
      </c>
      <c r="E239" s="63">
        <v>50</v>
      </c>
      <c r="F239" s="63">
        <v>50</v>
      </c>
    </row>
    <row r="240" spans="2:6">
      <c r="B240" s="105" t="s">
        <v>622</v>
      </c>
      <c r="D240" s="6">
        <v>50</v>
      </c>
      <c r="E240" s="63">
        <v>50</v>
      </c>
      <c r="F240" s="63">
        <v>50</v>
      </c>
    </row>
    <row r="241" spans="2:6">
      <c r="B241" s="105" t="s">
        <v>984</v>
      </c>
      <c r="D241" s="6">
        <v>50</v>
      </c>
      <c r="E241" s="63">
        <v>50</v>
      </c>
      <c r="F241" s="63">
        <v>50</v>
      </c>
    </row>
    <row r="242" spans="2:6">
      <c r="B242" s="105" t="s">
        <v>563</v>
      </c>
      <c r="D242" s="6">
        <v>50</v>
      </c>
      <c r="E242" s="63">
        <v>50</v>
      </c>
      <c r="F242" s="63">
        <v>50</v>
      </c>
    </row>
    <row r="243" spans="2:6">
      <c r="B243" s="105" t="s">
        <v>973</v>
      </c>
      <c r="D243" s="6">
        <v>50</v>
      </c>
      <c r="E243" s="63">
        <v>50</v>
      </c>
      <c r="F243" s="63">
        <v>50</v>
      </c>
    </row>
    <row r="244" spans="2:6">
      <c r="B244" s="105" t="s">
        <v>482</v>
      </c>
      <c r="D244" s="6">
        <v>50</v>
      </c>
      <c r="E244" s="63">
        <v>50</v>
      </c>
      <c r="F244" s="63">
        <v>50</v>
      </c>
    </row>
    <row r="245" spans="2:6">
      <c r="B245" s="105" t="s">
        <v>544</v>
      </c>
      <c r="D245" s="6">
        <v>50</v>
      </c>
      <c r="E245" s="63">
        <v>50</v>
      </c>
      <c r="F245" s="63">
        <v>50</v>
      </c>
    </row>
    <row r="246" spans="2:6">
      <c r="B246" s="105" t="s">
        <v>563</v>
      </c>
      <c r="D246" s="6">
        <v>50</v>
      </c>
      <c r="E246" s="63">
        <v>50</v>
      </c>
      <c r="F246" s="63">
        <v>50</v>
      </c>
    </row>
    <row r="247" spans="2:6">
      <c r="B247" s="105" t="s">
        <v>482</v>
      </c>
      <c r="D247" s="6">
        <v>50</v>
      </c>
      <c r="E247" s="63">
        <v>50</v>
      </c>
      <c r="F247" s="63">
        <v>50</v>
      </c>
    </row>
    <row r="248" spans="2:6">
      <c r="B248" s="105" t="s">
        <v>957</v>
      </c>
      <c r="D248" s="6">
        <v>50</v>
      </c>
      <c r="E248" s="63">
        <v>50</v>
      </c>
      <c r="F248" s="63">
        <v>50</v>
      </c>
    </row>
    <row r="249" spans="2:6">
      <c r="B249" s="105" t="s">
        <v>919</v>
      </c>
      <c r="D249" s="6">
        <v>50</v>
      </c>
      <c r="E249" s="63">
        <v>50</v>
      </c>
      <c r="F249" s="63">
        <v>50</v>
      </c>
    </row>
    <row r="250" spans="2:6">
      <c r="B250" s="105" t="s">
        <v>544</v>
      </c>
      <c r="D250" s="6">
        <v>50</v>
      </c>
      <c r="E250" s="63">
        <v>50</v>
      </c>
      <c r="F250" s="63">
        <v>50</v>
      </c>
    </row>
    <row r="251" spans="2:6">
      <c r="B251" s="105" t="s">
        <v>968</v>
      </c>
      <c r="D251" s="6">
        <v>100</v>
      </c>
      <c r="E251" s="63">
        <v>100</v>
      </c>
      <c r="F251" s="63">
        <v>100</v>
      </c>
    </row>
    <row r="252" spans="2:6">
      <c r="B252" s="105" t="s">
        <v>752</v>
      </c>
      <c r="D252" s="6">
        <v>100</v>
      </c>
      <c r="E252" s="63">
        <v>50.01</v>
      </c>
      <c r="F252" s="63">
        <v>50.01</v>
      </c>
    </row>
    <row r="253" spans="2:6">
      <c r="B253" s="105" t="s">
        <v>969</v>
      </c>
      <c r="D253" s="6">
        <v>50</v>
      </c>
      <c r="E253" s="63">
        <v>50</v>
      </c>
      <c r="F253" s="63">
        <v>50</v>
      </c>
    </row>
    <row r="254" spans="2:6">
      <c r="B254" s="105" t="s">
        <v>977</v>
      </c>
      <c r="D254" s="6">
        <v>50</v>
      </c>
      <c r="E254" s="63">
        <v>50</v>
      </c>
      <c r="F254" s="63">
        <v>50</v>
      </c>
    </row>
    <row r="255" spans="2:6">
      <c r="B255" s="105" t="s">
        <v>622</v>
      </c>
      <c r="D255" s="6">
        <v>50</v>
      </c>
      <c r="E255" s="63">
        <v>50</v>
      </c>
      <c r="F255" s="63">
        <v>50</v>
      </c>
    </row>
    <row r="256" spans="2:6">
      <c r="B256" s="105" t="s">
        <v>752</v>
      </c>
      <c r="D256" s="6">
        <v>50</v>
      </c>
      <c r="E256" s="63">
        <v>49.75</v>
      </c>
      <c r="F256" s="63">
        <v>49.75</v>
      </c>
    </row>
    <row r="257" spans="1:6">
      <c r="B257" s="105" t="s">
        <v>977</v>
      </c>
      <c r="D257" s="6">
        <v>50</v>
      </c>
      <c r="E257" s="63">
        <v>50</v>
      </c>
      <c r="F257" s="63">
        <v>50</v>
      </c>
    </row>
    <row r="258" spans="1:6">
      <c r="B258" s="105" t="s">
        <v>984</v>
      </c>
      <c r="D258" s="6">
        <v>50</v>
      </c>
      <c r="E258" s="63">
        <v>50</v>
      </c>
      <c r="F258" s="63">
        <v>50</v>
      </c>
    </row>
    <row r="259" spans="1:6">
      <c r="B259" s="105" t="s">
        <v>986</v>
      </c>
      <c r="D259" s="6">
        <v>50</v>
      </c>
    </row>
    <row r="260" spans="1:6">
      <c r="B260" s="105" t="s">
        <v>987</v>
      </c>
      <c r="D260" s="6">
        <v>50</v>
      </c>
    </row>
    <row r="261" spans="1:6">
      <c r="B261" s="105" t="s">
        <v>752</v>
      </c>
      <c r="D261" s="6">
        <v>50</v>
      </c>
    </row>
    <row r="262" spans="1:6">
      <c r="B262" s="105" t="s">
        <v>482</v>
      </c>
      <c r="D262" s="6">
        <v>50</v>
      </c>
      <c r="E262" s="63">
        <v>48.52</v>
      </c>
      <c r="F262" s="63">
        <v>48.52</v>
      </c>
    </row>
    <row r="263" spans="1:6">
      <c r="B263" s="105" t="s">
        <v>482</v>
      </c>
      <c r="D263" s="6">
        <v>50</v>
      </c>
      <c r="E263" s="63">
        <v>50</v>
      </c>
      <c r="F263" s="63">
        <v>50</v>
      </c>
    </row>
    <row r="264" spans="1:6">
      <c r="B264" s="105" t="s">
        <v>986</v>
      </c>
      <c r="D264" s="6">
        <v>50</v>
      </c>
      <c r="E264" s="63">
        <v>50</v>
      </c>
      <c r="F264" s="63">
        <v>50</v>
      </c>
    </row>
    <row r="265" spans="1:6">
      <c r="B265" s="105" t="s">
        <v>987</v>
      </c>
      <c r="D265" s="6">
        <v>50</v>
      </c>
      <c r="E265" s="63">
        <v>50</v>
      </c>
      <c r="F265" s="63">
        <v>50</v>
      </c>
    </row>
    <row r="266" spans="1:6">
      <c r="B266" s="105" t="s">
        <v>482</v>
      </c>
      <c r="D266" s="6">
        <v>50</v>
      </c>
      <c r="E266" s="63">
        <v>50</v>
      </c>
      <c r="F266" s="63">
        <v>50</v>
      </c>
    </row>
    <row r="267" spans="1:6">
      <c r="B267" s="105" t="s">
        <v>969</v>
      </c>
      <c r="D267" s="6">
        <v>50</v>
      </c>
      <c r="E267" s="63">
        <v>50</v>
      </c>
      <c r="F267" s="63">
        <v>50</v>
      </c>
    </row>
    <row r="268" spans="1:6">
      <c r="B268" s="105" t="s">
        <v>752</v>
      </c>
      <c r="D268" s="6">
        <v>50</v>
      </c>
      <c r="E268" s="63">
        <v>50</v>
      </c>
      <c r="F268" s="63">
        <v>50</v>
      </c>
    </row>
    <row r="269" spans="1:6">
      <c r="B269" s="105" t="s">
        <v>979</v>
      </c>
      <c r="D269" s="6">
        <v>100</v>
      </c>
      <c r="E269" s="63">
        <v>100</v>
      </c>
      <c r="F269" s="63">
        <v>100</v>
      </c>
    </row>
    <row r="270" spans="1:6">
      <c r="B270" s="105" t="s">
        <v>984</v>
      </c>
      <c r="D270" s="6">
        <v>50</v>
      </c>
      <c r="E270" s="63">
        <v>50</v>
      </c>
      <c r="F270" s="63">
        <v>50</v>
      </c>
    </row>
    <row r="271" spans="1:6">
      <c r="B271" s="105" t="s">
        <v>970</v>
      </c>
      <c r="D271" s="6">
        <v>100</v>
      </c>
      <c r="E271" s="63">
        <v>100</v>
      </c>
      <c r="F271" s="63">
        <v>100</v>
      </c>
    </row>
    <row r="272" spans="1:6">
      <c r="A272" s="374">
        <v>45964</v>
      </c>
      <c r="B272" s="105" t="s">
        <v>986</v>
      </c>
      <c r="D272" s="6">
        <v>50</v>
      </c>
      <c r="E272" s="63">
        <v>50</v>
      </c>
      <c r="F272" s="63">
        <v>50</v>
      </c>
    </row>
    <row r="273" spans="2:6">
      <c r="B273" s="105" t="s">
        <v>987</v>
      </c>
      <c r="D273" s="6">
        <v>50</v>
      </c>
      <c r="E273" s="63">
        <v>50</v>
      </c>
      <c r="F273" s="63">
        <v>50</v>
      </c>
    </row>
    <row r="274" spans="2:6">
      <c r="B274" s="105" t="s">
        <v>752</v>
      </c>
      <c r="D274" s="6">
        <v>100</v>
      </c>
      <c r="E274" s="63">
        <v>100</v>
      </c>
      <c r="F274" s="63">
        <v>100</v>
      </c>
    </row>
    <row r="275" spans="2:6">
      <c r="B275" s="105" t="s">
        <v>984</v>
      </c>
      <c r="D275" s="6">
        <v>50</v>
      </c>
      <c r="E275" s="63">
        <v>50</v>
      </c>
      <c r="F275" s="63">
        <v>50</v>
      </c>
    </row>
    <row r="276" spans="2:6">
      <c r="B276" s="105" t="s">
        <v>957</v>
      </c>
      <c r="D276" s="6">
        <v>50</v>
      </c>
      <c r="E276" s="63">
        <v>50</v>
      </c>
      <c r="F276" s="63">
        <v>50</v>
      </c>
    </row>
    <row r="277" spans="2:6">
      <c r="B277" s="105" t="s">
        <v>482</v>
      </c>
      <c r="D277" s="6">
        <v>100</v>
      </c>
      <c r="E277" s="63">
        <v>100</v>
      </c>
      <c r="F277" s="63">
        <v>100</v>
      </c>
    </row>
    <row r="278" spans="2:6">
      <c r="B278" s="105" t="s">
        <v>986</v>
      </c>
      <c r="D278" s="6">
        <v>50</v>
      </c>
      <c r="E278" s="63">
        <v>50</v>
      </c>
      <c r="F278" s="63">
        <v>50</v>
      </c>
    </row>
    <row r="279" spans="2:6">
      <c r="B279" s="105" t="s">
        <v>987</v>
      </c>
      <c r="D279" s="6">
        <v>50</v>
      </c>
      <c r="E279" s="63">
        <v>50</v>
      </c>
      <c r="F279" s="63">
        <v>50</v>
      </c>
    </row>
    <row r="280" spans="2:6">
      <c r="B280" s="105" t="s">
        <v>970</v>
      </c>
      <c r="D280" s="6">
        <v>50</v>
      </c>
      <c r="E280" s="63">
        <v>50</v>
      </c>
      <c r="F280" s="63">
        <v>50</v>
      </c>
    </row>
    <row r="281" spans="2:6">
      <c r="B281" s="105" t="s">
        <v>977</v>
      </c>
      <c r="D281" s="6">
        <v>50</v>
      </c>
      <c r="E281" s="63">
        <v>50</v>
      </c>
      <c r="F281" s="63">
        <v>50</v>
      </c>
    </row>
    <row r="282" spans="2:6">
      <c r="B282" s="105" t="s">
        <v>544</v>
      </c>
      <c r="D282" s="6">
        <v>50</v>
      </c>
      <c r="E282" s="63">
        <v>49.93</v>
      </c>
      <c r="F282" s="63">
        <v>49.93</v>
      </c>
    </row>
    <row r="283" spans="2:6">
      <c r="B283" s="105" t="s">
        <v>22</v>
      </c>
      <c r="D283" s="6">
        <v>100</v>
      </c>
      <c r="E283" s="63">
        <v>100</v>
      </c>
      <c r="F283" s="63">
        <v>100</v>
      </c>
    </row>
    <row r="284" spans="2:6">
      <c r="B284" s="105" t="s">
        <v>727</v>
      </c>
      <c r="D284" s="6">
        <v>50</v>
      </c>
      <c r="E284" s="63">
        <v>50</v>
      </c>
      <c r="F284" s="63">
        <v>50</v>
      </c>
    </row>
    <row r="285" spans="2:6">
      <c r="B285" s="105" t="s">
        <v>984</v>
      </c>
      <c r="D285" s="6">
        <v>50</v>
      </c>
      <c r="E285" s="63">
        <v>50</v>
      </c>
      <c r="F285" s="63">
        <v>50</v>
      </c>
    </row>
    <row r="286" spans="2:6">
      <c r="B286" s="105" t="s">
        <v>544</v>
      </c>
      <c r="D286" s="6">
        <v>50</v>
      </c>
      <c r="E286" s="63">
        <v>50</v>
      </c>
      <c r="F286" s="63">
        <v>50</v>
      </c>
    </row>
    <row r="287" spans="2:6">
      <c r="B287" s="105" t="s">
        <v>987</v>
      </c>
      <c r="D287" s="6">
        <v>50</v>
      </c>
      <c r="E287" s="63">
        <v>50</v>
      </c>
      <c r="F287" s="63">
        <v>50</v>
      </c>
    </row>
    <row r="288" spans="2:6">
      <c r="B288" s="105" t="s">
        <v>986</v>
      </c>
      <c r="D288" s="6">
        <v>50</v>
      </c>
      <c r="E288" s="63">
        <v>50</v>
      </c>
      <c r="F288" s="63">
        <v>50</v>
      </c>
    </row>
    <row r="289" spans="2:6">
      <c r="B289" s="105" t="s">
        <v>752</v>
      </c>
      <c r="D289" s="6">
        <v>50</v>
      </c>
      <c r="E289" s="63">
        <v>50</v>
      </c>
      <c r="F289" s="63">
        <v>50</v>
      </c>
    </row>
    <row r="290" spans="2:6">
      <c r="B290" s="105" t="s">
        <v>957</v>
      </c>
      <c r="D290" s="6">
        <v>50</v>
      </c>
      <c r="E290" s="63">
        <v>50</v>
      </c>
      <c r="F290" s="63">
        <v>50</v>
      </c>
    </row>
    <row r="291" spans="2:6">
      <c r="B291" s="105" t="s">
        <v>977</v>
      </c>
      <c r="D291" s="6">
        <v>50</v>
      </c>
      <c r="E291" s="63">
        <v>50</v>
      </c>
      <c r="F291" s="63">
        <v>50</v>
      </c>
    </row>
    <row r="292" spans="2:6">
      <c r="B292" s="105" t="s">
        <v>986</v>
      </c>
      <c r="D292" s="6">
        <v>50</v>
      </c>
    </row>
    <row r="293" spans="2:6">
      <c r="B293" s="105" t="s">
        <v>752</v>
      </c>
      <c r="D293" s="6">
        <v>20</v>
      </c>
    </row>
    <row r="294" spans="2:6">
      <c r="B294" s="105" t="s">
        <v>957</v>
      </c>
      <c r="D294" s="6">
        <v>50</v>
      </c>
    </row>
    <row r="295" spans="2:6">
      <c r="B295" s="105" t="s">
        <v>752</v>
      </c>
      <c r="D295" s="6">
        <v>30</v>
      </c>
    </row>
    <row r="296" spans="2:6">
      <c r="B296" s="105" t="s">
        <v>482</v>
      </c>
      <c r="D296" s="6">
        <v>20</v>
      </c>
    </row>
    <row r="297" spans="2:6">
      <c r="B297" s="105" t="s">
        <v>752</v>
      </c>
      <c r="D297" s="6">
        <v>10</v>
      </c>
    </row>
    <row r="298" spans="2:6">
      <c r="B298" s="105" t="s">
        <v>968</v>
      </c>
      <c r="D298" s="6">
        <v>30</v>
      </c>
    </row>
    <row r="299" spans="2:6">
      <c r="B299" s="105" t="s">
        <v>968</v>
      </c>
      <c r="D299" s="6">
        <v>20</v>
      </c>
    </row>
    <row r="300" spans="2:6">
      <c r="B300" s="105" t="s">
        <v>957</v>
      </c>
      <c r="D300" s="6">
        <v>60</v>
      </c>
    </row>
    <row r="301" spans="2:6">
      <c r="B301" s="105" t="s">
        <v>622</v>
      </c>
      <c r="D301" s="6">
        <v>50</v>
      </c>
    </row>
    <row r="302" spans="2:6">
      <c r="B302" s="105" t="s">
        <v>994</v>
      </c>
      <c r="D302" s="6">
        <v>50</v>
      </c>
    </row>
    <row r="303" spans="2:6">
      <c r="B303" s="105" t="s">
        <v>752</v>
      </c>
      <c r="D303" s="6">
        <v>20</v>
      </c>
    </row>
    <row r="304" spans="2:6">
      <c r="B304" s="105" t="s">
        <v>987</v>
      </c>
      <c r="D304" s="6">
        <v>50</v>
      </c>
    </row>
    <row r="305" spans="1:6">
      <c r="B305" s="105" t="s">
        <v>994</v>
      </c>
      <c r="D305" s="6">
        <v>50</v>
      </c>
    </row>
    <row r="306" spans="1:6">
      <c r="B306" s="105" t="s">
        <v>752</v>
      </c>
      <c r="D306" s="6">
        <v>30</v>
      </c>
    </row>
    <row r="307" spans="1:6">
      <c r="B307" s="105" t="s">
        <v>544</v>
      </c>
      <c r="D307" s="6">
        <v>50</v>
      </c>
    </row>
    <row r="308" spans="1:6">
      <c r="B308" s="105" t="s">
        <v>482</v>
      </c>
      <c r="D308" s="6">
        <v>50</v>
      </c>
    </row>
    <row r="309" spans="1:6">
      <c r="B309" s="105" t="s">
        <v>544</v>
      </c>
      <c r="D309" s="6">
        <v>50</v>
      </c>
    </row>
    <row r="310" spans="1:6">
      <c r="B310" s="105" t="s">
        <v>984</v>
      </c>
      <c r="D310" s="6">
        <v>50</v>
      </c>
    </row>
    <row r="311" spans="1:6">
      <c r="B311" s="105" t="s">
        <v>891</v>
      </c>
      <c r="D311" s="6">
        <v>40</v>
      </c>
    </row>
    <row r="312" spans="1:6">
      <c r="B312" s="105" t="s">
        <v>968</v>
      </c>
      <c r="D312" s="6">
        <v>50</v>
      </c>
      <c r="E312" s="63">
        <v>16.25</v>
      </c>
      <c r="F312" s="63">
        <v>16.25</v>
      </c>
    </row>
    <row r="313" spans="1:6">
      <c r="B313" s="105" t="s">
        <v>957</v>
      </c>
      <c r="D313" s="6">
        <v>40</v>
      </c>
      <c r="E313" s="63">
        <v>40</v>
      </c>
      <c r="F313" s="63">
        <v>40</v>
      </c>
    </row>
    <row r="314" spans="1:6">
      <c r="B314" s="105" t="s">
        <v>622</v>
      </c>
      <c r="D314" s="6">
        <v>50</v>
      </c>
      <c r="E314" s="6">
        <v>50</v>
      </c>
      <c r="F314" s="6">
        <v>50</v>
      </c>
    </row>
    <row r="315" spans="1:6">
      <c r="B315" s="105" t="s">
        <v>986</v>
      </c>
      <c r="D315" s="6">
        <v>50</v>
      </c>
      <c r="E315" s="63">
        <v>50</v>
      </c>
      <c r="F315" s="63">
        <v>50</v>
      </c>
    </row>
    <row r="316" spans="1:6">
      <c r="B316" s="105" t="s">
        <v>987</v>
      </c>
      <c r="D316" s="6">
        <v>50</v>
      </c>
      <c r="E316" s="63">
        <v>50</v>
      </c>
      <c r="F316" s="63">
        <v>50</v>
      </c>
    </row>
    <row r="317" spans="1:6">
      <c r="A317" s="374">
        <v>45992</v>
      </c>
      <c r="B317" s="105" t="s">
        <v>994</v>
      </c>
      <c r="D317" s="6">
        <v>50</v>
      </c>
      <c r="E317" s="63">
        <v>50</v>
      </c>
      <c r="F317" s="63">
        <v>50</v>
      </c>
    </row>
    <row r="318" spans="1:6">
      <c r="B318" s="105" t="s">
        <v>986</v>
      </c>
      <c r="D318" s="6">
        <v>50</v>
      </c>
      <c r="E318" s="63">
        <v>50</v>
      </c>
      <c r="F318" s="63">
        <v>50</v>
      </c>
    </row>
    <row r="319" spans="1:6">
      <c r="B319" s="105" t="s">
        <v>752</v>
      </c>
      <c r="D319" s="6">
        <v>50</v>
      </c>
      <c r="E319" s="63">
        <v>50</v>
      </c>
      <c r="F319" s="63">
        <v>50</v>
      </c>
    </row>
    <row r="320" spans="1:6">
      <c r="B320" s="105" t="s">
        <v>984</v>
      </c>
      <c r="D320" s="6">
        <v>50</v>
      </c>
      <c r="E320" s="63">
        <v>50</v>
      </c>
      <c r="F320" s="63">
        <v>50</v>
      </c>
    </row>
    <row r="321" spans="2:6">
      <c r="B321" s="105" t="s">
        <v>977</v>
      </c>
      <c r="D321" s="6">
        <v>50</v>
      </c>
      <c r="E321" s="63">
        <v>50</v>
      </c>
      <c r="F321" s="63">
        <v>50</v>
      </c>
    </row>
    <row r="322" spans="2:6">
      <c r="B322" s="105" t="s">
        <v>727</v>
      </c>
      <c r="D322" s="6">
        <v>25</v>
      </c>
      <c r="E322" s="63">
        <v>25</v>
      </c>
      <c r="F322" s="63">
        <v>25</v>
      </c>
    </row>
    <row r="323" spans="2:6">
      <c r="B323" s="105" t="s">
        <v>955</v>
      </c>
      <c r="D323" s="6">
        <v>50</v>
      </c>
      <c r="E323" s="63">
        <v>50</v>
      </c>
      <c r="F323" s="63">
        <v>50</v>
      </c>
    </row>
    <row r="324" spans="2:6">
      <c r="B324" s="105" t="s">
        <v>703</v>
      </c>
      <c r="D324" s="6">
        <v>40</v>
      </c>
      <c r="E324" s="63">
        <v>40</v>
      </c>
      <c r="F324" s="63">
        <v>40</v>
      </c>
    </row>
    <row r="325" spans="2:6">
      <c r="B325" s="105" t="s">
        <v>727</v>
      </c>
      <c r="D325" s="6">
        <v>50</v>
      </c>
      <c r="E325" s="63">
        <v>50</v>
      </c>
      <c r="F325" s="63">
        <v>50</v>
      </c>
    </row>
    <row r="326" spans="2:6">
      <c r="B326" s="105" t="s">
        <v>979</v>
      </c>
      <c r="D326" s="6">
        <v>50</v>
      </c>
      <c r="E326" s="63">
        <v>50</v>
      </c>
      <c r="F326" s="63">
        <v>50</v>
      </c>
    </row>
    <row r="327" spans="2:6">
      <c r="B327" s="105" t="s">
        <v>544</v>
      </c>
      <c r="D327" s="6">
        <v>25</v>
      </c>
      <c r="E327" s="63">
        <v>25</v>
      </c>
      <c r="F327" s="63">
        <v>25</v>
      </c>
    </row>
    <row r="328" spans="2:6">
      <c r="B328" s="105" t="s">
        <v>987</v>
      </c>
      <c r="D328" s="6">
        <v>50</v>
      </c>
      <c r="E328" s="63">
        <v>50</v>
      </c>
      <c r="F328" s="63">
        <v>50</v>
      </c>
    </row>
    <row r="329" spans="2:6">
      <c r="B329" s="105" t="s">
        <v>984</v>
      </c>
      <c r="D329" s="6">
        <v>50</v>
      </c>
      <c r="E329" s="63">
        <v>50</v>
      </c>
      <c r="F329" s="63">
        <v>50</v>
      </c>
    </row>
    <row r="330" spans="2:6">
      <c r="B330" s="105" t="s">
        <v>704</v>
      </c>
      <c r="D330" s="6">
        <v>70</v>
      </c>
      <c r="E330" s="63">
        <v>70</v>
      </c>
      <c r="F330" s="63">
        <v>70</v>
      </c>
    </row>
    <row r="331" spans="2:6">
      <c r="B331" s="105" t="s">
        <v>105</v>
      </c>
      <c r="D331" s="6">
        <v>50</v>
      </c>
      <c r="E331" s="63">
        <v>50</v>
      </c>
      <c r="F331" s="63">
        <v>50</v>
      </c>
    </row>
    <row r="332" spans="2:6">
      <c r="B332" s="105" t="s">
        <v>482</v>
      </c>
      <c r="D332" s="6">
        <v>50</v>
      </c>
      <c r="E332" s="63"/>
      <c r="F332" s="63"/>
    </row>
    <row r="333" spans="2:6">
      <c r="B333" s="105" t="s">
        <v>994</v>
      </c>
      <c r="D333" s="6">
        <v>20</v>
      </c>
      <c r="E333" s="63"/>
      <c r="F333" s="63"/>
    </row>
    <row r="334" spans="2:6">
      <c r="B334" s="105" t="s">
        <v>620</v>
      </c>
      <c r="D334" s="6">
        <v>17</v>
      </c>
      <c r="E334" s="63"/>
      <c r="F334" s="63"/>
    </row>
    <row r="335" spans="2:6">
      <c r="B335" s="105" t="s">
        <v>895</v>
      </c>
      <c r="D335" s="6">
        <v>5</v>
      </c>
      <c r="E335" s="63"/>
      <c r="F335" s="63"/>
    </row>
    <row r="336" spans="2:6">
      <c r="B336" s="105" t="s">
        <v>979</v>
      </c>
      <c r="D336" s="6">
        <v>50</v>
      </c>
      <c r="E336" s="63">
        <v>46.51</v>
      </c>
      <c r="F336" s="63">
        <v>46.51</v>
      </c>
    </row>
    <row r="337" spans="1:6">
      <c r="B337" s="105" t="s">
        <v>895</v>
      </c>
      <c r="D337" s="6">
        <v>25</v>
      </c>
      <c r="E337" s="63">
        <v>25</v>
      </c>
      <c r="F337" s="63">
        <v>25</v>
      </c>
    </row>
    <row r="338" spans="1:6">
      <c r="B338" s="105" t="s">
        <v>994</v>
      </c>
      <c r="D338" s="6">
        <v>30</v>
      </c>
      <c r="E338" s="63">
        <v>30</v>
      </c>
      <c r="F338" s="63">
        <v>30</v>
      </c>
    </row>
    <row r="339" spans="1:6">
      <c r="B339" s="105" t="s">
        <v>482</v>
      </c>
      <c r="D339" s="6">
        <v>88.33</v>
      </c>
      <c r="E339" s="63">
        <v>88.33</v>
      </c>
      <c r="F339" s="63">
        <v>88.33</v>
      </c>
    </row>
    <row r="340" spans="1:6">
      <c r="B340" s="105" t="s">
        <v>891</v>
      </c>
      <c r="D340" s="6">
        <v>53</v>
      </c>
      <c r="E340" s="63">
        <v>53</v>
      </c>
      <c r="F340" s="63">
        <v>53</v>
      </c>
    </row>
    <row r="341" spans="1:6">
      <c r="B341" s="105" t="s">
        <v>973</v>
      </c>
      <c r="D341" s="6">
        <v>35.51</v>
      </c>
      <c r="E341" s="63">
        <v>35.51</v>
      </c>
      <c r="F341" s="63">
        <v>35.51</v>
      </c>
    </row>
    <row r="342" spans="1:6">
      <c r="B342" s="105" t="s">
        <v>987</v>
      </c>
      <c r="D342" s="6">
        <v>50</v>
      </c>
      <c r="E342" s="63">
        <v>50</v>
      </c>
      <c r="F342" s="63">
        <v>50</v>
      </c>
    </row>
    <row r="343" spans="1:6">
      <c r="B343" s="105" t="s">
        <v>986</v>
      </c>
      <c r="D343" s="6">
        <v>50</v>
      </c>
      <c r="E343" s="63">
        <v>50</v>
      </c>
      <c r="F343" s="63">
        <v>50</v>
      </c>
    </row>
    <row r="344" spans="1:6">
      <c r="B344" s="105" t="s">
        <v>752</v>
      </c>
      <c r="D344" s="6">
        <v>46.22</v>
      </c>
      <c r="E344" s="63">
        <v>46.22</v>
      </c>
      <c r="F344" s="63">
        <v>46.22</v>
      </c>
    </row>
    <row r="345" spans="1:6">
      <c r="B345" s="105" t="s">
        <v>997</v>
      </c>
      <c r="D345" s="6">
        <v>50</v>
      </c>
      <c r="E345" s="63">
        <v>50</v>
      </c>
      <c r="F345" s="63">
        <v>50</v>
      </c>
    </row>
    <row r="346" spans="1:6">
      <c r="B346" s="105" t="s">
        <v>895</v>
      </c>
      <c r="D346" s="6">
        <v>25</v>
      </c>
      <c r="E346" s="63">
        <v>25</v>
      </c>
      <c r="F346" s="63">
        <v>25</v>
      </c>
    </row>
    <row r="347" spans="1:6">
      <c r="B347" s="105" t="s">
        <v>895</v>
      </c>
      <c r="D347" s="6">
        <v>25</v>
      </c>
      <c r="E347" s="63">
        <v>25</v>
      </c>
      <c r="F347" s="63">
        <v>25</v>
      </c>
    </row>
    <row r="348" spans="1:6">
      <c r="B348" s="105" t="s">
        <v>987</v>
      </c>
      <c r="D348" s="6">
        <v>50</v>
      </c>
      <c r="E348" s="63">
        <v>50</v>
      </c>
      <c r="F348" s="63">
        <v>50</v>
      </c>
    </row>
    <row r="349" spans="1:6">
      <c r="B349" s="105" t="s">
        <v>986</v>
      </c>
      <c r="D349" s="6">
        <v>50</v>
      </c>
      <c r="E349" s="63">
        <v>50</v>
      </c>
      <c r="F349" s="63">
        <v>50</v>
      </c>
    </row>
    <row r="350" spans="1:6">
      <c r="B350" s="105" t="s">
        <v>994</v>
      </c>
      <c r="D350" s="6">
        <v>50</v>
      </c>
      <c r="E350" s="63">
        <v>50</v>
      </c>
      <c r="F350" s="63">
        <v>50</v>
      </c>
    </row>
    <row r="351" spans="1:6">
      <c r="B351" s="105" t="s">
        <v>994</v>
      </c>
      <c r="D351" s="6">
        <v>50</v>
      </c>
      <c r="E351" s="63">
        <v>49.99</v>
      </c>
      <c r="F351" s="63">
        <v>49.99</v>
      </c>
    </row>
    <row r="352" spans="1:6">
      <c r="A352" s="374">
        <v>46023</v>
      </c>
      <c r="B352" s="105" t="s">
        <v>979</v>
      </c>
      <c r="D352" s="6">
        <v>12.31</v>
      </c>
      <c r="E352" s="63">
        <v>8.16</v>
      </c>
      <c r="F352" s="63">
        <v>8.16</v>
      </c>
    </row>
    <row r="353" spans="1:6">
      <c r="B353" s="105" t="s">
        <v>999</v>
      </c>
      <c r="D353" s="6">
        <v>40</v>
      </c>
      <c r="E353" s="63">
        <v>40</v>
      </c>
      <c r="F353" s="63">
        <v>40</v>
      </c>
    </row>
    <row r="354" spans="1:6">
      <c r="B354" s="105" t="s">
        <v>544</v>
      </c>
      <c r="D354" s="6">
        <v>49.86</v>
      </c>
      <c r="E354" s="63">
        <v>19.86</v>
      </c>
      <c r="F354" s="63">
        <v>19.86</v>
      </c>
    </row>
    <row r="355" spans="1:6">
      <c r="B355" s="105" t="s">
        <v>1357</v>
      </c>
      <c r="D355" s="6">
        <v>20</v>
      </c>
      <c r="E355" s="63"/>
      <c r="F355" s="63"/>
    </row>
    <row r="356" spans="1:6">
      <c r="A356" s="374">
        <v>46054</v>
      </c>
      <c r="B356" s="105" t="s">
        <v>482</v>
      </c>
      <c r="D356" s="6">
        <v>49.9</v>
      </c>
      <c r="E356" s="63">
        <v>26.76</v>
      </c>
      <c r="F356" s="63">
        <v>26.76</v>
      </c>
    </row>
    <row r="357" spans="1:6">
      <c r="B357" s="105" t="s">
        <v>622</v>
      </c>
      <c r="D357" s="6">
        <v>31.57</v>
      </c>
      <c r="E357" s="6">
        <v>31.57</v>
      </c>
      <c r="F357" s="6">
        <v>31.57</v>
      </c>
    </row>
    <row r="358" spans="1:6">
      <c r="B358" s="105" t="s">
        <v>544</v>
      </c>
      <c r="D358" s="6">
        <v>50</v>
      </c>
      <c r="E358" s="63">
        <v>50</v>
      </c>
      <c r="F358" s="63">
        <v>50</v>
      </c>
    </row>
    <row r="359" spans="1:6">
      <c r="B359" s="105" t="s">
        <v>622</v>
      </c>
      <c r="D359" s="6">
        <v>50</v>
      </c>
      <c r="E359" s="63">
        <v>50</v>
      </c>
      <c r="F359" s="63">
        <v>50</v>
      </c>
    </row>
    <row r="360" spans="1:6">
      <c r="B360" s="105" t="s">
        <v>752</v>
      </c>
      <c r="D360" s="6">
        <v>50</v>
      </c>
      <c r="E360" s="63">
        <v>50</v>
      </c>
      <c r="F360" s="63">
        <v>50</v>
      </c>
    </row>
    <row r="361" spans="1:6">
      <c r="B361" s="105" t="s">
        <v>994</v>
      </c>
      <c r="D361" s="6">
        <v>50</v>
      </c>
      <c r="E361" s="63">
        <v>50</v>
      </c>
      <c r="F361" s="63">
        <v>50</v>
      </c>
    </row>
    <row r="362" spans="1:6">
      <c r="B362" s="105" t="s">
        <v>563</v>
      </c>
      <c r="D362" s="6">
        <v>50</v>
      </c>
      <c r="E362" s="63">
        <v>50</v>
      </c>
      <c r="F362" s="63">
        <v>50</v>
      </c>
    </row>
    <row r="363" spans="1:6">
      <c r="B363" s="105" t="s">
        <v>733</v>
      </c>
      <c r="D363" s="6">
        <v>31.69</v>
      </c>
      <c r="E363" s="6">
        <v>31.69</v>
      </c>
      <c r="F363" s="6">
        <v>31.69</v>
      </c>
    </row>
    <row r="364" spans="1:6">
      <c r="E364" s="63"/>
      <c r="F364" s="63"/>
    </row>
    <row r="365" spans="1:6">
      <c r="E365" s="63"/>
      <c r="F365" s="63"/>
    </row>
    <row r="366" spans="1:6">
      <c r="E366" s="63"/>
      <c r="F366" s="63"/>
    </row>
    <row r="367" spans="1:6">
      <c r="E367" s="63"/>
      <c r="F367" s="63"/>
    </row>
  </sheetData>
  <mergeCells count="10">
    <mergeCell ref="K7:L7"/>
    <mergeCell ref="M7:N7"/>
    <mergeCell ref="K8:L8"/>
    <mergeCell ref="M8:N8"/>
    <mergeCell ref="D2:G2"/>
    <mergeCell ref="D3:F3"/>
    <mergeCell ref="K5:L5"/>
    <mergeCell ref="M5:N5"/>
    <mergeCell ref="K6:L6"/>
    <mergeCell ref="M6:N6"/>
  </mergeCells>
  <conditionalFormatting sqref="D8">
    <cfRule type="colorScale" priority="17">
      <colorScale>
        <cfvo type="min"/>
        <cfvo type="num" val="$D$7"/>
        <cfvo type="max"/>
        <color rgb="FFF8696B"/>
        <color rgb="FFFFEB84"/>
        <color rgb="FF63BE7B"/>
      </colorScale>
    </cfRule>
  </conditionalFormatting>
  <conditionalFormatting sqref="D9:D10">
    <cfRule type="colorScale" priority="18">
      <colorScale>
        <cfvo type="min"/>
        <cfvo type="num" val="$E$9"/>
        <cfvo type="max"/>
        <color rgb="FFF8696B"/>
        <color rgb="FFFFEB84"/>
        <color rgb="FF63BE7B"/>
      </colorScale>
    </cfRule>
  </conditionalFormatting>
  <conditionalFormatting sqref="J5">
    <cfRule type="colorScale" priority="8">
      <colorScale>
        <cfvo type="min"/>
        <cfvo type="num" val="1"/>
        <cfvo type="max"/>
        <color rgb="FFF8696B"/>
        <color rgb="FFFFEB84"/>
        <color rgb="FF63BE7B"/>
      </colorScale>
    </cfRule>
  </conditionalFormatting>
  <conditionalFormatting sqref="J6">
    <cfRule type="colorScale" priority="10">
      <colorScale>
        <cfvo type="min"/>
        <cfvo type="num" val="1"/>
        <cfvo type="max"/>
        <color rgb="FFF8696B"/>
        <color rgb="FFFFEB84"/>
        <color rgb="FF63BE7B"/>
      </colorScale>
    </cfRule>
  </conditionalFormatting>
  <conditionalFormatting sqref="J7">
    <cfRule type="colorScale" priority="9">
      <colorScale>
        <cfvo type="min"/>
        <cfvo type="num" val="1"/>
        <cfvo type="max"/>
        <color rgb="FFF8696B"/>
        <color rgb="FFFFEB84"/>
        <color rgb="FF63BE7B"/>
      </colorScale>
    </cfRule>
  </conditionalFormatting>
  <conditionalFormatting sqref="M6:N6">
    <cfRule type="colorScale" priority="7">
      <colorScale>
        <cfvo type="num" val="0"/>
        <cfvo type="formula" val="$M$5/2"/>
        <cfvo type="num" val="$M$5"/>
        <color rgb="FF00B050"/>
        <color rgb="FFFFC000"/>
        <color rgb="FFC00000"/>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A798-E452-4F95-A458-600242AEC2B7}">
  <sheetPr codeName="Sheet18">
    <tabColor rgb="FFFFFF00"/>
  </sheetPr>
  <dimension ref="A1:BF467"/>
  <sheetViews>
    <sheetView topLeftCell="A432" zoomScale="85" zoomScaleNormal="85" workbookViewId="0">
      <selection activeCell="L72" sqref="L72"/>
    </sheetView>
  </sheetViews>
  <sheetFormatPr defaultColWidth="8.85546875" defaultRowHeight="15"/>
  <cols>
    <col min="3" max="3" width="10.5703125" customWidth="1"/>
    <col min="4" max="4" width="12.28515625" bestFit="1" customWidth="1"/>
    <col min="5" max="5" width="11" bestFit="1" customWidth="1"/>
    <col min="6" max="6" width="18.140625" bestFit="1" customWidth="1"/>
    <col min="7" max="7" width="2.85546875" customWidth="1"/>
    <col min="8" max="9" width="10.5703125" bestFit="1" customWidth="1"/>
    <col min="10" max="10" width="13.28515625" bestFit="1" customWidth="1"/>
    <col min="11" max="11" width="11" customWidth="1"/>
    <col min="12" max="12" width="18.140625" bestFit="1" customWidth="1"/>
    <col min="15" max="15" width="2.85546875" customWidth="1"/>
    <col min="16" max="16" width="10.28515625" bestFit="1" customWidth="1"/>
    <col min="17" max="17" width="9.5703125" bestFit="1" customWidth="1"/>
    <col min="18" max="18" width="12.28515625" bestFit="1" customWidth="1"/>
    <col min="19" max="19" width="11.28515625" bestFit="1" customWidth="1"/>
    <col min="20" max="20" width="18.140625" bestFit="1" customWidth="1"/>
    <col min="24" max="24" width="21.7109375" bestFit="1" customWidth="1"/>
    <col min="25" max="25" width="12.28515625" bestFit="1" customWidth="1"/>
    <col min="26" max="26" width="9.5703125" bestFit="1" customWidth="1"/>
    <col min="27" max="27" width="12.28515625" bestFit="1" customWidth="1"/>
    <col min="28" max="30" width="12.28515625" customWidth="1"/>
    <col min="31" max="31" width="11.28515625" bestFit="1" customWidth="1"/>
    <col min="32" max="32" width="12.7109375" customWidth="1"/>
    <col min="34" max="34" width="7.7109375" bestFit="1" customWidth="1"/>
    <col min="35" max="35" width="12.28515625" bestFit="1" customWidth="1"/>
    <col min="36" max="36" width="11.5703125" bestFit="1" customWidth="1"/>
    <col min="37" max="37" width="9.5703125" bestFit="1" customWidth="1"/>
    <col min="38" max="38" width="6.5703125" bestFit="1" customWidth="1"/>
    <col min="39" max="39" width="13.7109375" bestFit="1" customWidth="1"/>
    <col min="42" max="42" width="9.5703125" bestFit="1" customWidth="1"/>
    <col min="50" max="50" width="5.5703125" bestFit="1" customWidth="1"/>
    <col min="51" max="51" width="24.85546875" bestFit="1" customWidth="1"/>
    <col min="52" max="52" width="22.28515625" bestFit="1" customWidth="1"/>
  </cols>
  <sheetData>
    <row r="1" spans="2:58">
      <c r="X1" t="s">
        <v>39</v>
      </c>
      <c r="Y1" t="s">
        <v>314</v>
      </c>
      <c r="Z1" t="s">
        <v>162</v>
      </c>
    </row>
    <row r="2" spans="2:58">
      <c r="W2" t="s">
        <v>316</v>
      </c>
      <c r="X2" t="s">
        <v>315</v>
      </c>
      <c r="AP2" t="s">
        <v>941</v>
      </c>
      <c r="AU2" t="s">
        <v>508</v>
      </c>
    </row>
    <row r="3" spans="2:58">
      <c r="W3" s="361">
        <f>ABS((Y3-X3)/X3)</f>
        <v>3.4003177161365028E-4</v>
      </c>
      <c r="X3" s="6">
        <f>SUM(C19:C74)</f>
        <v>23664.19</v>
      </c>
      <c r="Y3" s="6">
        <f>D19-D74+Y5</f>
        <v>23656.143423550497</v>
      </c>
      <c r="Z3" s="6">
        <f>ABS(X3-Y3)</f>
        <v>8.0465764495020267</v>
      </c>
      <c r="AA3" s="6"/>
      <c r="AB3" s="6"/>
      <c r="AC3" s="6"/>
      <c r="AD3" s="6"/>
      <c r="AF3" s="102">
        <v>45330</v>
      </c>
      <c r="AH3" s="8" t="s">
        <v>521</v>
      </c>
      <c r="AI3" s="6">
        <f>SUM(AI5:AI14)</f>
        <v>26726.890000000003</v>
      </c>
      <c r="AS3" t="s">
        <v>940</v>
      </c>
      <c r="AU3" s="446" t="s">
        <v>506</v>
      </c>
      <c r="AV3" s="446"/>
      <c r="AW3" s="446"/>
      <c r="AX3" s="446"/>
      <c r="AY3" s="446"/>
      <c r="AZ3" s="446"/>
      <c r="BA3" s="446" t="s">
        <v>507</v>
      </c>
      <c r="BB3" s="446"/>
      <c r="BC3" s="446"/>
      <c r="BD3" s="446"/>
      <c r="BE3" s="446"/>
      <c r="BF3" s="446"/>
    </row>
    <row r="4" spans="2:58">
      <c r="W4" s="118"/>
      <c r="X4" t="s">
        <v>260</v>
      </c>
      <c r="Z4" s="6"/>
      <c r="AG4" t="s">
        <v>508</v>
      </c>
      <c r="AH4" t="s">
        <v>520</v>
      </c>
      <c r="AI4" t="s">
        <v>12</v>
      </c>
      <c r="AJ4" t="s">
        <v>519</v>
      </c>
      <c r="AK4" t="s">
        <v>154</v>
      </c>
      <c r="AL4" t="s">
        <v>332</v>
      </c>
      <c r="AS4" t="s">
        <v>172</v>
      </c>
      <c r="AU4" t="s">
        <v>154</v>
      </c>
      <c r="AV4" t="s">
        <v>156</v>
      </c>
      <c r="AW4" t="s">
        <v>12</v>
      </c>
      <c r="AX4" t="s">
        <v>332</v>
      </c>
      <c r="AY4" t="s">
        <v>906</v>
      </c>
      <c r="AZ4" t="s">
        <v>907</v>
      </c>
      <c r="BA4" t="s">
        <v>154</v>
      </c>
      <c r="BB4" t="s">
        <v>156</v>
      </c>
      <c r="BC4" t="s">
        <v>12</v>
      </c>
      <c r="BD4" t="s">
        <v>332</v>
      </c>
      <c r="BE4" t="s">
        <v>906</v>
      </c>
      <c r="BF4" t="s">
        <v>907</v>
      </c>
    </row>
    <row r="5" spans="2:58">
      <c r="W5" s="118">
        <f>ABS((Y5-X5)/X5)</f>
        <v>3.4082809658660053E-3</v>
      </c>
      <c r="X5" s="6">
        <f>SUM(C19:C74)-(D19-D74)</f>
        <v>2360.8899999999994</v>
      </c>
      <c r="Y5" s="6">
        <f>SUM(E19:E74)</f>
        <v>2352.843423550496</v>
      </c>
      <c r="Z5" s="6">
        <f>ABS(X5-Y5)</f>
        <v>8.0465764495033909</v>
      </c>
      <c r="AG5" s="1" t="s">
        <v>506</v>
      </c>
      <c r="AH5" s="333">
        <v>3.4000000000000002E-2</v>
      </c>
      <c r="AI5" s="63">
        <f>AJ5+AK5+AL5</f>
        <v>3368.25</v>
      </c>
      <c r="AJ5" s="63">
        <v>3367.31</v>
      </c>
      <c r="AK5" s="63">
        <v>0.94</v>
      </c>
      <c r="AL5" s="120">
        <v>0</v>
      </c>
      <c r="AM5" t="s">
        <v>512</v>
      </c>
      <c r="AS5" s="102">
        <v>45658</v>
      </c>
    </row>
    <row r="6" spans="2:58">
      <c r="X6" t="s">
        <v>261</v>
      </c>
      <c r="AG6" s="1" t="s">
        <v>507</v>
      </c>
      <c r="AI6" s="63">
        <f t="shared" ref="AI6:AI14" si="0">AJ6+AK6+AL6</f>
        <v>0</v>
      </c>
      <c r="AJ6" s="63">
        <v>0</v>
      </c>
      <c r="AK6" s="63">
        <v>0</v>
      </c>
      <c r="AL6" s="120">
        <v>0</v>
      </c>
      <c r="AM6" t="s">
        <v>513</v>
      </c>
    </row>
    <row r="7" spans="2:58">
      <c r="AG7" s="1" t="s">
        <v>509</v>
      </c>
      <c r="AH7" s="333">
        <v>3.4000000000000002E-2</v>
      </c>
      <c r="AI7" s="63">
        <f t="shared" si="0"/>
        <v>4333.3900000000003</v>
      </c>
      <c r="AJ7" s="63">
        <v>4332.18</v>
      </c>
      <c r="AK7" s="63">
        <v>1.21</v>
      </c>
      <c r="AL7" s="120">
        <v>0</v>
      </c>
      <c r="AM7" t="s">
        <v>512</v>
      </c>
    </row>
    <row r="8" spans="2:58">
      <c r="W8" s="302">
        <f>X3/D17</f>
        <v>0.49739214935686255</v>
      </c>
      <c r="X8" t="s">
        <v>998</v>
      </c>
      <c r="AG8" s="1" t="s">
        <v>510</v>
      </c>
      <c r="AI8" s="63">
        <f t="shared" si="0"/>
        <v>0</v>
      </c>
      <c r="AJ8" s="63">
        <v>0</v>
      </c>
      <c r="AK8" s="63">
        <v>0</v>
      </c>
      <c r="AL8" s="120">
        <v>0</v>
      </c>
      <c r="AM8" t="s">
        <v>512</v>
      </c>
    </row>
    <row r="9" spans="2:58">
      <c r="AG9" s="1" t="s">
        <v>511</v>
      </c>
      <c r="AH9" s="333">
        <v>3.8600000000000002E-2</v>
      </c>
      <c r="AI9" s="63">
        <f t="shared" si="0"/>
        <v>5303.5700000000006</v>
      </c>
      <c r="AJ9" s="63">
        <v>5301.89</v>
      </c>
      <c r="AK9" s="63">
        <v>1.68</v>
      </c>
      <c r="AL9" s="120">
        <v>0</v>
      </c>
      <c r="AM9" t="s">
        <v>512</v>
      </c>
    </row>
    <row r="10" spans="2:58">
      <c r="AG10" s="1" t="s">
        <v>514</v>
      </c>
      <c r="AH10" s="333">
        <v>3.8600000000000002E-2</v>
      </c>
      <c r="AI10" s="63">
        <f t="shared" si="0"/>
        <v>2041.46</v>
      </c>
      <c r="AJ10" s="63">
        <v>2000</v>
      </c>
      <c r="AK10" s="63">
        <v>41.46</v>
      </c>
      <c r="AL10" s="120">
        <v>0</v>
      </c>
      <c r="AM10" t="s">
        <v>513</v>
      </c>
    </row>
    <row r="11" spans="2:58">
      <c r="AG11" s="1" t="s">
        <v>515</v>
      </c>
      <c r="AH11" s="333">
        <v>4.6600000000000003E-2</v>
      </c>
      <c r="AI11" s="63">
        <f t="shared" si="0"/>
        <v>2466.7399999999998</v>
      </c>
      <c r="AJ11" s="63">
        <v>2465.79</v>
      </c>
      <c r="AK11" s="63">
        <v>0.95</v>
      </c>
      <c r="AL11" s="120">
        <v>0</v>
      </c>
      <c r="AM11" t="s">
        <v>512</v>
      </c>
    </row>
    <row r="12" spans="2:58">
      <c r="Y12" s="6"/>
      <c r="AE12" s="6"/>
      <c r="AG12" s="1" t="s">
        <v>516</v>
      </c>
      <c r="AH12" s="333"/>
      <c r="AI12" s="63">
        <v>0</v>
      </c>
      <c r="AJ12" s="63">
        <v>0</v>
      </c>
      <c r="AK12" s="63">
        <v>0</v>
      </c>
      <c r="AL12" s="120">
        <v>0</v>
      </c>
      <c r="AM12" t="s">
        <v>513</v>
      </c>
    </row>
    <row r="13" spans="2:58">
      <c r="AG13" s="1" t="s">
        <v>517</v>
      </c>
      <c r="AH13" s="333">
        <v>4.2900000000000001E-2</v>
      </c>
      <c r="AI13" s="63">
        <f t="shared" si="0"/>
        <v>2641.66</v>
      </c>
      <c r="AJ13" s="63">
        <v>2640.73</v>
      </c>
      <c r="AK13" s="63">
        <v>0.93</v>
      </c>
      <c r="AL13" s="120">
        <v>0</v>
      </c>
      <c r="AM13" t="s">
        <v>512</v>
      </c>
    </row>
    <row r="14" spans="2:58">
      <c r="AG14" s="1" t="s">
        <v>518</v>
      </c>
      <c r="AH14" s="333">
        <v>4.2999999999999997E-2</v>
      </c>
      <c r="AI14" s="63">
        <f t="shared" si="0"/>
        <v>6571.82</v>
      </c>
      <c r="AJ14" s="63">
        <v>6569.5</v>
      </c>
      <c r="AK14" s="63">
        <v>2.3199999999999998</v>
      </c>
      <c r="AL14" s="120">
        <v>0</v>
      </c>
      <c r="AM14" t="s">
        <v>513</v>
      </c>
    </row>
    <row r="15" spans="2:58" ht="15.75" thickBot="1"/>
    <row r="16" spans="2:58" ht="15.75" thickBot="1">
      <c r="B16" s="580" t="s">
        <v>246</v>
      </c>
      <c r="C16" s="581"/>
      <c r="D16" s="112">
        <f>D19+E16</f>
        <v>51631.54</v>
      </c>
      <c r="E16" s="81">
        <v>8994</v>
      </c>
      <c r="F16" t="s">
        <v>174</v>
      </c>
      <c r="H16" s="580" t="s">
        <v>247</v>
      </c>
      <c r="I16" s="580"/>
      <c r="J16" s="1" t="s">
        <v>251</v>
      </c>
      <c r="K16" s="1" t="s">
        <v>154</v>
      </c>
      <c r="L16" s="1" t="s">
        <v>16</v>
      </c>
      <c r="P16" s="580" t="s">
        <v>248</v>
      </c>
      <c r="Q16" s="580"/>
      <c r="R16" s="1" t="s">
        <v>251</v>
      </c>
      <c r="S16" s="1" t="s">
        <v>154</v>
      </c>
      <c r="T16" s="1" t="s">
        <v>16</v>
      </c>
      <c r="AF16" s="102">
        <v>45354</v>
      </c>
      <c r="AH16" s="8" t="s">
        <v>521</v>
      </c>
      <c r="AI16" s="6">
        <v>26796.19</v>
      </c>
      <c r="AJ16" s="452"/>
      <c r="AK16" s="452"/>
      <c r="AL16" s="452"/>
      <c r="AM16" s="338"/>
    </row>
    <row r="17" spans="1:39" ht="15.75" thickBot="1">
      <c r="B17" s="452" t="s">
        <v>245</v>
      </c>
      <c r="C17" s="582"/>
      <c r="D17" s="113">
        <f>D19+E17</f>
        <v>47576.524942338241</v>
      </c>
      <c r="E17" s="114">
        <f>SUM(E46:E170)</f>
        <v>4938.9849423382375</v>
      </c>
      <c r="F17" t="s">
        <v>165</v>
      </c>
      <c r="H17" s="452"/>
      <c r="I17" s="582"/>
      <c r="J17" s="115">
        <f>J19+K17</f>
        <v>46962.779972847951</v>
      </c>
      <c r="K17" s="115">
        <f>SUM(K26:K170)</f>
        <v>4325.2399728479513</v>
      </c>
      <c r="L17" s="116">
        <f>E16-K17</f>
        <v>4668.7600271520487</v>
      </c>
      <c r="P17" s="452"/>
      <c r="Q17" s="582"/>
      <c r="R17" s="115">
        <f>R19+S17</f>
        <v>46872.493931787787</v>
      </c>
      <c r="S17" s="115">
        <f>SUM(S26:S170)</f>
        <v>4234.9539317877852</v>
      </c>
      <c r="T17" s="115">
        <f>E16-S17</f>
        <v>4759.0460682122148</v>
      </c>
      <c r="AG17" t="s">
        <v>508</v>
      </c>
      <c r="AH17" t="s">
        <v>520</v>
      </c>
      <c r="AI17" t="s">
        <v>12</v>
      </c>
      <c r="AJ17" t="s">
        <v>519</v>
      </c>
      <c r="AK17" t="s">
        <v>154</v>
      </c>
      <c r="AL17" t="s">
        <v>332</v>
      </c>
    </row>
    <row r="18" spans="1:39">
      <c r="B18" t="s">
        <v>102</v>
      </c>
      <c r="C18" t="s">
        <v>157</v>
      </c>
      <c r="D18" t="s">
        <v>156</v>
      </c>
      <c r="E18" t="s">
        <v>154</v>
      </c>
      <c r="F18" t="s">
        <v>155</v>
      </c>
      <c r="H18" t="s">
        <v>162</v>
      </c>
      <c r="I18" t="s">
        <v>157</v>
      </c>
      <c r="J18" t="s">
        <v>156</v>
      </c>
      <c r="K18" t="s">
        <v>154</v>
      </c>
      <c r="L18" t="s">
        <v>155</v>
      </c>
      <c r="M18" t="s">
        <v>158</v>
      </c>
      <c r="P18" t="s">
        <v>162</v>
      </c>
      <c r="Q18" t="s">
        <v>157</v>
      </c>
      <c r="R18" t="s">
        <v>156</v>
      </c>
      <c r="S18" t="s">
        <v>154</v>
      </c>
      <c r="T18" t="s">
        <v>155</v>
      </c>
      <c r="U18" t="s">
        <v>158</v>
      </c>
      <c r="AG18" s="1" t="s">
        <v>506</v>
      </c>
      <c r="AH18" s="333">
        <v>3.4000000000000002E-2</v>
      </c>
      <c r="AI18" s="63">
        <f>AJ18+AK18+AL18</f>
        <v>3375.7799999999997</v>
      </c>
      <c r="AJ18" s="63">
        <v>3367.31</v>
      </c>
      <c r="AK18" s="63">
        <v>8.4700000000000006</v>
      </c>
      <c r="AL18" s="120">
        <v>0</v>
      </c>
      <c r="AM18" t="s">
        <v>512</v>
      </c>
    </row>
    <row r="19" spans="1:39">
      <c r="A19" s="14" t="s">
        <v>31</v>
      </c>
      <c r="B19" s="105">
        <v>44348</v>
      </c>
      <c r="C19" s="63">
        <v>442</v>
      </c>
      <c r="D19" s="63">
        <v>42637.54</v>
      </c>
      <c r="E19" s="63"/>
      <c r="F19" s="63">
        <f t="shared" ref="F19:F26" si="1">D19+E19-C19</f>
        <v>42195.54</v>
      </c>
      <c r="G19" s="63"/>
      <c r="H19" s="63"/>
      <c r="I19" s="63">
        <v>442</v>
      </c>
      <c r="J19" s="63">
        <v>42637.54</v>
      </c>
      <c r="K19" s="63"/>
      <c r="L19" s="63">
        <f>J19+K19-I19</f>
        <v>42195.54</v>
      </c>
      <c r="M19" t="s">
        <v>161</v>
      </c>
      <c r="P19" s="63"/>
      <c r="Q19" s="63">
        <v>442</v>
      </c>
      <c r="R19" s="63">
        <v>42637.54</v>
      </c>
      <c r="S19" s="63"/>
      <c r="T19" s="63">
        <f t="shared" ref="T19:T24" si="2">R19+S19-Q19</f>
        <v>42195.54</v>
      </c>
      <c r="U19" t="s">
        <v>161</v>
      </c>
      <c r="AA19" s="63">
        <v>442</v>
      </c>
      <c r="AB19" s="63"/>
      <c r="AC19" s="63"/>
      <c r="AD19" s="63"/>
      <c r="AG19" s="1" t="s">
        <v>507</v>
      </c>
      <c r="AI19" s="63">
        <f t="shared" ref="AI19:AI24" si="3">AJ19+AK19+AL19</f>
        <v>0</v>
      </c>
      <c r="AJ19" s="63">
        <v>0</v>
      </c>
      <c r="AK19" s="63">
        <v>0</v>
      </c>
      <c r="AL19" s="120">
        <v>0</v>
      </c>
      <c r="AM19" t="s">
        <v>513</v>
      </c>
    </row>
    <row r="20" spans="1:39">
      <c r="A20" s="14" t="s">
        <v>31</v>
      </c>
      <c r="B20" s="105">
        <v>44378</v>
      </c>
      <c r="C20" s="63">
        <v>700</v>
      </c>
      <c r="D20" s="63">
        <v>42195.64</v>
      </c>
      <c r="E20" s="63"/>
      <c r="F20" s="63">
        <f t="shared" si="1"/>
        <v>41495.64</v>
      </c>
      <c r="G20" s="63"/>
      <c r="H20" s="63">
        <f t="shared" ref="H20:H25" si="4">I19-I20</f>
        <v>-258</v>
      </c>
      <c r="I20" s="63">
        <v>700</v>
      </c>
      <c r="J20" s="63">
        <v>42195.64</v>
      </c>
      <c r="K20" s="63"/>
      <c r="L20" s="63">
        <f>J20+K20-I20</f>
        <v>41495.64</v>
      </c>
      <c r="M20" s="106">
        <v>0.5</v>
      </c>
      <c r="N20" s="106"/>
      <c r="P20" s="63">
        <f t="shared" ref="P20:P25" si="5">Q19-Q20</f>
        <v>-258</v>
      </c>
      <c r="Q20" s="63">
        <v>700</v>
      </c>
      <c r="R20" s="63">
        <v>42195.64</v>
      </c>
      <c r="S20" s="63"/>
      <c r="T20" s="63">
        <f t="shared" si="2"/>
        <v>41495.64</v>
      </c>
      <c r="U20">
        <v>0.1</v>
      </c>
      <c r="Y20" s="106">
        <v>656</v>
      </c>
      <c r="AA20" s="63">
        <v>442</v>
      </c>
      <c r="AB20" s="63"/>
      <c r="AC20" s="63"/>
      <c r="AD20" s="63"/>
      <c r="AG20" s="1" t="s">
        <v>509</v>
      </c>
      <c r="AH20" s="333">
        <v>3.4000000000000002E-2</v>
      </c>
      <c r="AI20" s="63">
        <f t="shared" si="3"/>
        <v>4343.0700000000006</v>
      </c>
      <c r="AJ20" s="63">
        <v>4332.18</v>
      </c>
      <c r="AK20" s="63">
        <v>10.89</v>
      </c>
      <c r="AL20" s="120">
        <v>0</v>
      </c>
      <c r="AM20" t="s">
        <v>512</v>
      </c>
    </row>
    <row r="21" spans="1:39">
      <c r="A21" s="14" t="s">
        <v>31</v>
      </c>
      <c r="B21" s="105">
        <v>44409</v>
      </c>
      <c r="C21" s="63">
        <v>860</v>
      </c>
      <c r="D21" s="63">
        <v>41495.339999999997</v>
      </c>
      <c r="E21" s="63"/>
      <c r="F21" s="63">
        <f t="shared" si="1"/>
        <v>40635.339999999997</v>
      </c>
      <c r="G21" s="63"/>
      <c r="H21" s="63">
        <f t="shared" si="4"/>
        <v>-160</v>
      </c>
      <c r="I21" s="63">
        <v>860</v>
      </c>
      <c r="J21" s="63">
        <v>41495.339999999997</v>
      </c>
      <c r="K21" s="63"/>
      <c r="L21" s="63">
        <f>J21+K21-I21</f>
        <v>40635.339999999997</v>
      </c>
      <c r="M21" t="s">
        <v>160</v>
      </c>
      <c r="P21" s="63">
        <f t="shared" si="5"/>
        <v>-160</v>
      </c>
      <c r="Q21" s="63">
        <v>860</v>
      </c>
      <c r="R21" s="63">
        <v>41495.339999999997</v>
      </c>
      <c r="S21" s="63"/>
      <c r="T21" s="63">
        <f t="shared" si="2"/>
        <v>40635.339999999997</v>
      </c>
      <c r="U21" t="s">
        <v>160</v>
      </c>
      <c r="AA21" s="63">
        <v>442</v>
      </c>
      <c r="AB21" s="63"/>
      <c r="AC21" s="63"/>
      <c r="AD21" s="63"/>
      <c r="AG21" s="1" t="s">
        <v>510</v>
      </c>
      <c r="AI21" s="63">
        <f t="shared" si="3"/>
        <v>0</v>
      </c>
      <c r="AJ21" s="63">
        <v>0</v>
      </c>
      <c r="AK21" s="63">
        <v>0</v>
      </c>
      <c r="AL21" s="120">
        <v>0</v>
      </c>
      <c r="AM21" t="s">
        <v>512</v>
      </c>
    </row>
    <row r="22" spans="1:39">
      <c r="A22" s="14" t="s">
        <v>31</v>
      </c>
      <c r="B22" s="105">
        <v>44440</v>
      </c>
      <c r="C22" s="63">
        <v>840</v>
      </c>
      <c r="D22" s="63">
        <v>40635.64</v>
      </c>
      <c r="E22" s="63"/>
      <c r="F22" s="63">
        <f t="shared" si="1"/>
        <v>39795.64</v>
      </c>
      <c r="G22" s="63"/>
      <c r="H22" s="63">
        <f t="shared" si="4"/>
        <v>20</v>
      </c>
      <c r="I22" s="63">
        <v>840</v>
      </c>
      <c r="J22" s="63">
        <v>40635.64</v>
      </c>
      <c r="K22" s="63"/>
      <c r="L22" s="63">
        <f>J22+K22-I22</f>
        <v>39795.64</v>
      </c>
      <c r="M22">
        <v>600</v>
      </c>
      <c r="P22" s="63">
        <f t="shared" si="5"/>
        <v>20</v>
      </c>
      <c r="Q22" s="63">
        <v>840</v>
      </c>
      <c r="R22" s="63">
        <v>40635.64</v>
      </c>
      <c r="S22" s="63"/>
      <c r="T22" s="63">
        <f t="shared" si="2"/>
        <v>39795.64</v>
      </c>
      <c r="U22">
        <v>500</v>
      </c>
      <c r="AA22" s="63">
        <v>442</v>
      </c>
      <c r="AB22" s="63"/>
      <c r="AC22" s="63"/>
      <c r="AD22" s="63"/>
      <c r="AG22" s="1" t="s">
        <v>511</v>
      </c>
      <c r="AH22" s="333">
        <v>3.8600000000000002E-2</v>
      </c>
      <c r="AI22" s="63">
        <f t="shared" si="3"/>
        <v>5317.02</v>
      </c>
      <c r="AJ22" s="63">
        <v>5301.89</v>
      </c>
      <c r="AK22" s="63">
        <v>15.13</v>
      </c>
      <c r="AL22" s="120">
        <v>0</v>
      </c>
      <c r="AM22" t="s">
        <v>512</v>
      </c>
    </row>
    <row r="23" spans="1:39">
      <c r="A23" s="14" t="s">
        <v>31</v>
      </c>
      <c r="B23" s="105">
        <v>44470</v>
      </c>
      <c r="C23" s="63">
        <v>820</v>
      </c>
      <c r="D23" s="63">
        <v>39795.64</v>
      </c>
      <c r="E23" s="63"/>
      <c r="F23" s="63">
        <f t="shared" si="1"/>
        <v>38975.64</v>
      </c>
      <c r="G23" s="63"/>
      <c r="H23" s="63">
        <f t="shared" si="4"/>
        <v>20</v>
      </c>
      <c r="I23" s="63">
        <v>820</v>
      </c>
      <c r="J23" s="63">
        <v>39795.64</v>
      </c>
      <c r="K23" s="63"/>
      <c r="L23" s="63">
        <f>J23+K23-I23</f>
        <v>38975.64</v>
      </c>
      <c r="M23" t="s">
        <v>159</v>
      </c>
      <c r="P23" s="63">
        <f t="shared" si="5"/>
        <v>20</v>
      </c>
      <c r="Q23" s="63">
        <v>820</v>
      </c>
      <c r="R23" s="63">
        <v>39795.64</v>
      </c>
      <c r="S23" s="63"/>
      <c r="T23" s="63">
        <f t="shared" si="2"/>
        <v>38975.64</v>
      </c>
      <c r="U23" t="s">
        <v>159</v>
      </c>
      <c r="AA23" s="63">
        <v>442</v>
      </c>
      <c r="AB23" s="63"/>
      <c r="AC23" s="63"/>
      <c r="AD23" s="63"/>
      <c r="AG23" s="1" t="s">
        <v>514</v>
      </c>
      <c r="AH23" s="333">
        <v>3.8600000000000002E-2</v>
      </c>
      <c r="AI23" s="63">
        <f t="shared" si="3"/>
        <v>2046.54</v>
      </c>
      <c r="AJ23" s="63">
        <v>2000</v>
      </c>
      <c r="AK23" s="63">
        <v>46.54</v>
      </c>
      <c r="AL23" s="120">
        <v>0</v>
      </c>
      <c r="AM23" t="s">
        <v>513</v>
      </c>
    </row>
    <row r="24" spans="1:39">
      <c r="A24" s="14" t="s">
        <v>31</v>
      </c>
      <c r="B24" s="105">
        <v>44501</v>
      </c>
      <c r="C24" s="63">
        <v>800</v>
      </c>
      <c r="D24" s="63">
        <v>38975.64</v>
      </c>
      <c r="E24" s="63"/>
      <c r="F24" s="63">
        <f t="shared" si="1"/>
        <v>38175.64</v>
      </c>
      <c r="G24" s="63"/>
      <c r="H24" s="63">
        <f t="shared" si="4"/>
        <v>20</v>
      </c>
      <c r="I24" s="63">
        <v>800</v>
      </c>
      <c r="J24" s="63">
        <v>38975.64</v>
      </c>
      <c r="K24" s="63"/>
      <c r="L24" s="63">
        <f t="shared" ref="L24:L37" si="6">J24+K24-I24</f>
        <v>38175.64</v>
      </c>
      <c r="P24" s="63">
        <f t="shared" si="5"/>
        <v>20</v>
      </c>
      <c r="Q24" s="63">
        <v>800</v>
      </c>
      <c r="R24" s="63">
        <v>38975.64</v>
      </c>
      <c r="S24" s="63"/>
      <c r="T24" s="63">
        <f t="shared" si="2"/>
        <v>38175.64</v>
      </c>
      <c r="Z24" s="66"/>
      <c r="AA24" s="63">
        <v>442</v>
      </c>
      <c r="AB24" s="63"/>
      <c r="AC24" s="63"/>
      <c r="AD24" s="63"/>
      <c r="AE24" s="66"/>
      <c r="AG24" s="1" t="s">
        <v>515</v>
      </c>
      <c r="AH24" s="333">
        <v>4.6600000000000003E-2</v>
      </c>
      <c r="AI24" s="63">
        <f t="shared" si="3"/>
        <v>2474.29</v>
      </c>
      <c r="AJ24" s="63">
        <v>2465.79</v>
      </c>
      <c r="AK24" s="63">
        <v>8.5</v>
      </c>
      <c r="AL24" s="120">
        <v>0</v>
      </c>
      <c r="AM24" t="s">
        <v>512</v>
      </c>
    </row>
    <row r="25" spans="1:39">
      <c r="A25" s="14" t="s">
        <v>31</v>
      </c>
      <c r="B25" s="105">
        <v>44531</v>
      </c>
      <c r="C25" s="63">
        <v>782</v>
      </c>
      <c r="D25" s="63">
        <f>F24</f>
        <v>38175.64</v>
      </c>
      <c r="E25" s="63"/>
      <c r="F25" s="63">
        <f t="shared" si="1"/>
        <v>37393.64</v>
      </c>
      <c r="G25" s="63"/>
      <c r="H25" s="63">
        <f t="shared" si="4"/>
        <v>18</v>
      </c>
      <c r="I25" s="63">
        <v>782</v>
      </c>
      <c r="J25" s="63">
        <f>L24</f>
        <v>38175.64</v>
      </c>
      <c r="K25" s="63"/>
      <c r="L25" s="63">
        <f t="shared" si="6"/>
        <v>37393.64</v>
      </c>
      <c r="M25" s="106"/>
      <c r="P25" s="63">
        <f t="shared" si="5"/>
        <v>18</v>
      </c>
      <c r="Q25" s="63">
        <v>782</v>
      </c>
      <c r="R25" s="63">
        <f>T24</f>
        <v>38175.64</v>
      </c>
      <c r="S25" s="63"/>
      <c r="T25" s="63">
        <f t="shared" ref="T25:T37" si="7">R25+S25-Q25</f>
        <v>37393.64</v>
      </c>
      <c r="U25" s="106"/>
      <c r="W25" s="7"/>
      <c r="Y25" s="66"/>
      <c r="Z25" s="66"/>
      <c r="AA25" s="63">
        <v>442</v>
      </c>
      <c r="AB25" s="63"/>
      <c r="AC25" s="63"/>
      <c r="AD25" s="63"/>
      <c r="AE25" s="66"/>
      <c r="AG25" s="1" t="s">
        <v>516</v>
      </c>
      <c r="AH25" s="333"/>
      <c r="AI25" s="63">
        <v>0</v>
      </c>
      <c r="AJ25" s="63">
        <v>0</v>
      </c>
      <c r="AK25" s="63">
        <v>0</v>
      </c>
      <c r="AL25" s="120">
        <v>0</v>
      </c>
      <c r="AM25" t="s">
        <v>513</v>
      </c>
    </row>
    <row r="26" spans="1:39">
      <c r="A26" s="14" t="s">
        <v>31</v>
      </c>
      <c r="B26" s="105">
        <v>44562</v>
      </c>
      <c r="C26" s="63">
        <v>764</v>
      </c>
      <c r="D26" s="63">
        <f>F25</f>
        <v>37393.64</v>
      </c>
      <c r="E26" s="63"/>
      <c r="F26" s="63">
        <f t="shared" si="1"/>
        <v>36629.64</v>
      </c>
      <c r="G26" s="63"/>
      <c r="H26" s="63">
        <f t="shared" ref="H26:H89" si="8">I25-I26</f>
        <v>18</v>
      </c>
      <c r="I26" s="63">
        <v>764</v>
      </c>
      <c r="J26" s="63">
        <f>L25</f>
        <v>37393.64</v>
      </c>
      <c r="K26" s="63"/>
      <c r="L26" s="63">
        <f>J26+K26-I26</f>
        <v>36629.64</v>
      </c>
      <c r="M26" s="106"/>
      <c r="P26" s="63">
        <f t="shared" ref="P26:P89" si="9">Q25-Q26</f>
        <v>18</v>
      </c>
      <c r="Q26" s="63">
        <v>764</v>
      </c>
      <c r="R26" s="63">
        <f>T25</f>
        <v>37393.64</v>
      </c>
      <c r="S26" s="63"/>
      <c r="T26" s="63">
        <f>R26+S26-Q26</f>
        <v>36629.64</v>
      </c>
      <c r="U26" s="106"/>
      <c r="W26" s="7"/>
      <c r="Y26" s="66"/>
      <c r="Z26" s="66"/>
      <c r="AA26" s="63">
        <v>442</v>
      </c>
      <c r="AB26" s="63"/>
      <c r="AC26" s="63"/>
      <c r="AD26" s="63"/>
      <c r="AE26" s="66"/>
      <c r="AG26" s="1" t="s">
        <v>517</v>
      </c>
      <c r="AH26" s="333">
        <v>4.2900000000000001E-2</v>
      </c>
      <c r="AI26" s="63">
        <f>AJ26+AK26+AL26</f>
        <v>2649.11</v>
      </c>
      <c r="AJ26" s="63">
        <v>2640.73</v>
      </c>
      <c r="AK26" s="63">
        <v>8.3800000000000008</v>
      </c>
      <c r="AL26" s="120">
        <v>0</v>
      </c>
      <c r="AM26" t="s">
        <v>512</v>
      </c>
    </row>
    <row r="27" spans="1:39">
      <c r="A27" s="14" t="s">
        <v>31</v>
      </c>
      <c r="B27" s="105">
        <v>44593</v>
      </c>
      <c r="C27" s="63">
        <v>746</v>
      </c>
      <c r="D27" s="63">
        <f>F26</f>
        <v>36629.64</v>
      </c>
      <c r="E27" s="63"/>
      <c r="F27" s="63">
        <f t="shared" ref="F27:F48" si="10">D27+E27-C27</f>
        <v>35883.64</v>
      </c>
      <c r="G27" s="63"/>
      <c r="H27" s="63">
        <f t="shared" si="8"/>
        <v>18</v>
      </c>
      <c r="I27" s="63">
        <v>746</v>
      </c>
      <c r="J27" s="63">
        <f>L26</f>
        <v>36629.64</v>
      </c>
      <c r="K27" s="63"/>
      <c r="L27" s="63">
        <f t="shared" si="6"/>
        <v>35883.64</v>
      </c>
      <c r="M27" s="106"/>
      <c r="P27" s="63">
        <f t="shared" si="9"/>
        <v>18</v>
      </c>
      <c r="Q27" s="63">
        <v>746</v>
      </c>
      <c r="R27" s="63">
        <f>T26</f>
        <v>36629.64</v>
      </c>
      <c r="S27" s="63"/>
      <c r="T27" s="63">
        <f t="shared" si="7"/>
        <v>35883.64</v>
      </c>
      <c r="U27" s="106"/>
      <c r="W27" s="7"/>
      <c r="Y27" s="66"/>
      <c r="Z27" s="66"/>
      <c r="AA27" s="63">
        <v>442</v>
      </c>
      <c r="AB27" s="63"/>
      <c r="AC27" s="63"/>
      <c r="AD27" s="63"/>
      <c r="AE27" s="66"/>
      <c r="AG27" s="1" t="s">
        <v>518</v>
      </c>
      <c r="AH27" s="333">
        <v>4.2999999999999997E-2</v>
      </c>
      <c r="AI27" s="63">
        <f>AJ27+AK27+AL27</f>
        <v>6590.38</v>
      </c>
      <c r="AJ27" s="63">
        <v>6569.5</v>
      </c>
      <c r="AK27" s="63">
        <v>20.88</v>
      </c>
      <c r="AL27" s="120">
        <v>0</v>
      </c>
      <c r="AM27" t="s">
        <v>513</v>
      </c>
    </row>
    <row r="28" spans="1:39">
      <c r="A28" s="14" t="s">
        <v>31</v>
      </c>
      <c r="B28" s="105">
        <v>44621</v>
      </c>
      <c r="C28" s="63">
        <v>730</v>
      </c>
      <c r="D28" s="63">
        <f t="shared" ref="D28:D53" si="11">F27</f>
        <v>35883.64</v>
      </c>
      <c r="E28" s="63"/>
      <c r="F28" s="63">
        <f t="shared" si="10"/>
        <v>35153.64</v>
      </c>
      <c r="G28" s="63"/>
      <c r="H28" s="63">
        <f t="shared" si="8"/>
        <v>16</v>
      </c>
      <c r="I28" s="63">
        <v>730</v>
      </c>
      <c r="J28" s="63">
        <f>L27</f>
        <v>35883.64</v>
      </c>
      <c r="K28" s="63"/>
      <c r="L28" s="63">
        <f t="shared" si="6"/>
        <v>35153.64</v>
      </c>
      <c r="M28" s="106"/>
      <c r="P28" s="63">
        <f t="shared" si="9"/>
        <v>16</v>
      </c>
      <c r="Q28" s="63">
        <v>730</v>
      </c>
      <c r="R28" s="63">
        <f>T27</f>
        <v>35883.64</v>
      </c>
      <c r="S28" s="63"/>
      <c r="T28" s="63">
        <f t="shared" si="7"/>
        <v>35153.64</v>
      </c>
      <c r="U28" s="106"/>
      <c r="W28" s="7"/>
      <c r="Y28" s="66"/>
      <c r="Z28" s="66"/>
      <c r="AA28" s="63">
        <v>442</v>
      </c>
      <c r="AB28" s="63"/>
      <c r="AC28" s="63"/>
      <c r="AD28" s="63"/>
      <c r="AE28" s="66"/>
      <c r="AF28" s="66"/>
    </row>
    <row r="29" spans="1:39">
      <c r="A29" s="14" t="s">
        <v>31</v>
      </c>
      <c r="B29" s="105">
        <v>44652</v>
      </c>
      <c r="C29" s="63">
        <v>716</v>
      </c>
      <c r="D29" s="63">
        <f t="shared" si="11"/>
        <v>35153.64</v>
      </c>
      <c r="E29" s="63"/>
      <c r="F29" s="63">
        <f t="shared" si="10"/>
        <v>34437.64</v>
      </c>
      <c r="G29" s="63"/>
      <c r="H29" s="63">
        <f t="shared" si="8"/>
        <v>14</v>
      </c>
      <c r="I29" s="63">
        <v>716</v>
      </c>
      <c r="J29" s="63">
        <f t="shared" ref="J29:J45" si="12">MAX(0,L28)</f>
        <v>35153.64</v>
      </c>
      <c r="K29" s="63"/>
      <c r="L29" s="63">
        <f t="shared" si="6"/>
        <v>34437.64</v>
      </c>
      <c r="M29" s="106"/>
      <c r="P29" s="63">
        <f t="shared" si="9"/>
        <v>14</v>
      </c>
      <c r="Q29" s="63">
        <v>716</v>
      </c>
      <c r="R29" s="63">
        <f t="shared" ref="R29:R46" si="13">MAX(0,T28)</f>
        <v>35153.64</v>
      </c>
      <c r="S29" s="63"/>
      <c r="T29" s="63">
        <f t="shared" si="7"/>
        <v>34437.64</v>
      </c>
      <c r="U29" s="106"/>
      <c r="W29" s="7"/>
      <c r="Y29" s="66"/>
      <c r="Z29" s="66"/>
      <c r="AA29" s="63">
        <v>442</v>
      </c>
      <c r="AB29" s="63"/>
      <c r="AC29" s="63"/>
      <c r="AD29" s="63"/>
      <c r="AE29" s="66"/>
      <c r="AF29" s="102">
        <v>45356</v>
      </c>
      <c r="AH29" s="8" t="s">
        <v>521</v>
      </c>
      <c r="AI29" s="6">
        <v>26561.94</v>
      </c>
      <c r="AJ29" s="452"/>
      <c r="AK29" s="452"/>
      <c r="AL29" s="452"/>
      <c r="AM29" s="338"/>
    </row>
    <row r="30" spans="1:39">
      <c r="A30" s="14" t="s">
        <v>31</v>
      </c>
      <c r="B30" s="105">
        <v>44682</v>
      </c>
      <c r="C30" s="63">
        <v>700</v>
      </c>
      <c r="D30" s="63">
        <f t="shared" si="11"/>
        <v>34437.64</v>
      </c>
      <c r="E30" s="63"/>
      <c r="F30" s="63">
        <f t="shared" si="10"/>
        <v>33737.64</v>
      </c>
      <c r="G30" s="63"/>
      <c r="H30" s="63">
        <f t="shared" si="8"/>
        <v>16</v>
      </c>
      <c r="I30" s="63">
        <v>700</v>
      </c>
      <c r="J30" s="63">
        <f t="shared" si="12"/>
        <v>34437.64</v>
      </c>
      <c r="K30" s="63"/>
      <c r="L30" s="63">
        <f t="shared" si="6"/>
        <v>33737.64</v>
      </c>
      <c r="M30" s="106"/>
      <c r="P30" s="63">
        <f t="shared" si="9"/>
        <v>16</v>
      </c>
      <c r="Q30" s="63">
        <v>700</v>
      </c>
      <c r="R30" s="63">
        <f t="shared" si="13"/>
        <v>34437.64</v>
      </c>
      <c r="S30" s="63"/>
      <c r="T30" s="63">
        <f t="shared" si="7"/>
        <v>33737.64</v>
      </c>
      <c r="U30" s="106"/>
      <c r="W30" s="7"/>
      <c r="Y30" s="66"/>
      <c r="Z30" s="66"/>
      <c r="AA30" s="63">
        <v>442</v>
      </c>
      <c r="AB30" s="63"/>
      <c r="AC30" s="63"/>
      <c r="AD30" s="63"/>
      <c r="AE30" s="66"/>
      <c r="AG30" t="s">
        <v>508</v>
      </c>
      <c r="AH30" t="s">
        <v>520</v>
      </c>
      <c r="AI30" t="s">
        <v>12</v>
      </c>
      <c r="AJ30" t="s">
        <v>519</v>
      </c>
      <c r="AK30" t="s">
        <v>154</v>
      </c>
      <c r="AL30" t="s">
        <v>332</v>
      </c>
    </row>
    <row r="31" spans="1:39">
      <c r="A31" s="14" t="s">
        <v>31</v>
      </c>
      <c r="B31" s="105">
        <v>44713</v>
      </c>
      <c r="C31" s="63">
        <v>686</v>
      </c>
      <c r="D31" s="63">
        <f t="shared" si="11"/>
        <v>33737.64</v>
      </c>
      <c r="E31" s="63"/>
      <c r="F31" s="111">
        <f t="shared" si="10"/>
        <v>33051.64</v>
      </c>
      <c r="G31" s="63"/>
      <c r="H31" s="63">
        <f t="shared" si="8"/>
        <v>14</v>
      </c>
      <c r="I31" s="63">
        <v>686</v>
      </c>
      <c r="J31" s="63">
        <f t="shared" si="12"/>
        <v>33737.64</v>
      </c>
      <c r="K31" s="63"/>
      <c r="L31" s="63">
        <f t="shared" si="6"/>
        <v>33051.64</v>
      </c>
      <c r="M31" s="106"/>
      <c r="P31" s="63">
        <f t="shared" si="9"/>
        <v>14</v>
      </c>
      <c r="Q31" s="63">
        <v>686</v>
      </c>
      <c r="R31" s="63">
        <f t="shared" si="13"/>
        <v>33737.64</v>
      </c>
      <c r="S31" s="63"/>
      <c r="T31" s="63">
        <f t="shared" si="7"/>
        <v>33051.64</v>
      </c>
      <c r="U31" s="106"/>
      <c r="W31" s="7"/>
      <c r="Y31" s="66"/>
      <c r="Z31" s="66"/>
      <c r="AA31" s="63">
        <v>442</v>
      </c>
      <c r="AB31" s="63"/>
      <c r="AC31" s="63"/>
      <c r="AD31" s="63"/>
      <c r="AE31" s="66"/>
      <c r="AG31" s="1" t="s">
        <v>506</v>
      </c>
      <c r="AH31" s="333">
        <v>3.4000000000000002E-2</v>
      </c>
      <c r="AI31" s="63">
        <f>AJ31+AK31+AL31</f>
        <v>3341.7999999999997</v>
      </c>
      <c r="AJ31" s="63">
        <v>3341.49</v>
      </c>
      <c r="AK31" s="63">
        <v>0.31</v>
      </c>
      <c r="AL31" s="120">
        <v>0</v>
      </c>
      <c r="AM31" t="s">
        <v>512</v>
      </c>
    </row>
    <row r="32" spans="1:39">
      <c r="A32" s="14" t="s">
        <v>31</v>
      </c>
      <c r="B32" s="105">
        <v>44743</v>
      </c>
      <c r="C32" s="63">
        <v>672</v>
      </c>
      <c r="D32" s="63">
        <f t="shared" si="11"/>
        <v>33051.64</v>
      </c>
      <c r="E32" s="63"/>
      <c r="F32" s="111">
        <f t="shared" si="10"/>
        <v>32379.64</v>
      </c>
      <c r="G32" s="63"/>
      <c r="H32" s="63">
        <f t="shared" si="8"/>
        <v>14</v>
      </c>
      <c r="I32" s="63">
        <v>672</v>
      </c>
      <c r="J32" s="63">
        <f t="shared" si="12"/>
        <v>33051.64</v>
      </c>
      <c r="K32" s="63"/>
      <c r="L32" s="63">
        <f t="shared" si="6"/>
        <v>32379.64</v>
      </c>
      <c r="M32" s="106"/>
      <c r="P32" s="63">
        <f t="shared" si="9"/>
        <v>14</v>
      </c>
      <c r="Q32" s="63">
        <v>672</v>
      </c>
      <c r="R32" s="63">
        <f t="shared" si="13"/>
        <v>33051.64</v>
      </c>
      <c r="S32" s="63"/>
      <c r="T32" s="63">
        <f t="shared" si="7"/>
        <v>32379.64</v>
      </c>
      <c r="U32" s="106"/>
      <c r="W32" s="7"/>
      <c r="Y32" s="66"/>
      <c r="Z32" s="66"/>
      <c r="AA32" s="63">
        <v>442</v>
      </c>
      <c r="AB32" s="63"/>
      <c r="AC32" s="63"/>
      <c r="AD32" s="63"/>
      <c r="AE32" s="66"/>
      <c r="AG32" s="1" t="s">
        <v>507</v>
      </c>
      <c r="AI32" s="63">
        <f t="shared" ref="AI32:AI37" si="14">AJ32+AK32+AL32</f>
        <v>0</v>
      </c>
      <c r="AJ32" s="63">
        <v>0</v>
      </c>
      <c r="AK32" s="63">
        <v>0</v>
      </c>
      <c r="AL32" s="120">
        <v>0</v>
      </c>
      <c r="AM32" t="s">
        <v>513</v>
      </c>
    </row>
    <row r="33" spans="1:39">
      <c r="A33" s="14" t="s">
        <v>31</v>
      </c>
      <c r="B33" s="105">
        <v>44774</v>
      </c>
      <c r="C33" s="63">
        <v>658</v>
      </c>
      <c r="D33" s="63">
        <f t="shared" si="11"/>
        <v>32379.64</v>
      </c>
      <c r="E33" s="63"/>
      <c r="F33" s="111">
        <f t="shared" si="10"/>
        <v>31721.64</v>
      </c>
      <c r="G33" s="63"/>
      <c r="H33" s="63">
        <f t="shared" si="8"/>
        <v>14</v>
      </c>
      <c r="I33" s="63">
        <v>658</v>
      </c>
      <c r="J33" s="63">
        <f t="shared" si="12"/>
        <v>32379.64</v>
      </c>
      <c r="K33" s="63"/>
      <c r="L33" s="63">
        <f t="shared" si="6"/>
        <v>31721.64</v>
      </c>
      <c r="M33" s="106"/>
      <c r="P33" s="63">
        <f t="shared" si="9"/>
        <v>14</v>
      </c>
      <c r="Q33" s="63">
        <v>658</v>
      </c>
      <c r="R33" s="63">
        <f t="shared" si="13"/>
        <v>32379.64</v>
      </c>
      <c r="S33" s="63"/>
      <c r="T33" s="63">
        <f t="shared" si="7"/>
        <v>31721.64</v>
      </c>
      <c r="U33" s="106"/>
      <c r="W33" s="7"/>
      <c r="Y33" s="66"/>
      <c r="Z33" s="66"/>
      <c r="AA33" s="63">
        <v>442</v>
      </c>
      <c r="AB33" s="63"/>
      <c r="AC33" s="63"/>
      <c r="AD33" s="63"/>
      <c r="AE33" s="66"/>
      <c r="AG33" s="1" t="s">
        <v>509</v>
      </c>
      <c r="AH33" s="333">
        <v>3.4000000000000002E-2</v>
      </c>
      <c r="AI33" s="63">
        <f t="shared" si="14"/>
        <v>4299.3599999999997</v>
      </c>
      <c r="AJ33" s="63">
        <v>4298.96</v>
      </c>
      <c r="AK33" s="63">
        <v>0.4</v>
      </c>
      <c r="AL33" s="120">
        <v>0</v>
      </c>
      <c r="AM33" t="s">
        <v>512</v>
      </c>
    </row>
    <row r="34" spans="1:39">
      <c r="A34" s="14" t="s">
        <v>31</v>
      </c>
      <c r="B34" s="105">
        <v>44805</v>
      </c>
      <c r="C34" s="63">
        <v>644</v>
      </c>
      <c r="D34" s="63">
        <f t="shared" si="11"/>
        <v>31721.64</v>
      </c>
      <c r="E34" s="63"/>
      <c r="F34" s="111">
        <f t="shared" si="10"/>
        <v>31077.64</v>
      </c>
      <c r="G34" s="63"/>
      <c r="H34" s="63">
        <f t="shared" si="8"/>
        <v>14</v>
      </c>
      <c r="I34" s="63">
        <v>644</v>
      </c>
      <c r="J34" s="63">
        <f t="shared" si="12"/>
        <v>31721.64</v>
      </c>
      <c r="K34" s="63"/>
      <c r="L34" s="63">
        <f t="shared" si="6"/>
        <v>31077.64</v>
      </c>
      <c r="M34" s="106"/>
      <c r="P34" s="63">
        <f t="shared" si="9"/>
        <v>14</v>
      </c>
      <c r="Q34" s="63">
        <v>644</v>
      </c>
      <c r="R34" s="63">
        <f t="shared" si="13"/>
        <v>31721.64</v>
      </c>
      <c r="S34" s="63"/>
      <c r="T34" s="63">
        <f t="shared" si="7"/>
        <v>31077.64</v>
      </c>
      <c r="U34" s="106"/>
      <c r="W34" s="7"/>
      <c r="Y34" s="66"/>
      <c r="Z34" s="66"/>
      <c r="AA34" s="63">
        <v>442</v>
      </c>
      <c r="AB34" s="63"/>
      <c r="AC34" s="63"/>
      <c r="AD34" s="63"/>
      <c r="AE34" s="66"/>
      <c r="AG34" s="1" t="s">
        <v>510</v>
      </c>
      <c r="AI34" s="63">
        <f t="shared" si="14"/>
        <v>0</v>
      </c>
      <c r="AJ34" s="63">
        <v>0</v>
      </c>
      <c r="AK34" s="63">
        <v>0</v>
      </c>
      <c r="AL34" s="120">
        <v>0</v>
      </c>
      <c r="AM34" t="s">
        <v>512</v>
      </c>
    </row>
    <row r="35" spans="1:39">
      <c r="A35" s="14" t="s">
        <v>31</v>
      </c>
      <c r="B35" s="105">
        <v>44835</v>
      </c>
      <c r="C35" s="63">
        <v>630</v>
      </c>
      <c r="D35" s="63">
        <f t="shared" si="11"/>
        <v>31077.64</v>
      </c>
      <c r="E35" s="63"/>
      <c r="F35" s="111">
        <f t="shared" si="10"/>
        <v>30447.64</v>
      </c>
      <c r="G35" s="63"/>
      <c r="H35" s="63">
        <f t="shared" si="8"/>
        <v>14</v>
      </c>
      <c r="I35" s="63">
        <v>630</v>
      </c>
      <c r="J35" s="63">
        <f t="shared" si="12"/>
        <v>31077.64</v>
      </c>
      <c r="K35" s="63"/>
      <c r="L35" s="63">
        <f t="shared" si="6"/>
        <v>30447.64</v>
      </c>
      <c r="M35" s="106"/>
      <c r="P35" s="63">
        <f t="shared" si="9"/>
        <v>14</v>
      </c>
      <c r="Q35" s="63">
        <v>630</v>
      </c>
      <c r="R35" s="63">
        <f t="shared" si="13"/>
        <v>31077.64</v>
      </c>
      <c r="S35" s="63"/>
      <c r="T35" s="63">
        <f t="shared" si="7"/>
        <v>30447.64</v>
      </c>
      <c r="U35" s="106"/>
      <c r="W35" s="7"/>
      <c r="Y35" s="66"/>
      <c r="Z35" s="66"/>
      <c r="AA35" s="63">
        <v>442</v>
      </c>
      <c r="AB35" s="63"/>
      <c r="AC35" s="63"/>
      <c r="AD35" s="63"/>
      <c r="AE35" s="66"/>
      <c r="AG35" s="1" t="s">
        <v>511</v>
      </c>
      <c r="AH35" s="333">
        <v>3.8600000000000002E-2</v>
      </c>
      <c r="AI35" s="63">
        <f t="shared" si="14"/>
        <v>5262.53</v>
      </c>
      <c r="AJ35" s="63">
        <v>5261.98</v>
      </c>
      <c r="AK35" s="63">
        <v>0.55000000000000004</v>
      </c>
      <c r="AL35" s="120">
        <v>0</v>
      </c>
      <c r="AM35" t="s">
        <v>512</v>
      </c>
    </row>
    <row r="36" spans="1:39">
      <c r="A36" s="14" t="s">
        <v>31</v>
      </c>
      <c r="B36" s="105">
        <v>44866</v>
      </c>
      <c r="C36" s="63">
        <v>618</v>
      </c>
      <c r="D36" s="63">
        <f t="shared" si="11"/>
        <v>30447.64</v>
      </c>
      <c r="E36" s="63"/>
      <c r="F36" s="111">
        <f t="shared" si="10"/>
        <v>29829.64</v>
      </c>
      <c r="G36" s="63"/>
      <c r="H36" s="63">
        <f t="shared" si="8"/>
        <v>12</v>
      </c>
      <c r="I36" s="63">
        <v>618</v>
      </c>
      <c r="J36" s="63">
        <f t="shared" si="12"/>
        <v>30447.64</v>
      </c>
      <c r="K36" s="63"/>
      <c r="L36" s="63">
        <f t="shared" si="6"/>
        <v>29829.64</v>
      </c>
      <c r="M36" s="106"/>
      <c r="P36" s="63">
        <f t="shared" si="9"/>
        <v>12</v>
      </c>
      <c r="Q36" s="63">
        <v>618</v>
      </c>
      <c r="R36" s="63">
        <f>MAX(0,T35)</f>
        <v>30447.64</v>
      </c>
      <c r="S36" s="63"/>
      <c r="T36" s="63">
        <f t="shared" si="7"/>
        <v>29829.64</v>
      </c>
      <c r="U36" s="106"/>
      <c r="W36" s="7"/>
      <c r="Y36" s="66"/>
      <c r="Z36" s="66"/>
      <c r="AA36" s="63">
        <v>442</v>
      </c>
      <c r="AB36" s="63"/>
      <c r="AC36" s="63"/>
      <c r="AD36" s="63"/>
      <c r="AE36" s="66"/>
      <c r="AG36" s="1" t="s">
        <v>514</v>
      </c>
      <c r="AH36" s="333">
        <v>3.8600000000000002E-2</v>
      </c>
      <c r="AI36" s="63">
        <f t="shared" si="14"/>
        <v>1993.01</v>
      </c>
      <c r="AJ36" s="63">
        <v>1992.8</v>
      </c>
      <c r="AK36" s="63">
        <v>0.21</v>
      </c>
      <c r="AL36" s="120">
        <v>0</v>
      </c>
      <c r="AM36" t="s">
        <v>513</v>
      </c>
    </row>
    <row r="37" spans="1:39">
      <c r="A37" s="14" t="s">
        <v>31</v>
      </c>
      <c r="B37" s="105">
        <v>44896</v>
      </c>
      <c r="C37" s="63">
        <v>604</v>
      </c>
      <c r="D37" s="63">
        <f t="shared" si="11"/>
        <v>29829.64</v>
      </c>
      <c r="E37" s="63"/>
      <c r="F37" s="111">
        <f t="shared" si="10"/>
        <v>29225.64</v>
      </c>
      <c r="G37" s="63"/>
      <c r="H37" s="63">
        <f t="shared" si="8"/>
        <v>14</v>
      </c>
      <c r="I37" s="63">
        <v>604</v>
      </c>
      <c r="J37" s="63">
        <f t="shared" si="12"/>
        <v>29829.64</v>
      </c>
      <c r="K37" s="63"/>
      <c r="L37" s="63">
        <f t="shared" si="6"/>
        <v>29225.64</v>
      </c>
      <c r="M37" s="106"/>
      <c r="P37" s="63">
        <f t="shared" si="9"/>
        <v>14</v>
      </c>
      <c r="Q37" s="63">
        <v>604</v>
      </c>
      <c r="R37" s="63">
        <f t="shared" si="13"/>
        <v>29829.64</v>
      </c>
      <c r="S37" s="63"/>
      <c r="T37" s="63">
        <f t="shared" si="7"/>
        <v>29225.64</v>
      </c>
      <c r="U37" s="106"/>
      <c r="W37" s="7"/>
      <c r="Y37" s="66"/>
      <c r="Z37" s="66"/>
      <c r="AA37" s="63">
        <v>442</v>
      </c>
      <c r="AB37" s="63"/>
      <c r="AC37" s="63"/>
      <c r="AD37" s="63"/>
      <c r="AE37" s="66"/>
      <c r="AG37" s="1" t="s">
        <v>515</v>
      </c>
      <c r="AH37" s="333">
        <v>4.6600000000000003E-2</v>
      </c>
      <c r="AI37" s="63">
        <f t="shared" si="14"/>
        <v>2474.92</v>
      </c>
      <c r="AJ37" s="63">
        <v>2465.79</v>
      </c>
      <c r="AK37" s="63">
        <v>9.1300000000000008</v>
      </c>
      <c r="AL37" s="120">
        <v>0</v>
      </c>
      <c r="AM37" t="s">
        <v>512</v>
      </c>
    </row>
    <row r="38" spans="1:39">
      <c r="A38" s="14" t="s">
        <v>31</v>
      </c>
      <c r="B38" s="105">
        <v>44927</v>
      </c>
      <c r="C38" s="63">
        <v>592</v>
      </c>
      <c r="D38" s="63">
        <f t="shared" si="11"/>
        <v>29225.64</v>
      </c>
      <c r="E38" s="63"/>
      <c r="F38" s="111">
        <f t="shared" si="10"/>
        <v>28633.64</v>
      </c>
      <c r="G38" s="63"/>
      <c r="H38" s="63">
        <f t="shared" si="8"/>
        <v>12</v>
      </c>
      <c r="I38" s="63">
        <v>592</v>
      </c>
      <c r="J38" s="63">
        <f t="shared" si="12"/>
        <v>29225.64</v>
      </c>
      <c r="K38" s="63"/>
      <c r="L38" s="63">
        <f t="shared" ref="L38:L46" si="15">MAX(0,J38+K38-I38)</f>
        <v>28633.64</v>
      </c>
      <c r="M38" s="106"/>
      <c r="P38" s="63">
        <f t="shared" si="9"/>
        <v>12</v>
      </c>
      <c r="Q38" s="63">
        <v>592</v>
      </c>
      <c r="R38" s="63">
        <f t="shared" si="13"/>
        <v>29225.64</v>
      </c>
      <c r="S38" s="63"/>
      <c r="T38" s="63">
        <f t="shared" ref="T38:T46" si="16">MAX(0,R38+S38-Q38)</f>
        <v>28633.64</v>
      </c>
      <c r="U38" s="106"/>
      <c r="W38" s="7"/>
      <c r="Y38" s="66"/>
      <c r="Z38" s="66"/>
      <c r="AA38" s="63">
        <v>442</v>
      </c>
      <c r="AB38" s="63"/>
      <c r="AC38" s="63"/>
      <c r="AD38" s="63"/>
      <c r="AE38" s="66"/>
      <c r="AG38" s="1" t="s">
        <v>516</v>
      </c>
      <c r="AH38" s="333"/>
      <c r="AI38" s="63">
        <v>0</v>
      </c>
      <c r="AJ38" s="63">
        <v>0</v>
      </c>
      <c r="AK38" s="63">
        <v>0</v>
      </c>
      <c r="AL38" s="120">
        <v>0</v>
      </c>
      <c r="AM38" t="s">
        <v>513</v>
      </c>
    </row>
    <row r="39" spans="1:39">
      <c r="A39" s="14" t="s">
        <v>31</v>
      </c>
      <c r="B39" s="105">
        <v>44958</v>
      </c>
      <c r="C39" s="63">
        <v>580</v>
      </c>
      <c r="D39" s="63">
        <f t="shared" si="11"/>
        <v>28633.64</v>
      </c>
      <c r="E39" s="63"/>
      <c r="F39" s="111">
        <f t="shared" si="10"/>
        <v>28053.64</v>
      </c>
      <c r="G39" s="63"/>
      <c r="H39" s="63">
        <f t="shared" si="8"/>
        <v>12</v>
      </c>
      <c r="I39" s="63">
        <v>580</v>
      </c>
      <c r="J39" s="63">
        <f t="shared" si="12"/>
        <v>28633.64</v>
      </c>
      <c r="K39" s="63"/>
      <c r="L39" s="63">
        <f t="shared" si="15"/>
        <v>28053.64</v>
      </c>
      <c r="M39" s="106"/>
      <c r="P39" s="63">
        <f t="shared" si="9"/>
        <v>12</v>
      </c>
      <c r="Q39" s="63">
        <v>580</v>
      </c>
      <c r="R39" s="63">
        <f t="shared" si="13"/>
        <v>28633.64</v>
      </c>
      <c r="S39" s="63"/>
      <c r="T39" s="63">
        <f t="shared" si="16"/>
        <v>28053.64</v>
      </c>
      <c r="U39" s="106"/>
      <c r="W39" s="7"/>
      <c r="Y39" s="66"/>
      <c r="Z39" s="66"/>
      <c r="AA39" s="63">
        <v>442</v>
      </c>
      <c r="AB39" s="63"/>
      <c r="AC39" s="63"/>
      <c r="AD39" s="63"/>
      <c r="AE39" s="66"/>
      <c r="AG39" s="1" t="s">
        <v>517</v>
      </c>
      <c r="AH39" s="333">
        <v>4.2900000000000001E-2</v>
      </c>
      <c r="AI39" s="63">
        <f>AJ39+AK39+AL39</f>
        <v>2637.21</v>
      </c>
      <c r="AJ39" s="63">
        <v>2636.9</v>
      </c>
      <c r="AK39" s="63">
        <v>0.31</v>
      </c>
      <c r="AL39" s="120">
        <v>0</v>
      </c>
      <c r="AM39" t="s">
        <v>512</v>
      </c>
    </row>
    <row r="40" spans="1:39">
      <c r="B40" s="105">
        <v>44986</v>
      </c>
      <c r="C40" s="63"/>
      <c r="D40" s="63">
        <f t="shared" si="11"/>
        <v>28053.64</v>
      </c>
      <c r="E40" s="63"/>
      <c r="F40" s="63">
        <f t="shared" si="10"/>
        <v>28053.64</v>
      </c>
      <c r="G40" s="63"/>
      <c r="H40" s="63">
        <f t="shared" si="8"/>
        <v>580</v>
      </c>
      <c r="I40" s="63"/>
      <c r="J40" s="63">
        <f t="shared" si="12"/>
        <v>28053.64</v>
      </c>
      <c r="K40" s="63"/>
      <c r="L40" s="63">
        <f t="shared" si="15"/>
        <v>28053.64</v>
      </c>
      <c r="M40" s="106"/>
      <c r="P40" s="63">
        <f t="shared" si="9"/>
        <v>580</v>
      </c>
      <c r="Q40" s="63"/>
      <c r="R40" s="63">
        <f t="shared" si="13"/>
        <v>28053.64</v>
      </c>
      <c r="S40" s="63"/>
      <c r="T40" s="63">
        <f t="shared" si="16"/>
        <v>28053.64</v>
      </c>
      <c r="U40" s="106"/>
      <c r="W40" s="7"/>
      <c r="Y40" s="66"/>
      <c r="Z40" s="66"/>
      <c r="AA40" s="63">
        <v>442</v>
      </c>
      <c r="AB40" s="63"/>
      <c r="AC40" s="63"/>
      <c r="AD40" s="63"/>
      <c r="AE40" s="66"/>
      <c r="AG40" s="1" t="s">
        <v>518</v>
      </c>
      <c r="AH40" s="333">
        <v>4.2999999999999997E-2</v>
      </c>
      <c r="AI40" s="63">
        <f>AJ40+AK40+AL40</f>
        <v>6553.1100000000006</v>
      </c>
      <c r="AJ40" s="63">
        <v>6552.34</v>
      </c>
      <c r="AK40" s="63">
        <v>0.77</v>
      </c>
      <c r="AL40" s="120">
        <v>0</v>
      </c>
      <c r="AM40" t="s">
        <v>513</v>
      </c>
    </row>
    <row r="41" spans="1:39">
      <c r="B41" s="105">
        <v>45017</v>
      </c>
      <c r="C41" s="63"/>
      <c r="D41" s="63">
        <f t="shared" si="11"/>
        <v>28053.64</v>
      </c>
      <c r="E41" s="63"/>
      <c r="F41" s="63">
        <f t="shared" si="10"/>
        <v>28053.64</v>
      </c>
      <c r="G41" s="63"/>
      <c r="H41" s="63">
        <f t="shared" si="8"/>
        <v>0</v>
      </c>
      <c r="I41" s="63"/>
      <c r="J41" s="63">
        <f t="shared" si="12"/>
        <v>28053.64</v>
      </c>
      <c r="K41" s="63"/>
      <c r="L41" s="63">
        <f t="shared" si="15"/>
        <v>28053.64</v>
      </c>
      <c r="M41" s="106"/>
      <c r="P41" s="63">
        <f t="shared" si="9"/>
        <v>0</v>
      </c>
      <c r="Q41" s="63"/>
      <c r="R41" s="63">
        <f t="shared" si="13"/>
        <v>28053.64</v>
      </c>
      <c r="S41" s="63"/>
      <c r="T41" s="63">
        <f t="shared" si="16"/>
        <v>28053.64</v>
      </c>
      <c r="U41" s="106"/>
      <c r="W41" s="7"/>
      <c r="Y41" s="66"/>
      <c r="Z41" s="66"/>
      <c r="AA41" s="63">
        <v>442</v>
      </c>
      <c r="AB41" s="63"/>
      <c r="AC41" s="63"/>
      <c r="AD41" s="63"/>
      <c r="AE41" s="66"/>
      <c r="AF41" s="66"/>
    </row>
    <row r="42" spans="1:39">
      <c r="B42" s="105">
        <v>45047</v>
      </c>
      <c r="C42" s="63"/>
      <c r="D42" s="63">
        <f t="shared" si="11"/>
        <v>28053.64</v>
      </c>
      <c r="E42" s="63"/>
      <c r="F42" s="63">
        <f t="shared" si="10"/>
        <v>28053.64</v>
      </c>
      <c r="G42" s="63"/>
      <c r="H42" s="63">
        <f t="shared" si="8"/>
        <v>0</v>
      </c>
      <c r="I42" s="63"/>
      <c r="J42" s="63">
        <f t="shared" si="12"/>
        <v>28053.64</v>
      </c>
      <c r="K42" s="63"/>
      <c r="L42" s="63">
        <f t="shared" si="15"/>
        <v>28053.64</v>
      </c>
      <c r="M42" s="106"/>
      <c r="P42" s="63">
        <f t="shared" si="9"/>
        <v>0</v>
      </c>
      <c r="Q42" s="63"/>
      <c r="R42" s="63">
        <f t="shared" si="13"/>
        <v>28053.64</v>
      </c>
      <c r="S42" s="63"/>
      <c r="T42" s="63">
        <f t="shared" si="16"/>
        <v>28053.64</v>
      </c>
      <c r="U42" s="106"/>
      <c r="W42" s="7"/>
      <c r="Y42" s="66"/>
      <c r="Z42" s="66"/>
      <c r="AA42" s="63">
        <v>442</v>
      </c>
      <c r="AB42" s="63"/>
      <c r="AC42" s="63"/>
      <c r="AD42" s="63"/>
      <c r="AE42" s="66"/>
      <c r="AF42" s="102">
        <v>45384</v>
      </c>
      <c r="AH42" s="8" t="s">
        <v>521</v>
      </c>
      <c r="AI42" s="6">
        <v>26402.38</v>
      </c>
      <c r="AJ42" s="452"/>
      <c r="AK42" s="452"/>
      <c r="AL42" s="452"/>
      <c r="AM42" s="338"/>
    </row>
    <row r="43" spans="1:39">
      <c r="B43" s="105">
        <v>45078</v>
      </c>
      <c r="C43" s="63"/>
      <c r="D43" s="63">
        <f t="shared" si="11"/>
        <v>28053.64</v>
      </c>
      <c r="E43" s="63"/>
      <c r="F43" s="63">
        <f>D43+E43-C43</f>
        <v>28053.64</v>
      </c>
      <c r="G43" s="63"/>
      <c r="H43" s="63">
        <f t="shared" si="8"/>
        <v>0</v>
      </c>
      <c r="I43" s="63"/>
      <c r="J43" s="63">
        <f t="shared" si="12"/>
        <v>28053.64</v>
      </c>
      <c r="K43" s="63"/>
      <c r="L43" s="63">
        <f t="shared" si="15"/>
        <v>28053.64</v>
      </c>
      <c r="M43" s="106"/>
      <c r="P43" s="63">
        <f t="shared" si="9"/>
        <v>0</v>
      </c>
      <c r="Q43" s="63"/>
      <c r="R43" s="63">
        <f t="shared" si="13"/>
        <v>28053.64</v>
      </c>
      <c r="S43" s="63"/>
      <c r="T43" s="63">
        <f t="shared" si="16"/>
        <v>28053.64</v>
      </c>
      <c r="U43" s="106"/>
      <c r="W43" s="7"/>
      <c r="Y43" s="66"/>
      <c r="Z43" s="66"/>
      <c r="AA43" s="63">
        <v>442</v>
      </c>
      <c r="AB43" s="63"/>
      <c r="AC43" s="63"/>
      <c r="AD43" s="63"/>
      <c r="AE43" s="66"/>
      <c r="AG43" t="s">
        <v>508</v>
      </c>
      <c r="AH43" t="s">
        <v>520</v>
      </c>
      <c r="AI43" t="s">
        <v>12</v>
      </c>
      <c r="AJ43" t="s">
        <v>519</v>
      </c>
      <c r="AK43" t="s">
        <v>154</v>
      </c>
      <c r="AL43" t="s">
        <v>332</v>
      </c>
    </row>
    <row r="44" spans="1:39">
      <c r="B44" s="105">
        <v>45108</v>
      </c>
      <c r="C44" s="63"/>
      <c r="D44" s="63">
        <f t="shared" si="11"/>
        <v>28053.64</v>
      </c>
      <c r="E44" s="63"/>
      <c r="F44" s="63">
        <f t="shared" si="10"/>
        <v>28053.64</v>
      </c>
      <c r="G44" s="63"/>
      <c r="H44" s="63">
        <f t="shared" si="8"/>
        <v>0</v>
      </c>
      <c r="I44" s="63"/>
      <c r="J44" s="63">
        <f t="shared" si="12"/>
        <v>28053.64</v>
      </c>
      <c r="K44" s="63"/>
      <c r="L44" s="63">
        <f t="shared" si="15"/>
        <v>28053.64</v>
      </c>
      <c r="M44" s="106"/>
      <c r="P44" s="63">
        <f t="shared" si="9"/>
        <v>0</v>
      </c>
      <c r="Q44" s="63"/>
      <c r="R44" s="63">
        <f t="shared" si="13"/>
        <v>28053.64</v>
      </c>
      <c r="S44" s="63"/>
      <c r="T44" s="63">
        <f t="shared" si="16"/>
        <v>28053.64</v>
      </c>
      <c r="U44" s="106"/>
      <c r="W44" s="7"/>
      <c r="Y44" s="66"/>
      <c r="Z44" s="66"/>
      <c r="AA44" s="63">
        <v>442</v>
      </c>
      <c r="AB44" s="63"/>
      <c r="AC44" s="63"/>
      <c r="AD44" s="63"/>
      <c r="AE44" s="66"/>
      <c r="AG44" s="1" t="s">
        <v>506</v>
      </c>
      <c r="AH44" s="333">
        <v>3.4000000000000002E-2</v>
      </c>
      <c r="AI44" s="63">
        <f>AJ44+AK44+AL44</f>
        <v>3315.91</v>
      </c>
      <c r="AJ44" s="63">
        <v>3315.6</v>
      </c>
      <c r="AK44" s="63">
        <v>0.31</v>
      </c>
      <c r="AL44" s="120">
        <v>0</v>
      </c>
      <c r="AM44" t="s">
        <v>512</v>
      </c>
    </row>
    <row r="45" spans="1:39">
      <c r="B45" s="105">
        <v>45139</v>
      </c>
      <c r="C45" s="63"/>
      <c r="D45" s="63">
        <f t="shared" si="11"/>
        <v>28053.64</v>
      </c>
      <c r="E45" s="63"/>
      <c r="F45" s="63">
        <f t="shared" si="10"/>
        <v>28053.64</v>
      </c>
      <c r="G45" s="63"/>
      <c r="H45" s="63">
        <f t="shared" si="8"/>
        <v>0</v>
      </c>
      <c r="I45" s="63"/>
      <c r="J45" s="63">
        <f t="shared" si="12"/>
        <v>28053.64</v>
      </c>
      <c r="K45" s="63"/>
      <c r="L45" s="63">
        <f t="shared" si="15"/>
        <v>28053.64</v>
      </c>
      <c r="M45" s="106"/>
      <c r="P45" s="63">
        <f t="shared" si="9"/>
        <v>0</v>
      </c>
      <c r="Q45" s="63"/>
      <c r="R45" s="63">
        <f t="shared" si="13"/>
        <v>28053.64</v>
      </c>
      <c r="S45" s="63"/>
      <c r="T45" s="63">
        <f t="shared" si="16"/>
        <v>28053.64</v>
      </c>
      <c r="U45" s="106"/>
      <c r="W45" s="7"/>
      <c r="Y45" s="66"/>
      <c r="Z45" s="66"/>
      <c r="AA45" s="63">
        <v>442</v>
      </c>
      <c r="AB45" s="63"/>
      <c r="AC45" s="63"/>
      <c r="AD45" s="63"/>
      <c r="AE45" s="66"/>
      <c r="AG45" s="1" t="s">
        <v>507</v>
      </c>
      <c r="AI45" s="63">
        <f t="shared" ref="AI45:AI50" si="17">AJ45+AK45+AL45</f>
        <v>0</v>
      </c>
      <c r="AJ45" s="63">
        <v>0</v>
      </c>
      <c r="AK45" s="63">
        <v>0</v>
      </c>
      <c r="AL45" s="120">
        <v>0</v>
      </c>
      <c r="AM45" t="s">
        <v>513</v>
      </c>
    </row>
    <row r="46" spans="1:39">
      <c r="B46" s="105">
        <v>45170</v>
      </c>
      <c r="C46" s="63"/>
      <c r="D46" s="63">
        <f t="shared" si="11"/>
        <v>28053.64</v>
      </c>
      <c r="E46" s="63">
        <v>1.19</v>
      </c>
      <c r="F46" s="63">
        <f t="shared" si="10"/>
        <v>28054.829999999998</v>
      </c>
      <c r="G46" s="63"/>
      <c r="H46" s="63">
        <f t="shared" si="8"/>
        <v>0</v>
      </c>
      <c r="I46" s="63"/>
      <c r="J46" s="63">
        <f t="shared" ref="J46:J53" si="18">L45</f>
        <v>28053.64</v>
      </c>
      <c r="K46" s="63">
        <v>1.19</v>
      </c>
      <c r="L46" s="63">
        <f t="shared" si="15"/>
        <v>28054.829999999998</v>
      </c>
      <c r="M46" s="106"/>
      <c r="P46" s="63">
        <f t="shared" si="9"/>
        <v>0</v>
      </c>
      <c r="Q46" s="63"/>
      <c r="R46" s="63">
        <f t="shared" si="13"/>
        <v>28053.64</v>
      </c>
      <c r="S46" s="63">
        <v>1.19</v>
      </c>
      <c r="T46" s="63">
        <f t="shared" si="16"/>
        <v>28054.829999999998</v>
      </c>
      <c r="U46" s="106"/>
      <c r="W46" s="7"/>
      <c r="X46" s="6">
        <f>SUM(X48:X49)</f>
        <v>1395.7934235504961</v>
      </c>
      <c r="Y46" s="66">
        <f>SUM(Y48:Y49)</f>
        <v>1490</v>
      </c>
      <c r="Z46" s="66"/>
      <c r="AA46" s="63">
        <v>442</v>
      </c>
      <c r="AB46" s="63"/>
      <c r="AC46" s="63"/>
      <c r="AD46" s="63"/>
      <c r="AE46" s="66"/>
      <c r="AG46" s="1" t="s">
        <v>509</v>
      </c>
      <c r="AH46" s="333">
        <v>3.4000000000000002E-2</v>
      </c>
      <c r="AI46" s="63">
        <f t="shared" si="17"/>
        <v>4266.05</v>
      </c>
      <c r="AJ46" s="63">
        <v>4265.66</v>
      </c>
      <c r="AK46" s="63">
        <v>0.39</v>
      </c>
      <c r="AL46" s="120">
        <v>0</v>
      </c>
      <c r="AM46" t="s">
        <v>512</v>
      </c>
    </row>
    <row r="47" spans="1:39">
      <c r="A47" s="14" t="s">
        <v>31</v>
      </c>
      <c r="B47" s="105">
        <v>45200</v>
      </c>
      <c r="C47" s="63">
        <v>500</v>
      </c>
      <c r="D47" s="63">
        <f t="shared" si="11"/>
        <v>28054.829999999998</v>
      </c>
      <c r="E47" s="111">
        <f>129.14078228-15</f>
        <v>114.14078228</v>
      </c>
      <c r="F47" s="111">
        <f t="shared" si="10"/>
        <v>27668.970782279997</v>
      </c>
      <c r="G47" s="63"/>
      <c r="H47" s="63">
        <f t="shared" si="8"/>
        <v>-500</v>
      </c>
      <c r="I47" s="63">
        <v>500</v>
      </c>
      <c r="J47" s="63">
        <f t="shared" si="18"/>
        <v>28054.829999999998</v>
      </c>
      <c r="K47" s="111">
        <f>129.14078228-15</f>
        <v>114.14078228</v>
      </c>
      <c r="L47" s="111">
        <f t="shared" ref="L47:L53" si="19">J47+K47-I47</f>
        <v>27668.970782279997</v>
      </c>
      <c r="M47" s="106"/>
      <c r="P47" s="63">
        <f t="shared" si="9"/>
        <v>-500</v>
      </c>
      <c r="Q47" s="63">
        <v>500</v>
      </c>
      <c r="R47" s="63">
        <f t="shared" ref="R47:R53" si="20">T46</f>
        <v>28054.829999999998</v>
      </c>
      <c r="S47" s="111">
        <f>129.14078228-15</f>
        <v>114.14078228</v>
      </c>
      <c r="T47" s="111">
        <f t="shared" ref="T47:T53" si="21">R47+S47-Q47</f>
        <v>27668.970782279997</v>
      </c>
      <c r="U47" s="106"/>
      <c r="W47" s="7"/>
      <c r="Y47" s="66"/>
      <c r="Z47" s="66"/>
      <c r="AA47" s="63">
        <v>442</v>
      </c>
      <c r="AB47" s="63"/>
      <c r="AC47" s="63"/>
      <c r="AD47" s="63"/>
      <c r="AE47" s="66"/>
      <c r="AG47" s="1" t="s">
        <v>510</v>
      </c>
      <c r="AI47" s="63">
        <f t="shared" si="17"/>
        <v>0</v>
      </c>
      <c r="AJ47" s="63">
        <v>0</v>
      </c>
      <c r="AK47" s="63">
        <v>0</v>
      </c>
      <c r="AL47" s="120">
        <v>0</v>
      </c>
      <c r="AM47" t="s">
        <v>512</v>
      </c>
    </row>
    <row r="48" spans="1:39">
      <c r="A48" s="14" t="s">
        <v>31</v>
      </c>
      <c r="B48" s="105">
        <v>45231</v>
      </c>
      <c r="C48" s="63">
        <v>400</v>
      </c>
      <c r="D48" s="63">
        <f t="shared" si="11"/>
        <v>27668.970782279997</v>
      </c>
      <c r="E48" s="63">
        <f>120.862641270496-15</f>
        <v>105.862641270496</v>
      </c>
      <c r="F48" s="111">
        <f t="shared" si="10"/>
        <v>27374.833423550492</v>
      </c>
      <c r="G48" s="63"/>
      <c r="H48" s="63">
        <f t="shared" si="8"/>
        <v>100</v>
      </c>
      <c r="I48" s="63">
        <v>400</v>
      </c>
      <c r="J48" s="63">
        <f t="shared" si="18"/>
        <v>27668.970782279997</v>
      </c>
      <c r="K48" s="63">
        <f>120.862641270496-15</f>
        <v>105.862641270496</v>
      </c>
      <c r="L48" s="111">
        <f t="shared" si="19"/>
        <v>27374.833423550492</v>
      </c>
      <c r="M48" s="106"/>
      <c r="P48" s="63">
        <f t="shared" si="9"/>
        <v>100</v>
      </c>
      <c r="Q48" s="63">
        <v>400</v>
      </c>
      <c r="R48" s="63">
        <f t="shared" si="20"/>
        <v>27668.970782279997</v>
      </c>
      <c r="S48" s="63">
        <f>120.862641270496-15</f>
        <v>105.862641270496</v>
      </c>
      <c r="T48" s="111">
        <f t="shared" si="21"/>
        <v>27374.833423550492</v>
      </c>
      <c r="U48" s="106"/>
      <c r="W48" s="7"/>
      <c r="X48" s="6">
        <f>SUM(E46:E49)</f>
        <v>328.183423550496</v>
      </c>
      <c r="Y48" s="66">
        <v>363</v>
      </c>
      <c r="Z48" s="66"/>
      <c r="AA48" s="63">
        <v>442</v>
      </c>
      <c r="AB48" s="63"/>
      <c r="AC48" s="63"/>
      <c r="AD48" s="63"/>
      <c r="AE48" s="66"/>
      <c r="AG48" s="1" t="s">
        <v>511</v>
      </c>
      <c r="AH48" s="333">
        <v>3.8600000000000002E-2</v>
      </c>
      <c r="AI48" s="63">
        <f t="shared" si="17"/>
        <v>5222.5</v>
      </c>
      <c r="AJ48" s="63">
        <v>5221.95</v>
      </c>
      <c r="AK48" s="63">
        <v>0.55000000000000004</v>
      </c>
      <c r="AL48" s="120">
        <v>0</v>
      </c>
      <c r="AM48" t="s">
        <v>512</v>
      </c>
    </row>
    <row r="49" spans="1:39">
      <c r="A49" s="14" t="s">
        <v>31</v>
      </c>
      <c r="B49" s="105">
        <v>45261</v>
      </c>
      <c r="C49" s="63">
        <v>300</v>
      </c>
      <c r="D49" s="63">
        <f t="shared" si="11"/>
        <v>27374.833423550492</v>
      </c>
      <c r="E49" s="63">
        <f>121.99-15</f>
        <v>106.99</v>
      </c>
      <c r="F49" s="111">
        <f>D49+E49-C49</f>
        <v>27181.823423550493</v>
      </c>
      <c r="G49" s="63"/>
      <c r="H49" s="63">
        <f t="shared" si="8"/>
        <v>100</v>
      </c>
      <c r="I49" s="63">
        <v>300</v>
      </c>
      <c r="J49" s="63">
        <f t="shared" si="18"/>
        <v>27374.833423550492</v>
      </c>
      <c r="K49" s="63">
        <f>121.99-15</f>
        <v>106.99</v>
      </c>
      <c r="L49" s="111">
        <f t="shared" si="19"/>
        <v>27181.823423550493</v>
      </c>
      <c r="M49" s="106"/>
      <c r="P49" s="63">
        <f t="shared" si="9"/>
        <v>100</v>
      </c>
      <c r="Q49" s="63">
        <v>300</v>
      </c>
      <c r="R49" s="63">
        <f t="shared" si="20"/>
        <v>27374.833423550492</v>
      </c>
      <c r="S49" s="63">
        <f>121.99-15</f>
        <v>106.99</v>
      </c>
      <c r="T49" s="111">
        <f t="shared" si="21"/>
        <v>27181.823423550493</v>
      </c>
      <c r="U49" s="106"/>
      <c r="W49" s="7"/>
      <c r="X49" s="6">
        <f>SUM(E50:E61)</f>
        <v>1067.6100000000001</v>
      </c>
      <c r="Y49" s="66">
        <v>1127</v>
      </c>
      <c r="Z49" s="66"/>
      <c r="AA49" s="63">
        <v>442</v>
      </c>
      <c r="AB49" s="63"/>
      <c r="AC49" s="63"/>
      <c r="AD49" s="63"/>
      <c r="AE49" s="66"/>
      <c r="AF49" s="8" t="s">
        <v>618</v>
      </c>
      <c r="AG49" s="1" t="s">
        <v>514</v>
      </c>
      <c r="AH49" s="333">
        <v>3.8600000000000002E-2</v>
      </c>
      <c r="AI49" s="63">
        <f t="shared" si="17"/>
        <v>1992.91</v>
      </c>
      <c r="AJ49" s="63">
        <v>1992.7</v>
      </c>
      <c r="AK49" s="63">
        <v>0.21</v>
      </c>
      <c r="AL49" s="120">
        <v>0</v>
      </c>
      <c r="AM49" t="s">
        <v>513</v>
      </c>
    </row>
    <row r="50" spans="1:39">
      <c r="A50" s="14" t="s">
        <v>31</v>
      </c>
      <c r="B50" s="105">
        <v>45292</v>
      </c>
      <c r="C50" s="63">
        <v>300</v>
      </c>
      <c r="D50" s="63">
        <f>F49</f>
        <v>27181.823423550493</v>
      </c>
      <c r="E50" s="63">
        <f>90-53.6+52+30-15</f>
        <v>103.4</v>
      </c>
      <c r="F50" s="111">
        <f>D50+E50-C50</f>
        <v>26985.223423550495</v>
      </c>
      <c r="G50" s="63"/>
      <c r="H50" s="63">
        <f t="shared" si="8"/>
        <v>0</v>
      </c>
      <c r="I50" s="63">
        <v>300</v>
      </c>
      <c r="J50" s="63">
        <f>L49</f>
        <v>27181.823423550493</v>
      </c>
      <c r="K50" s="63">
        <f>90-53.6+52+30-15</f>
        <v>103.4</v>
      </c>
      <c r="L50" s="111">
        <f t="shared" si="19"/>
        <v>26985.223423550495</v>
      </c>
      <c r="M50" s="106"/>
      <c r="P50" s="63">
        <f t="shared" si="9"/>
        <v>0</v>
      </c>
      <c r="Q50" s="63">
        <v>300</v>
      </c>
      <c r="R50" s="63">
        <f t="shared" si="20"/>
        <v>27181.823423550493</v>
      </c>
      <c r="S50" s="63">
        <f>90-53.6+52+30-15</f>
        <v>103.4</v>
      </c>
      <c r="T50" s="111">
        <f t="shared" si="21"/>
        <v>26985.223423550495</v>
      </c>
      <c r="U50" s="106"/>
      <c r="W50" s="7"/>
      <c r="Y50" s="66"/>
      <c r="Z50" s="66"/>
      <c r="AA50" s="63">
        <v>442</v>
      </c>
      <c r="AB50" s="63"/>
      <c r="AC50" s="63"/>
      <c r="AD50" s="63"/>
      <c r="AE50" s="66"/>
      <c r="AF50" s="8" t="s">
        <v>618</v>
      </c>
      <c r="AG50" s="1" t="s">
        <v>515</v>
      </c>
      <c r="AH50" s="333">
        <v>4.6600000000000003E-2</v>
      </c>
      <c r="AI50" s="63">
        <f t="shared" si="17"/>
        <v>2483.73</v>
      </c>
      <c r="AJ50" s="63">
        <v>2465.79</v>
      </c>
      <c r="AK50" s="63">
        <v>17.940000000000001</v>
      </c>
      <c r="AL50" s="120">
        <v>0</v>
      </c>
      <c r="AM50" t="s">
        <v>512</v>
      </c>
    </row>
    <row r="51" spans="1:39">
      <c r="A51" s="14" t="s">
        <v>31</v>
      </c>
      <c r="B51" s="105">
        <v>45323</v>
      </c>
      <c r="C51" s="63">
        <v>300</v>
      </c>
      <c r="D51" s="63">
        <f t="shared" si="11"/>
        <v>26985.223423550495</v>
      </c>
      <c r="E51" s="63">
        <f>139.21-52+30-15</f>
        <v>102.21000000000001</v>
      </c>
      <c r="F51" s="111">
        <f>D51+E51-C51</f>
        <v>26787.433423550494</v>
      </c>
      <c r="G51" s="63"/>
      <c r="H51" s="63">
        <f t="shared" si="8"/>
        <v>0</v>
      </c>
      <c r="I51" s="63">
        <v>300</v>
      </c>
      <c r="J51" s="63">
        <f t="shared" si="18"/>
        <v>26985.223423550495</v>
      </c>
      <c r="K51" s="63">
        <f>139.21-52+30-15</f>
        <v>102.21000000000001</v>
      </c>
      <c r="L51" s="111">
        <f t="shared" si="19"/>
        <v>26787.433423550494</v>
      </c>
      <c r="M51" s="106"/>
      <c r="P51" s="63">
        <f t="shared" si="9"/>
        <v>0</v>
      </c>
      <c r="Q51" s="63">
        <v>300</v>
      </c>
      <c r="R51" s="63">
        <f t="shared" si="20"/>
        <v>26985.223423550495</v>
      </c>
      <c r="S51" s="63">
        <f>139.21-52+30-15</f>
        <v>102.21000000000001</v>
      </c>
      <c r="T51" s="111">
        <f t="shared" si="21"/>
        <v>26787.433423550494</v>
      </c>
      <c r="U51" s="106"/>
      <c r="W51" s="7"/>
      <c r="Y51" s="66"/>
      <c r="Z51" s="66"/>
      <c r="AA51" s="63">
        <v>442</v>
      </c>
      <c r="AB51" s="63"/>
      <c r="AC51" s="63"/>
      <c r="AD51" s="63"/>
      <c r="AE51" s="66"/>
      <c r="AG51" s="1" t="s">
        <v>516</v>
      </c>
      <c r="AH51" s="333"/>
      <c r="AI51" s="63">
        <v>0</v>
      </c>
      <c r="AJ51" s="63">
        <v>0</v>
      </c>
      <c r="AK51" s="63">
        <v>0</v>
      </c>
      <c r="AL51" s="120">
        <v>0</v>
      </c>
      <c r="AM51" t="s">
        <v>513</v>
      </c>
    </row>
    <row r="52" spans="1:39">
      <c r="A52" s="14" t="s">
        <v>31</v>
      </c>
      <c r="B52" s="105">
        <v>45352</v>
      </c>
      <c r="C52" s="63">
        <v>240</v>
      </c>
      <c r="D52" s="63">
        <f t="shared" si="11"/>
        <v>26787.433423550494</v>
      </c>
      <c r="E52" s="63">
        <f>83.51+30-15</f>
        <v>98.51</v>
      </c>
      <c r="F52" s="111">
        <f>D52+E52-C52</f>
        <v>26645.943423550492</v>
      </c>
      <c r="G52" s="63"/>
      <c r="H52" s="63">
        <f t="shared" si="8"/>
        <v>60</v>
      </c>
      <c r="I52" s="63">
        <v>240</v>
      </c>
      <c r="J52" s="63">
        <f t="shared" si="18"/>
        <v>26787.433423550494</v>
      </c>
      <c r="K52" s="63">
        <f>83.51+30-15</f>
        <v>98.51</v>
      </c>
      <c r="L52" s="111">
        <f t="shared" si="19"/>
        <v>26645.943423550492</v>
      </c>
      <c r="M52" s="106"/>
      <c r="P52" s="63">
        <f t="shared" si="9"/>
        <v>60</v>
      </c>
      <c r="Q52" s="63">
        <v>240</v>
      </c>
      <c r="R52" s="63">
        <f t="shared" si="20"/>
        <v>26787.433423550494</v>
      </c>
      <c r="S52" s="63">
        <f>83.51+30-15</f>
        <v>98.51</v>
      </c>
      <c r="T52" s="111">
        <f t="shared" si="21"/>
        <v>26645.943423550492</v>
      </c>
      <c r="U52" s="106"/>
      <c r="W52" s="7"/>
      <c r="Y52" s="66"/>
      <c r="Z52" s="66"/>
      <c r="AA52" s="63">
        <v>442</v>
      </c>
      <c r="AB52" s="63"/>
      <c r="AC52" s="63"/>
      <c r="AD52" s="63"/>
      <c r="AE52" s="66"/>
      <c r="AG52" s="1" t="s">
        <v>517</v>
      </c>
      <c r="AH52" s="333">
        <v>4.2900000000000001E-2</v>
      </c>
      <c r="AI52" s="63">
        <f>AJ52+AK52+AL52</f>
        <v>2617.38</v>
      </c>
      <c r="AJ52" s="63">
        <v>2617.0700000000002</v>
      </c>
      <c r="AK52" s="63">
        <v>0.31</v>
      </c>
      <c r="AL52" s="120">
        <v>0</v>
      </c>
      <c r="AM52" t="s">
        <v>512</v>
      </c>
    </row>
    <row r="53" spans="1:39">
      <c r="A53" s="14" t="s">
        <v>31</v>
      </c>
      <c r="B53" s="105">
        <v>45383</v>
      </c>
      <c r="C53" s="63">
        <v>240</v>
      </c>
      <c r="D53" s="63">
        <f t="shared" si="11"/>
        <v>26645.943423550492</v>
      </c>
      <c r="E53" s="111">
        <f>3.73+3.88+90</f>
        <v>97.61</v>
      </c>
      <c r="F53" s="111">
        <f>D53+E53-C53</f>
        <v>26503.553423550493</v>
      </c>
      <c r="G53" s="63"/>
      <c r="H53" s="63">
        <f t="shared" si="8"/>
        <v>0</v>
      </c>
      <c r="I53" s="63">
        <v>240</v>
      </c>
      <c r="J53" s="63">
        <f t="shared" si="18"/>
        <v>26645.943423550492</v>
      </c>
      <c r="K53" s="111">
        <f>3.73+3.88+90</f>
        <v>97.61</v>
      </c>
      <c r="L53" s="111">
        <f t="shared" si="19"/>
        <v>26503.553423550493</v>
      </c>
      <c r="M53" s="106"/>
      <c r="P53" s="63">
        <f t="shared" si="9"/>
        <v>0</v>
      </c>
      <c r="Q53" s="63">
        <v>240</v>
      </c>
      <c r="R53" s="63">
        <f t="shared" si="20"/>
        <v>26645.943423550492</v>
      </c>
      <c r="S53" s="111">
        <f>3.73+3.88+90</f>
        <v>97.61</v>
      </c>
      <c r="T53" s="111">
        <f t="shared" si="21"/>
        <v>26503.553423550493</v>
      </c>
      <c r="U53" s="357"/>
      <c r="Y53" s="66"/>
      <c r="Z53" s="66"/>
      <c r="AA53" s="63">
        <v>442</v>
      </c>
      <c r="AB53" s="63"/>
      <c r="AC53" s="63"/>
      <c r="AD53" s="63"/>
      <c r="AE53" s="66"/>
      <c r="AF53" s="8" t="s">
        <v>618</v>
      </c>
      <c r="AG53" s="1" t="s">
        <v>518</v>
      </c>
      <c r="AH53" s="333">
        <v>4.2999999999999997E-2</v>
      </c>
      <c r="AI53" s="63">
        <f>AJ53+AK53+AL53</f>
        <v>6503.9000000000005</v>
      </c>
      <c r="AJ53" s="63">
        <v>6503.14</v>
      </c>
      <c r="AK53" s="63">
        <v>0.76</v>
      </c>
      <c r="AL53" s="120">
        <v>0</v>
      </c>
      <c r="AM53" t="s">
        <v>513</v>
      </c>
    </row>
    <row r="54" spans="1:39">
      <c r="A54" s="14" t="s">
        <v>31</v>
      </c>
      <c r="B54" s="105">
        <v>45413</v>
      </c>
      <c r="C54" s="63">
        <v>280</v>
      </c>
      <c r="D54" s="111">
        <f>F54+E54</f>
        <v>26296.09</v>
      </c>
      <c r="E54" s="63">
        <v>87.3</v>
      </c>
      <c r="F54" s="111">
        <v>26208.79</v>
      </c>
      <c r="G54" s="63"/>
      <c r="H54" s="63">
        <f t="shared" si="8"/>
        <v>-40</v>
      </c>
      <c r="I54" s="63">
        <v>280</v>
      </c>
      <c r="J54" s="111">
        <f>L54+K54</f>
        <v>26296.09</v>
      </c>
      <c r="K54" s="63">
        <v>87.3</v>
      </c>
      <c r="L54" s="111">
        <v>26208.79</v>
      </c>
      <c r="M54" s="106"/>
      <c r="P54" s="63">
        <f t="shared" si="9"/>
        <v>-40</v>
      </c>
      <c r="Q54" s="63">
        <v>280</v>
      </c>
      <c r="R54" s="111">
        <f>T54+S54</f>
        <v>26296.09</v>
      </c>
      <c r="S54" s="63">
        <v>87.3</v>
      </c>
      <c r="T54" s="111">
        <v>26208.79</v>
      </c>
      <c r="U54" s="106"/>
      <c r="Y54" s="66"/>
      <c r="Z54" s="66"/>
      <c r="AA54" s="63">
        <v>442</v>
      </c>
      <c r="AB54" s="63"/>
      <c r="AC54" s="63"/>
      <c r="AD54" s="63"/>
      <c r="AE54" s="66"/>
      <c r="AF54" s="66"/>
    </row>
    <row r="55" spans="1:39">
      <c r="A55" s="14" t="s">
        <v>31</v>
      </c>
      <c r="B55" s="105">
        <v>45444</v>
      </c>
      <c r="C55" s="63">
        <v>310</v>
      </c>
      <c r="D55" s="111">
        <f>F55+E55</f>
        <v>26071.74</v>
      </c>
      <c r="E55" s="111">
        <f>77.23+4.02</f>
        <v>81.25</v>
      </c>
      <c r="F55" s="111">
        <f>MAX(0,F54-(C55-E54))+(4.4)</f>
        <v>25990.49</v>
      </c>
      <c r="G55" s="63"/>
      <c r="H55" s="63">
        <f t="shared" si="8"/>
        <v>-30</v>
      </c>
      <c r="I55" s="63">
        <v>310</v>
      </c>
      <c r="J55" s="111">
        <f>L55+K55</f>
        <v>26071.74</v>
      </c>
      <c r="K55" s="111">
        <f>77.23+4.02</f>
        <v>81.25</v>
      </c>
      <c r="L55" s="111">
        <f>MAX(0,L54-(I55-K54))+(4.4)</f>
        <v>25990.49</v>
      </c>
      <c r="M55" s="106"/>
      <c r="P55" s="63">
        <f t="shared" si="9"/>
        <v>-30</v>
      </c>
      <c r="Q55" s="63">
        <v>310</v>
      </c>
      <c r="R55" s="111">
        <f>T55+S55</f>
        <v>26071.74</v>
      </c>
      <c r="S55" s="111">
        <f>77.23+4.02</f>
        <v>81.25</v>
      </c>
      <c r="T55" s="111">
        <f>MAX(0,T54-(Q55-S54))+(4.4)</f>
        <v>25990.49</v>
      </c>
      <c r="U55" s="106"/>
      <c r="Y55" s="66"/>
      <c r="Z55" s="66"/>
      <c r="AA55" s="63">
        <v>442</v>
      </c>
      <c r="AB55" s="63"/>
      <c r="AC55" s="63"/>
      <c r="AD55" s="63"/>
      <c r="AE55" s="66"/>
      <c r="AF55" s="102">
        <v>45412</v>
      </c>
      <c r="AH55" s="8" t="s">
        <v>521</v>
      </c>
      <c r="AI55" s="6">
        <v>26482.33</v>
      </c>
      <c r="AJ55" s="452" t="s">
        <v>560</v>
      </c>
      <c r="AK55" s="452"/>
      <c r="AL55" s="452"/>
      <c r="AM55" s="338">
        <v>234.01</v>
      </c>
    </row>
    <row r="56" spans="1:39">
      <c r="A56" s="14" t="s">
        <v>31</v>
      </c>
      <c r="B56" s="105">
        <v>45474</v>
      </c>
      <c r="C56" s="63">
        <v>320</v>
      </c>
      <c r="D56" s="111">
        <f>F56+E56</f>
        <v>25838.09</v>
      </c>
      <c r="E56" s="111">
        <f>86.35</f>
        <v>86.35</v>
      </c>
      <c r="F56" s="111">
        <f>MAX(0,F55-(C56-E55))</f>
        <v>25751.74</v>
      </c>
      <c r="G56" s="63"/>
      <c r="H56" s="63">
        <f t="shared" si="8"/>
        <v>-10</v>
      </c>
      <c r="I56" s="63">
        <v>320</v>
      </c>
      <c r="J56" s="111">
        <f>L56+K56</f>
        <v>25838.09</v>
      </c>
      <c r="K56" s="111">
        <f>86.35</f>
        <v>86.35</v>
      </c>
      <c r="L56" s="111">
        <f>MAX(0,L55-(I56-K55))</f>
        <v>25751.74</v>
      </c>
      <c r="M56" s="106"/>
      <c r="P56" s="63">
        <f t="shared" si="9"/>
        <v>-10</v>
      </c>
      <c r="Q56" s="63">
        <v>320</v>
      </c>
      <c r="R56" s="111">
        <f>T56+S56</f>
        <v>25838.09</v>
      </c>
      <c r="S56" s="111">
        <f>86.35</f>
        <v>86.35</v>
      </c>
      <c r="T56" s="111">
        <f>MAX(0,T55-(Q56-S55))</f>
        <v>25751.74</v>
      </c>
      <c r="U56" s="106"/>
      <c r="Y56" s="66"/>
      <c r="Z56" s="66"/>
      <c r="AA56" s="63">
        <v>442</v>
      </c>
      <c r="AB56" s="63"/>
      <c r="AC56" s="63"/>
      <c r="AD56" s="63"/>
      <c r="AE56" s="66"/>
      <c r="AG56" t="s">
        <v>508</v>
      </c>
      <c r="AH56" t="s">
        <v>520</v>
      </c>
      <c r="AI56" t="s">
        <v>12</v>
      </c>
      <c r="AJ56" t="s">
        <v>519</v>
      </c>
      <c r="AK56" t="s">
        <v>154</v>
      </c>
      <c r="AL56" t="s">
        <v>332</v>
      </c>
    </row>
    <row r="57" spans="1:39">
      <c r="A57" s="14" t="s">
        <v>31</v>
      </c>
      <c r="B57" s="105">
        <v>45505</v>
      </c>
      <c r="C57" s="63">
        <v>300</v>
      </c>
      <c r="D57" s="111">
        <f t="shared" ref="D57:D119" si="22">F57+E57</f>
        <v>25641.279999999999</v>
      </c>
      <c r="E57" s="111">
        <f>81.7-5.35+26.84</f>
        <v>103.19000000000001</v>
      </c>
      <c r="F57" s="111">
        <f t="shared" ref="F57:F119" si="23">MAX(0,F56-(C57-E56))</f>
        <v>25538.09</v>
      </c>
      <c r="G57" s="63"/>
      <c r="H57" s="63">
        <f t="shared" si="8"/>
        <v>20</v>
      </c>
      <c r="I57" s="63">
        <v>300</v>
      </c>
      <c r="J57" s="111">
        <f t="shared" ref="J57:J67" si="24">L57+K57</f>
        <v>25641.279999999999</v>
      </c>
      <c r="K57" s="111">
        <f>81.7-5.35+26.84</f>
        <v>103.19000000000001</v>
      </c>
      <c r="L57" s="63">
        <f t="shared" ref="L57:L120" si="25">MAX(0,L56-(I57-K56))</f>
        <v>25538.09</v>
      </c>
      <c r="M57" s="106"/>
      <c r="P57" s="63">
        <f t="shared" si="9"/>
        <v>20</v>
      </c>
      <c r="Q57" s="63">
        <v>300</v>
      </c>
      <c r="R57" s="111">
        <f>T57+S57</f>
        <v>25641.279999999999</v>
      </c>
      <c r="S57" s="111">
        <f>81.7-5.35+26.84</f>
        <v>103.19000000000001</v>
      </c>
      <c r="T57" s="63">
        <f t="shared" ref="T57:T120" si="26">MAX(0,T56-(Q57-S56))</f>
        <v>25538.09</v>
      </c>
      <c r="U57" s="106"/>
      <c r="Y57" s="66"/>
      <c r="Z57" s="66"/>
      <c r="AA57" s="63">
        <v>442</v>
      </c>
      <c r="AB57" s="63"/>
      <c r="AC57" s="63"/>
      <c r="AD57" s="63"/>
      <c r="AE57" s="66"/>
      <c r="AF57" s="360">
        <f>(AK57)/AJ57</f>
        <v>2.6993605983833997E-3</v>
      </c>
      <c r="AG57" s="1" t="s">
        <v>506</v>
      </c>
      <c r="AH57" s="333">
        <v>3.4000000000000002E-2</v>
      </c>
      <c r="AI57" s="63">
        <f>AJ57+AK57+AL57</f>
        <v>3324.5499999999997</v>
      </c>
      <c r="AJ57" s="63">
        <v>3315.6</v>
      </c>
      <c r="AK57" s="63">
        <v>8.9499999999999993</v>
      </c>
      <c r="AL57" s="120">
        <v>0</v>
      </c>
      <c r="AM57" t="s">
        <v>512</v>
      </c>
    </row>
    <row r="58" spans="1:39">
      <c r="A58" s="14" t="s">
        <v>31</v>
      </c>
      <c r="B58" s="105">
        <v>45536</v>
      </c>
      <c r="C58" s="63">
        <f>255.6+28+60</f>
        <v>343.6</v>
      </c>
      <c r="D58" s="111">
        <f t="shared" si="22"/>
        <v>25382.880000000001</v>
      </c>
      <c r="E58" s="111">
        <f>66.16+19.04</f>
        <v>85.199999999999989</v>
      </c>
      <c r="F58" s="111">
        <f>MAX(0,F57-(C58-E57))</f>
        <v>25297.68</v>
      </c>
      <c r="G58" s="111"/>
      <c r="H58" s="111">
        <f t="shared" si="8"/>
        <v>-43.600000000000023</v>
      </c>
      <c r="I58" s="63">
        <f>255.6+28+60</f>
        <v>343.6</v>
      </c>
      <c r="J58" s="111">
        <f t="shared" si="24"/>
        <v>25382.880000000001</v>
      </c>
      <c r="K58" s="111">
        <f>66.16+19.04</f>
        <v>85.199999999999989</v>
      </c>
      <c r="L58" s="111">
        <f>MAX(0,L57-(I58-K57))</f>
        <v>25297.68</v>
      </c>
      <c r="M58" s="372"/>
      <c r="N58" s="373"/>
      <c r="O58" s="373"/>
      <c r="P58" s="111">
        <f t="shared" si="9"/>
        <v>-43.600000000000023</v>
      </c>
      <c r="Q58" s="63">
        <f>255.6+28+60</f>
        <v>343.6</v>
      </c>
      <c r="R58" s="111">
        <f>T58+S58</f>
        <v>25382.880000000001</v>
      </c>
      <c r="S58" s="111">
        <f>66.16+19.04</f>
        <v>85.199999999999989</v>
      </c>
      <c r="T58" s="111">
        <f>MAX(0,T57-(Q58-S57))</f>
        <v>25297.68</v>
      </c>
      <c r="U58" s="106"/>
      <c r="Y58" s="66"/>
      <c r="Z58" s="66"/>
      <c r="AA58" s="63">
        <v>442</v>
      </c>
      <c r="AB58" s="63"/>
      <c r="AC58" s="63"/>
      <c r="AD58" s="63"/>
      <c r="AE58" s="66"/>
      <c r="AF58" s="360"/>
      <c r="AG58" s="1" t="s">
        <v>507</v>
      </c>
      <c r="AI58" s="63">
        <f t="shared" ref="AI58:AI63" si="27">AJ58+AK58+AL58</f>
        <v>0</v>
      </c>
      <c r="AJ58" s="63">
        <v>0</v>
      </c>
      <c r="AK58" s="63">
        <v>0</v>
      </c>
      <c r="AL58" s="120">
        <v>0</v>
      </c>
      <c r="AM58" t="s">
        <v>513</v>
      </c>
    </row>
    <row r="59" spans="1:39">
      <c r="A59" s="14" t="s">
        <v>31</v>
      </c>
      <c r="B59" s="105">
        <v>45566</v>
      </c>
      <c r="C59" s="63">
        <f>255.6+83</f>
        <v>338.6</v>
      </c>
      <c r="D59" s="111">
        <f t="shared" si="22"/>
        <v>25112</v>
      </c>
      <c r="E59" s="111">
        <f>65+2.72</f>
        <v>67.72</v>
      </c>
      <c r="F59" s="111">
        <f t="shared" si="23"/>
        <v>25044.28</v>
      </c>
      <c r="G59" s="111"/>
      <c r="H59" s="111">
        <f t="shared" si="8"/>
        <v>5</v>
      </c>
      <c r="I59" s="63">
        <f>255.6+83</f>
        <v>338.6</v>
      </c>
      <c r="J59" s="111">
        <f t="shared" si="24"/>
        <v>25112</v>
      </c>
      <c r="K59" s="111">
        <f>65+2.72</f>
        <v>67.72</v>
      </c>
      <c r="L59" s="111">
        <f t="shared" si="25"/>
        <v>25044.28</v>
      </c>
      <c r="M59" s="372"/>
      <c r="N59" s="373"/>
      <c r="O59" s="373"/>
      <c r="P59" s="111">
        <f t="shared" si="9"/>
        <v>5</v>
      </c>
      <c r="Q59" s="63">
        <f>255.6+83</f>
        <v>338.6</v>
      </c>
      <c r="R59" s="111">
        <f t="shared" ref="R59:R120" si="28">S59+T59</f>
        <v>25112</v>
      </c>
      <c r="S59" s="111">
        <f>65+2.72</f>
        <v>67.72</v>
      </c>
      <c r="T59" s="111">
        <f t="shared" si="26"/>
        <v>25044.28</v>
      </c>
      <c r="U59" s="106"/>
      <c r="Y59" s="66"/>
      <c r="Z59" s="66"/>
      <c r="AA59" s="63">
        <v>442</v>
      </c>
      <c r="AB59" s="63"/>
      <c r="AC59" s="63"/>
      <c r="AD59" s="63"/>
      <c r="AE59" s="66"/>
      <c r="AF59" s="360">
        <f t="shared" ref="AF59:AF66" si="29">(AK59-AK46)/AJ59</f>
        <v>2.6068650572244386E-3</v>
      </c>
      <c r="AG59" s="1" t="s">
        <v>509</v>
      </c>
      <c r="AH59" s="333">
        <v>3.4000000000000002E-2</v>
      </c>
      <c r="AI59" s="63">
        <f t="shared" si="27"/>
        <v>4277.17</v>
      </c>
      <c r="AJ59" s="63">
        <v>4265.66</v>
      </c>
      <c r="AK59" s="63">
        <v>11.51</v>
      </c>
      <c r="AL59" s="120">
        <v>0</v>
      </c>
      <c r="AM59" t="s">
        <v>512</v>
      </c>
    </row>
    <row r="60" spans="1:39">
      <c r="A60" s="14" t="s">
        <v>31</v>
      </c>
      <c r="B60" s="105">
        <v>45597</v>
      </c>
      <c r="C60" s="63">
        <v>300</v>
      </c>
      <c r="D60" s="111">
        <f t="shared" si="22"/>
        <v>24887.119999999999</v>
      </c>
      <c r="E60" s="111">
        <f>72.44+2.68</f>
        <v>75.12</v>
      </c>
      <c r="F60" s="111">
        <f t="shared" si="23"/>
        <v>24812</v>
      </c>
      <c r="G60" s="63"/>
      <c r="H60" s="63">
        <f t="shared" si="8"/>
        <v>38.600000000000023</v>
      </c>
      <c r="I60" s="63">
        <v>300</v>
      </c>
      <c r="J60" s="111">
        <f t="shared" si="24"/>
        <v>24887.119999999999</v>
      </c>
      <c r="K60" s="111">
        <f>72.44+2.68</f>
        <v>75.12</v>
      </c>
      <c r="L60" s="111">
        <f t="shared" si="25"/>
        <v>24812</v>
      </c>
      <c r="M60" s="106"/>
      <c r="P60" s="63">
        <f t="shared" si="9"/>
        <v>38.600000000000023</v>
      </c>
      <c r="Q60" s="63">
        <v>300</v>
      </c>
      <c r="R60" s="111">
        <f t="shared" si="28"/>
        <v>24887.119999999999</v>
      </c>
      <c r="S60" s="111">
        <f>72.44+2.68</f>
        <v>75.12</v>
      </c>
      <c r="T60" s="111">
        <f t="shared" si="26"/>
        <v>24812</v>
      </c>
      <c r="U60" s="106"/>
      <c r="Y60" s="66"/>
      <c r="Z60" s="66"/>
      <c r="AA60" s="63">
        <v>442</v>
      </c>
      <c r="AB60" s="63"/>
      <c r="AC60" s="63"/>
      <c r="AD60" s="63"/>
      <c r="AE60" s="66"/>
      <c r="AF60" s="360"/>
      <c r="AG60" s="1" t="s">
        <v>510</v>
      </c>
      <c r="AI60" s="63">
        <f t="shared" si="27"/>
        <v>0</v>
      </c>
      <c r="AJ60" s="63">
        <v>0</v>
      </c>
      <c r="AK60" s="63">
        <v>0</v>
      </c>
      <c r="AL60" s="120">
        <v>0</v>
      </c>
      <c r="AM60" t="s">
        <v>512</v>
      </c>
    </row>
    <row r="61" spans="1:39">
      <c r="A61" s="14" t="s">
        <v>31</v>
      </c>
      <c r="B61" s="105">
        <v>45627</v>
      </c>
      <c r="C61" s="63">
        <v>300</v>
      </c>
      <c r="D61" s="111">
        <f t="shared" si="22"/>
        <v>24666.87</v>
      </c>
      <c r="E61" s="111">
        <v>79.75</v>
      </c>
      <c r="F61" s="111">
        <f t="shared" si="23"/>
        <v>24587.119999999999</v>
      </c>
      <c r="G61" s="63"/>
      <c r="H61" s="63">
        <f t="shared" si="8"/>
        <v>0</v>
      </c>
      <c r="I61" s="63">
        <v>300</v>
      </c>
      <c r="J61" s="111">
        <f t="shared" si="24"/>
        <v>24666.87</v>
      </c>
      <c r="K61" s="111">
        <v>79.75</v>
      </c>
      <c r="L61" s="111">
        <f t="shared" si="25"/>
        <v>24587.119999999999</v>
      </c>
      <c r="M61" s="106"/>
      <c r="P61" s="63">
        <f t="shared" si="9"/>
        <v>0</v>
      </c>
      <c r="Q61" s="63">
        <v>300</v>
      </c>
      <c r="R61" s="111">
        <f t="shared" si="28"/>
        <v>24666.87</v>
      </c>
      <c r="S61" s="111">
        <v>79.75</v>
      </c>
      <c r="T61" s="111">
        <f t="shared" si="26"/>
        <v>24587.119999999999</v>
      </c>
      <c r="U61" s="106"/>
      <c r="Y61" s="66"/>
      <c r="Z61" s="66"/>
      <c r="AA61" s="63">
        <v>442</v>
      </c>
      <c r="AB61" s="63"/>
      <c r="AC61" s="63"/>
      <c r="AD61" s="63"/>
      <c r="AE61" s="66"/>
      <c r="AF61" s="360">
        <f t="shared" si="29"/>
        <v>2.9586648665728319E-3</v>
      </c>
      <c r="AG61" s="1" t="s">
        <v>511</v>
      </c>
      <c r="AH61" s="333">
        <v>3.8600000000000002E-2</v>
      </c>
      <c r="AI61" s="63">
        <f t="shared" si="27"/>
        <v>5237.95</v>
      </c>
      <c r="AJ61" s="63">
        <v>5221.95</v>
      </c>
      <c r="AK61" s="63">
        <v>16</v>
      </c>
      <c r="AL61" s="120">
        <v>0</v>
      </c>
      <c r="AM61" t="s">
        <v>512</v>
      </c>
    </row>
    <row r="62" spans="1:39">
      <c r="A62" s="14" t="s">
        <v>31</v>
      </c>
      <c r="B62" s="105">
        <v>45658</v>
      </c>
      <c r="C62" s="63">
        <f t="shared" ref="C62:C119" si="30">C61</f>
        <v>300</v>
      </c>
      <c r="D62" s="111">
        <f t="shared" si="22"/>
        <v>24445.91</v>
      </c>
      <c r="E62" s="111">
        <v>79.040000000000006</v>
      </c>
      <c r="F62" s="111">
        <f t="shared" si="23"/>
        <v>24366.87</v>
      </c>
      <c r="G62" s="63"/>
      <c r="H62" s="63">
        <f t="shared" si="8"/>
        <v>0</v>
      </c>
      <c r="I62" s="63">
        <f t="shared" ref="I62:I70" si="31">I61</f>
        <v>300</v>
      </c>
      <c r="J62" s="111">
        <f t="shared" si="24"/>
        <v>24445.91</v>
      </c>
      <c r="K62" s="111">
        <v>79.040000000000006</v>
      </c>
      <c r="L62" s="111">
        <f t="shared" si="25"/>
        <v>24366.87</v>
      </c>
      <c r="M62" s="106"/>
      <c r="P62" s="63">
        <f t="shared" si="9"/>
        <v>0</v>
      </c>
      <c r="Q62" s="63">
        <f t="shared" ref="Q62:Q70" si="32">Q61</f>
        <v>300</v>
      </c>
      <c r="R62" s="111">
        <f t="shared" si="28"/>
        <v>24445.91</v>
      </c>
      <c r="S62" s="111">
        <v>79.040000000000006</v>
      </c>
      <c r="T62" s="111">
        <f t="shared" si="26"/>
        <v>24366.87</v>
      </c>
      <c r="U62" s="106"/>
      <c r="Y62" s="66"/>
      <c r="Z62" s="66"/>
      <c r="AA62" s="63">
        <v>442</v>
      </c>
      <c r="AB62" s="63"/>
      <c r="AC62" s="63"/>
      <c r="AD62" s="63"/>
      <c r="AE62" s="66"/>
      <c r="AF62" s="360">
        <f t="shared" si="29"/>
        <v>2.9608069453505295E-3</v>
      </c>
      <c r="AG62" s="1" t="s">
        <v>514</v>
      </c>
      <c r="AH62" s="333">
        <v>3.8600000000000002E-2</v>
      </c>
      <c r="AI62" s="63">
        <f t="shared" si="27"/>
        <v>1998.81</v>
      </c>
      <c r="AJ62" s="63">
        <v>1992.7</v>
      </c>
      <c r="AK62" s="63">
        <v>6.11</v>
      </c>
      <c r="AL62" s="120">
        <v>0</v>
      </c>
      <c r="AM62" t="s">
        <v>513</v>
      </c>
    </row>
    <row r="63" spans="1:39">
      <c r="A63" s="14" t="s">
        <v>31</v>
      </c>
      <c r="B63" s="105">
        <v>45689</v>
      </c>
      <c r="C63" s="63">
        <f t="shared" si="30"/>
        <v>300</v>
      </c>
      <c r="D63" s="111">
        <f t="shared" si="22"/>
        <v>24226.93</v>
      </c>
      <c r="E63" s="111">
        <f>65.28</f>
        <v>65.28</v>
      </c>
      <c r="F63" s="111">
        <f>MAX(0,F62-(C63-E62))+24153.81-MAX(0,F62-(C63-E62))+7.84</f>
        <v>24161.65</v>
      </c>
      <c r="G63" s="63"/>
      <c r="H63" s="63">
        <f t="shared" si="8"/>
        <v>0</v>
      </c>
      <c r="I63" s="63">
        <f t="shared" si="31"/>
        <v>300</v>
      </c>
      <c r="J63" s="111">
        <f t="shared" si="24"/>
        <v>24226.93</v>
      </c>
      <c r="K63" s="111">
        <f>65.28</f>
        <v>65.28</v>
      </c>
      <c r="L63" s="111">
        <f>MAX(0,L62-(I63-K62))+24153.81-MAX(0,L62-(I63-K62))+7.84</f>
        <v>24161.65</v>
      </c>
      <c r="M63" s="106"/>
      <c r="P63" s="63">
        <f t="shared" si="9"/>
        <v>0</v>
      </c>
      <c r="Q63" s="63">
        <f t="shared" si="32"/>
        <v>300</v>
      </c>
      <c r="R63" s="111">
        <f t="shared" si="28"/>
        <v>24226.93</v>
      </c>
      <c r="S63" s="111">
        <f>65.28</f>
        <v>65.28</v>
      </c>
      <c r="T63" s="111">
        <f>MAX(0,T62-(Q63-S62))+24153.81-MAX(0,T62-(Q63-S62))+7.84</f>
        <v>24161.65</v>
      </c>
      <c r="U63" s="106"/>
      <c r="Y63" s="66"/>
      <c r="Z63" s="66"/>
      <c r="AA63" s="63">
        <v>442</v>
      </c>
      <c r="AB63" s="63"/>
      <c r="AC63" s="63"/>
      <c r="AD63" s="63"/>
      <c r="AE63" s="66"/>
      <c r="AF63" s="360">
        <f t="shared" si="29"/>
        <v>3.5688359511556124E-3</v>
      </c>
      <c r="AG63" s="1" t="s">
        <v>515</v>
      </c>
      <c r="AH63" s="333">
        <v>4.6600000000000003E-2</v>
      </c>
      <c r="AI63" s="63">
        <f t="shared" si="27"/>
        <v>2492.5299999999997</v>
      </c>
      <c r="AJ63" s="63">
        <v>2465.79</v>
      </c>
      <c r="AK63" s="63">
        <v>26.74</v>
      </c>
      <c r="AL63" s="120">
        <v>0</v>
      </c>
      <c r="AM63" t="s">
        <v>512</v>
      </c>
    </row>
    <row r="64" spans="1:39">
      <c r="A64" s="14" t="s">
        <v>31</v>
      </c>
      <c r="B64" s="105">
        <v>45717</v>
      </c>
      <c r="C64" s="63">
        <f t="shared" si="30"/>
        <v>300</v>
      </c>
      <c r="D64" s="111">
        <f t="shared" si="22"/>
        <v>24001.94</v>
      </c>
      <c r="E64" s="111">
        <v>75.010000000000005</v>
      </c>
      <c r="F64" s="111">
        <f t="shared" si="23"/>
        <v>23926.93</v>
      </c>
      <c r="G64" s="63"/>
      <c r="H64" s="63">
        <f t="shared" si="8"/>
        <v>0</v>
      </c>
      <c r="I64" s="63">
        <f t="shared" si="31"/>
        <v>300</v>
      </c>
      <c r="J64" s="111">
        <f t="shared" si="24"/>
        <v>24001.94</v>
      </c>
      <c r="K64" s="111">
        <v>75.010000000000005</v>
      </c>
      <c r="L64" s="111">
        <f>MAX(0,L63-(I64-K63))</f>
        <v>23926.93</v>
      </c>
      <c r="M64" s="106"/>
      <c r="P64" s="63">
        <f t="shared" si="9"/>
        <v>0</v>
      </c>
      <c r="Q64" s="63">
        <f t="shared" si="32"/>
        <v>300</v>
      </c>
      <c r="R64" s="111">
        <f t="shared" si="28"/>
        <v>24001.94</v>
      </c>
      <c r="S64" s="111">
        <v>75.010000000000005</v>
      </c>
      <c r="T64" s="111">
        <f>MAX(0,T63-(Q64-S63))</f>
        <v>23926.93</v>
      </c>
      <c r="U64" s="106"/>
      <c r="Y64" s="66"/>
      <c r="Z64" s="66"/>
      <c r="AA64" s="63">
        <v>442</v>
      </c>
      <c r="AB64" s="63"/>
      <c r="AC64" s="63"/>
      <c r="AD64" s="63"/>
      <c r="AE64" s="66"/>
      <c r="AF64" s="360"/>
      <c r="AG64" s="1" t="s">
        <v>516</v>
      </c>
      <c r="AH64" s="333"/>
      <c r="AI64" s="63">
        <v>0</v>
      </c>
      <c r="AJ64" s="63">
        <v>0</v>
      </c>
      <c r="AK64" s="63">
        <v>0</v>
      </c>
      <c r="AL64" s="120">
        <v>0</v>
      </c>
      <c r="AM64" t="s">
        <v>513</v>
      </c>
    </row>
    <row r="65" spans="1:39">
      <c r="A65" s="14" t="s">
        <v>31</v>
      </c>
      <c r="B65" s="105">
        <v>45748</v>
      </c>
      <c r="C65" s="63">
        <f t="shared" si="30"/>
        <v>300</v>
      </c>
      <c r="D65" s="111">
        <f t="shared" si="22"/>
        <v>23789.09</v>
      </c>
      <c r="E65" s="111">
        <f>79.44+5.14</f>
        <v>84.58</v>
      </c>
      <c r="F65" s="111">
        <f>MAX(0,F64-(C65-E64))+2.57</f>
        <v>23704.51</v>
      </c>
      <c r="G65" s="63"/>
      <c r="H65" s="63">
        <f t="shared" si="8"/>
        <v>0</v>
      </c>
      <c r="I65" s="63">
        <f t="shared" si="31"/>
        <v>300</v>
      </c>
      <c r="J65" s="111">
        <f t="shared" si="24"/>
        <v>23789.09</v>
      </c>
      <c r="K65" s="111">
        <f>79.44+5.14</f>
        <v>84.58</v>
      </c>
      <c r="L65" s="111">
        <f>MAX(0,L64-(I65-K64))+2.57</f>
        <v>23704.51</v>
      </c>
      <c r="M65" s="106"/>
      <c r="P65" s="63">
        <f t="shared" si="9"/>
        <v>0</v>
      </c>
      <c r="Q65" s="63">
        <f t="shared" si="32"/>
        <v>300</v>
      </c>
      <c r="R65" s="111">
        <f t="shared" si="28"/>
        <v>23789.09</v>
      </c>
      <c r="S65" s="111">
        <f>79.44+5.14</f>
        <v>84.58</v>
      </c>
      <c r="T65" s="111">
        <f>MAX(0,T64-(Q65-S64))+2.57</f>
        <v>23704.51</v>
      </c>
      <c r="U65" s="106"/>
      <c r="Y65" s="66"/>
      <c r="Z65" s="66"/>
      <c r="AA65" s="63">
        <v>442</v>
      </c>
      <c r="AB65" s="63"/>
      <c r="AC65" s="63"/>
      <c r="AD65" s="63"/>
      <c r="AE65" s="66"/>
      <c r="AF65" s="360">
        <f t="shared" si="29"/>
        <v>3.2861176812236581E-3</v>
      </c>
      <c r="AG65" s="1" t="s">
        <v>517</v>
      </c>
      <c r="AH65" s="333">
        <v>4.2900000000000001E-2</v>
      </c>
      <c r="AI65" s="63">
        <f>AJ65+AK65+AL65</f>
        <v>2625.98</v>
      </c>
      <c r="AJ65" s="63">
        <v>2617.0700000000002</v>
      </c>
      <c r="AK65" s="63">
        <v>8.91</v>
      </c>
      <c r="AL65" s="120">
        <v>0</v>
      </c>
      <c r="AM65" t="s">
        <v>512</v>
      </c>
    </row>
    <row r="66" spans="1:39">
      <c r="A66" s="14" t="s">
        <v>31</v>
      </c>
      <c r="B66" s="105">
        <v>45778</v>
      </c>
      <c r="C66" s="63">
        <f t="shared" si="30"/>
        <v>300</v>
      </c>
      <c r="D66" s="111">
        <f t="shared" si="22"/>
        <v>23560.15</v>
      </c>
      <c r="E66" s="111">
        <f>68.53+2.53</f>
        <v>71.06</v>
      </c>
      <c r="F66" s="111">
        <f t="shared" si="23"/>
        <v>23489.09</v>
      </c>
      <c r="G66" s="63"/>
      <c r="H66" s="63">
        <f t="shared" si="8"/>
        <v>0</v>
      </c>
      <c r="I66" s="63">
        <f t="shared" si="31"/>
        <v>300</v>
      </c>
      <c r="J66" s="111">
        <f t="shared" si="24"/>
        <v>23560.15</v>
      </c>
      <c r="K66" s="111">
        <f>68.53+2.53</f>
        <v>71.06</v>
      </c>
      <c r="L66" s="111">
        <f>MAX(0,L65-(I66-K65))</f>
        <v>23489.09</v>
      </c>
      <c r="M66" s="106"/>
      <c r="P66" s="63">
        <f t="shared" si="9"/>
        <v>0</v>
      </c>
      <c r="Q66" s="63">
        <f t="shared" si="32"/>
        <v>300</v>
      </c>
      <c r="R66" s="111">
        <f t="shared" si="28"/>
        <v>23560.15</v>
      </c>
      <c r="S66" s="111">
        <f>68.53+2.53</f>
        <v>71.06</v>
      </c>
      <c r="T66" s="111">
        <f>MAX(0,T65-(Q66-S65))</f>
        <v>23489.09</v>
      </c>
      <c r="U66" s="106"/>
      <c r="Y66" s="66"/>
      <c r="Z66" s="66"/>
      <c r="AA66" s="63">
        <v>442</v>
      </c>
      <c r="AB66" s="63"/>
      <c r="AC66" s="63"/>
      <c r="AD66" s="63"/>
      <c r="AE66" s="66"/>
      <c r="AF66" s="360">
        <f t="shared" si="29"/>
        <v>3.2968688971789007E-3</v>
      </c>
      <c r="AG66" s="1" t="s">
        <v>518</v>
      </c>
      <c r="AH66" s="333">
        <v>4.2999999999999997E-2</v>
      </c>
      <c r="AI66" s="63">
        <f>AJ66+AK66+AL66</f>
        <v>6525.34</v>
      </c>
      <c r="AJ66" s="63">
        <v>6503.14</v>
      </c>
      <c r="AK66" s="63">
        <v>22.2</v>
      </c>
      <c r="AL66" s="120">
        <v>0</v>
      </c>
      <c r="AM66" t="s">
        <v>513</v>
      </c>
    </row>
    <row r="67" spans="1:39">
      <c r="A67" s="14" t="s">
        <v>31</v>
      </c>
      <c r="B67" s="105">
        <v>45809</v>
      </c>
      <c r="C67" s="63">
        <f t="shared" si="30"/>
        <v>300</v>
      </c>
      <c r="D67" s="111">
        <f t="shared" si="22"/>
        <v>23333.050000000003</v>
      </c>
      <c r="E67" s="111">
        <v>72.900000000000006</v>
      </c>
      <c r="F67" s="111">
        <f t="shared" si="23"/>
        <v>23260.15</v>
      </c>
      <c r="G67" s="63"/>
      <c r="H67" s="63">
        <f t="shared" si="8"/>
        <v>0</v>
      </c>
      <c r="I67" s="63">
        <f t="shared" si="31"/>
        <v>300</v>
      </c>
      <c r="J67" s="111">
        <f t="shared" si="24"/>
        <v>23333.050000000003</v>
      </c>
      <c r="K67" s="111">
        <v>72.900000000000006</v>
      </c>
      <c r="L67" s="111">
        <f>MAX(0,L66-(I67-K66))</f>
        <v>23260.15</v>
      </c>
      <c r="M67" s="106"/>
      <c r="P67" s="63">
        <f t="shared" si="9"/>
        <v>0</v>
      </c>
      <c r="Q67" s="63">
        <f t="shared" si="32"/>
        <v>300</v>
      </c>
      <c r="R67" s="111">
        <f t="shared" si="28"/>
        <v>23333.050000000003</v>
      </c>
      <c r="S67" s="111">
        <v>72.900000000000006</v>
      </c>
      <c r="T67" s="111">
        <f>MAX(0,T66-(Q67-S66))</f>
        <v>23260.15</v>
      </c>
      <c r="U67" s="106"/>
      <c r="Y67" s="66"/>
      <c r="Z67" s="66"/>
      <c r="AA67" s="63">
        <v>442</v>
      </c>
      <c r="AB67" s="63"/>
      <c r="AC67" s="63"/>
      <c r="AD67" s="63"/>
      <c r="AE67" s="66"/>
      <c r="AF67" s="66"/>
      <c r="AK67" s="6">
        <f>SUM(AK57:AK66)</f>
        <v>100.42</v>
      </c>
    </row>
    <row r="68" spans="1:39">
      <c r="A68" s="14" t="s">
        <v>31</v>
      </c>
      <c r="B68" s="105">
        <v>45839</v>
      </c>
      <c r="C68" s="63">
        <v>400</v>
      </c>
      <c r="D68" s="111">
        <f t="shared" si="22"/>
        <v>23009.83</v>
      </c>
      <c r="E68" s="111">
        <f>74.3+2.48</f>
        <v>76.78</v>
      </c>
      <c r="F68" s="111">
        <f t="shared" si="23"/>
        <v>22933.050000000003</v>
      </c>
      <c r="G68" s="63"/>
      <c r="H68" s="63">
        <f t="shared" si="8"/>
        <v>-100</v>
      </c>
      <c r="I68" s="63">
        <v>400</v>
      </c>
      <c r="J68" s="111">
        <f t="shared" ref="J68:J120" si="33">K68+L68</f>
        <v>23009.83</v>
      </c>
      <c r="K68" s="111">
        <f>74.3+2.48</f>
        <v>76.78</v>
      </c>
      <c r="L68" s="111">
        <f t="shared" si="25"/>
        <v>22933.050000000003</v>
      </c>
      <c r="M68" s="106">
        <v>0</v>
      </c>
      <c r="P68" s="63">
        <f t="shared" si="9"/>
        <v>-100</v>
      </c>
      <c r="Q68" s="63">
        <v>400</v>
      </c>
      <c r="R68" s="111">
        <f t="shared" si="28"/>
        <v>23009.83</v>
      </c>
      <c r="S68" s="111">
        <f>74.3+2.48</f>
        <v>76.78</v>
      </c>
      <c r="T68" s="111">
        <f t="shared" si="26"/>
        <v>22933.050000000003</v>
      </c>
      <c r="U68" s="106">
        <v>0</v>
      </c>
      <c r="Y68" s="66"/>
      <c r="Z68" s="66"/>
      <c r="AA68" s="63">
        <v>442</v>
      </c>
      <c r="AB68" s="63"/>
      <c r="AC68" s="63"/>
      <c r="AD68" s="63"/>
      <c r="AE68" s="66"/>
      <c r="AF68" s="66"/>
    </row>
    <row r="69" spans="1:39">
      <c r="A69" s="14" t="s">
        <v>31</v>
      </c>
      <c r="B69" s="105">
        <v>45870</v>
      </c>
      <c r="C69" s="63">
        <v>400</v>
      </c>
      <c r="D69" s="111">
        <f t="shared" si="22"/>
        <v>22687.9</v>
      </c>
      <c r="E69" s="111">
        <f>75.62+2.45</f>
        <v>78.070000000000007</v>
      </c>
      <c r="F69" s="111">
        <f t="shared" si="23"/>
        <v>22609.83</v>
      </c>
      <c r="G69" s="63"/>
      <c r="H69" s="63">
        <f t="shared" si="8"/>
        <v>0</v>
      </c>
      <c r="I69" s="63">
        <v>400</v>
      </c>
      <c r="J69" s="111">
        <f t="shared" si="33"/>
        <v>22687.9</v>
      </c>
      <c r="K69" s="111">
        <f>75.62+2.45</f>
        <v>78.070000000000007</v>
      </c>
      <c r="L69" s="111">
        <f t="shared" si="25"/>
        <v>22609.83</v>
      </c>
      <c r="M69" s="106">
        <f>M68+$M$20</f>
        <v>0.5</v>
      </c>
      <c r="P69" s="63">
        <f t="shared" si="9"/>
        <v>0</v>
      </c>
      <c r="Q69" s="63">
        <v>400</v>
      </c>
      <c r="R69" s="111">
        <f t="shared" si="28"/>
        <v>22687.9</v>
      </c>
      <c r="S69" s="111">
        <f>75.62+2.45</f>
        <v>78.070000000000007</v>
      </c>
      <c r="T69" s="111">
        <f t="shared" si="26"/>
        <v>22609.83</v>
      </c>
      <c r="U69" s="106">
        <f t="shared" ref="U69:U119" si="34">U68+$U$20</f>
        <v>0.1</v>
      </c>
      <c r="Y69" s="66"/>
      <c r="Z69" s="66"/>
      <c r="AA69" s="63">
        <v>442</v>
      </c>
      <c r="AB69" s="63"/>
      <c r="AC69" s="63"/>
      <c r="AD69" s="63"/>
      <c r="AE69" s="66"/>
      <c r="AF69" s="102">
        <v>45419</v>
      </c>
      <c r="AH69" s="8" t="s">
        <v>521</v>
      </c>
      <c r="AI69" s="6">
        <v>26482.33</v>
      </c>
      <c r="AJ69" s="452" t="s">
        <v>560</v>
      </c>
      <c r="AK69" s="452"/>
      <c r="AL69" s="452"/>
      <c r="AM69" s="338">
        <v>234.01</v>
      </c>
    </row>
    <row r="70" spans="1:39">
      <c r="A70" s="14" t="s">
        <v>31</v>
      </c>
      <c r="B70" s="105">
        <v>45901</v>
      </c>
      <c r="C70" s="63">
        <f t="shared" si="30"/>
        <v>400</v>
      </c>
      <c r="D70" s="111">
        <f t="shared" si="22"/>
        <v>22364.400000000001</v>
      </c>
      <c r="E70" s="111">
        <v>76.5</v>
      </c>
      <c r="F70" s="111">
        <f t="shared" si="23"/>
        <v>22287.9</v>
      </c>
      <c r="G70" s="63"/>
      <c r="H70" s="63">
        <f t="shared" si="8"/>
        <v>0</v>
      </c>
      <c r="I70" s="63">
        <f t="shared" si="31"/>
        <v>400</v>
      </c>
      <c r="J70" s="111">
        <f t="shared" si="33"/>
        <v>22364.400000000001</v>
      </c>
      <c r="K70" s="111">
        <v>76.5</v>
      </c>
      <c r="L70" s="111">
        <f t="shared" si="25"/>
        <v>22287.9</v>
      </c>
      <c r="M70" s="106">
        <f t="shared" ref="M70:M88" si="35">M69+$M$20</f>
        <v>1</v>
      </c>
      <c r="P70" s="63">
        <f t="shared" si="9"/>
        <v>0</v>
      </c>
      <c r="Q70" s="63">
        <f t="shared" si="32"/>
        <v>400</v>
      </c>
      <c r="R70" s="111">
        <f t="shared" si="28"/>
        <v>22364.400000000001</v>
      </c>
      <c r="S70" s="111">
        <v>76.5</v>
      </c>
      <c r="T70" s="111">
        <f t="shared" si="26"/>
        <v>22287.9</v>
      </c>
      <c r="U70" s="106">
        <f t="shared" si="34"/>
        <v>0.2</v>
      </c>
      <c r="Y70" s="66"/>
      <c r="Z70" s="66"/>
      <c r="AA70" s="63">
        <v>442</v>
      </c>
      <c r="AB70" s="63"/>
      <c r="AC70" s="63"/>
      <c r="AD70" s="63"/>
      <c r="AE70" s="66"/>
      <c r="AG70" t="s">
        <v>508</v>
      </c>
      <c r="AH70" t="s">
        <v>520</v>
      </c>
      <c r="AI70" t="s">
        <v>12</v>
      </c>
      <c r="AJ70" t="s">
        <v>519</v>
      </c>
      <c r="AK70" t="s">
        <v>154</v>
      </c>
      <c r="AL70" t="s">
        <v>332</v>
      </c>
    </row>
    <row r="71" spans="1:39">
      <c r="A71" s="14" t="s">
        <v>31</v>
      </c>
      <c r="B71" s="105">
        <v>45931</v>
      </c>
      <c r="C71" s="63">
        <v>300</v>
      </c>
      <c r="D71" s="111">
        <f t="shared" si="22"/>
        <v>22135.800000000003</v>
      </c>
      <c r="E71" s="111">
        <f>71.4</f>
        <v>71.400000000000006</v>
      </c>
      <c r="F71" s="111">
        <f t="shared" si="23"/>
        <v>22064.400000000001</v>
      </c>
      <c r="G71" s="63"/>
      <c r="H71" s="63">
        <f t="shared" si="8"/>
        <v>100</v>
      </c>
      <c r="I71" s="63">
        <v>300</v>
      </c>
      <c r="J71" s="111">
        <f>L71+K71</f>
        <v>22135.800000000003</v>
      </c>
      <c r="K71" s="111">
        <f>71.4</f>
        <v>71.400000000000006</v>
      </c>
      <c r="L71" s="111">
        <f t="shared" si="25"/>
        <v>22064.400000000001</v>
      </c>
      <c r="M71" s="106">
        <f t="shared" si="35"/>
        <v>1.5</v>
      </c>
      <c r="P71" s="63">
        <f t="shared" si="9"/>
        <v>100</v>
      </c>
      <c r="Q71" s="63">
        <v>300</v>
      </c>
      <c r="R71" s="111">
        <f>T71+S71</f>
        <v>22135.800000000003</v>
      </c>
      <c r="S71" s="111">
        <f>71.4</f>
        <v>71.400000000000006</v>
      </c>
      <c r="T71" s="111">
        <f t="shared" si="26"/>
        <v>22064.400000000001</v>
      </c>
      <c r="U71" s="106">
        <f t="shared" si="34"/>
        <v>0.30000000000000004</v>
      </c>
      <c r="Y71" s="66"/>
      <c r="Z71" s="66"/>
      <c r="AA71" s="63">
        <v>442</v>
      </c>
      <c r="AB71" s="63"/>
      <c r="AC71" s="63"/>
      <c r="AD71" s="63"/>
      <c r="AE71" s="66"/>
      <c r="AF71" s="360">
        <f>(AK71)/AJ71</f>
        <v>3.3508263964290024E-3</v>
      </c>
      <c r="AG71" s="1" t="s">
        <v>506</v>
      </c>
      <c r="AH71" s="333">
        <v>3.4000000000000002E-2</v>
      </c>
      <c r="AI71" s="63">
        <f>AJ71+AK71+AL71</f>
        <v>3326.71</v>
      </c>
      <c r="AJ71" s="63">
        <v>3315.6</v>
      </c>
      <c r="AK71" s="63">
        <v>11.11</v>
      </c>
      <c r="AL71" s="120">
        <v>0</v>
      </c>
      <c r="AM71" t="s">
        <v>512</v>
      </c>
    </row>
    <row r="72" spans="1:39">
      <c r="A72" s="14" t="s">
        <v>31</v>
      </c>
      <c r="B72" s="105">
        <v>45962</v>
      </c>
      <c r="C72" s="63">
        <v>250</v>
      </c>
      <c r="D72" s="111">
        <f t="shared" si="22"/>
        <v>21971.890000000003</v>
      </c>
      <c r="E72" s="111">
        <v>86.09</v>
      </c>
      <c r="F72" s="111">
        <f t="shared" si="23"/>
        <v>21885.800000000003</v>
      </c>
      <c r="G72" s="63"/>
      <c r="H72" s="63">
        <f t="shared" si="8"/>
        <v>50</v>
      </c>
      <c r="I72" s="63">
        <v>250</v>
      </c>
      <c r="J72" s="111">
        <f>L72+K72</f>
        <v>21971.890000000003</v>
      </c>
      <c r="K72" s="111">
        <v>86.09</v>
      </c>
      <c r="L72" s="111">
        <f t="shared" si="25"/>
        <v>21885.800000000003</v>
      </c>
      <c r="M72" s="106">
        <f t="shared" si="35"/>
        <v>2</v>
      </c>
      <c r="P72" s="63">
        <f t="shared" si="9"/>
        <v>50</v>
      </c>
      <c r="Q72" s="63">
        <v>250</v>
      </c>
      <c r="R72" s="111">
        <f>T72+S72</f>
        <v>21971.890000000003</v>
      </c>
      <c r="S72" s="111">
        <v>86.09</v>
      </c>
      <c r="T72" s="111">
        <f t="shared" si="26"/>
        <v>21885.800000000003</v>
      </c>
      <c r="U72" s="106">
        <f t="shared" si="34"/>
        <v>0.4</v>
      </c>
      <c r="Y72" s="66"/>
      <c r="Z72" s="66"/>
      <c r="AA72" s="63">
        <v>442</v>
      </c>
      <c r="AB72" s="63"/>
      <c r="AC72" s="63"/>
      <c r="AD72" s="63"/>
      <c r="AE72" s="66"/>
      <c r="AF72" s="360"/>
      <c r="AG72" s="1" t="s">
        <v>507</v>
      </c>
      <c r="AI72" s="63">
        <f t="shared" ref="AI72:AI77" si="36">AJ72+AK72+AL72</f>
        <v>0</v>
      </c>
      <c r="AJ72" s="63">
        <v>0</v>
      </c>
      <c r="AK72" s="63">
        <v>0</v>
      </c>
      <c r="AL72" s="120">
        <v>0</v>
      </c>
      <c r="AM72" t="s">
        <v>513</v>
      </c>
    </row>
    <row r="73" spans="1:39">
      <c r="A73" s="14" t="s">
        <v>31</v>
      </c>
      <c r="B73" s="105">
        <v>45992</v>
      </c>
      <c r="C73" s="63">
        <f>285.51+300.01</f>
        <v>585.52</v>
      </c>
      <c r="D73" s="111">
        <f t="shared" si="22"/>
        <v>21442.610000000004</v>
      </c>
      <c r="E73" s="111">
        <v>56.24</v>
      </c>
      <c r="F73" s="111">
        <f t="shared" si="23"/>
        <v>21386.370000000003</v>
      </c>
      <c r="G73" s="63"/>
      <c r="H73" s="63">
        <f t="shared" si="8"/>
        <v>-335.52</v>
      </c>
      <c r="I73" s="63">
        <f>285.51+300.01</f>
        <v>585.52</v>
      </c>
      <c r="J73" s="111">
        <f>L73+K73</f>
        <v>21442.610000000004</v>
      </c>
      <c r="K73" s="111">
        <v>56.24</v>
      </c>
      <c r="L73" s="111">
        <f t="shared" si="25"/>
        <v>21386.370000000003</v>
      </c>
      <c r="M73" s="106">
        <f t="shared" si="35"/>
        <v>2.5</v>
      </c>
      <c r="P73" s="63">
        <f t="shared" si="9"/>
        <v>-335.52</v>
      </c>
      <c r="Q73" s="63">
        <f>285.51+300.01</f>
        <v>585.52</v>
      </c>
      <c r="R73" s="111">
        <f>T73+S73</f>
        <v>21442.610000000004</v>
      </c>
      <c r="S73" s="111">
        <v>56.24</v>
      </c>
      <c r="T73" s="111">
        <f t="shared" si="26"/>
        <v>21386.370000000003</v>
      </c>
      <c r="U73" s="106">
        <f t="shared" si="34"/>
        <v>0.5</v>
      </c>
      <c r="Y73" s="66"/>
      <c r="Z73" s="66"/>
      <c r="AA73" s="63">
        <v>442</v>
      </c>
      <c r="AB73" s="63"/>
      <c r="AC73" s="63"/>
      <c r="AD73" s="63"/>
      <c r="AE73" s="66"/>
      <c r="AF73" s="360">
        <f>(AK73-AK59)/AJ73</f>
        <v>6.5171626430610954E-4</v>
      </c>
      <c r="AG73" s="1" t="s">
        <v>509</v>
      </c>
      <c r="AH73" s="333">
        <v>3.4000000000000002E-2</v>
      </c>
      <c r="AI73" s="63">
        <f t="shared" si="36"/>
        <v>4279.95</v>
      </c>
      <c r="AJ73" s="63">
        <v>4265.66</v>
      </c>
      <c r="AK73" s="63">
        <v>14.29</v>
      </c>
      <c r="AL73" s="120">
        <v>0</v>
      </c>
      <c r="AM73" t="s">
        <v>512</v>
      </c>
    </row>
    <row r="74" spans="1:39">
      <c r="A74" s="14" t="s">
        <v>31</v>
      </c>
      <c r="B74" s="105">
        <v>46023</v>
      </c>
      <c r="C74" s="63">
        <v>172.47</v>
      </c>
      <c r="D74" s="111">
        <f t="shared" si="22"/>
        <v>21334.240000000002</v>
      </c>
      <c r="E74" s="111">
        <v>64.099999999999994</v>
      </c>
      <c r="F74" s="111">
        <f t="shared" si="23"/>
        <v>21270.140000000003</v>
      </c>
      <c r="G74" s="63"/>
      <c r="H74" s="63">
        <f t="shared" si="8"/>
        <v>413.04999999999995</v>
      </c>
      <c r="I74" s="63">
        <v>172.47</v>
      </c>
      <c r="J74" s="111">
        <f t="shared" ref="J74" si="37">L74+K74</f>
        <v>21334.240000000002</v>
      </c>
      <c r="K74" s="111">
        <v>64.099999999999994</v>
      </c>
      <c r="L74" s="111">
        <f t="shared" si="25"/>
        <v>21270.140000000003</v>
      </c>
      <c r="M74" s="106">
        <f t="shared" si="35"/>
        <v>3</v>
      </c>
      <c r="P74" s="63">
        <f t="shared" si="9"/>
        <v>413.04999999999995</v>
      </c>
      <c r="Q74" s="63">
        <v>172.47</v>
      </c>
      <c r="R74" s="111">
        <f t="shared" ref="R74" si="38">T74+S74</f>
        <v>21334.240000000002</v>
      </c>
      <c r="S74" s="111">
        <v>64.099999999999994</v>
      </c>
      <c r="T74" s="111">
        <f t="shared" si="26"/>
        <v>21270.140000000003</v>
      </c>
      <c r="U74" s="106">
        <f t="shared" si="34"/>
        <v>0.6</v>
      </c>
      <c r="Y74" s="66"/>
      <c r="Z74" s="66"/>
      <c r="AA74" s="63">
        <v>442</v>
      </c>
      <c r="AB74" s="63"/>
      <c r="AC74" s="63"/>
      <c r="AD74" s="63"/>
      <c r="AE74" s="66"/>
      <c r="AF74" s="360"/>
      <c r="AG74" s="1" t="s">
        <v>510</v>
      </c>
      <c r="AI74" s="63">
        <f t="shared" si="36"/>
        <v>0</v>
      </c>
      <c r="AJ74" s="63">
        <v>0</v>
      </c>
      <c r="AK74" s="63">
        <v>0</v>
      </c>
      <c r="AL74" s="120">
        <v>0</v>
      </c>
      <c r="AM74" t="s">
        <v>512</v>
      </c>
    </row>
    <row r="75" spans="1:39" ht="17.25">
      <c r="A75" s="14" t="s">
        <v>31</v>
      </c>
      <c r="B75" s="105">
        <v>46054</v>
      </c>
      <c r="C75" s="63">
        <v>227.1</v>
      </c>
      <c r="D75" s="117">
        <f t="shared" si="22"/>
        <v>21107.140000000003</v>
      </c>
      <c r="E75" s="369">
        <v>0</v>
      </c>
      <c r="F75" s="117">
        <f t="shared" si="23"/>
        <v>21107.140000000003</v>
      </c>
      <c r="G75" s="63"/>
      <c r="H75" s="63">
        <f t="shared" si="8"/>
        <v>-54.629999999999995</v>
      </c>
      <c r="I75" s="63">
        <v>227.1</v>
      </c>
      <c r="J75" s="117">
        <f t="shared" si="33"/>
        <v>21107.140000000003</v>
      </c>
      <c r="K75" s="369">
        <v>0</v>
      </c>
      <c r="L75" s="117">
        <f t="shared" si="25"/>
        <v>21107.140000000003</v>
      </c>
      <c r="M75" s="106">
        <f t="shared" si="35"/>
        <v>3.5</v>
      </c>
      <c r="P75" s="63">
        <f t="shared" si="9"/>
        <v>-54.629999999999995</v>
      </c>
      <c r="Q75" s="63">
        <v>227.1</v>
      </c>
      <c r="R75" s="117">
        <f t="shared" si="28"/>
        <v>21107.140000000003</v>
      </c>
      <c r="S75" s="369">
        <v>0</v>
      </c>
      <c r="T75" s="117">
        <f t="shared" si="26"/>
        <v>21107.140000000003</v>
      </c>
      <c r="U75" s="106">
        <f t="shared" si="34"/>
        <v>0.7</v>
      </c>
      <c r="Y75" s="66"/>
      <c r="Z75" s="66"/>
      <c r="AA75" s="63">
        <v>442</v>
      </c>
      <c r="AB75" s="63"/>
      <c r="AC75" s="63"/>
      <c r="AD75" s="63"/>
      <c r="AE75" s="66"/>
      <c r="AF75" s="360">
        <f>(AK75-AK61)/AJ75</f>
        <v>7.3918746828292099E-4</v>
      </c>
      <c r="AG75" s="1" t="s">
        <v>511</v>
      </c>
      <c r="AH75" s="333">
        <v>3.8600000000000002E-2</v>
      </c>
      <c r="AI75" s="63">
        <f t="shared" si="36"/>
        <v>5241.8099999999995</v>
      </c>
      <c r="AJ75" s="63">
        <v>5221.95</v>
      </c>
      <c r="AK75" s="63">
        <v>19.86</v>
      </c>
      <c r="AL75" s="120">
        <v>0</v>
      </c>
      <c r="AM75" t="s">
        <v>512</v>
      </c>
    </row>
    <row r="76" spans="1:39">
      <c r="B76" s="105">
        <v>46082</v>
      </c>
      <c r="C76" s="63">
        <v>370</v>
      </c>
      <c r="D76" s="111">
        <f t="shared" si="22"/>
        <v>20814.904275000004</v>
      </c>
      <c r="E76" s="63">
        <f t="shared" ref="E76:E119" si="39">F76*0.00375</f>
        <v>77.764275000000012</v>
      </c>
      <c r="F76" s="111">
        <f t="shared" si="23"/>
        <v>20737.140000000003</v>
      </c>
      <c r="G76" s="63"/>
      <c r="H76" s="63">
        <f t="shared" si="8"/>
        <v>-324.55875365707482</v>
      </c>
      <c r="I76" s="63">
        <f t="shared" ref="I76:I94" si="40">$M$22*EXP(-0.024*M75)</f>
        <v>551.65875365707484</v>
      </c>
      <c r="J76" s="63">
        <f t="shared" si="33"/>
        <v>20629.693950582929</v>
      </c>
      <c r="K76" s="63">
        <f t="shared" ref="K76:K120" si="41">L75*0.003516</f>
        <v>74.212704240000008</v>
      </c>
      <c r="L76" s="63">
        <f t="shared" si="25"/>
        <v>20555.48124634293</v>
      </c>
      <c r="M76" s="106">
        <f t="shared" si="35"/>
        <v>4</v>
      </c>
      <c r="P76" s="63">
        <f t="shared" si="9"/>
        <v>-264.57016651801064</v>
      </c>
      <c r="Q76" s="63">
        <f t="shared" ref="Q76:Q94" si="42">$U$22*EXP(-0.024*U75)</f>
        <v>491.6701665180106</v>
      </c>
      <c r="R76" s="63">
        <f t="shared" si="28"/>
        <v>20689.68253772199</v>
      </c>
      <c r="S76" s="63">
        <f t="shared" ref="S76:S120" si="43">T75*0.003516</f>
        <v>74.212704240000008</v>
      </c>
      <c r="T76" s="63">
        <f t="shared" si="26"/>
        <v>20615.469833481991</v>
      </c>
      <c r="U76" s="106">
        <f t="shared" si="34"/>
        <v>0.79999999999999993</v>
      </c>
      <c r="Y76" s="66"/>
      <c r="Z76" s="66"/>
      <c r="AA76" s="63">
        <v>442</v>
      </c>
      <c r="AB76" s="63"/>
      <c r="AC76" s="63"/>
      <c r="AD76" s="63"/>
      <c r="AE76" s="66"/>
      <c r="AF76" s="360">
        <f>(AK76-AK62)/AJ76</f>
        <v>7.3769257790936909E-4</v>
      </c>
      <c r="AG76" s="1" t="s">
        <v>514</v>
      </c>
      <c r="AH76" s="333">
        <v>3.8600000000000002E-2</v>
      </c>
      <c r="AI76" s="63">
        <f t="shared" si="36"/>
        <v>2000.28</v>
      </c>
      <c r="AJ76" s="63">
        <v>1992.7</v>
      </c>
      <c r="AK76" s="63">
        <v>7.58</v>
      </c>
      <c r="AL76" s="120">
        <v>0</v>
      </c>
      <c r="AM76" t="s">
        <v>513</v>
      </c>
    </row>
    <row r="77" spans="1:39">
      <c r="B77" s="105">
        <v>46113</v>
      </c>
      <c r="C77" s="63">
        <f t="shared" si="30"/>
        <v>370</v>
      </c>
      <c r="D77" s="111">
        <f t="shared" si="22"/>
        <v>20521.572666031254</v>
      </c>
      <c r="E77" s="63">
        <f t="shared" si="39"/>
        <v>76.66839103125001</v>
      </c>
      <c r="F77" s="111">
        <f t="shared" si="23"/>
        <v>20444.904275000004</v>
      </c>
      <c r="G77" s="63"/>
      <c r="H77" s="63">
        <f t="shared" si="8"/>
        <v>6.5803440158510966</v>
      </c>
      <c r="I77" s="63">
        <f t="shared" si="40"/>
        <v>545.07840964122374</v>
      </c>
      <c r="J77" s="63">
        <f t="shared" si="33"/>
        <v>20156.888613003845</v>
      </c>
      <c r="K77" s="63">
        <f t="shared" si="41"/>
        <v>72.273072062141736</v>
      </c>
      <c r="L77" s="63">
        <f t="shared" si="25"/>
        <v>20084.615540941704</v>
      </c>
      <c r="M77" s="106">
        <f t="shared" si="35"/>
        <v>4.5</v>
      </c>
      <c r="P77" s="63">
        <f t="shared" si="9"/>
        <v>1.1785935216923917</v>
      </c>
      <c r="Q77" s="63">
        <f t="shared" si="42"/>
        <v>490.49157299631821</v>
      </c>
      <c r="R77" s="63">
        <f t="shared" si="28"/>
        <v>20271.674956660194</v>
      </c>
      <c r="S77" s="63">
        <f t="shared" si="43"/>
        <v>72.483991934522678</v>
      </c>
      <c r="T77" s="63">
        <f t="shared" si="26"/>
        <v>20199.190964725673</v>
      </c>
      <c r="U77" s="106">
        <f t="shared" si="34"/>
        <v>0.89999999999999991</v>
      </c>
      <c r="Y77" s="66"/>
      <c r="Z77" s="66"/>
      <c r="AA77" s="63">
        <v>442</v>
      </c>
      <c r="AB77" s="63"/>
      <c r="AC77" s="63"/>
      <c r="AD77" s="63"/>
      <c r="AE77" s="66"/>
      <c r="AF77" s="360">
        <f>(AK77-AK63)/AJ77</f>
        <v>8.9626448318794421E-4</v>
      </c>
      <c r="AG77" s="1" t="s">
        <v>515</v>
      </c>
      <c r="AH77" s="333">
        <v>4.6600000000000003E-2</v>
      </c>
      <c r="AI77" s="63">
        <f t="shared" si="36"/>
        <v>2494.7399999999998</v>
      </c>
      <c r="AJ77" s="63">
        <v>2465.79</v>
      </c>
      <c r="AK77" s="63">
        <v>28.95</v>
      </c>
      <c r="AL77" s="120">
        <v>0</v>
      </c>
      <c r="AM77" t="s">
        <v>512</v>
      </c>
    </row>
    <row r="78" spans="1:39">
      <c r="B78" s="105">
        <v>46143</v>
      </c>
      <c r="C78" s="63">
        <f t="shared" si="30"/>
        <v>370</v>
      </c>
      <c r="D78" s="111">
        <f t="shared" si="22"/>
        <v>20227.14106352887</v>
      </c>
      <c r="E78" s="63">
        <f t="shared" si="39"/>
        <v>75.568397497617198</v>
      </c>
      <c r="F78" s="111">
        <f t="shared" si="23"/>
        <v>20151.572666031254</v>
      </c>
      <c r="G78" s="63"/>
      <c r="H78" s="63">
        <f t="shared" si="8"/>
        <v>6.5018517829628308</v>
      </c>
      <c r="I78" s="63">
        <f t="shared" si="40"/>
        <v>538.57655785826091</v>
      </c>
      <c r="J78" s="63">
        <f t="shared" si="33"/>
        <v>19688.929563387537</v>
      </c>
      <c r="K78" s="63">
        <f t="shared" si="41"/>
        <v>70.617508241951029</v>
      </c>
      <c r="L78" s="63">
        <f t="shared" si="25"/>
        <v>19618.312055145587</v>
      </c>
      <c r="M78" s="106">
        <f t="shared" si="35"/>
        <v>5</v>
      </c>
      <c r="P78" s="63">
        <f t="shared" si="9"/>
        <v>1.1757682888757586</v>
      </c>
      <c r="Q78" s="63">
        <f t="shared" si="42"/>
        <v>489.31580470744245</v>
      </c>
      <c r="R78" s="63">
        <f t="shared" si="28"/>
        <v>19853.379507384729</v>
      </c>
      <c r="S78" s="63">
        <f t="shared" si="43"/>
        <v>71.02035543197546</v>
      </c>
      <c r="T78" s="63">
        <f t="shared" si="26"/>
        <v>19782.359151952754</v>
      </c>
      <c r="U78" s="106">
        <f t="shared" si="34"/>
        <v>0.99999999999999989</v>
      </c>
      <c r="Y78" s="66"/>
      <c r="Z78" s="66"/>
      <c r="AA78" s="63">
        <v>442</v>
      </c>
      <c r="AB78" s="63"/>
      <c r="AC78" s="63"/>
      <c r="AD78" s="63"/>
      <c r="AE78" s="66"/>
      <c r="AF78" s="360"/>
      <c r="AG78" s="1" t="s">
        <v>516</v>
      </c>
      <c r="AH78" s="333"/>
      <c r="AI78" s="63">
        <v>0</v>
      </c>
      <c r="AJ78" s="63">
        <v>0</v>
      </c>
      <c r="AK78" s="63">
        <v>0</v>
      </c>
      <c r="AL78" s="120">
        <v>0</v>
      </c>
      <c r="AM78" t="s">
        <v>513</v>
      </c>
    </row>
    <row r="79" spans="1:39">
      <c r="B79" s="105">
        <v>46174</v>
      </c>
      <c r="C79" s="63">
        <f t="shared" si="30"/>
        <v>370</v>
      </c>
      <c r="D79" s="111">
        <f t="shared" si="22"/>
        <v>19931.605342517105</v>
      </c>
      <c r="E79" s="63">
        <f t="shared" si="39"/>
        <v>74.464278988233261</v>
      </c>
      <c r="F79" s="111">
        <f t="shared" si="23"/>
        <v>19857.14106352887</v>
      </c>
      <c r="G79" s="63"/>
      <c r="H79" s="63">
        <f t="shared" si="8"/>
        <v>6.4242958279663753</v>
      </c>
      <c r="I79" s="63">
        <f t="shared" si="40"/>
        <v>532.15226203029454</v>
      </c>
      <c r="J79" s="63">
        <f t="shared" si="33"/>
        <v>19225.755286543135</v>
      </c>
      <c r="K79" s="63">
        <f t="shared" si="41"/>
        <v>68.977985185891882</v>
      </c>
      <c r="L79" s="63">
        <f t="shared" si="25"/>
        <v>19156.777301357244</v>
      </c>
      <c r="M79" s="106">
        <f t="shared" si="35"/>
        <v>5.5</v>
      </c>
      <c r="P79" s="63">
        <f t="shared" si="9"/>
        <v>1.1729498284877877</v>
      </c>
      <c r="Q79" s="63">
        <f t="shared" si="42"/>
        <v>488.14285487895467</v>
      </c>
      <c r="R79" s="63">
        <f t="shared" si="28"/>
        <v>19434.791427284043</v>
      </c>
      <c r="S79" s="63">
        <f t="shared" si="43"/>
        <v>69.55477477826588</v>
      </c>
      <c r="T79" s="63">
        <f t="shared" si="26"/>
        <v>19365.236652505777</v>
      </c>
      <c r="U79" s="106">
        <f t="shared" si="34"/>
        <v>1.0999999999999999</v>
      </c>
      <c r="Y79" s="66"/>
      <c r="Z79" s="66"/>
      <c r="AA79" s="63">
        <v>442</v>
      </c>
      <c r="AB79" s="63"/>
      <c r="AC79" s="63"/>
      <c r="AD79" s="63"/>
      <c r="AE79" s="66"/>
      <c r="AF79" s="360">
        <f>(AK79-AK65)/AJ79</f>
        <v>8.2535048737710491E-4</v>
      </c>
      <c r="AG79" s="1" t="s">
        <v>517</v>
      </c>
      <c r="AH79" s="333">
        <v>4.2900000000000001E-2</v>
      </c>
      <c r="AI79" s="63">
        <f>AJ79+AK79+AL79</f>
        <v>2628.1400000000003</v>
      </c>
      <c r="AJ79" s="63">
        <v>2617.0700000000002</v>
      </c>
      <c r="AK79" s="63">
        <v>11.07</v>
      </c>
      <c r="AL79" s="120">
        <v>0</v>
      </c>
      <c r="AM79" t="s">
        <v>512</v>
      </c>
    </row>
    <row r="80" spans="1:39">
      <c r="B80" s="105">
        <v>46204</v>
      </c>
      <c r="C80" s="63">
        <f t="shared" si="30"/>
        <v>370</v>
      </c>
      <c r="D80" s="111">
        <f t="shared" si="22"/>
        <v>19634.961362551545</v>
      </c>
      <c r="E80" s="63">
        <f t="shared" si="39"/>
        <v>73.35602003443914</v>
      </c>
      <c r="F80" s="111">
        <f t="shared" si="23"/>
        <v>19561.605342517105</v>
      </c>
      <c r="G80" s="63"/>
      <c r="H80" s="63">
        <f t="shared" si="8"/>
        <v>6.347664982670608</v>
      </c>
      <c r="I80" s="63">
        <f t="shared" si="40"/>
        <v>525.80459704762393</v>
      </c>
      <c r="J80" s="63">
        <f t="shared" si="33"/>
        <v>18767.305918487084</v>
      </c>
      <c r="K80" s="63">
        <f t="shared" si="41"/>
        <v>67.355228991572076</v>
      </c>
      <c r="L80" s="63">
        <f t="shared" si="25"/>
        <v>18699.950689495512</v>
      </c>
      <c r="M80" s="106">
        <f t="shared" si="35"/>
        <v>6</v>
      </c>
      <c r="P80" s="63">
        <f t="shared" si="9"/>
        <v>1.1701381242940556</v>
      </c>
      <c r="Q80" s="63">
        <f t="shared" si="42"/>
        <v>486.97271675466061</v>
      </c>
      <c r="R80" s="63">
        <f t="shared" si="28"/>
        <v>19015.906882599593</v>
      </c>
      <c r="S80" s="63">
        <f t="shared" si="43"/>
        <v>68.088172070210305</v>
      </c>
      <c r="T80" s="63">
        <f t="shared" si="26"/>
        <v>18947.818710529384</v>
      </c>
      <c r="U80" s="106">
        <f t="shared" si="34"/>
        <v>1.2</v>
      </c>
      <c r="Y80" s="66"/>
      <c r="Z80" s="66"/>
      <c r="AA80" s="63">
        <v>442</v>
      </c>
      <c r="AB80" s="63"/>
      <c r="AC80" s="63"/>
      <c r="AD80" s="63"/>
      <c r="AE80" s="66"/>
      <c r="AF80" s="360">
        <f>(AK80-AK66)/AJ80</f>
        <v>8.2421722429472518E-4</v>
      </c>
      <c r="AG80" s="1" t="s">
        <v>518</v>
      </c>
      <c r="AH80" s="333">
        <v>4.2999999999999997E-2</v>
      </c>
      <c r="AI80" s="63">
        <f>AJ80+AK80+AL80</f>
        <v>6530.7000000000007</v>
      </c>
      <c r="AJ80" s="63">
        <v>6503.14</v>
      </c>
      <c r="AK80" s="63">
        <v>27.56</v>
      </c>
      <c r="AL80" s="120">
        <v>0</v>
      </c>
      <c r="AM80" t="s">
        <v>513</v>
      </c>
    </row>
    <row r="81" spans="2:40">
      <c r="B81" s="105">
        <v>46235</v>
      </c>
      <c r="C81" s="63">
        <f t="shared" si="30"/>
        <v>370</v>
      </c>
      <c r="D81" s="111">
        <f t="shared" si="22"/>
        <v>19337.204967661113</v>
      </c>
      <c r="E81" s="63">
        <f t="shared" si="39"/>
        <v>72.243605109568293</v>
      </c>
      <c r="F81" s="111">
        <f t="shared" si="23"/>
        <v>19264.961362551545</v>
      </c>
      <c r="G81" s="63"/>
      <c r="H81" s="63">
        <f t="shared" si="8"/>
        <v>6.2719482121009378</v>
      </c>
      <c r="I81" s="63">
        <f t="shared" si="40"/>
        <v>519.53264883552299</v>
      </c>
      <c r="J81" s="63">
        <f t="shared" si="33"/>
        <v>18313.522296275827</v>
      </c>
      <c r="K81" s="63">
        <f t="shared" si="41"/>
        <v>65.749026624266222</v>
      </c>
      <c r="L81" s="63">
        <f t="shared" si="25"/>
        <v>18247.77326965156</v>
      </c>
      <c r="M81" s="106">
        <f t="shared" si="35"/>
        <v>6.5</v>
      </c>
      <c r="P81" s="63">
        <f t="shared" si="9"/>
        <v>1.1673331600992469</v>
      </c>
      <c r="Q81" s="63">
        <f t="shared" si="42"/>
        <v>485.80538359456136</v>
      </c>
      <c r="R81" s="63">
        <f t="shared" si="28"/>
        <v>18596.722029591252</v>
      </c>
      <c r="S81" s="63">
        <f t="shared" si="43"/>
        <v>66.620530586221307</v>
      </c>
      <c r="T81" s="63">
        <f t="shared" si="26"/>
        <v>18530.101499005032</v>
      </c>
      <c r="U81" s="106">
        <f t="shared" si="34"/>
        <v>1.3</v>
      </c>
      <c r="Y81" s="66"/>
      <c r="Z81" s="66"/>
      <c r="AA81" s="63">
        <v>442</v>
      </c>
      <c r="AB81" s="63"/>
      <c r="AC81" s="63"/>
      <c r="AD81" s="63"/>
      <c r="AE81" s="66"/>
      <c r="AF81" s="66"/>
      <c r="AK81" s="6">
        <f>SUM(AK71:AK80)</f>
        <v>120.41999999999999</v>
      </c>
    </row>
    <row r="82" spans="2:40">
      <c r="B82" s="105">
        <v>46266</v>
      </c>
      <c r="C82" s="63">
        <f t="shared" si="30"/>
        <v>370</v>
      </c>
      <c r="D82" s="111">
        <f t="shared" si="22"/>
        <v>19038.331986289842</v>
      </c>
      <c r="E82" s="63">
        <f t="shared" si="39"/>
        <v>71.127018628729175</v>
      </c>
      <c r="F82" s="111">
        <f t="shared" si="23"/>
        <v>18967.204967661113</v>
      </c>
      <c r="G82" s="63"/>
      <c r="H82" s="63">
        <f t="shared" si="8"/>
        <v>6.1971346129118956</v>
      </c>
      <c r="I82" s="63">
        <f t="shared" si="40"/>
        <v>513.3355142226111</v>
      </c>
      <c r="J82" s="63">
        <f t="shared" si="33"/>
        <v>17864.345952869309</v>
      </c>
      <c r="K82" s="63">
        <f t="shared" si="41"/>
        <v>64.159170816094885</v>
      </c>
      <c r="L82" s="63">
        <f t="shared" si="25"/>
        <v>17800.186782053213</v>
      </c>
      <c r="M82" s="106">
        <f t="shared" si="35"/>
        <v>7</v>
      </c>
      <c r="P82" s="63">
        <f t="shared" si="9"/>
        <v>1.1645349197465293</v>
      </c>
      <c r="Q82" s="63">
        <f t="shared" si="42"/>
        <v>484.64084867481483</v>
      </c>
      <c r="R82" s="63">
        <f t="shared" si="28"/>
        <v>18177.233017786937</v>
      </c>
      <c r="S82" s="63">
        <f t="shared" si="43"/>
        <v>65.151836870501697</v>
      </c>
      <c r="T82" s="63">
        <f t="shared" si="26"/>
        <v>18112.081180916437</v>
      </c>
      <c r="U82" s="106">
        <f t="shared" si="34"/>
        <v>1.4000000000000001</v>
      </c>
      <c r="Y82" s="66"/>
      <c r="Z82" s="66"/>
      <c r="AA82" s="63">
        <v>442</v>
      </c>
      <c r="AB82" s="63"/>
      <c r="AC82" s="63"/>
      <c r="AD82" s="63"/>
      <c r="AE82" s="66"/>
      <c r="AF82" s="66"/>
    </row>
    <row r="83" spans="2:40">
      <c r="B83" s="105">
        <v>46296</v>
      </c>
      <c r="C83" s="63">
        <f t="shared" si="30"/>
        <v>370</v>
      </c>
      <c r="D83" s="111">
        <f t="shared" si="22"/>
        <v>18738.338231238431</v>
      </c>
      <c r="E83" s="63">
        <f t="shared" si="39"/>
        <v>70.006244948586911</v>
      </c>
      <c r="F83" s="111">
        <f t="shared" si="23"/>
        <v>18668.331986289842</v>
      </c>
      <c r="G83" s="63"/>
      <c r="H83" s="63">
        <f t="shared" si="8"/>
        <v>6.1232134118158683</v>
      </c>
      <c r="I83" s="63">
        <f t="shared" si="40"/>
        <v>507.21230081079523</v>
      </c>
      <c r="J83" s="63">
        <f t="shared" si="33"/>
        <v>17419.719108784211</v>
      </c>
      <c r="K83" s="63">
        <f t="shared" si="41"/>
        <v>62.585456725699096</v>
      </c>
      <c r="L83" s="63">
        <f t="shared" si="25"/>
        <v>17357.133652058514</v>
      </c>
      <c r="M83" s="106">
        <f t="shared" si="35"/>
        <v>7.5</v>
      </c>
      <c r="P83" s="63">
        <f t="shared" si="9"/>
        <v>1.1617433871182925</v>
      </c>
      <c r="Q83" s="63">
        <f t="shared" si="42"/>
        <v>483.47910528769654</v>
      </c>
      <c r="R83" s="63">
        <f t="shared" si="28"/>
        <v>17757.435989931346</v>
      </c>
      <c r="S83" s="63">
        <f t="shared" si="43"/>
        <v>63.68207743210219</v>
      </c>
      <c r="T83" s="63">
        <f t="shared" si="26"/>
        <v>17693.753912499244</v>
      </c>
      <c r="U83" s="106">
        <f t="shared" si="34"/>
        <v>1.5000000000000002</v>
      </c>
      <c r="Y83" s="66"/>
      <c r="Z83" s="66"/>
      <c r="AA83" s="63">
        <v>442</v>
      </c>
      <c r="AB83" s="63"/>
      <c r="AC83" s="63"/>
      <c r="AD83" s="63"/>
      <c r="AE83" s="66"/>
      <c r="AF83" s="102">
        <v>45420</v>
      </c>
      <c r="AH83" s="8" t="s">
        <v>521</v>
      </c>
      <c r="AI83" s="6">
        <f>SUM(AI85:AI94)</f>
        <v>26225.16</v>
      </c>
      <c r="AJ83" s="452" t="s">
        <v>560</v>
      </c>
      <c r="AK83" s="452"/>
      <c r="AL83" s="452"/>
      <c r="AM83" s="338">
        <v>234.01</v>
      </c>
    </row>
    <row r="84" spans="2:40">
      <c r="B84" s="105">
        <v>46327</v>
      </c>
      <c r="C84" s="63">
        <f t="shared" si="30"/>
        <v>370</v>
      </c>
      <c r="D84" s="111">
        <f t="shared" si="22"/>
        <v>18437.219499605577</v>
      </c>
      <c r="E84" s="63">
        <f t="shared" si="39"/>
        <v>68.881268367144116</v>
      </c>
      <c r="F84" s="111">
        <f t="shared" si="23"/>
        <v>18368.338231238431</v>
      </c>
      <c r="G84" s="63"/>
      <c r="H84" s="63">
        <f t="shared" si="8"/>
        <v>6.0501739640320125</v>
      </c>
      <c r="I84" s="63">
        <f t="shared" si="40"/>
        <v>501.16212684676321</v>
      </c>
      <c r="J84" s="63">
        <f t="shared" si="33"/>
        <v>16979.584663858088</v>
      </c>
      <c r="K84" s="63">
        <f t="shared" si="41"/>
        <v>61.027681920637733</v>
      </c>
      <c r="L84" s="63">
        <f t="shared" si="25"/>
        <v>16918.55698193745</v>
      </c>
      <c r="M84" s="106">
        <f t="shared" si="35"/>
        <v>8</v>
      </c>
      <c r="P84" s="63">
        <f t="shared" si="9"/>
        <v>1.1589585461350111</v>
      </c>
      <c r="Q84" s="63">
        <f t="shared" si="42"/>
        <v>482.32014674156153</v>
      </c>
      <c r="R84" s="63">
        <f t="shared" si="28"/>
        <v>17337.327081946132</v>
      </c>
      <c r="S84" s="63">
        <f t="shared" si="43"/>
        <v>62.211238756347342</v>
      </c>
      <c r="T84" s="63">
        <f t="shared" si="26"/>
        <v>17275.115843189786</v>
      </c>
      <c r="U84" s="106">
        <f t="shared" si="34"/>
        <v>1.6000000000000003</v>
      </c>
      <c r="Y84" s="66"/>
      <c r="Z84" s="66"/>
      <c r="AA84" s="63">
        <v>442</v>
      </c>
      <c r="AB84" s="63"/>
      <c r="AC84" s="63"/>
      <c r="AD84" s="63"/>
      <c r="AE84" s="66"/>
      <c r="AG84" t="s">
        <v>508</v>
      </c>
      <c r="AH84" t="s">
        <v>520</v>
      </c>
      <c r="AI84" t="s">
        <v>12</v>
      </c>
      <c r="AJ84" t="s">
        <v>519</v>
      </c>
      <c r="AK84" t="s">
        <v>154</v>
      </c>
      <c r="AL84" t="s">
        <v>332</v>
      </c>
    </row>
    <row r="85" spans="2:40">
      <c r="B85" s="105">
        <v>46357</v>
      </c>
      <c r="C85" s="63">
        <f t="shared" si="30"/>
        <v>370</v>
      </c>
      <c r="D85" s="111">
        <f t="shared" si="22"/>
        <v>18134.971572729097</v>
      </c>
      <c r="E85" s="63">
        <f t="shared" si="39"/>
        <v>67.752073123520915</v>
      </c>
      <c r="F85" s="111">
        <f t="shared" si="23"/>
        <v>18067.219499605577</v>
      </c>
      <c r="G85" s="63"/>
      <c r="H85" s="63">
        <f t="shared" si="8"/>
        <v>5.9780057517538125</v>
      </c>
      <c r="I85" s="63">
        <f t="shared" si="40"/>
        <v>495.1841210950094</v>
      </c>
      <c r="J85" s="63">
        <f t="shared" si="33"/>
        <v>16543.88618911157</v>
      </c>
      <c r="K85" s="63">
        <f t="shared" si="41"/>
        <v>59.485646348492075</v>
      </c>
      <c r="L85" s="63">
        <f t="shared" si="25"/>
        <v>16484.40054276308</v>
      </c>
      <c r="M85" s="106">
        <f t="shared" si="35"/>
        <v>8.5</v>
      </c>
      <c r="P85" s="63">
        <f t="shared" si="9"/>
        <v>1.1561803807563251</v>
      </c>
      <c r="Q85" s="63">
        <f t="shared" si="42"/>
        <v>481.1639663608052</v>
      </c>
      <c r="R85" s="63">
        <f t="shared" si="28"/>
        <v>16916.902422889983</v>
      </c>
      <c r="S85" s="63">
        <f t="shared" si="43"/>
        <v>60.739307304655284</v>
      </c>
      <c r="T85" s="63">
        <f t="shared" si="26"/>
        <v>16856.163115585328</v>
      </c>
      <c r="U85" s="106">
        <f t="shared" si="34"/>
        <v>1.7000000000000004</v>
      </c>
      <c r="Y85" s="66"/>
      <c r="Z85" s="66"/>
      <c r="AA85" s="63">
        <v>442</v>
      </c>
      <c r="AB85" s="63"/>
      <c r="AC85" s="63"/>
      <c r="AD85" s="63"/>
      <c r="AE85" s="66"/>
      <c r="AF85" s="360">
        <f>(AK85-AK71)/AJ85</f>
        <v>-3.2836083848960082E-3</v>
      </c>
      <c r="AG85" s="1" t="s">
        <v>506</v>
      </c>
      <c r="AH85" s="333">
        <v>3.4000000000000002E-2</v>
      </c>
      <c r="AI85" s="63">
        <f>AJ85+AK85+AL85</f>
        <v>3292.4100000000003</v>
      </c>
      <c r="AJ85" s="63">
        <v>3292.11</v>
      </c>
      <c r="AK85" s="63">
        <v>0.3</v>
      </c>
      <c r="AL85" s="120">
        <v>0</v>
      </c>
      <c r="AM85" t="s">
        <v>512</v>
      </c>
    </row>
    <row r="86" spans="2:40">
      <c r="B86" s="105">
        <v>46388</v>
      </c>
      <c r="C86" s="63">
        <f t="shared" si="30"/>
        <v>370</v>
      </c>
      <c r="D86" s="111">
        <f t="shared" si="22"/>
        <v>17831.590216126831</v>
      </c>
      <c r="E86" s="63">
        <f t="shared" si="39"/>
        <v>66.618643397734104</v>
      </c>
      <c r="F86" s="111">
        <f t="shared" si="23"/>
        <v>17764.971572729097</v>
      </c>
      <c r="G86" s="63"/>
      <c r="H86" s="63">
        <f t="shared" si="8"/>
        <v>5.906698382633806</v>
      </c>
      <c r="I86" s="63">
        <f t="shared" si="40"/>
        <v>489.2774227123756</v>
      </c>
      <c r="J86" s="63">
        <f t="shared" si="33"/>
        <v>16112.567918707551</v>
      </c>
      <c r="K86" s="63">
        <f t="shared" si="41"/>
        <v>57.959152308354987</v>
      </c>
      <c r="L86" s="63">
        <f t="shared" si="25"/>
        <v>16054.608766399197</v>
      </c>
      <c r="M86" s="106">
        <f t="shared" si="35"/>
        <v>9</v>
      </c>
      <c r="P86" s="63">
        <f t="shared" si="9"/>
        <v>1.1534088749797888</v>
      </c>
      <c r="Q86" s="63">
        <f t="shared" si="42"/>
        <v>480.01055748582542</v>
      </c>
      <c r="R86" s="63">
        <f t="shared" si="28"/>
        <v>16496.158134918558</v>
      </c>
      <c r="S86" s="63">
        <f t="shared" si="43"/>
        <v>59.266269514398012</v>
      </c>
      <c r="T86" s="63">
        <f t="shared" si="26"/>
        <v>16436.891865404159</v>
      </c>
      <c r="U86" s="106">
        <f t="shared" si="34"/>
        <v>1.8000000000000005</v>
      </c>
      <c r="Y86" s="66"/>
      <c r="Z86" s="66"/>
      <c r="AA86" s="63">
        <v>442</v>
      </c>
      <c r="AB86" s="63"/>
      <c r="AC86" s="63"/>
      <c r="AD86" s="63"/>
      <c r="AE86" s="66"/>
      <c r="AF86" s="360"/>
      <c r="AG86" s="1" t="s">
        <v>507</v>
      </c>
      <c r="AI86" s="63">
        <f t="shared" ref="AI86:AI91" si="44">AJ86+AK86+AL86</f>
        <v>0</v>
      </c>
      <c r="AJ86" s="63">
        <v>0</v>
      </c>
      <c r="AK86" s="63">
        <v>0</v>
      </c>
      <c r="AL86" s="120">
        <v>0</v>
      </c>
      <c r="AM86" t="s">
        <v>513</v>
      </c>
    </row>
    <row r="87" spans="2:40">
      <c r="B87" s="105">
        <v>46419</v>
      </c>
      <c r="C87" s="63">
        <f t="shared" si="30"/>
        <v>370</v>
      </c>
      <c r="D87" s="111">
        <f t="shared" si="22"/>
        <v>17527.071179437306</v>
      </c>
      <c r="E87" s="63">
        <f t="shared" si="39"/>
        <v>65.480963310475616</v>
      </c>
      <c r="F87" s="111">
        <f t="shared" si="23"/>
        <v>17461.590216126831</v>
      </c>
      <c r="G87" s="63"/>
      <c r="H87" s="63">
        <f t="shared" si="8"/>
        <v>5.8362415882878054</v>
      </c>
      <c r="I87" s="63">
        <f t="shared" si="40"/>
        <v>483.44118112408779</v>
      </c>
      <c r="J87" s="63">
        <f t="shared" si="33"/>
        <v>15685.574742006123</v>
      </c>
      <c r="K87" s="63">
        <f t="shared" si="41"/>
        <v>56.448004422659572</v>
      </c>
      <c r="L87" s="63">
        <f t="shared" si="25"/>
        <v>15629.126737583463</v>
      </c>
      <c r="M87" s="106">
        <f t="shared" si="35"/>
        <v>9.5</v>
      </c>
      <c r="P87" s="63">
        <f t="shared" si="9"/>
        <v>1.1506440128414397</v>
      </c>
      <c r="Q87" s="63">
        <f t="shared" si="42"/>
        <v>478.85991347298398</v>
      </c>
      <c r="R87" s="63">
        <f t="shared" si="28"/>
        <v>16075.090333244334</v>
      </c>
      <c r="S87" s="63">
        <f t="shared" si="43"/>
        <v>57.79211179876102</v>
      </c>
      <c r="T87" s="63">
        <f t="shared" si="26"/>
        <v>16017.298221445573</v>
      </c>
      <c r="U87" s="106">
        <f t="shared" si="34"/>
        <v>1.9000000000000006</v>
      </c>
      <c r="Y87" s="66"/>
      <c r="Z87" s="66"/>
      <c r="AA87" s="63">
        <v>442</v>
      </c>
      <c r="AB87" s="63"/>
      <c r="AC87" s="63"/>
      <c r="AD87" s="63"/>
      <c r="AE87" s="66"/>
      <c r="AF87" s="360">
        <f>(AK87-AK73)/AJ87</f>
        <v>-3.2818314035849877E-3</v>
      </c>
      <c r="AG87" s="1" t="s">
        <v>509</v>
      </c>
      <c r="AH87" s="333">
        <v>3.4000000000000002E-2</v>
      </c>
      <c r="AI87" s="63">
        <f t="shared" si="44"/>
        <v>4235.83</v>
      </c>
      <c r="AJ87" s="63">
        <v>4235.4399999999996</v>
      </c>
      <c r="AK87" s="63">
        <v>0.39</v>
      </c>
      <c r="AL87" s="120">
        <v>0</v>
      </c>
      <c r="AM87" t="s">
        <v>512</v>
      </c>
    </row>
    <row r="88" spans="2:40">
      <c r="B88" s="105">
        <v>46447</v>
      </c>
      <c r="C88" s="63">
        <f t="shared" si="30"/>
        <v>370</v>
      </c>
      <c r="D88" s="111">
        <f t="shared" si="22"/>
        <v>17221.410196360197</v>
      </c>
      <c r="E88" s="63">
        <f t="shared" si="39"/>
        <v>64.339016922889897</v>
      </c>
      <c r="F88" s="111">
        <f t="shared" si="23"/>
        <v>17157.071179437306</v>
      </c>
      <c r="G88" s="63"/>
      <c r="H88" s="63">
        <f t="shared" si="8"/>
        <v>5.7666252228155486</v>
      </c>
      <c r="I88" s="63">
        <f t="shared" si="40"/>
        <v>477.67455590127224</v>
      </c>
      <c r="J88" s="63">
        <f t="shared" si="33"/>
        <v>15262.852195714195</v>
      </c>
      <c r="K88" s="63">
        <f t="shared" si="41"/>
        <v>54.952009609343456</v>
      </c>
      <c r="L88" s="63">
        <f t="shared" si="25"/>
        <v>15207.900186104851</v>
      </c>
      <c r="M88" s="106">
        <f t="shared" si="35"/>
        <v>10</v>
      </c>
      <c r="P88" s="63">
        <f t="shared" si="9"/>
        <v>1.1478857784159686</v>
      </c>
      <c r="Q88" s="63">
        <f t="shared" si="42"/>
        <v>477.71202769456801</v>
      </c>
      <c r="R88" s="63">
        <f t="shared" si="28"/>
        <v>15653.695126096369</v>
      </c>
      <c r="S88" s="63">
        <f t="shared" si="43"/>
        <v>56.316820546602635</v>
      </c>
      <c r="T88" s="63">
        <f t="shared" si="26"/>
        <v>15597.378305549766</v>
      </c>
      <c r="U88" s="106">
        <f t="shared" si="34"/>
        <v>2.0000000000000004</v>
      </c>
      <c r="Y88" s="66"/>
      <c r="Z88" s="66"/>
      <c r="AA88" s="63">
        <v>442</v>
      </c>
      <c r="AB88" s="63"/>
      <c r="AC88" s="63"/>
      <c r="AD88" s="63"/>
      <c r="AE88" s="66"/>
      <c r="AF88" s="360"/>
      <c r="AG88" s="1" t="s">
        <v>510</v>
      </c>
      <c r="AI88" s="63">
        <f t="shared" si="44"/>
        <v>0</v>
      </c>
      <c r="AJ88" s="63">
        <v>0</v>
      </c>
      <c r="AK88" s="63">
        <v>0</v>
      </c>
      <c r="AL88" s="120">
        <v>0</v>
      </c>
      <c r="AM88" t="s">
        <v>512</v>
      </c>
    </row>
    <row r="89" spans="2:40">
      <c r="B89" s="105">
        <v>46478</v>
      </c>
      <c r="C89" s="63">
        <f t="shared" si="30"/>
        <v>370</v>
      </c>
      <c r="D89" s="111">
        <f t="shared" si="22"/>
        <v>16914.60298459655</v>
      </c>
      <c r="E89" s="63">
        <f t="shared" si="39"/>
        <v>63.192788236350736</v>
      </c>
      <c r="F89" s="111">
        <f t="shared" si="23"/>
        <v>16851.410196360197</v>
      </c>
      <c r="G89" s="63"/>
      <c r="H89" s="63">
        <f t="shared" si="8"/>
        <v>5.6978392613401638</v>
      </c>
      <c r="I89" s="63">
        <f t="shared" si="40"/>
        <v>471.97671663993208</v>
      </c>
      <c r="J89" s="63">
        <f t="shared" si="33"/>
        <v>14844.346456128607</v>
      </c>
      <c r="K89" s="63">
        <f t="shared" si="41"/>
        <v>53.470977054344658</v>
      </c>
      <c r="L89" s="63">
        <f t="shared" si="25"/>
        <v>14790.875479074262</v>
      </c>
      <c r="M89" s="106">
        <f t="shared" ref="M89:M120" si="45">M88+$M$20</f>
        <v>10.5</v>
      </c>
      <c r="P89" s="63">
        <f t="shared" si="9"/>
        <v>1.14513415581564</v>
      </c>
      <c r="Q89" s="63">
        <f t="shared" si="42"/>
        <v>476.56689353875237</v>
      </c>
      <c r="R89" s="63">
        <f t="shared" si="28"/>
        <v>15231.968614679929</v>
      </c>
      <c r="S89" s="63">
        <f t="shared" si="43"/>
        <v>54.840382122312981</v>
      </c>
      <c r="T89" s="63">
        <f t="shared" si="26"/>
        <v>15177.128232557616</v>
      </c>
      <c r="U89" s="106">
        <f t="shared" si="34"/>
        <v>2.1000000000000005</v>
      </c>
      <c r="Y89" s="66"/>
      <c r="Z89" s="66"/>
      <c r="AA89" s="63">
        <v>442</v>
      </c>
      <c r="AB89" s="63"/>
      <c r="AC89" s="63"/>
      <c r="AD89" s="63"/>
      <c r="AE89" s="66"/>
      <c r="AF89" s="360">
        <f>(AK89-AK75)/AJ89</f>
        <v>-3.7233355378976166E-3</v>
      </c>
      <c r="AG89" s="1" t="s">
        <v>511</v>
      </c>
      <c r="AH89" s="333">
        <v>3.8600000000000002E-2</v>
      </c>
      <c r="AI89" s="63">
        <f t="shared" si="44"/>
        <v>5186.76</v>
      </c>
      <c r="AJ89" s="63">
        <v>5186.21</v>
      </c>
      <c r="AK89" s="63">
        <v>0.55000000000000004</v>
      </c>
      <c r="AL89" s="120">
        <v>0</v>
      </c>
      <c r="AM89" t="s">
        <v>512</v>
      </c>
    </row>
    <row r="90" spans="2:40">
      <c r="B90" s="105">
        <v>46508</v>
      </c>
      <c r="C90" s="63">
        <f t="shared" si="30"/>
        <v>370</v>
      </c>
      <c r="D90" s="111">
        <f t="shared" si="22"/>
        <v>16606.645245788786</v>
      </c>
      <c r="E90" s="63">
        <f t="shared" si="39"/>
        <v>62.042261192237056</v>
      </c>
      <c r="F90" s="111">
        <f t="shared" si="23"/>
        <v>16544.60298459655</v>
      </c>
      <c r="G90" s="63"/>
      <c r="H90" s="63">
        <f t="shared" ref="H90:H145" si="46">I89-I90</f>
        <v>5.6298737985644038</v>
      </c>
      <c r="I90" s="63">
        <f t="shared" si="40"/>
        <v>466.34684284136767</v>
      </c>
      <c r="J90" s="63">
        <f t="shared" si="33"/>
        <v>14430.004331471666</v>
      </c>
      <c r="K90" s="63">
        <f t="shared" si="41"/>
        <v>52.004718184425109</v>
      </c>
      <c r="L90" s="63">
        <f t="shared" si="25"/>
        <v>14377.99961328724</v>
      </c>
      <c r="M90" s="106">
        <f t="shared" si="45"/>
        <v>11</v>
      </c>
      <c r="P90" s="63">
        <f t="shared" ref="P90:P145" si="47">Q89-Q90</f>
        <v>1.1423891291912582</v>
      </c>
      <c r="Q90" s="63">
        <f t="shared" si="42"/>
        <v>475.42450440956111</v>
      </c>
      <c r="R90" s="63">
        <f t="shared" si="28"/>
        <v>14809.90689313604</v>
      </c>
      <c r="S90" s="63">
        <f t="shared" si="43"/>
        <v>53.362782865672578</v>
      </c>
      <c r="T90" s="63">
        <f t="shared" si="26"/>
        <v>14756.544110270368</v>
      </c>
      <c r="U90" s="106">
        <f t="shared" si="34"/>
        <v>2.2000000000000006</v>
      </c>
      <c r="Y90" s="66"/>
      <c r="Z90" s="66"/>
      <c r="AA90" s="63">
        <v>442</v>
      </c>
      <c r="AB90" s="63"/>
      <c r="AC90" s="63"/>
      <c r="AD90" s="63"/>
      <c r="AE90" s="66"/>
      <c r="AF90" s="360">
        <f>(AK90-AK76)/AJ90</f>
        <v>1.1040297084357894E-4</v>
      </c>
      <c r="AG90" s="1" t="s">
        <v>514</v>
      </c>
      <c r="AH90" s="333">
        <v>3.8600000000000002E-2</v>
      </c>
      <c r="AI90" s="63">
        <f t="shared" si="44"/>
        <v>2000.5</v>
      </c>
      <c r="AJ90" s="63">
        <v>1992.7</v>
      </c>
      <c r="AK90" s="63">
        <v>7.8</v>
      </c>
      <c r="AL90" s="120">
        <v>0</v>
      </c>
      <c r="AM90" t="s">
        <v>513</v>
      </c>
    </row>
    <row r="91" spans="2:40">
      <c r="B91" s="105">
        <v>46539</v>
      </c>
      <c r="C91" s="63">
        <f t="shared" si="30"/>
        <v>370</v>
      </c>
      <c r="D91" s="111">
        <f t="shared" si="22"/>
        <v>16297.532665460494</v>
      </c>
      <c r="E91" s="63">
        <f t="shared" si="39"/>
        <v>60.887419671707946</v>
      </c>
      <c r="F91" s="111">
        <f t="shared" si="23"/>
        <v>16236.645245788786</v>
      </c>
      <c r="G91" s="63"/>
      <c r="H91" s="63">
        <f t="shared" si="46"/>
        <v>5.5627190473439896</v>
      </c>
      <c r="I91" s="63">
        <f t="shared" si="40"/>
        <v>460.78412379402369</v>
      </c>
      <c r="J91" s="63">
        <f t="shared" si="33"/>
        <v>14019.773254317959</v>
      </c>
      <c r="K91" s="63">
        <f t="shared" si="41"/>
        <v>50.553046640317937</v>
      </c>
      <c r="L91" s="63">
        <f t="shared" si="25"/>
        <v>13969.220207677641</v>
      </c>
      <c r="M91" s="106">
        <f t="shared" si="45"/>
        <v>11.5</v>
      </c>
      <c r="P91" s="63">
        <f t="shared" si="47"/>
        <v>1.1396506827313715</v>
      </c>
      <c r="Q91" s="63">
        <f t="shared" si="42"/>
        <v>474.28485372682974</v>
      </c>
      <c r="R91" s="63">
        <f t="shared" si="28"/>
        <v>14387.506048500922</v>
      </c>
      <c r="S91" s="63">
        <f t="shared" si="43"/>
        <v>51.884009091710617</v>
      </c>
      <c r="T91" s="63">
        <f t="shared" si="26"/>
        <v>14335.622039409211</v>
      </c>
      <c r="U91" s="106">
        <f t="shared" si="34"/>
        <v>2.3000000000000007</v>
      </c>
      <c r="Y91" s="66"/>
      <c r="Z91" s="66"/>
      <c r="AA91" s="63">
        <v>442</v>
      </c>
      <c r="AB91" s="63"/>
      <c r="AC91" s="63"/>
      <c r="AD91" s="63"/>
      <c r="AE91" s="66"/>
      <c r="AF91" s="360">
        <f>(AK91-AK77)/AJ91</f>
        <v>-9.1978635650237853E-3</v>
      </c>
      <c r="AG91" s="1" t="s">
        <v>515</v>
      </c>
      <c r="AH91" s="333">
        <v>4.6600000000000003E-2</v>
      </c>
      <c r="AI91" s="63">
        <f t="shared" si="44"/>
        <v>2472.06</v>
      </c>
      <c r="AJ91" s="63">
        <v>2465.79</v>
      </c>
      <c r="AK91" s="63">
        <v>6.27</v>
      </c>
      <c r="AL91" s="120">
        <v>0</v>
      </c>
      <c r="AM91" t="s">
        <v>512</v>
      </c>
    </row>
    <row r="92" spans="2:40">
      <c r="B92" s="105">
        <v>46569</v>
      </c>
      <c r="C92" s="63">
        <f t="shared" si="30"/>
        <v>370</v>
      </c>
      <c r="D92" s="111">
        <f t="shared" si="22"/>
        <v>15987.260912955971</v>
      </c>
      <c r="E92" s="63">
        <f t="shared" si="39"/>
        <v>59.72824749547685</v>
      </c>
      <c r="F92" s="111">
        <f t="shared" si="23"/>
        <v>15927.532665460494</v>
      </c>
      <c r="G92" s="63"/>
      <c r="H92" s="63">
        <f t="shared" si="46"/>
        <v>5.4963653372788599</v>
      </c>
      <c r="I92" s="63">
        <f t="shared" si="40"/>
        <v>455.28775845674483</v>
      </c>
      <c r="J92" s="63">
        <f t="shared" si="33"/>
        <v>13613.601274111408</v>
      </c>
      <c r="K92" s="63">
        <f t="shared" si="41"/>
        <v>49.115778250194587</v>
      </c>
      <c r="L92" s="63">
        <f t="shared" si="25"/>
        <v>13564.485495861214</v>
      </c>
      <c r="M92" s="106">
        <f t="shared" si="45"/>
        <v>12</v>
      </c>
      <c r="P92" s="63">
        <f t="shared" si="47"/>
        <v>1.13691880066267</v>
      </c>
      <c r="Q92" s="63">
        <f t="shared" si="42"/>
        <v>473.14793492616707</v>
      </c>
      <c r="R92" s="63">
        <f t="shared" si="28"/>
        <v>13964.762160665316</v>
      </c>
      <c r="S92" s="63">
        <f t="shared" si="43"/>
        <v>50.404047090562784</v>
      </c>
      <c r="T92" s="63">
        <f t="shared" si="26"/>
        <v>13914.358113574754</v>
      </c>
      <c r="U92" s="106">
        <f t="shared" si="34"/>
        <v>2.4000000000000008</v>
      </c>
      <c r="Y92" s="66"/>
      <c r="Z92" s="66"/>
      <c r="AA92" s="63">
        <v>442</v>
      </c>
      <c r="AB92" s="63"/>
      <c r="AC92" s="63"/>
      <c r="AD92" s="63"/>
      <c r="AE92" s="66"/>
      <c r="AF92" s="360"/>
      <c r="AG92" s="1" t="s">
        <v>516</v>
      </c>
      <c r="AH92" s="333"/>
      <c r="AI92" s="63">
        <v>0</v>
      </c>
      <c r="AJ92" s="63">
        <v>0</v>
      </c>
      <c r="AK92" s="63">
        <v>0</v>
      </c>
      <c r="AL92" s="120">
        <v>0</v>
      </c>
      <c r="AM92" t="s">
        <v>513</v>
      </c>
    </row>
    <row r="93" spans="2:40">
      <c r="B93" s="105">
        <v>46600</v>
      </c>
      <c r="C93" s="63">
        <f t="shared" si="30"/>
        <v>370</v>
      </c>
      <c r="D93" s="111">
        <f t="shared" si="22"/>
        <v>15675.825641379557</v>
      </c>
      <c r="E93" s="63">
        <f t="shared" si="39"/>
        <v>58.564728423584889</v>
      </c>
      <c r="F93" s="111">
        <f t="shared" si="23"/>
        <v>15617.260912955971</v>
      </c>
      <c r="G93" s="63"/>
      <c r="H93" s="63">
        <f t="shared" si="46"/>
        <v>5.4308031133200529</v>
      </c>
      <c r="I93" s="63">
        <f t="shared" si="40"/>
        <v>449.85695534342477</v>
      </c>
      <c r="J93" s="63">
        <f t="shared" si="33"/>
        <v>13211.437049771432</v>
      </c>
      <c r="K93" s="63">
        <f t="shared" si="41"/>
        <v>47.692731003448031</v>
      </c>
      <c r="L93" s="63">
        <f t="shared" si="25"/>
        <v>13163.744318767984</v>
      </c>
      <c r="M93" s="106">
        <f t="shared" si="45"/>
        <v>12.5</v>
      </c>
      <c r="P93" s="63">
        <f t="shared" si="47"/>
        <v>1.1341934672492471</v>
      </c>
      <c r="Q93" s="63">
        <f t="shared" si="42"/>
        <v>472.01374145891782</v>
      </c>
      <c r="R93" s="63">
        <f t="shared" si="28"/>
        <v>13541.671302333727</v>
      </c>
      <c r="S93" s="63">
        <f t="shared" si="43"/>
        <v>48.922883127328831</v>
      </c>
      <c r="T93" s="63">
        <f t="shared" si="26"/>
        <v>13492.748419206398</v>
      </c>
      <c r="U93" s="106">
        <f t="shared" si="34"/>
        <v>2.5000000000000009</v>
      </c>
      <c r="Y93" s="66"/>
      <c r="Z93" s="66"/>
      <c r="AA93" s="63">
        <v>442</v>
      </c>
      <c r="AB93" s="63"/>
      <c r="AC93" s="63"/>
      <c r="AD93" s="63"/>
      <c r="AE93" s="66"/>
      <c r="AF93" s="360">
        <f>(AK93-AK79)/AJ93</f>
        <v>-4.1649908733719021E-3</v>
      </c>
      <c r="AG93" s="1" t="s">
        <v>517</v>
      </c>
      <c r="AH93" s="333">
        <v>4.2900000000000001E-2</v>
      </c>
      <c r="AI93" s="63">
        <f>AJ93+AK93+AL93</f>
        <v>2586.1400000000003</v>
      </c>
      <c r="AJ93" s="63">
        <v>2585.84</v>
      </c>
      <c r="AK93" s="63">
        <v>0.3</v>
      </c>
      <c r="AL93" s="120">
        <v>0</v>
      </c>
      <c r="AM93" t="s">
        <v>512</v>
      </c>
    </row>
    <row r="94" spans="2:40">
      <c r="B94" s="105">
        <v>46631</v>
      </c>
      <c r="C94" s="63">
        <f t="shared" si="30"/>
        <v>370</v>
      </c>
      <c r="D94" s="111">
        <f t="shared" si="22"/>
        <v>15363.222487534731</v>
      </c>
      <c r="E94" s="63">
        <f t="shared" si="39"/>
        <v>57.396846155173336</v>
      </c>
      <c r="F94" s="111">
        <f t="shared" si="23"/>
        <v>15305.825641379557</v>
      </c>
      <c r="G94" s="63"/>
      <c r="H94" s="63">
        <f t="shared" si="46"/>
        <v>5.3660229343940387</v>
      </c>
      <c r="I94" s="63">
        <f t="shared" si="40"/>
        <v>444.49093240903073</v>
      </c>
      <c r="J94" s="63">
        <f t="shared" si="33"/>
        <v>12813.229842387189</v>
      </c>
      <c r="K94" s="63">
        <f t="shared" si="41"/>
        <v>46.283725024788232</v>
      </c>
      <c r="L94" s="63">
        <f t="shared" si="25"/>
        <v>12766.9461173624</v>
      </c>
      <c r="M94" s="106">
        <f t="shared" si="45"/>
        <v>13</v>
      </c>
      <c r="P94" s="63">
        <f t="shared" si="47"/>
        <v>1.1314746667934514</v>
      </c>
      <c r="Q94" s="63">
        <f t="shared" si="42"/>
        <v>470.88226679212437</v>
      </c>
      <c r="R94" s="63">
        <f t="shared" si="28"/>
        <v>13118.229538983533</v>
      </c>
      <c r="S94" s="63">
        <f t="shared" si="43"/>
        <v>47.4405034419297</v>
      </c>
      <c r="T94" s="63">
        <f t="shared" si="26"/>
        <v>13070.789035541602</v>
      </c>
      <c r="U94" s="106">
        <f t="shared" si="34"/>
        <v>2.600000000000001</v>
      </c>
      <c r="Y94" s="66"/>
      <c r="Z94" s="66"/>
      <c r="AA94" s="63">
        <v>442</v>
      </c>
      <c r="AB94" s="63"/>
      <c r="AC94" s="63"/>
      <c r="AD94" s="63"/>
      <c r="AE94" s="66"/>
      <c r="AF94" s="360">
        <f>(AK94-AK80)/AJ94</f>
        <v>-4.1545878741841968E-3</v>
      </c>
      <c r="AG94" s="1" t="s">
        <v>518</v>
      </c>
      <c r="AH94" s="333">
        <v>4.2999999999999997E-2</v>
      </c>
      <c r="AI94" s="63">
        <f>AJ94+AK94+AL94</f>
        <v>6451.46</v>
      </c>
      <c r="AJ94" s="63">
        <v>6450.7</v>
      </c>
      <c r="AK94" s="63">
        <v>0.76</v>
      </c>
      <c r="AL94" s="120">
        <v>0</v>
      </c>
      <c r="AM94" t="s">
        <v>513</v>
      </c>
    </row>
    <row r="95" spans="2:40">
      <c r="B95" s="105">
        <v>46661</v>
      </c>
      <c r="C95" s="63">
        <f t="shared" si="30"/>
        <v>370</v>
      </c>
      <c r="D95" s="111">
        <f t="shared" si="22"/>
        <v>15049.447071862985</v>
      </c>
      <c r="E95" s="63">
        <f t="shared" si="39"/>
        <v>56.22458432825524</v>
      </c>
      <c r="F95" s="111">
        <f t="shared" si="23"/>
        <v>14993.222487534731</v>
      </c>
      <c r="G95" s="63"/>
      <c r="H95" s="63">
        <f t="shared" si="46"/>
        <v>5.3020154720431378</v>
      </c>
      <c r="I95" s="63">
        <f t="shared" ref="I95:I126" si="48">$M$22*EXP(-0.024*M94)</f>
        <v>439.1889169369876</v>
      </c>
      <c r="J95" s="63">
        <f t="shared" si="33"/>
        <v>12418.929507998848</v>
      </c>
      <c r="K95" s="63">
        <f t="shared" si="41"/>
        <v>44.888582548646198</v>
      </c>
      <c r="L95" s="63">
        <f t="shared" si="25"/>
        <v>12374.040925450201</v>
      </c>
      <c r="M95" s="106">
        <f t="shared" si="45"/>
        <v>13.5</v>
      </c>
      <c r="P95" s="63">
        <f t="shared" si="47"/>
        <v>1.1287623836348644</v>
      </c>
      <c r="Q95" s="63">
        <f t="shared" ref="Q95:Q126" si="49">$U$22*EXP(-0.024*U94)</f>
        <v>469.7535044084895</v>
      </c>
      <c r="R95" s="63">
        <f t="shared" si="28"/>
        <v>12694.432928824006</v>
      </c>
      <c r="S95" s="63">
        <f t="shared" si="43"/>
        <v>45.956894248964275</v>
      </c>
      <c r="T95" s="63">
        <f t="shared" si="26"/>
        <v>12648.476034575042</v>
      </c>
      <c r="U95" s="106">
        <f t="shared" si="34"/>
        <v>2.7000000000000011</v>
      </c>
      <c r="Y95" s="66"/>
      <c r="Z95" s="66"/>
      <c r="AA95" s="63">
        <v>442</v>
      </c>
      <c r="AB95" s="63"/>
      <c r="AC95" s="63"/>
      <c r="AD95" s="63"/>
      <c r="AE95" s="66"/>
      <c r="AF95" s="66"/>
      <c r="AK95" s="6">
        <f>SUM(AK85:AK94)</f>
        <v>16.37</v>
      </c>
    </row>
    <row r="96" spans="2:40">
      <c r="B96" s="105">
        <v>46692</v>
      </c>
      <c r="C96" s="63">
        <f t="shared" si="30"/>
        <v>370</v>
      </c>
      <c r="D96" s="111">
        <f t="shared" si="22"/>
        <v>14734.494998382472</v>
      </c>
      <c r="E96" s="63">
        <f t="shared" si="39"/>
        <v>55.047926519486197</v>
      </c>
      <c r="F96" s="111">
        <f t="shared" si="23"/>
        <v>14679.447071862985</v>
      </c>
      <c r="G96" s="63"/>
      <c r="H96" s="63">
        <f t="shared" si="46"/>
        <v>5.2387715090821985</v>
      </c>
      <c r="I96" s="63">
        <f t="shared" si="48"/>
        <v>433.9501454279054</v>
      </c>
      <c r="J96" s="63">
        <f t="shared" si="33"/>
        <v>12028.486490464826</v>
      </c>
      <c r="K96" s="63">
        <f t="shared" si="41"/>
        <v>43.50712789388291</v>
      </c>
      <c r="L96" s="63">
        <f t="shared" si="25"/>
        <v>11984.979362570943</v>
      </c>
      <c r="M96" s="106">
        <f t="shared" si="45"/>
        <v>14</v>
      </c>
      <c r="P96" s="63">
        <f t="shared" si="47"/>
        <v>1.1260566021506975</v>
      </c>
      <c r="Q96" s="63">
        <f t="shared" si="49"/>
        <v>468.62744780633881</v>
      </c>
      <c r="R96" s="63">
        <f t="shared" si="28"/>
        <v>12270.277522755234</v>
      </c>
      <c r="S96" s="63">
        <f t="shared" si="43"/>
        <v>44.472041737565846</v>
      </c>
      <c r="T96" s="63">
        <f t="shared" si="26"/>
        <v>12225.805481017667</v>
      </c>
      <c r="U96" s="106">
        <f t="shared" si="34"/>
        <v>2.8000000000000012</v>
      </c>
      <c r="Y96" s="66"/>
      <c r="Z96" s="66"/>
      <c r="AA96" s="63">
        <v>442</v>
      </c>
      <c r="AB96" s="63"/>
      <c r="AC96" s="63"/>
      <c r="AD96" s="63"/>
      <c r="AE96" s="66"/>
      <c r="AF96" s="66"/>
      <c r="AN96" t="s">
        <v>694</v>
      </c>
    </row>
    <row r="97" spans="2:40">
      <c r="B97" s="105">
        <v>46722</v>
      </c>
      <c r="C97" s="63">
        <f t="shared" si="30"/>
        <v>370</v>
      </c>
      <c r="D97" s="111">
        <f t="shared" si="22"/>
        <v>14418.361854626406</v>
      </c>
      <c r="E97" s="63">
        <f t="shared" si="39"/>
        <v>53.866856243934265</v>
      </c>
      <c r="F97" s="111">
        <f t="shared" si="23"/>
        <v>14364.494998382472</v>
      </c>
      <c r="G97" s="63"/>
      <c r="H97" s="63">
        <f t="shared" si="46"/>
        <v>5.1762819382710177</v>
      </c>
      <c r="I97" s="63">
        <f t="shared" si="48"/>
        <v>428.77386348963438</v>
      </c>
      <c r="J97" s="63">
        <f t="shared" si="33"/>
        <v>11641.851814413991</v>
      </c>
      <c r="K97" s="63">
        <f t="shared" si="41"/>
        <v>42.139187438799432</v>
      </c>
      <c r="L97" s="63">
        <f t="shared" si="25"/>
        <v>11599.712626975192</v>
      </c>
      <c r="M97" s="106">
        <f t="shared" si="45"/>
        <v>14.5</v>
      </c>
      <c r="P97" s="63">
        <f t="shared" si="47"/>
        <v>1.1233573067556222</v>
      </c>
      <c r="Q97" s="63">
        <f t="shared" si="49"/>
        <v>467.50409049958319</v>
      </c>
      <c r="R97" s="63">
        <f t="shared" si="28"/>
        <v>11845.759364326908</v>
      </c>
      <c r="S97" s="63">
        <f t="shared" si="43"/>
        <v>42.985932071258119</v>
      </c>
      <c r="T97" s="63">
        <f t="shared" si="26"/>
        <v>11802.77343225565</v>
      </c>
      <c r="U97" s="106">
        <f t="shared" si="34"/>
        <v>2.9000000000000012</v>
      </c>
      <c r="Y97" s="66"/>
      <c r="Z97" s="66"/>
      <c r="AA97" s="63">
        <v>442</v>
      </c>
      <c r="AB97" s="63"/>
      <c r="AC97" s="63"/>
      <c r="AD97" s="63"/>
      <c r="AE97" s="66"/>
      <c r="AF97" s="102">
        <v>45444</v>
      </c>
      <c r="AH97" s="8" t="s">
        <v>521</v>
      </c>
      <c r="AI97" s="6">
        <f>SUM(AI99:AI108)</f>
        <v>26293.26</v>
      </c>
      <c r="AJ97" s="452" t="s">
        <v>560</v>
      </c>
      <c r="AK97" s="452"/>
      <c r="AL97" s="452"/>
      <c r="AM97" s="338">
        <v>244.45</v>
      </c>
      <c r="AN97">
        <v>285.51</v>
      </c>
    </row>
    <row r="98" spans="2:40">
      <c r="B98" s="105">
        <v>46753</v>
      </c>
      <c r="C98" s="63">
        <f t="shared" si="30"/>
        <v>370</v>
      </c>
      <c r="D98" s="111">
        <f t="shared" si="22"/>
        <v>14101.043211581255</v>
      </c>
      <c r="E98" s="63">
        <f t="shared" si="39"/>
        <v>52.681356954849022</v>
      </c>
      <c r="F98" s="111">
        <f t="shared" si="23"/>
        <v>14048.361854626406</v>
      </c>
      <c r="G98" s="63"/>
      <c r="H98" s="63">
        <f t="shared" si="46"/>
        <v>5.1145377610037599</v>
      </c>
      <c r="I98" s="63">
        <f t="shared" si="48"/>
        <v>423.65932572863062</v>
      </c>
      <c r="J98" s="63">
        <f t="shared" si="33"/>
        <v>11258.977078281807</v>
      </c>
      <c r="K98" s="63">
        <f t="shared" si="41"/>
        <v>40.784589596444775</v>
      </c>
      <c r="L98" s="63">
        <f t="shared" si="25"/>
        <v>11218.192488685361</v>
      </c>
      <c r="M98" s="106">
        <f t="shared" si="45"/>
        <v>15</v>
      </c>
      <c r="P98" s="63">
        <f t="shared" si="47"/>
        <v>1.1206644819018265</v>
      </c>
      <c r="Q98" s="63">
        <f t="shared" si="49"/>
        <v>466.38342601768136</v>
      </c>
      <c r="R98" s="63">
        <f t="shared" si="28"/>
        <v>11420.874489697038</v>
      </c>
      <c r="S98" s="63">
        <f t="shared" si="43"/>
        <v>41.498551387810863</v>
      </c>
      <c r="T98" s="63">
        <f t="shared" si="26"/>
        <v>11379.375938309227</v>
      </c>
      <c r="U98" s="106">
        <f t="shared" si="34"/>
        <v>3.0000000000000013</v>
      </c>
      <c r="Y98" s="66"/>
      <c r="Z98" s="66"/>
      <c r="AA98" s="63">
        <v>442</v>
      </c>
      <c r="AB98" s="63"/>
      <c r="AC98" s="63"/>
      <c r="AD98" s="63"/>
      <c r="AE98" s="66"/>
      <c r="AG98" t="s">
        <v>508</v>
      </c>
      <c r="AH98" t="s">
        <v>520</v>
      </c>
      <c r="AI98" t="s">
        <v>12</v>
      </c>
      <c r="AJ98" t="s">
        <v>519</v>
      </c>
      <c r="AK98" t="s">
        <v>154</v>
      </c>
      <c r="AL98" t="s">
        <v>332</v>
      </c>
    </row>
    <row r="99" spans="2:40">
      <c r="B99" s="105">
        <v>46784</v>
      </c>
      <c r="C99" s="63">
        <f t="shared" si="30"/>
        <v>370</v>
      </c>
      <c r="D99" s="111">
        <f t="shared" si="22"/>
        <v>13782.534623624684</v>
      </c>
      <c r="E99" s="63">
        <f t="shared" si="39"/>
        <v>51.491412043429705</v>
      </c>
      <c r="F99" s="111">
        <f t="shared" si="23"/>
        <v>13731.043211581255</v>
      </c>
      <c r="G99" s="63"/>
      <c r="H99" s="63">
        <f t="shared" si="46"/>
        <v>5.0535300860120174</v>
      </c>
      <c r="I99" s="63">
        <f t="shared" si="48"/>
        <v>418.6057956426186</v>
      </c>
      <c r="J99" s="63">
        <f t="shared" si="33"/>
        <v>10879.814447429406</v>
      </c>
      <c r="K99" s="63">
        <f t="shared" si="41"/>
        <v>39.443164790217729</v>
      </c>
      <c r="L99" s="63">
        <f t="shared" si="25"/>
        <v>10840.371282639187</v>
      </c>
      <c r="M99" s="106">
        <f t="shared" si="45"/>
        <v>15.5</v>
      </c>
      <c r="P99" s="63">
        <f t="shared" si="47"/>
        <v>1.1179781120785037</v>
      </c>
      <c r="Q99" s="63">
        <f t="shared" si="49"/>
        <v>465.26544790560285</v>
      </c>
      <c r="R99" s="63">
        <f t="shared" si="28"/>
        <v>10995.618927590531</v>
      </c>
      <c r="S99" s="63">
        <f t="shared" si="43"/>
        <v>40.009885799095244</v>
      </c>
      <c r="T99" s="63">
        <f t="shared" si="26"/>
        <v>10955.609041791435</v>
      </c>
      <c r="U99" s="106">
        <f t="shared" si="34"/>
        <v>3.1000000000000014</v>
      </c>
      <c r="Y99" s="66"/>
      <c r="Z99" s="66"/>
      <c r="AA99" s="63">
        <v>442</v>
      </c>
      <c r="AB99" s="63"/>
      <c r="AC99" s="63"/>
      <c r="AD99" s="63"/>
      <c r="AE99" s="66"/>
      <c r="AF99" s="360">
        <f>(AK99-AK85)/AJ99</f>
        <v>2.2356482620568574E-3</v>
      </c>
      <c r="AG99" s="1" t="s">
        <v>506</v>
      </c>
      <c r="AH99" s="333">
        <v>3.4000000000000002E-2</v>
      </c>
      <c r="AI99" s="63">
        <f>AJ99+AK99+AL99</f>
        <v>3299.77</v>
      </c>
      <c r="AJ99" s="63">
        <v>3292.11</v>
      </c>
      <c r="AK99" s="63">
        <v>7.66</v>
      </c>
      <c r="AL99" s="120">
        <v>0</v>
      </c>
      <c r="AM99" t="s">
        <v>512</v>
      </c>
    </row>
    <row r="100" spans="2:40">
      <c r="B100" s="105">
        <v>46813</v>
      </c>
      <c r="C100" s="63">
        <f t="shared" si="30"/>
        <v>370</v>
      </c>
      <c r="D100" s="111">
        <f t="shared" si="22"/>
        <v>13462.831628463277</v>
      </c>
      <c r="E100" s="63">
        <f t="shared" si="39"/>
        <v>50.297004838592564</v>
      </c>
      <c r="F100" s="111">
        <f t="shared" si="23"/>
        <v>13412.534623624684</v>
      </c>
      <c r="G100" s="63"/>
      <c r="H100" s="63">
        <f t="shared" si="46"/>
        <v>4.9932501280851511</v>
      </c>
      <c r="I100" s="63">
        <f t="shared" si="48"/>
        <v>413.61254551453345</v>
      </c>
      <c r="J100" s="63">
        <f t="shared" si="33"/>
        <v>10504.316647344631</v>
      </c>
      <c r="K100" s="63">
        <f t="shared" si="41"/>
        <v>38.114745429759381</v>
      </c>
      <c r="L100" s="63">
        <f t="shared" si="25"/>
        <v>10466.201901914872</v>
      </c>
      <c r="M100" s="106">
        <f t="shared" si="45"/>
        <v>16</v>
      </c>
      <c r="P100" s="63">
        <f t="shared" si="47"/>
        <v>1.115298181812193</v>
      </c>
      <c r="Q100" s="63">
        <f t="shared" si="49"/>
        <v>464.15014972379066</v>
      </c>
      <c r="R100" s="63">
        <f t="shared" si="28"/>
        <v>10569.988699257678</v>
      </c>
      <c r="S100" s="63">
        <f t="shared" si="43"/>
        <v>38.519921390938684</v>
      </c>
      <c r="T100" s="63">
        <f t="shared" si="26"/>
        <v>10531.468777866739</v>
      </c>
      <c r="U100" s="106">
        <f t="shared" si="34"/>
        <v>3.2000000000000015</v>
      </c>
      <c r="Y100" s="66"/>
      <c r="Z100" s="66"/>
      <c r="AA100" s="63">
        <v>442</v>
      </c>
      <c r="AB100" s="63"/>
      <c r="AC100" s="63"/>
      <c r="AD100" s="63"/>
      <c r="AE100" s="66"/>
      <c r="AF100" s="360"/>
      <c r="AG100" s="1" t="s">
        <v>507</v>
      </c>
      <c r="AI100" s="63">
        <f t="shared" ref="AI100:AI105" si="50">AJ100+AK100+AL100</f>
        <v>0</v>
      </c>
      <c r="AJ100" s="63">
        <v>0</v>
      </c>
      <c r="AK100" s="63">
        <v>0</v>
      </c>
      <c r="AL100" s="120">
        <v>0</v>
      </c>
      <c r="AM100" t="s">
        <v>513</v>
      </c>
    </row>
    <row r="101" spans="2:40">
      <c r="B101" s="105">
        <v>46844</v>
      </c>
      <c r="C101" s="63">
        <f t="shared" si="30"/>
        <v>370</v>
      </c>
      <c r="D101" s="111">
        <f t="shared" si="22"/>
        <v>13141.929747070013</v>
      </c>
      <c r="E101" s="63">
        <f t="shared" si="39"/>
        <v>49.098118606737287</v>
      </c>
      <c r="F101" s="111">
        <f t="shared" si="23"/>
        <v>13092.831628463277</v>
      </c>
      <c r="G101" s="63"/>
      <c r="H101" s="63">
        <f t="shared" si="46"/>
        <v>4.9336892068051839</v>
      </c>
      <c r="I101" s="63">
        <f t="shared" si="48"/>
        <v>408.67885630772827</v>
      </c>
      <c r="J101" s="63">
        <f t="shared" si="33"/>
        <v>10132.436956924035</v>
      </c>
      <c r="K101" s="63">
        <f t="shared" si="41"/>
        <v>36.799165887132688</v>
      </c>
      <c r="L101" s="63">
        <f t="shared" si="25"/>
        <v>10095.637791036903</v>
      </c>
      <c r="M101" s="106">
        <f t="shared" si="45"/>
        <v>16.5</v>
      </c>
      <c r="P101" s="63">
        <f t="shared" si="47"/>
        <v>1.1126246756665523</v>
      </c>
      <c r="Q101" s="63">
        <f t="shared" si="49"/>
        <v>463.03752504812411</v>
      </c>
      <c r="R101" s="63">
        <f t="shared" si="28"/>
        <v>10143.979818432534</v>
      </c>
      <c r="S101" s="63">
        <f t="shared" si="43"/>
        <v>37.028644222979459</v>
      </c>
      <c r="T101" s="63">
        <f t="shared" si="26"/>
        <v>10106.951174209555</v>
      </c>
      <c r="U101" s="106">
        <f t="shared" si="34"/>
        <v>3.3000000000000016</v>
      </c>
      <c r="Y101" s="66"/>
      <c r="Z101" s="66"/>
      <c r="AA101" s="63">
        <v>442</v>
      </c>
      <c r="AB101" s="63"/>
      <c r="AC101" s="63"/>
      <c r="AD101" s="63"/>
      <c r="AE101" s="66"/>
      <c r="AF101" s="360">
        <f>(AK101-AK87)/AJ101</f>
        <v>2.2358952080539446E-3</v>
      </c>
      <c r="AG101" s="1" t="s">
        <v>509</v>
      </c>
      <c r="AH101" s="333">
        <v>3.4000000000000002E-2</v>
      </c>
      <c r="AI101" s="63">
        <f t="shared" si="50"/>
        <v>4245.2999999999993</v>
      </c>
      <c r="AJ101" s="63">
        <v>4235.4399999999996</v>
      </c>
      <c r="AK101" s="63">
        <v>9.86</v>
      </c>
      <c r="AL101" s="120">
        <v>0</v>
      </c>
      <c r="AM101" t="s">
        <v>512</v>
      </c>
    </row>
    <row r="102" spans="2:40">
      <c r="B102" s="105">
        <v>46874</v>
      </c>
      <c r="C102" s="63">
        <f t="shared" si="30"/>
        <v>370</v>
      </c>
      <c r="D102" s="111">
        <f t="shared" si="22"/>
        <v>12819.824483621525</v>
      </c>
      <c r="E102" s="63">
        <f t="shared" si="39"/>
        <v>47.894736551512544</v>
      </c>
      <c r="F102" s="111">
        <f t="shared" si="23"/>
        <v>12771.929747070013</v>
      </c>
      <c r="G102" s="63"/>
      <c r="H102" s="63">
        <f t="shared" si="46"/>
        <v>4.8748387452964153</v>
      </c>
      <c r="I102" s="63">
        <f t="shared" si="48"/>
        <v>403.80401756243185</v>
      </c>
      <c r="J102" s="63">
        <f t="shared" si="33"/>
        <v>9764.1292018348886</v>
      </c>
      <c r="K102" s="63">
        <f t="shared" si="41"/>
        <v>35.496262473285753</v>
      </c>
      <c r="L102" s="63">
        <f t="shared" si="25"/>
        <v>9728.6329393616033</v>
      </c>
      <c r="M102" s="106">
        <f t="shared" si="45"/>
        <v>17</v>
      </c>
      <c r="P102" s="63">
        <f t="shared" si="47"/>
        <v>1.1099575782420175</v>
      </c>
      <c r="Q102" s="63">
        <f t="shared" si="49"/>
        <v>461.92756746988209</v>
      </c>
      <c r="R102" s="63">
        <f t="shared" si="28"/>
        <v>9717.5882912911729</v>
      </c>
      <c r="S102" s="63">
        <f t="shared" si="43"/>
        <v>35.536040328520798</v>
      </c>
      <c r="T102" s="63">
        <f t="shared" si="26"/>
        <v>9682.0522509626517</v>
      </c>
      <c r="U102" s="106">
        <f t="shared" si="34"/>
        <v>3.4000000000000017</v>
      </c>
      <c r="Y102" s="66"/>
      <c r="Z102" s="66"/>
      <c r="AA102" s="63">
        <v>442</v>
      </c>
      <c r="AB102" s="63"/>
      <c r="AC102" s="63"/>
      <c r="AD102" s="63"/>
      <c r="AE102" s="66"/>
      <c r="AF102" s="360"/>
      <c r="AG102" s="1" t="s">
        <v>510</v>
      </c>
      <c r="AI102" s="63">
        <f t="shared" si="50"/>
        <v>0</v>
      </c>
      <c r="AJ102" s="63">
        <v>0</v>
      </c>
      <c r="AK102" s="63">
        <v>0</v>
      </c>
      <c r="AL102" s="120">
        <v>0</v>
      </c>
      <c r="AM102" t="s">
        <v>512</v>
      </c>
    </row>
    <row r="103" spans="2:40">
      <c r="B103" s="105">
        <v>46905</v>
      </c>
      <c r="C103" s="63">
        <f t="shared" si="30"/>
        <v>370</v>
      </c>
      <c r="D103" s="111">
        <f t="shared" si="22"/>
        <v>12496.511325435105</v>
      </c>
      <c r="E103" s="63">
        <f t="shared" si="39"/>
        <v>46.68684181358072</v>
      </c>
      <c r="F103" s="111">
        <f t="shared" si="23"/>
        <v>12449.824483621525</v>
      </c>
      <c r="G103" s="63"/>
      <c r="H103" s="63">
        <f t="shared" si="46"/>
        <v>4.8166902689907261</v>
      </c>
      <c r="I103" s="63">
        <f t="shared" si="48"/>
        <v>398.98732729344113</v>
      </c>
      <c r="J103" s="63">
        <f t="shared" si="33"/>
        <v>9399.3477479562443</v>
      </c>
      <c r="K103" s="63">
        <f t="shared" si="41"/>
        <v>34.205873414795398</v>
      </c>
      <c r="L103" s="63">
        <f t="shared" si="25"/>
        <v>9365.1418745414485</v>
      </c>
      <c r="M103" s="106">
        <f t="shared" si="45"/>
        <v>17.5</v>
      </c>
      <c r="P103" s="63">
        <f t="shared" si="47"/>
        <v>1.1072968741762566</v>
      </c>
      <c r="Q103" s="63">
        <f t="shared" si="49"/>
        <v>460.82027059570584</v>
      </c>
      <c r="R103" s="63">
        <f t="shared" si="28"/>
        <v>9290.8101164098516</v>
      </c>
      <c r="S103" s="63">
        <f t="shared" si="43"/>
        <v>34.042095714384686</v>
      </c>
      <c r="T103" s="63">
        <f t="shared" si="26"/>
        <v>9256.7680206954665</v>
      </c>
      <c r="U103" s="106">
        <f t="shared" si="34"/>
        <v>3.5000000000000018</v>
      </c>
      <c r="Y103" s="66"/>
      <c r="Z103" s="66"/>
      <c r="AA103" s="63">
        <v>442</v>
      </c>
      <c r="AB103" s="63"/>
      <c r="AC103" s="63"/>
      <c r="AD103" s="63"/>
      <c r="AE103" s="66"/>
      <c r="AF103" s="360">
        <f>(AK103-AK89)/AJ103</f>
        <v>2.537498481550111E-3</v>
      </c>
      <c r="AG103" s="1" t="s">
        <v>511</v>
      </c>
      <c r="AH103" s="333">
        <v>3.8600000000000002E-2</v>
      </c>
      <c r="AI103" s="63">
        <f t="shared" si="50"/>
        <v>5199.92</v>
      </c>
      <c r="AJ103" s="63">
        <v>5186.21</v>
      </c>
      <c r="AK103" s="63">
        <v>13.71</v>
      </c>
      <c r="AL103" s="120">
        <v>0</v>
      </c>
      <c r="AM103" t="s">
        <v>512</v>
      </c>
    </row>
    <row r="104" spans="2:40">
      <c r="B104" s="105">
        <v>46935</v>
      </c>
      <c r="C104" s="63">
        <f t="shared" si="30"/>
        <v>370</v>
      </c>
      <c r="D104" s="111">
        <f t="shared" si="22"/>
        <v>12171.985742905486</v>
      </c>
      <c r="E104" s="63">
        <f t="shared" si="39"/>
        <v>45.474417470381646</v>
      </c>
      <c r="F104" s="111">
        <f t="shared" si="23"/>
        <v>12126.511325435105</v>
      </c>
      <c r="G104" s="63"/>
      <c r="H104" s="63">
        <f t="shared" si="46"/>
        <v>4.759235404407093</v>
      </c>
      <c r="I104" s="63">
        <f t="shared" si="48"/>
        <v>394.22809188903403</v>
      </c>
      <c r="J104" s="63">
        <f t="shared" si="33"/>
        <v>9038.0474948980991</v>
      </c>
      <c r="K104" s="63">
        <f t="shared" si="41"/>
        <v>32.92783883088773</v>
      </c>
      <c r="L104" s="63">
        <f t="shared" si="25"/>
        <v>9005.1196560672106</v>
      </c>
      <c r="M104" s="106">
        <f t="shared" si="45"/>
        <v>18</v>
      </c>
      <c r="P104" s="63">
        <f t="shared" si="47"/>
        <v>1.1046425481434881</v>
      </c>
      <c r="Q104" s="63">
        <f t="shared" si="49"/>
        <v>459.71562804756235</v>
      </c>
      <c r="R104" s="63">
        <f t="shared" si="28"/>
        <v>8863.6412847230549</v>
      </c>
      <c r="S104" s="63">
        <f t="shared" si="43"/>
        <v>32.546796360765264</v>
      </c>
      <c r="T104" s="63">
        <f t="shared" si="26"/>
        <v>8831.0944883622888</v>
      </c>
      <c r="U104" s="106">
        <f t="shared" si="34"/>
        <v>3.6000000000000019</v>
      </c>
      <c r="Y104" s="66"/>
      <c r="Z104" s="66"/>
      <c r="AA104" s="63">
        <v>442</v>
      </c>
      <c r="AB104" s="63"/>
      <c r="AC104" s="63"/>
      <c r="AD104" s="63"/>
      <c r="AE104" s="66"/>
      <c r="AF104" s="360">
        <f>(AK104-AK90)/AJ104</f>
        <v>2.5342500125457921E-3</v>
      </c>
      <c r="AG104" s="1" t="s">
        <v>514</v>
      </c>
      <c r="AH104" s="333">
        <v>3.8600000000000002E-2</v>
      </c>
      <c r="AI104" s="63">
        <f t="shared" si="50"/>
        <v>2005.55</v>
      </c>
      <c r="AJ104" s="63">
        <v>1992.7</v>
      </c>
      <c r="AK104" s="63">
        <v>12.85</v>
      </c>
      <c r="AL104" s="120">
        <v>0</v>
      </c>
      <c r="AM104" t="s">
        <v>513</v>
      </c>
    </row>
    <row r="105" spans="2:40">
      <c r="B105" s="105">
        <v>46966</v>
      </c>
      <c r="C105" s="63">
        <f t="shared" si="30"/>
        <v>370</v>
      </c>
      <c r="D105" s="111">
        <f t="shared" si="22"/>
        <v>11846.243189441382</v>
      </c>
      <c r="E105" s="63">
        <f t="shared" si="39"/>
        <v>44.257446535895575</v>
      </c>
      <c r="F105" s="111">
        <f t="shared" si="23"/>
        <v>11801.985742905486</v>
      </c>
      <c r="G105" s="63"/>
      <c r="H105" s="63">
        <f t="shared" si="46"/>
        <v>4.7024658779455422</v>
      </c>
      <c r="I105" s="63">
        <f t="shared" si="48"/>
        <v>389.52562601108849</v>
      </c>
      <c r="J105" s="63">
        <f t="shared" si="33"/>
        <v>8680.1838695977422</v>
      </c>
      <c r="K105" s="63">
        <f t="shared" si="41"/>
        <v>31.662000710732311</v>
      </c>
      <c r="L105" s="63">
        <f t="shared" si="25"/>
        <v>8648.52186888701</v>
      </c>
      <c r="M105" s="106">
        <f t="shared" si="45"/>
        <v>18.5</v>
      </c>
      <c r="P105" s="63">
        <f t="shared" si="47"/>
        <v>1.1019945848549924</v>
      </c>
      <c r="Q105" s="63">
        <f t="shared" si="49"/>
        <v>458.61363346270736</v>
      </c>
      <c r="R105" s="63">
        <f t="shared" si="28"/>
        <v>8436.0777794814294</v>
      </c>
      <c r="S105" s="63">
        <f t="shared" si="43"/>
        <v>31.050128221081806</v>
      </c>
      <c r="T105" s="63">
        <f t="shared" si="26"/>
        <v>8405.0276512603468</v>
      </c>
      <c r="U105" s="106">
        <f t="shared" si="34"/>
        <v>3.700000000000002</v>
      </c>
      <c r="Y105" s="66"/>
      <c r="Z105" s="66"/>
      <c r="AA105" s="63">
        <v>442</v>
      </c>
      <c r="AB105" s="63"/>
      <c r="AC105" s="63"/>
      <c r="AD105" s="63"/>
      <c r="AE105" s="66"/>
      <c r="AF105" s="360">
        <f>(AK105-AK91)/AJ105</f>
        <v>3.061899026275555E-3</v>
      </c>
      <c r="AG105" s="1" t="s">
        <v>515</v>
      </c>
      <c r="AH105" s="333">
        <v>4.6600000000000003E-2</v>
      </c>
      <c r="AI105" s="63">
        <f t="shared" si="50"/>
        <v>2479.61</v>
      </c>
      <c r="AJ105" s="63">
        <v>2465.79</v>
      </c>
      <c r="AK105" s="63">
        <v>13.82</v>
      </c>
      <c r="AL105" s="120">
        <v>0</v>
      </c>
      <c r="AM105" t="s">
        <v>512</v>
      </c>
    </row>
    <row r="106" spans="2:40">
      <c r="B106" s="105">
        <v>46997</v>
      </c>
      <c r="C106" s="63">
        <f t="shared" si="30"/>
        <v>370</v>
      </c>
      <c r="D106" s="111">
        <f t="shared" si="22"/>
        <v>11519.279101401788</v>
      </c>
      <c r="E106" s="63">
        <f t="shared" si="39"/>
        <v>43.03591196040518</v>
      </c>
      <c r="F106" s="111">
        <f t="shared" si="23"/>
        <v>11476.243189441382</v>
      </c>
      <c r="G106" s="63"/>
      <c r="H106" s="63">
        <f t="shared" si="46"/>
        <v>4.6463735146965632</v>
      </c>
      <c r="I106" s="63">
        <f t="shared" si="48"/>
        <v>384.87925249639193</v>
      </c>
      <c r="J106" s="63">
        <f t="shared" si="33"/>
        <v>8325.7128199923573</v>
      </c>
      <c r="K106" s="63">
        <f t="shared" si="41"/>
        <v>30.408202891006727</v>
      </c>
      <c r="L106" s="63">
        <f t="shared" si="25"/>
        <v>8295.3046171013502</v>
      </c>
      <c r="M106" s="106">
        <f t="shared" si="45"/>
        <v>19</v>
      </c>
      <c r="P106" s="63">
        <f t="shared" si="47"/>
        <v>1.0993529690583159</v>
      </c>
      <c r="Q106" s="63">
        <f t="shared" si="49"/>
        <v>457.51428049364904</v>
      </c>
      <c r="R106" s="63">
        <f t="shared" si="28"/>
        <v>8008.1155762096114</v>
      </c>
      <c r="S106" s="63">
        <f t="shared" si="43"/>
        <v>29.552077221831379</v>
      </c>
      <c r="T106" s="63">
        <f t="shared" si="26"/>
        <v>7978.5634989877799</v>
      </c>
      <c r="U106" s="106">
        <f t="shared" si="34"/>
        <v>3.800000000000002</v>
      </c>
      <c r="Y106" s="66"/>
      <c r="Z106" s="66"/>
      <c r="AA106" s="63">
        <v>442</v>
      </c>
      <c r="AB106" s="63"/>
      <c r="AC106" s="63"/>
      <c r="AD106" s="63"/>
      <c r="AE106" s="66"/>
      <c r="AF106" s="360"/>
      <c r="AG106" s="1" t="s">
        <v>516</v>
      </c>
      <c r="AH106" s="333"/>
      <c r="AI106" s="63">
        <v>0</v>
      </c>
      <c r="AJ106" s="63">
        <v>0</v>
      </c>
      <c r="AK106" s="63">
        <v>0</v>
      </c>
      <c r="AL106" s="120">
        <v>0</v>
      </c>
      <c r="AM106" t="s">
        <v>513</v>
      </c>
    </row>
    <row r="107" spans="2:40">
      <c r="B107" s="105">
        <v>47027</v>
      </c>
      <c r="C107" s="63">
        <f t="shared" si="30"/>
        <v>370</v>
      </c>
      <c r="D107" s="111">
        <f t="shared" si="22"/>
        <v>11191.088898032045</v>
      </c>
      <c r="E107" s="63">
        <f t="shared" si="39"/>
        <v>41.809796630256699</v>
      </c>
      <c r="F107" s="111">
        <f t="shared" si="23"/>
        <v>11149.279101401788</v>
      </c>
      <c r="G107" s="63"/>
      <c r="H107" s="63">
        <f t="shared" si="46"/>
        <v>4.5909502372625184</v>
      </c>
      <c r="I107" s="63">
        <f t="shared" si="48"/>
        <v>380.28830225912941</v>
      </c>
      <c r="J107" s="63">
        <f t="shared" si="33"/>
        <v>7974.5908087669559</v>
      </c>
      <c r="K107" s="63">
        <f t="shared" si="41"/>
        <v>29.166291033728349</v>
      </c>
      <c r="L107" s="63">
        <f t="shared" si="25"/>
        <v>7945.4245177332277</v>
      </c>
      <c r="M107" s="106">
        <f t="shared" si="45"/>
        <v>19.5</v>
      </c>
      <c r="P107" s="63">
        <f t="shared" si="47"/>
        <v>1.0967176855376124</v>
      </c>
      <c r="Q107" s="63">
        <f t="shared" si="49"/>
        <v>456.41756280811143</v>
      </c>
      <c r="R107" s="63">
        <f t="shared" si="28"/>
        <v>7579.7506426639411</v>
      </c>
      <c r="S107" s="63">
        <f t="shared" si="43"/>
        <v>28.052629262441034</v>
      </c>
      <c r="T107" s="63">
        <f t="shared" si="26"/>
        <v>7551.6980134015002</v>
      </c>
      <c r="U107" s="106">
        <f t="shared" si="34"/>
        <v>3.9000000000000021</v>
      </c>
      <c r="Y107" s="66"/>
      <c r="Z107" s="66"/>
      <c r="AA107" s="63">
        <v>442</v>
      </c>
      <c r="AB107" s="63"/>
      <c r="AC107" s="63"/>
      <c r="AD107" s="63"/>
      <c r="AE107" s="66"/>
      <c r="AF107" s="360">
        <f>(AK107-AK93)/AJ107</f>
        <v>2.8191999504996439E-3</v>
      </c>
      <c r="AG107" s="1" t="s">
        <v>517</v>
      </c>
      <c r="AH107" s="333">
        <v>4.2900000000000001E-2</v>
      </c>
      <c r="AI107" s="63">
        <f>AJ107+AK107+AL107</f>
        <v>2593.4300000000003</v>
      </c>
      <c r="AJ107" s="63">
        <v>2585.84</v>
      </c>
      <c r="AK107" s="63">
        <v>7.59</v>
      </c>
      <c r="AL107" s="120">
        <v>0</v>
      </c>
      <c r="AM107" t="s">
        <v>512</v>
      </c>
    </row>
    <row r="108" spans="2:40">
      <c r="B108" s="105">
        <v>47058</v>
      </c>
      <c r="C108" s="63">
        <f t="shared" si="30"/>
        <v>370</v>
      </c>
      <c r="D108" s="111">
        <f t="shared" si="22"/>
        <v>10861.667981399665</v>
      </c>
      <c r="E108" s="63">
        <f t="shared" si="39"/>
        <v>40.579083367620164</v>
      </c>
      <c r="F108" s="111">
        <f t="shared" si="23"/>
        <v>10821.088898032045</v>
      </c>
      <c r="G108" s="63"/>
      <c r="H108" s="63">
        <f t="shared" si="46"/>
        <v>4.5361880645958763</v>
      </c>
      <c r="I108" s="63">
        <f t="shared" si="48"/>
        <v>375.75211419453353</v>
      </c>
      <c r="J108" s="63">
        <f t="shared" si="33"/>
        <v>7626.7748071767728</v>
      </c>
      <c r="K108" s="63">
        <f t="shared" si="41"/>
        <v>27.936112604350029</v>
      </c>
      <c r="L108" s="63">
        <f t="shared" si="25"/>
        <v>7598.8386945724224</v>
      </c>
      <c r="M108" s="106">
        <f t="shared" si="45"/>
        <v>20</v>
      </c>
      <c r="P108" s="63">
        <f t="shared" si="47"/>
        <v>1.0940887191139836</v>
      </c>
      <c r="Q108" s="63">
        <f t="shared" si="49"/>
        <v>455.32347408899744</v>
      </c>
      <c r="R108" s="63">
        <f t="shared" si="28"/>
        <v>7150.9789387900637</v>
      </c>
      <c r="S108" s="63">
        <f t="shared" si="43"/>
        <v>26.551770215119674</v>
      </c>
      <c r="T108" s="63">
        <f t="shared" si="26"/>
        <v>7124.4271685749436</v>
      </c>
      <c r="U108" s="106">
        <f t="shared" si="34"/>
        <v>4.0000000000000018</v>
      </c>
      <c r="Y108" s="66"/>
      <c r="Z108" s="66"/>
      <c r="AA108" s="63">
        <v>442</v>
      </c>
      <c r="AB108" s="63"/>
      <c r="AC108" s="63"/>
      <c r="AD108" s="63"/>
      <c r="AE108" s="66"/>
      <c r="AF108" s="360">
        <f>(AK108-AK94)/AJ108</f>
        <v>2.8244996667028382E-3</v>
      </c>
      <c r="AG108" s="1" t="s">
        <v>518</v>
      </c>
      <c r="AH108" s="333">
        <v>4.2999999999999997E-2</v>
      </c>
      <c r="AI108" s="63">
        <f>AJ108+AK108+AL108</f>
        <v>6469.6799999999994</v>
      </c>
      <c r="AJ108" s="63">
        <v>6450.7</v>
      </c>
      <c r="AK108" s="63">
        <v>18.98</v>
      </c>
      <c r="AL108" s="120">
        <v>0</v>
      </c>
      <c r="AM108" t="s">
        <v>513</v>
      </c>
    </row>
    <row r="109" spans="2:40">
      <c r="B109" s="105">
        <v>47088</v>
      </c>
      <c r="C109" s="63">
        <f t="shared" si="30"/>
        <v>370</v>
      </c>
      <c r="D109" s="111">
        <f t="shared" si="22"/>
        <v>10531.011736329914</v>
      </c>
      <c r="E109" s="63">
        <f t="shared" si="39"/>
        <v>39.343754930248743</v>
      </c>
      <c r="F109" s="111">
        <f t="shared" si="23"/>
        <v>10491.667981399665</v>
      </c>
      <c r="G109" s="63"/>
      <c r="H109" s="63">
        <f t="shared" si="46"/>
        <v>4.4820791108490425</v>
      </c>
      <c r="I109" s="63">
        <f t="shared" si="48"/>
        <v>371.27003508368449</v>
      </c>
      <c r="J109" s="63">
        <f t="shared" si="33"/>
        <v>7282.2222889432041</v>
      </c>
      <c r="K109" s="63">
        <f t="shared" si="41"/>
        <v>26.717516850116638</v>
      </c>
      <c r="L109" s="63">
        <f t="shared" si="25"/>
        <v>7255.5047720930879</v>
      </c>
      <c r="M109" s="106">
        <f t="shared" si="45"/>
        <v>20.5</v>
      </c>
      <c r="P109" s="63">
        <f t="shared" si="47"/>
        <v>1.0914660546443997</v>
      </c>
      <c r="Q109" s="63">
        <f t="shared" si="49"/>
        <v>454.23200803435304</v>
      </c>
      <c r="R109" s="63">
        <f t="shared" si="28"/>
        <v>6721.7964166804195</v>
      </c>
      <c r="S109" s="63">
        <f t="shared" si="43"/>
        <v>25.049485924709501</v>
      </c>
      <c r="T109" s="63">
        <f t="shared" si="26"/>
        <v>6696.7469307557103</v>
      </c>
      <c r="U109" s="106">
        <f t="shared" si="34"/>
        <v>4.1000000000000014</v>
      </c>
      <c r="Y109" s="66"/>
      <c r="Z109" s="66"/>
      <c r="AA109" s="63">
        <v>442</v>
      </c>
      <c r="AB109" s="63"/>
      <c r="AC109" s="63"/>
      <c r="AD109" s="63"/>
      <c r="AE109" s="66"/>
      <c r="AF109" s="66"/>
      <c r="AK109" s="6">
        <f>SUM(AK99:AK108)</f>
        <v>84.47</v>
      </c>
    </row>
    <row r="110" spans="2:40">
      <c r="B110" s="105">
        <v>47119</v>
      </c>
      <c r="C110" s="63">
        <f t="shared" si="30"/>
        <v>370</v>
      </c>
      <c r="D110" s="111">
        <f t="shared" si="22"/>
        <v>10199.115530341151</v>
      </c>
      <c r="E110" s="63">
        <f t="shared" si="39"/>
        <v>38.103794011237177</v>
      </c>
      <c r="F110" s="111">
        <f t="shared" si="23"/>
        <v>10161.011736329914</v>
      </c>
      <c r="G110" s="63"/>
      <c r="H110" s="63">
        <f t="shared" si="46"/>
        <v>4.4286155842392532</v>
      </c>
      <c r="I110" s="63">
        <f t="shared" si="48"/>
        <v>366.84141949944524</v>
      </c>
      <c r="J110" s="63">
        <f t="shared" si="33"/>
        <v>6940.8912242224387</v>
      </c>
      <c r="K110" s="63">
        <f t="shared" si="41"/>
        <v>25.510354778679297</v>
      </c>
      <c r="L110" s="63">
        <f t="shared" si="25"/>
        <v>6915.3808694437594</v>
      </c>
      <c r="M110" s="106">
        <f t="shared" si="45"/>
        <v>21</v>
      </c>
      <c r="P110" s="63">
        <f t="shared" si="47"/>
        <v>1.0888496770222105</v>
      </c>
      <c r="Q110" s="63">
        <f t="shared" si="49"/>
        <v>453.14315835733083</v>
      </c>
      <c r="R110" s="63">
        <f t="shared" si="28"/>
        <v>6292.199020531626</v>
      </c>
      <c r="S110" s="63">
        <f t="shared" si="43"/>
        <v>23.545762208537077</v>
      </c>
      <c r="T110" s="63">
        <f t="shared" si="26"/>
        <v>6268.6532583230892</v>
      </c>
      <c r="U110" s="106">
        <f t="shared" si="34"/>
        <v>4.2000000000000011</v>
      </c>
      <c r="Y110" s="66"/>
      <c r="Z110" s="66"/>
      <c r="AA110" s="63">
        <v>442</v>
      </c>
      <c r="AB110" s="63"/>
      <c r="AC110" s="63"/>
      <c r="AD110" s="63"/>
      <c r="AE110" s="66"/>
      <c r="AF110" s="66"/>
      <c r="AN110" t="s">
        <v>694</v>
      </c>
    </row>
    <row r="111" spans="2:40">
      <c r="B111" s="105">
        <v>47150</v>
      </c>
      <c r="C111" s="63">
        <f t="shared" si="30"/>
        <v>370</v>
      </c>
      <c r="D111" s="111">
        <f t="shared" si="22"/>
        <v>9865.9747135799298</v>
      </c>
      <c r="E111" s="63">
        <f t="shared" si="39"/>
        <v>36.859183238779316</v>
      </c>
      <c r="F111" s="111">
        <f t="shared" si="23"/>
        <v>9829.1155303411506</v>
      </c>
      <c r="G111" s="63"/>
      <c r="H111" s="63">
        <f t="shared" si="46"/>
        <v>4.375789785926429</v>
      </c>
      <c r="I111" s="63">
        <f t="shared" si="48"/>
        <v>362.46562971351881</v>
      </c>
      <c r="J111" s="63">
        <f t="shared" si="33"/>
        <v>6602.740073645884</v>
      </c>
      <c r="K111" s="63">
        <f t="shared" si="41"/>
        <v>24.314479136964259</v>
      </c>
      <c r="L111" s="63">
        <f t="shared" si="25"/>
        <v>6578.4255945089199</v>
      </c>
      <c r="M111" s="106">
        <f t="shared" si="45"/>
        <v>21.5</v>
      </c>
      <c r="P111" s="63">
        <f t="shared" si="47"/>
        <v>1.0862395711772024</v>
      </c>
      <c r="Q111" s="63">
        <f t="shared" si="49"/>
        <v>452.05691878615363</v>
      </c>
      <c r="R111" s="63">
        <f t="shared" si="28"/>
        <v>5862.1826866017363</v>
      </c>
      <c r="S111" s="63">
        <f t="shared" si="43"/>
        <v>22.040584856263983</v>
      </c>
      <c r="T111" s="63">
        <f t="shared" si="26"/>
        <v>5840.1421017454722</v>
      </c>
      <c r="U111" s="106">
        <f t="shared" si="34"/>
        <v>4.3000000000000007</v>
      </c>
      <c r="Y111" s="66"/>
      <c r="Z111" s="66"/>
      <c r="AA111" s="63">
        <v>442</v>
      </c>
      <c r="AB111" s="63"/>
      <c r="AC111" s="63"/>
      <c r="AD111" s="63"/>
      <c r="AE111" s="66"/>
      <c r="AF111" s="102">
        <v>45448</v>
      </c>
      <c r="AH111" s="8" t="s">
        <v>521</v>
      </c>
      <c r="AI111" s="6">
        <f>SUM(AI113:AI122)</f>
        <v>26024.57</v>
      </c>
      <c r="AJ111" s="452" t="s">
        <v>560</v>
      </c>
      <c r="AK111" s="452"/>
      <c r="AL111" s="452"/>
      <c r="AM111" s="338">
        <v>255.6</v>
      </c>
      <c r="AN111">
        <v>285.51</v>
      </c>
    </row>
    <row r="112" spans="2:40">
      <c r="B112" s="105">
        <v>47178</v>
      </c>
      <c r="C112" s="63">
        <f t="shared" si="30"/>
        <v>370</v>
      </c>
      <c r="D112" s="111">
        <f t="shared" si="22"/>
        <v>9531.5846187558545</v>
      </c>
      <c r="E112" s="63">
        <f t="shared" si="39"/>
        <v>35.609905175924737</v>
      </c>
      <c r="F112" s="111">
        <f t="shared" si="23"/>
        <v>9495.9747135799298</v>
      </c>
      <c r="G112" s="63"/>
      <c r="H112" s="63">
        <f t="shared" si="46"/>
        <v>4.3235941089039898</v>
      </c>
      <c r="I112" s="63">
        <f t="shared" si="48"/>
        <v>358.14203560461482</v>
      </c>
      <c r="J112" s="63">
        <f t="shared" si="33"/>
        <v>6267.7277824315624</v>
      </c>
      <c r="K112" s="63">
        <f t="shared" si="41"/>
        <v>23.129744390293361</v>
      </c>
      <c r="L112" s="63">
        <f t="shared" si="25"/>
        <v>6244.5980380412693</v>
      </c>
      <c r="M112" s="106">
        <f t="shared" si="45"/>
        <v>22</v>
      </c>
      <c r="P112" s="63">
        <f t="shared" si="47"/>
        <v>1.0836357220752006</v>
      </c>
      <c r="Q112" s="63">
        <f t="shared" si="49"/>
        <v>450.97328306407843</v>
      </c>
      <c r="R112" s="63">
        <f t="shared" si="28"/>
        <v>5431.7433431673944</v>
      </c>
      <c r="S112" s="63">
        <f t="shared" si="43"/>
        <v>20.53393962973708</v>
      </c>
      <c r="T112" s="63">
        <f t="shared" si="26"/>
        <v>5411.2094035376576</v>
      </c>
      <c r="U112" s="106">
        <f t="shared" si="34"/>
        <v>4.4000000000000004</v>
      </c>
      <c r="Y112" s="66"/>
      <c r="Z112" s="66"/>
      <c r="AA112" s="63">
        <v>442</v>
      </c>
      <c r="AB112" s="63"/>
      <c r="AC112" s="63" t="s">
        <v>699</v>
      </c>
      <c r="AD112" s="63" t="s">
        <v>700</v>
      </c>
      <c r="AE112" s="66" t="s">
        <v>701</v>
      </c>
      <c r="AG112" t="s">
        <v>508</v>
      </c>
      <c r="AH112" t="s">
        <v>520</v>
      </c>
      <c r="AI112" t="s">
        <v>12</v>
      </c>
      <c r="AJ112" t="s">
        <v>519</v>
      </c>
      <c r="AK112" t="s">
        <v>154</v>
      </c>
      <c r="AL112" t="s">
        <v>332</v>
      </c>
    </row>
    <row r="113" spans="2:40">
      <c r="B113" s="105">
        <v>47209</v>
      </c>
      <c r="C113" s="63">
        <f t="shared" si="30"/>
        <v>370</v>
      </c>
      <c r="D113" s="111">
        <f t="shared" si="22"/>
        <v>9195.9405610761896</v>
      </c>
      <c r="E113" s="63">
        <f t="shared" si="39"/>
        <v>34.355942320334456</v>
      </c>
      <c r="F113" s="111">
        <f t="shared" si="23"/>
        <v>9161.5846187558545</v>
      </c>
      <c r="G113" s="63"/>
      <c r="H113" s="63">
        <f t="shared" si="46"/>
        <v>4.2720210369045617</v>
      </c>
      <c r="I113" s="63">
        <f t="shared" si="48"/>
        <v>353.87001456771026</v>
      </c>
      <c r="J113" s="63">
        <f t="shared" si="33"/>
        <v>5935.8137745656049</v>
      </c>
      <c r="K113" s="63">
        <f t="shared" si="41"/>
        <v>21.956006701753104</v>
      </c>
      <c r="L113" s="63">
        <f t="shared" si="25"/>
        <v>5913.8577678638521</v>
      </c>
      <c r="M113" s="106">
        <f t="shared" si="45"/>
        <v>22.5</v>
      </c>
      <c r="P113" s="63">
        <f t="shared" si="47"/>
        <v>1.0810381147178987</v>
      </c>
      <c r="Q113" s="63">
        <f t="shared" si="49"/>
        <v>449.89224494936053</v>
      </c>
      <c r="R113" s="63">
        <f t="shared" si="28"/>
        <v>5000.8769104808725</v>
      </c>
      <c r="S113" s="63">
        <f t="shared" si="43"/>
        <v>19.025812262838404</v>
      </c>
      <c r="T113" s="63">
        <f t="shared" si="26"/>
        <v>4981.8510982180342</v>
      </c>
      <c r="U113" s="106">
        <f t="shared" si="34"/>
        <v>4.5</v>
      </c>
      <c r="Y113" s="66"/>
      <c r="Z113" s="66"/>
      <c r="AA113" s="63">
        <v>442</v>
      </c>
      <c r="AB113" s="63"/>
      <c r="AC113" s="301">
        <f t="shared" ref="AC113:AC122" si="51">AI99-AI113</f>
        <v>33.379999999999654</v>
      </c>
      <c r="AD113" s="301">
        <f t="shared" ref="AD113:AD122" si="52">AJ99-AJ113</f>
        <v>26.329999999999927</v>
      </c>
      <c r="AE113" s="301">
        <f t="shared" ref="AE113:AE122" si="53">AK99-AK113</f>
        <v>7.05</v>
      </c>
      <c r="AF113" s="360">
        <f>(AK113-AK99)/AJ113</f>
        <v>-2.1587492115206779E-3</v>
      </c>
      <c r="AG113" s="1" t="s">
        <v>506</v>
      </c>
      <c r="AH113" s="333">
        <v>3.4000000000000002E-2</v>
      </c>
      <c r="AI113" s="63">
        <f>AJ113+AK113+AL113</f>
        <v>3266.3900000000003</v>
      </c>
      <c r="AJ113" s="63">
        <v>3265.78</v>
      </c>
      <c r="AK113" s="63">
        <v>0.61</v>
      </c>
      <c r="AL113" s="120">
        <v>0</v>
      </c>
      <c r="AM113" t="s">
        <v>512</v>
      </c>
    </row>
    <row r="114" spans="2:40">
      <c r="B114" s="105">
        <v>47239</v>
      </c>
      <c r="C114" s="63">
        <f t="shared" si="30"/>
        <v>370</v>
      </c>
      <c r="D114" s="111">
        <f t="shared" si="22"/>
        <v>8859.0378381802257</v>
      </c>
      <c r="E114" s="63">
        <f t="shared" si="39"/>
        <v>33.097277104035712</v>
      </c>
      <c r="F114" s="111">
        <f t="shared" si="23"/>
        <v>8825.9405610761896</v>
      </c>
      <c r="G114" s="63"/>
      <c r="H114" s="63">
        <f t="shared" si="46"/>
        <v>4.2210631433164849</v>
      </c>
      <c r="I114" s="63">
        <f t="shared" si="48"/>
        <v>349.64895142439377</v>
      </c>
      <c r="J114" s="63">
        <f t="shared" si="33"/>
        <v>5606.9579470530216</v>
      </c>
      <c r="K114" s="63">
        <f t="shared" si="41"/>
        <v>20.793123911809303</v>
      </c>
      <c r="L114" s="63">
        <f t="shared" si="25"/>
        <v>5586.1648231412119</v>
      </c>
      <c r="M114" s="106">
        <f t="shared" si="45"/>
        <v>23</v>
      </c>
      <c r="P114" s="63">
        <f t="shared" si="47"/>
        <v>1.0784467341430855</v>
      </c>
      <c r="Q114" s="63">
        <f t="shared" si="49"/>
        <v>448.81379821521745</v>
      </c>
      <c r="R114" s="63">
        <f t="shared" si="28"/>
        <v>4569.5793007269895</v>
      </c>
      <c r="S114" s="63">
        <f t="shared" si="43"/>
        <v>17.516188461334607</v>
      </c>
      <c r="T114" s="63">
        <f t="shared" si="26"/>
        <v>4552.063112265655</v>
      </c>
      <c r="U114" s="106">
        <f t="shared" si="34"/>
        <v>4.5999999999999996</v>
      </c>
      <c r="Y114" s="66"/>
      <c r="Z114" s="66"/>
      <c r="AA114" s="63">
        <v>442</v>
      </c>
      <c r="AB114" s="63"/>
      <c r="AC114" s="301">
        <f t="shared" si="51"/>
        <v>0</v>
      </c>
      <c r="AD114" s="301">
        <f t="shared" si="52"/>
        <v>0</v>
      </c>
      <c r="AE114" s="301">
        <f t="shared" si="53"/>
        <v>0</v>
      </c>
      <c r="AF114" s="360"/>
      <c r="AG114" s="1" t="s">
        <v>507</v>
      </c>
      <c r="AI114" s="63">
        <f t="shared" ref="AI114:AI119" si="54">AJ114+AK114+AL114</f>
        <v>0</v>
      </c>
      <c r="AJ114" s="63">
        <v>0</v>
      </c>
      <c r="AK114" s="63">
        <v>0</v>
      </c>
      <c r="AL114" s="120">
        <v>0</v>
      </c>
      <c r="AM114" t="s">
        <v>513</v>
      </c>
    </row>
    <row r="115" spans="2:40">
      <c r="B115" s="105">
        <v>47270</v>
      </c>
      <c r="C115" s="63">
        <f t="shared" si="30"/>
        <v>370</v>
      </c>
      <c r="D115" s="111">
        <f t="shared" si="22"/>
        <v>8520.8717300734006</v>
      </c>
      <c r="E115" s="63">
        <f t="shared" si="39"/>
        <v>31.833891893175846</v>
      </c>
      <c r="F115" s="111">
        <f t="shared" si="23"/>
        <v>8489.0378381802257</v>
      </c>
      <c r="G115" s="63"/>
      <c r="H115" s="63">
        <f t="shared" si="46"/>
        <v>4.1707130901151004</v>
      </c>
      <c r="I115" s="63">
        <f t="shared" si="48"/>
        <v>345.47823833427867</v>
      </c>
      <c r="J115" s="63">
        <f t="shared" si="33"/>
        <v>5281.120664236907</v>
      </c>
      <c r="K115" s="63">
        <f t="shared" si="41"/>
        <v>19.6409555181645</v>
      </c>
      <c r="L115" s="63">
        <f t="shared" si="25"/>
        <v>5261.4797087187426</v>
      </c>
      <c r="M115" s="106">
        <f t="shared" si="45"/>
        <v>23.5</v>
      </c>
      <c r="P115" s="63">
        <f t="shared" si="47"/>
        <v>1.075861565424475</v>
      </c>
      <c r="Q115" s="63">
        <f t="shared" si="49"/>
        <v>447.73793664979297</v>
      </c>
      <c r="R115" s="63">
        <f t="shared" si="28"/>
        <v>4137.846417979923</v>
      </c>
      <c r="S115" s="63">
        <f t="shared" si="43"/>
        <v>16.005053902726043</v>
      </c>
      <c r="T115" s="63">
        <f t="shared" si="26"/>
        <v>4121.8413640771969</v>
      </c>
      <c r="U115" s="106">
        <f t="shared" si="34"/>
        <v>4.6999999999999993</v>
      </c>
      <c r="Y115" s="66"/>
      <c r="Z115" s="66"/>
      <c r="AA115" s="63">
        <v>442</v>
      </c>
      <c r="AB115" s="63"/>
      <c r="AC115" s="301">
        <f t="shared" si="51"/>
        <v>42.9399999999996</v>
      </c>
      <c r="AD115" s="301">
        <f t="shared" si="52"/>
        <v>33.869999999999891</v>
      </c>
      <c r="AE115" s="301">
        <f t="shared" si="53"/>
        <v>9.07</v>
      </c>
      <c r="AF115" s="360">
        <f>(AK115-AK101)/AJ115</f>
        <v>-2.1587168606021084E-3</v>
      </c>
      <c r="AG115" s="1" t="s">
        <v>509</v>
      </c>
      <c r="AH115" s="333">
        <v>3.4000000000000002E-2</v>
      </c>
      <c r="AI115" s="63">
        <f t="shared" si="54"/>
        <v>4202.3599999999997</v>
      </c>
      <c r="AJ115" s="63">
        <v>4201.57</v>
      </c>
      <c r="AK115" s="63">
        <v>0.79</v>
      </c>
      <c r="AL115" s="120">
        <v>0</v>
      </c>
      <c r="AM115" t="s">
        <v>512</v>
      </c>
    </row>
    <row r="116" spans="2:40">
      <c r="B116" s="105">
        <v>47300</v>
      </c>
      <c r="C116" s="63">
        <f t="shared" si="30"/>
        <v>370</v>
      </c>
      <c r="D116" s="111">
        <f t="shared" si="22"/>
        <v>8181.4374990611768</v>
      </c>
      <c r="E116" s="63">
        <f t="shared" si="39"/>
        <v>30.565768987775254</v>
      </c>
      <c r="F116" s="111">
        <f t="shared" si="23"/>
        <v>8150.8717300734015</v>
      </c>
      <c r="G116" s="63"/>
      <c r="H116" s="63">
        <f t="shared" si="46"/>
        <v>4.1209636268056329</v>
      </c>
      <c r="I116" s="63">
        <f t="shared" si="48"/>
        <v>341.35727470747304</v>
      </c>
      <c r="J116" s="63">
        <f t="shared" si="33"/>
        <v>4958.2627521852892</v>
      </c>
      <c r="K116" s="63">
        <f t="shared" si="41"/>
        <v>18.499362655855098</v>
      </c>
      <c r="L116" s="63">
        <f t="shared" si="25"/>
        <v>4939.7633895294339</v>
      </c>
      <c r="M116" s="106">
        <f t="shared" si="45"/>
        <v>24</v>
      </c>
      <c r="P116" s="63">
        <f t="shared" si="47"/>
        <v>1.0732825936715358</v>
      </c>
      <c r="Q116" s="63">
        <f t="shared" si="49"/>
        <v>446.66465405612144</v>
      </c>
      <c r="R116" s="63">
        <f t="shared" si="28"/>
        <v>3705.6741581598972</v>
      </c>
      <c r="S116" s="63">
        <f t="shared" si="43"/>
        <v>14.492394236095425</v>
      </c>
      <c r="T116" s="63">
        <f t="shared" si="26"/>
        <v>3691.1817639238016</v>
      </c>
      <c r="U116" s="106">
        <f t="shared" si="34"/>
        <v>4.7999999999999989</v>
      </c>
      <c r="Y116" s="66"/>
      <c r="Z116" s="66"/>
      <c r="AA116" s="63">
        <v>442</v>
      </c>
      <c r="AB116" s="63"/>
      <c r="AC116" s="301">
        <f t="shared" si="51"/>
        <v>0</v>
      </c>
      <c r="AD116" s="301">
        <f t="shared" si="52"/>
        <v>0</v>
      </c>
      <c r="AE116" s="301">
        <f t="shared" si="53"/>
        <v>0</v>
      </c>
      <c r="AF116" s="360"/>
      <c r="AG116" s="1" t="s">
        <v>510</v>
      </c>
      <c r="AI116" s="63">
        <f t="shared" si="54"/>
        <v>0</v>
      </c>
      <c r="AJ116" s="63">
        <v>0</v>
      </c>
      <c r="AK116" s="63">
        <v>0</v>
      </c>
      <c r="AL116" s="120">
        <v>0</v>
      </c>
      <c r="AM116" t="s">
        <v>512</v>
      </c>
    </row>
    <row r="117" spans="2:40">
      <c r="B117" s="105">
        <v>47331</v>
      </c>
      <c r="C117" s="63">
        <f t="shared" si="30"/>
        <v>370</v>
      </c>
      <c r="D117" s="111">
        <f t="shared" si="22"/>
        <v>7840.7303896826561</v>
      </c>
      <c r="E117" s="63">
        <f t="shared" si="39"/>
        <v>29.292890621479412</v>
      </c>
      <c r="F117" s="111">
        <f t="shared" si="23"/>
        <v>7811.4374990611768</v>
      </c>
      <c r="G117" s="63"/>
      <c r="H117" s="63">
        <f t="shared" si="46"/>
        <v>4.0718075893796026</v>
      </c>
      <c r="I117" s="63">
        <f t="shared" si="48"/>
        <v>337.28546711809344</v>
      </c>
      <c r="J117" s="63">
        <f t="shared" si="33"/>
        <v>4638.3454931447804</v>
      </c>
      <c r="K117" s="63">
        <f t="shared" si="41"/>
        <v>17.368208077585489</v>
      </c>
      <c r="L117" s="63">
        <f t="shared" si="25"/>
        <v>4620.9772850671952</v>
      </c>
      <c r="M117" s="106">
        <f t="shared" si="45"/>
        <v>24.5</v>
      </c>
      <c r="P117" s="63">
        <f t="shared" si="47"/>
        <v>1.0707098040292067</v>
      </c>
      <c r="Q117" s="63">
        <f t="shared" si="49"/>
        <v>445.59394425209223</v>
      </c>
      <c r="R117" s="63">
        <f t="shared" si="28"/>
        <v>3273.0584089897607</v>
      </c>
      <c r="S117" s="63">
        <f t="shared" si="43"/>
        <v>12.978195081956086</v>
      </c>
      <c r="T117" s="63">
        <f t="shared" si="26"/>
        <v>3260.0802139078046</v>
      </c>
      <c r="U117" s="106">
        <f t="shared" si="34"/>
        <v>4.8999999999999986</v>
      </c>
      <c r="Y117" s="66"/>
      <c r="Z117" s="66"/>
      <c r="AA117" s="63">
        <v>442</v>
      </c>
      <c r="AB117" s="63"/>
      <c r="AC117" s="301">
        <f t="shared" si="51"/>
        <v>53.420000000000073</v>
      </c>
      <c r="AD117" s="301">
        <f t="shared" si="52"/>
        <v>40.800000000000182</v>
      </c>
      <c r="AE117" s="301">
        <f t="shared" si="53"/>
        <v>12.620000000000001</v>
      </c>
      <c r="AF117" s="360">
        <f>(AK117-AK103)/AJ117</f>
        <v>-2.4526714100528433E-3</v>
      </c>
      <c r="AG117" s="1" t="s">
        <v>511</v>
      </c>
      <c r="AH117" s="333">
        <v>3.8600000000000002E-2</v>
      </c>
      <c r="AI117" s="63">
        <f t="shared" si="54"/>
        <v>5146.5</v>
      </c>
      <c r="AJ117" s="63">
        <v>5145.41</v>
      </c>
      <c r="AK117" s="63">
        <v>1.0900000000000001</v>
      </c>
      <c r="AL117" s="120">
        <v>0</v>
      </c>
      <c r="AM117" t="s">
        <v>512</v>
      </c>
    </row>
    <row r="118" spans="2:40">
      <c r="B118" s="105">
        <v>47362</v>
      </c>
      <c r="C118" s="63">
        <f t="shared" si="30"/>
        <v>370</v>
      </c>
      <c r="D118" s="111">
        <f t="shared" si="22"/>
        <v>7498.7456286439665</v>
      </c>
      <c r="E118" s="63">
        <f t="shared" si="39"/>
        <v>28.015238961309958</v>
      </c>
      <c r="F118" s="111">
        <f t="shared" si="23"/>
        <v>7470.7303896826561</v>
      </c>
      <c r="G118" s="63"/>
      <c r="H118" s="63">
        <f t="shared" si="46"/>
        <v>4.023237899282492</v>
      </c>
      <c r="I118" s="63">
        <f t="shared" si="48"/>
        <v>333.26222921881094</v>
      </c>
      <c r="J118" s="63">
        <f t="shared" si="33"/>
        <v>4321.3306200602656</v>
      </c>
      <c r="K118" s="63">
        <f t="shared" si="41"/>
        <v>16.247356134296258</v>
      </c>
      <c r="L118" s="63">
        <f t="shared" si="25"/>
        <v>4305.0832639259697</v>
      </c>
      <c r="M118" s="106">
        <f t="shared" si="45"/>
        <v>25</v>
      </c>
      <c r="P118" s="63">
        <f t="shared" si="47"/>
        <v>1.0681431816783515</v>
      </c>
      <c r="Q118" s="63">
        <f t="shared" si="49"/>
        <v>444.52580107041388</v>
      </c>
      <c r="R118" s="63">
        <f t="shared" si="28"/>
        <v>2839.9950499514466</v>
      </c>
      <c r="S118" s="63">
        <f t="shared" si="43"/>
        <v>11.46244203209984</v>
      </c>
      <c r="T118" s="63">
        <f t="shared" si="26"/>
        <v>2828.5326079193469</v>
      </c>
      <c r="U118" s="106">
        <f t="shared" si="34"/>
        <v>4.9999999999999982</v>
      </c>
      <c r="Y118" s="66"/>
      <c r="Z118" s="66"/>
      <c r="AA118" s="63">
        <v>442</v>
      </c>
      <c r="AB118" s="63"/>
      <c r="AC118" s="301">
        <f t="shared" si="51"/>
        <v>9.5999999999999091</v>
      </c>
      <c r="AD118" s="301">
        <f t="shared" si="52"/>
        <v>0</v>
      </c>
      <c r="AE118" s="301">
        <f t="shared" si="53"/>
        <v>9.6</v>
      </c>
      <c r="AF118" s="360">
        <f>(AK118-AK104)/AJ118</f>
        <v>-4.8175841822652677E-3</v>
      </c>
      <c r="AG118" s="1" t="s">
        <v>514</v>
      </c>
      <c r="AH118" s="333">
        <v>3.8600000000000002E-2</v>
      </c>
      <c r="AI118" s="63">
        <f t="shared" si="54"/>
        <v>1995.95</v>
      </c>
      <c r="AJ118" s="63">
        <v>1992.7</v>
      </c>
      <c r="AK118" s="63">
        <v>3.25</v>
      </c>
      <c r="AL118" s="120">
        <v>0</v>
      </c>
      <c r="AM118" t="s">
        <v>513</v>
      </c>
    </row>
    <row r="119" spans="2:40">
      <c r="B119" s="105">
        <v>47392</v>
      </c>
      <c r="C119" s="63">
        <f t="shared" si="30"/>
        <v>370</v>
      </c>
      <c r="D119" s="111">
        <f t="shared" si="22"/>
        <v>7155.4784247513817</v>
      </c>
      <c r="E119" s="63">
        <f t="shared" si="39"/>
        <v>26.732796107414874</v>
      </c>
      <c r="F119" s="111">
        <f t="shared" si="23"/>
        <v>7128.7456286439665</v>
      </c>
      <c r="G119" s="63"/>
      <c r="H119" s="63">
        <f t="shared" si="46"/>
        <v>3.9752475623951113</v>
      </c>
      <c r="I119" s="63">
        <f t="shared" si="48"/>
        <v>329.28698165641583</v>
      </c>
      <c r="J119" s="63">
        <f t="shared" si="33"/>
        <v>4007.1803111598142</v>
      </c>
      <c r="K119" s="63">
        <f t="shared" si="41"/>
        <v>15.13667275596371</v>
      </c>
      <c r="L119" s="63">
        <f t="shared" si="25"/>
        <v>3992.0436384038503</v>
      </c>
      <c r="M119" s="106">
        <f t="shared" si="45"/>
        <v>25.5</v>
      </c>
      <c r="P119" s="63">
        <f t="shared" si="47"/>
        <v>1.0655827118350771</v>
      </c>
      <c r="Q119" s="63">
        <f t="shared" si="49"/>
        <v>443.4602183585788</v>
      </c>
      <c r="R119" s="63">
        <f t="shared" si="28"/>
        <v>2406.4799522423123</v>
      </c>
      <c r="S119" s="63">
        <f t="shared" si="43"/>
        <v>9.9451206494444246</v>
      </c>
      <c r="T119" s="63">
        <f t="shared" si="26"/>
        <v>2396.5348315928677</v>
      </c>
      <c r="U119" s="106">
        <f t="shared" si="34"/>
        <v>5.0999999999999979</v>
      </c>
      <c r="Y119" s="66"/>
      <c r="Z119" s="66"/>
      <c r="AA119" s="63">
        <v>442</v>
      </c>
      <c r="AB119" s="63"/>
      <c r="AC119" s="301">
        <f t="shared" si="51"/>
        <v>16.510000000000218</v>
      </c>
      <c r="AD119" s="301">
        <f t="shared" si="52"/>
        <v>3.3200000000001637</v>
      </c>
      <c r="AE119" s="301">
        <f t="shared" si="53"/>
        <v>13.19</v>
      </c>
      <c r="AF119" s="360">
        <f>(AK119-AK105)/AJ119</f>
        <v>-5.3564104334266E-3</v>
      </c>
      <c r="AG119" s="1" t="s">
        <v>515</v>
      </c>
      <c r="AH119" s="333">
        <v>4.6600000000000003E-2</v>
      </c>
      <c r="AI119" s="63">
        <f t="shared" si="54"/>
        <v>2463.1</v>
      </c>
      <c r="AJ119" s="63">
        <v>2462.4699999999998</v>
      </c>
      <c r="AK119" s="63">
        <v>0.63</v>
      </c>
      <c r="AL119" s="120">
        <v>0</v>
      </c>
      <c r="AM119" t="s">
        <v>512</v>
      </c>
    </row>
    <row r="120" spans="2:40">
      <c r="B120" s="105">
        <v>47423</v>
      </c>
      <c r="C120" s="63">
        <f t="shared" ref="C120:C145" si="55">C119</f>
        <v>370</v>
      </c>
      <c r="D120" s="111">
        <f t="shared" ref="D120:D145" si="56">F120+E120</f>
        <v>6810.9239688441994</v>
      </c>
      <c r="E120" s="63">
        <f t="shared" ref="E120:E145" si="57">F120*0.00375</f>
        <v>25.445544092817681</v>
      </c>
      <c r="F120" s="111">
        <f t="shared" ref="F120:F145" si="58">MAX(0,F119-(C120-E119))</f>
        <v>6785.4784247513817</v>
      </c>
      <c r="G120" s="63"/>
      <c r="H120" s="63">
        <f t="shared" si="46"/>
        <v>3.9278296680258791</v>
      </c>
      <c r="I120" s="63">
        <f t="shared" si="48"/>
        <v>325.35915198838995</v>
      </c>
      <c r="J120" s="63">
        <f t="shared" si="33"/>
        <v>3695.8571846040518</v>
      </c>
      <c r="K120" s="63">
        <f t="shared" si="41"/>
        <v>14.036025432627937</v>
      </c>
      <c r="L120" s="63">
        <f t="shared" si="25"/>
        <v>3681.8211591714239</v>
      </c>
      <c r="M120" s="106">
        <f t="shared" si="45"/>
        <v>26</v>
      </c>
      <c r="P120" s="63">
        <f t="shared" si="47"/>
        <v>1.0630283797513016</v>
      </c>
      <c r="Q120" s="63">
        <f t="shared" si="49"/>
        <v>442.3971899788275</v>
      </c>
      <c r="R120" s="63">
        <f t="shared" si="28"/>
        <v>1972.5089787313652</v>
      </c>
      <c r="S120" s="63">
        <f t="shared" si="43"/>
        <v>8.426216467880522</v>
      </c>
      <c r="T120" s="63">
        <f t="shared" si="26"/>
        <v>1964.0827622634847</v>
      </c>
      <c r="U120" s="106">
        <f t="shared" ref="U120:U145" si="59">U119+$U$20</f>
        <v>5.1999999999999975</v>
      </c>
      <c r="Y120" s="66"/>
      <c r="Z120" s="66"/>
      <c r="AA120" s="63">
        <v>442</v>
      </c>
      <c r="AB120" s="63"/>
      <c r="AC120" s="301">
        <f t="shared" si="51"/>
        <v>0</v>
      </c>
      <c r="AD120" s="301">
        <f t="shared" si="52"/>
        <v>0</v>
      </c>
      <c r="AE120" s="301">
        <f t="shared" si="53"/>
        <v>0</v>
      </c>
      <c r="AF120" s="360"/>
      <c r="AG120" s="1" t="s">
        <v>516</v>
      </c>
      <c r="AH120" s="333"/>
      <c r="AI120" s="63">
        <v>0</v>
      </c>
      <c r="AJ120" s="63">
        <v>0</v>
      </c>
      <c r="AK120" s="63">
        <v>0</v>
      </c>
      <c r="AL120" s="120">
        <v>0</v>
      </c>
      <c r="AM120" t="s">
        <v>513</v>
      </c>
    </row>
    <row r="121" spans="2:40">
      <c r="B121" s="105">
        <v>47453</v>
      </c>
      <c r="C121" s="63">
        <f t="shared" si="55"/>
        <v>370</v>
      </c>
      <c r="D121" s="111">
        <f t="shared" si="56"/>
        <v>6465.0774337273651</v>
      </c>
      <c r="E121" s="63">
        <f t="shared" si="57"/>
        <v>24.153464883165746</v>
      </c>
      <c r="F121" s="111">
        <f t="shared" si="58"/>
        <v>6440.9239688441994</v>
      </c>
      <c r="G121" s="63"/>
      <c r="H121" s="63">
        <f t="shared" si="46"/>
        <v>3.8809773879163458</v>
      </c>
      <c r="I121" s="63">
        <f t="shared" si="48"/>
        <v>321.47817460047361</v>
      </c>
      <c r="J121" s="63">
        <f t="shared" ref="J121:J145" si="60">K121+L121</f>
        <v>3387.3242931992249</v>
      </c>
      <c r="K121" s="63">
        <f t="shared" ref="K121:K145" si="61">L120*0.003516</f>
        <v>12.945283195646727</v>
      </c>
      <c r="L121" s="63">
        <f t="shared" ref="L121:L145" si="62">MAX(0,L120-(I121-K120))</f>
        <v>3374.3790100035781</v>
      </c>
      <c r="M121" s="106">
        <f t="shared" ref="M121:M145" si="63">M120+$M$20</f>
        <v>26.5</v>
      </c>
      <c r="P121" s="63">
        <f t="shared" si="47"/>
        <v>1.0604801707139018</v>
      </c>
      <c r="Q121" s="63">
        <f t="shared" si="49"/>
        <v>441.3367098081136</v>
      </c>
      <c r="R121" s="63">
        <f t="shared" ref="R121:R145" si="64">S121+T121</f>
        <v>1538.0779839153699</v>
      </c>
      <c r="S121" s="63">
        <f t="shared" ref="S121:S145" si="65">T120*0.003516</f>
        <v>6.905714992118412</v>
      </c>
      <c r="T121" s="63">
        <f t="shared" ref="T121:T145" si="66">MAX(0,T120-(Q121-S120))</f>
        <v>1531.1722689232515</v>
      </c>
      <c r="U121" s="106">
        <f t="shared" si="59"/>
        <v>5.2999999999999972</v>
      </c>
      <c r="Y121" s="66"/>
      <c r="Z121" s="66"/>
      <c r="AA121" s="63">
        <v>442</v>
      </c>
      <c r="AB121" s="63"/>
      <c r="AC121" s="301">
        <f t="shared" si="51"/>
        <v>37.960000000000491</v>
      </c>
      <c r="AD121" s="301">
        <f t="shared" si="52"/>
        <v>30.970000000000255</v>
      </c>
      <c r="AE121" s="301">
        <f t="shared" si="53"/>
        <v>6.99</v>
      </c>
      <c r="AF121" s="360">
        <f>(AK121-AK107)/AJ121</f>
        <v>-2.735951339989902E-3</v>
      </c>
      <c r="AG121" s="1" t="s">
        <v>517</v>
      </c>
      <c r="AH121" s="333">
        <v>4.2900000000000001E-2</v>
      </c>
      <c r="AI121" s="63">
        <f>AJ121+AK121+AL121</f>
        <v>2555.4699999999998</v>
      </c>
      <c r="AJ121" s="63">
        <v>2554.87</v>
      </c>
      <c r="AK121" s="63">
        <v>0.6</v>
      </c>
      <c r="AL121" s="120">
        <v>0</v>
      </c>
      <c r="AM121" t="s">
        <v>512</v>
      </c>
    </row>
    <row r="122" spans="2:40">
      <c r="B122" s="105">
        <v>47484</v>
      </c>
      <c r="C122" s="63">
        <f t="shared" si="55"/>
        <v>370</v>
      </c>
      <c r="D122" s="111">
        <f t="shared" si="56"/>
        <v>6117.933974103843</v>
      </c>
      <c r="E122" s="63">
        <f t="shared" si="57"/>
        <v>22.856540376477618</v>
      </c>
      <c r="F122" s="111">
        <f t="shared" si="58"/>
        <v>6095.0774337273651</v>
      </c>
      <c r="G122" s="63"/>
      <c r="H122" s="63">
        <f t="shared" si="46"/>
        <v>3.834683975256894</v>
      </c>
      <c r="I122" s="63">
        <f t="shared" si="48"/>
        <v>317.64349062521671</v>
      </c>
      <c r="J122" s="63">
        <f t="shared" si="60"/>
        <v>3081.5451191731804</v>
      </c>
      <c r="K122" s="63">
        <f t="shared" si="61"/>
        <v>11.864316599172581</v>
      </c>
      <c r="L122" s="63">
        <f t="shared" si="62"/>
        <v>3069.6808025740079</v>
      </c>
      <c r="M122" s="106">
        <f t="shared" si="63"/>
        <v>27</v>
      </c>
      <c r="P122" s="63">
        <f t="shared" si="47"/>
        <v>1.0579380700452248</v>
      </c>
      <c r="Q122" s="63">
        <f t="shared" si="49"/>
        <v>440.27877173806837</v>
      </c>
      <c r="R122" s="63">
        <f t="shared" si="64"/>
        <v>1103.1828138748358</v>
      </c>
      <c r="S122" s="63">
        <f t="shared" si="65"/>
        <v>5.3836016975341527</v>
      </c>
      <c r="T122" s="63">
        <f t="shared" si="66"/>
        <v>1097.7992121773016</v>
      </c>
      <c r="U122" s="106">
        <f t="shared" si="59"/>
        <v>5.3999999999999968</v>
      </c>
      <c r="Y122" s="66"/>
      <c r="Z122" s="66"/>
      <c r="AA122" s="63">
        <v>442</v>
      </c>
      <c r="AB122" s="63"/>
      <c r="AC122" s="301">
        <f t="shared" si="51"/>
        <v>74.8799999999992</v>
      </c>
      <c r="AD122" s="301">
        <f t="shared" si="52"/>
        <v>57.409999999999854</v>
      </c>
      <c r="AE122" s="301">
        <f t="shared" si="53"/>
        <v>17.47</v>
      </c>
      <c r="AF122" s="360">
        <f>(AK122-AK108)/AJ122</f>
        <v>-2.732552410417797E-3</v>
      </c>
      <c r="AG122" s="1" t="s">
        <v>518</v>
      </c>
      <c r="AH122" s="333">
        <v>4.2999999999999997E-2</v>
      </c>
      <c r="AI122" s="63">
        <f>AJ122+AK122+AL122</f>
        <v>6394.8</v>
      </c>
      <c r="AJ122" s="63">
        <v>6393.29</v>
      </c>
      <c r="AK122" s="63">
        <v>1.51</v>
      </c>
      <c r="AL122" s="120">
        <v>0</v>
      </c>
      <c r="AM122" t="s">
        <v>513</v>
      </c>
    </row>
    <row r="123" spans="2:40">
      <c r="B123" s="105">
        <v>47515</v>
      </c>
      <c r="C123" s="63">
        <f t="shared" si="55"/>
        <v>370</v>
      </c>
      <c r="D123" s="111">
        <f t="shared" si="56"/>
        <v>5769.4887265067327</v>
      </c>
      <c r="E123" s="63">
        <f t="shared" si="57"/>
        <v>21.55475240288941</v>
      </c>
      <c r="F123" s="111">
        <f t="shared" si="58"/>
        <v>5747.933974103843</v>
      </c>
      <c r="G123" s="63"/>
      <c r="H123" s="63">
        <f t="shared" si="46"/>
        <v>3.7889427637162498</v>
      </c>
      <c r="I123" s="63">
        <f t="shared" si="48"/>
        <v>313.85454786150046</v>
      </c>
      <c r="J123" s="63">
        <f t="shared" si="60"/>
        <v>2778.4835690135301</v>
      </c>
      <c r="K123" s="63">
        <f t="shared" si="61"/>
        <v>10.792997701850211</v>
      </c>
      <c r="L123" s="63">
        <f t="shared" si="62"/>
        <v>2767.6905713116798</v>
      </c>
      <c r="M123" s="106">
        <f t="shared" si="63"/>
        <v>27.5</v>
      </c>
      <c r="P123" s="63">
        <f t="shared" si="47"/>
        <v>1.0554020631026901</v>
      </c>
      <c r="Q123" s="63">
        <f t="shared" si="49"/>
        <v>439.22336967496568</v>
      </c>
      <c r="R123" s="63">
        <f t="shared" si="64"/>
        <v>667.81930622988546</v>
      </c>
      <c r="S123" s="63">
        <f t="shared" si="65"/>
        <v>3.8598620300153925</v>
      </c>
      <c r="T123" s="63">
        <f t="shared" si="66"/>
        <v>663.95944419987006</v>
      </c>
      <c r="U123" s="106">
        <f t="shared" si="59"/>
        <v>5.4999999999999964</v>
      </c>
      <c r="Y123" s="66"/>
      <c r="Z123" s="66"/>
      <c r="AA123" s="63">
        <v>442</v>
      </c>
      <c r="AB123" s="63"/>
      <c r="AC123" s="63">
        <f>SUM(AC113:AC122)</f>
        <v>268.68999999999915</v>
      </c>
      <c r="AD123" s="63">
        <f>SUM(AD113:AD122)</f>
        <v>192.70000000000027</v>
      </c>
      <c r="AE123" s="63">
        <f>SUM(AE113:AE122)</f>
        <v>75.990000000000009</v>
      </c>
      <c r="AF123" s="66"/>
      <c r="AK123" s="6">
        <f>SUM(AK113:AK122)</f>
        <v>8.48</v>
      </c>
    </row>
    <row r="124" spans="2:40">
      <c r="B124" s="105">
        <v>47543</v>
      </c>
      <c r="C124" s="63">
        <f t="shared" si="55"/>
        <v>370</v>
      </c>
      <c r="D124" s="111">
        <f t="shared" si="56"/>
        <v>5419.7368092311326</v>
      </c>
      <c r="E124" s="63">
        <f t="shared" si="57"/>
        <v>20.248082724400248</v>
      </c>
      <c r="F124" s="111">
        <f t="shared" si="58"/>
        <v>5399.4887265067327</v>
      </c>
      <c r="G124" s="63"/>
      <c r="H124" s="63">
        <f t="shared" si="46"/>
        <v>3.7437471664809436</v>
      </c>
      <c r="I124" s="63">
        <f t="shared" si="48"/>
        <v>310.11080069501952</v>
      </c>
      <c r="J124" s="63">
        <f t="shared" si="60"/>
        <v>2478.1039683672425</v>
      </c>
      <c r="K124" s="63">
        <f t="shared" si="61"/>
        <v>9.7312000487318659</v>
      </c>
      <c r="L124" s="63">
        <f t="shared" si="62"/>
        <v>2468.3727683185107</v>
      </c>
      <c r="M124" s="106">
        <f t="shared" si="63"/>
        <v>28</v>
      </c>
      <c r="P124" s="63">
        <f t="shared" si="47"/>
        <v>1.0528721352790171</v>
      </c>
      <c r="Q124" s="63">
        <f t="shared" si="49"/>
        <v>438.17049753968666</v>
      </c>
      <c r="R124" s="63">
        <f t="shared" si="64"/>
        <v>231.98329009600553</v>
      </c>
      <c r="S124" s="63">
        <f t="shared" si="65"/>
        <v>2.3344814058067431</v>
      </c>
      <c r="T124" s="63">
        <f t="shared" si="66"/>
        <v>229.64880869019879</v>
      </c>
      <c r="U124" s="106">
        <f t="shared" si="59"/>
        <v>5.5999999999999961</v>
      </c>
      <c r="Y124" s="66"/>
      <c r="Z124" s="66"/>
      <c r="AA124" s="63">
        <v>442</v>
      </c>
      <c r="AB124" s="63"/>
      <c r="AC124" s="63">
        <f>AD123+AE123</f>
        <v>268.69000000000028</v>
      </c>
      <c r="AD124" s="63">
        <v>280</v>
      </c>
      <c r="AE124" s="6">
        <f>AD124-AC124</f>
        <v>11.309999999999718</v>
      </c>
      <c r="AF124" s="66"/>
    </row>
    <row r="125" spans="2:40">
      <c r="B125" s="105">
        <v>47574</v>
      </c>
      <c r="C125" s="63">
        <f t="shared" si="55"/>
        <v>370</v>
      </c>
      <c r="D125" s="111">
        <f t="shared" si="56"/>
        <v>5068.6733222657494</v>
      </c>
      <c r="E125" s="63">
        <f t="shared" si="57"/>
        <v>18.936513034616748</v>
      </c>
      <c r="F125" s="111">
        <f t="shared" si="58"/>
        <v>5049.7368092311326</v>
      </c>
      <c r="G125" s="63"/>
      <c r="H125" s="63">
        <f t="shared" si="46"/>
        <v>3.6990906753068202</v>
      </c>
      <c r="I125" s="63">
        <f t="shared" si="48"/>
        <v>306.4117100197127</v>
      </c>
      <c r="J125" s="63">
        <f t="shared" si="60"/>
        <v>2180.3710570009375</v>
      </c>
      <c r="K125" s="63">
        <f t="shared" si="61"/>
        <v>8.6787986534078829</v>
      </c>
      <c r="L125" s="63">
        <f t="shared" si="62"/>
        <v>2171.6922583475298</v>
      </c>
      <c r="M125" s="106">
        <f t="shared" si="63"/>
        <v>28.5</v>
      </c>
      <c r="P125" s="63">
        <f t="shared" si="47"/>
        <v>1.0503482720017132</v>
      </c>
      <c r="Q125" s="63">
        <f t="shared" si="49"/>
        <v>437.12014926768495</v>
      </c>
      <c r="R125" s="63">
        <f t="shared" si="64"/>
        <v>0.80744521135473901</v>
      </c>
      <c r="S125" s="63">
        <f t="shared" si="65"/>
        <v>0.80744521135473901</v>
      </c>
      <c r="T125" s="63">
        <f t="shared" si="66"/>
        <v>0</v>
      </c>
      <c r="U125" s="106">
        <f t="shared" si="59"/>
        <v>5.6999999999999957</v>
      </c>
      <c r="Y125" s="66"/>
      <c r="Z125" s="66"/>
      <c r="AA125" s="63">
        <v>442</v>
      </c>
      <c r="AB125" s="63"/>
      <c r="AC125" s="63"/>
      <c r="AD125" s="63"/>
      <c r="AE125" s="66"/>
      <c r="AF125" s="66"/>
      <c r="AN125" t="s">
        <v>694</v>
      </c>
    </row>
    <row r="126" spans="2:40">
      <c r="B126" s="105">
        <v>47604</v>
      </c>
      <c r="C126" s="63">
        <f t="shared" si="55"/>
        <v>370</v>
      </c>
      <c r="D126" s="111">
        <f t="shared" si="56"/>
        <v>4716.2933472242457</v>
      </c>
      <c r="E126" s="63">
        <f t="shared" si="57"/>
        <v>17.620024958496561</v>
      </c>
      <c r="F126" s="111">
        <f t="shared" si="58"/>
        <v>4698.6733222657494</v>
      </c>
      <c r="G126" s="63"/>
      <c r="H126" s="63">
        <f t="shared" si="46"/>
        <v>3.6549668595819753</v>
      </c>
      <c r="I126" s="63">
        <f t="shared" si="48"/>
        <v>302.75674316013072</v>
      </c>
      <c r="J126" s="63">
        <f t="shared" si="60"/>
        <v>1885.2499838211568</v>
      </c>
      <c r="K126" s="63">
        <f t="shared" si="61"/>
        <v>7.6356699803499151</v>
      </c>
      <c r="L126" s="63">
        <f t="shared" si="62"/>
        <v>1877.614313840807</v>
      </c>
      <c r="M126" s="106">
        <f t="shared" si="63"/>
        <v>29</v>
      </c>
      <c r="P126" s="63">
        <f t="shared" si="47"/>
        <v>1.0478304587333582</v>
      </c>
      <c r="Q126" s="63">
        <f t="shared" si="49"/>
        <v>436.07231880895159</v>
      </c>
      <c r="R126" s="63">
        <f t="shared" si="64"/>
        <v>0</v>
      </c>
      <c r="S126" s="63">
        <f t="shared" si="65"/>
        <v>0</v>
      </c>
      <c r="T126" s="63">
        <f t="shared" si="66"/>
        <v>0</v>
      </c>
      <c r="U126" s="106">
        <f t="shared" si="59"/>
        <v>5.7999999999999954</v>
      </c>
      <c r="Y126" s="66"/>
      <c r="Z126" s="66"/>
      <c r="AA126" s="63">
        <v>442</v>
      </c>
      <c r="AB126" s="63"/>
      <c r="AC126" s="63"/>
      <c r="AD126" s="63"/>
      <c r="AE126" s="66"/>
      <c r="AF126" s="102">
        <v>45454</v>
      </c>
      <c r="AH126" s="8" t="s">
        <v>521</v>
      </c>
      <c r="AI126" s="6">
        <f>SUM(AI128:AI137)</f>
        <v>26011.430000000004</v>
      </c>
      <c r="AJ126" s="452" t="s">
        <v>560</v>
      </c>
      <c r="AK126" s="452"/>
      <c r="AL126" s="452"/>
      <c r="AM126" s="338">
        <v>255.6</v>
      </c>
      <c r="AN126">
        <v>285.51</v>
      </c>
    </row>
    <row r="127" spans="2:40">
      <c r="B127" s="105">
        <v>47635</v>
      </c>
      <c r="C127" s="63">
        <f t="shared" si="55"/>
        <v>370</v>
      </c>
      <c r="D127" s="111">
        <f t="shared" si="56"/>
        <v>4362.5919472763362</v>
      </c>
      <c r="E127" s="63">
        <f t="shared" si="57"/>
        <v>16.298600052090922</v>
      </c>
      <c r="F127" s="111">
        <f t="shared" si="58"/>
        <v>4346.2933472242457</v>
      </c>
      <c r="G127" s="63"/>
      <c r="H127" s="63">
        <f t="shared" si="46"/>
        <v>3.611369365400833</v>
      </c>
      <c r="I127" s="63">
        <f t="shared" ref="I127:I145" si="67">$M$22*EXP(-0.024*M126)</f>
        <v>299.14537379472989</v>
      </c>
      <c r="J127" s="63">
        <f t="shared" si="60"/>
        <v>1592.7063019538914</v>
      </c>
      <c r="K127" s="63">
        <f t="shared" si="61"/>
        <v>6.6016919274642776</v>
      </c>
      <c r="L127" s="63">
        <f t="shared" si="62"/>
        <v>1586.1046100264271</v>
      </c>
      <c r="M127" s="106">
        <f t="shared" si="63"/>
        <v>29.5</v>
      </c>
      <c r="P127" s="63">
        <f t="shared" si="47"/>
        <v>1.0453186809714339</v>
      </c>
      <c r="Q127" s="63">
        <f t="shared" ref="Q127:Q145" si="68">$U$22*EXP(-0.024*U126)</f>
        <v>435.02700012798016</v>
      </c>
      <c r="R127" s="63">
        <f t="shared" si="64"/>
        <v>0</v>
      </c>
      <c r="S127" s="63">
        <f t="shared" si="65"/>
        <v>0</v>
      </c>
      <c r="T127" s="63">
        <f t="shared" si="66"/>
        <v>0</v>
      </c>
      <c r="U127" s="106">
        <f t="shared" si="59"/>
        <v>5.899999999999995</v>
      </c>
      <c r="Y127" s="66"/>
      <c r="Z127" s="66"/>
      <c r="AA127" s="63">
        <v>442</v>
      </c>
      <c r="AB127" s="63"/>
      <c r="AC127" s="63" t="s">
        <v>699</v>
      </c>
      <c r="AD127" s="63" t="s">
        <v>700</v>
      </c>
      <c r="AE127" s="66" t="s">
        <v>701</v>
      </c>
      <c r="AG127" t="s">
        <v>508</v>
      </c>
      <c r="AH127" t="s">
        <v>520</v>
      </c>
      <c r="AI127" t="s">
        <v>12</v>
      </c>
      <c r="AJ127" t="s">
        <v>519</v>
      </c>
      <c r="AK127" t="s">
        <v>154</v>
      </c>
      <c r="AL127" t="s">
        <v>332</v>
      </c>
    </row>
    <row r="128" spans="2:40">
      <c r="B128" s="105">
        <v>47665</v>
      </c>
      <c r="C128" s="63">
        <f t="shared" si="55"/>
        <v>370</v>
      </c>
      <c r="D128" s="111">
        <f t="shared" si="56"/>
        <v>4007.5641670786231</v>
      </c>
      <c r="E128" s="63">
        <f t="shared" si="57"/>
        <v>14.972219802286261</v>
      </c>
      <c r="F128" s="111">
        <f t="shared" si="58"/>
        <v>3992.5919472763367</v>
      </c>
      <c r="G128" s="63"/>
      <c r="H128" s="63">
        <f t="shared" si="46"/>
        <v>3.5682919146486256</v>
      </c>
      <c r="I128" s="63">
        <f t="shared" si="67"/>
        <v>295.57708188008127</v>
      </c>
      <c r="J128" s="63">
        <f t="shared" si="60"/>
        <v>1302.7059638826629</v>
      </c>
      <c r="K128" s="63">
        <f t="shared" si="61"/>
        <v>5.5767438088529175</v>
      </c>
      <c r="L128" s="63">
        <f t="shared" si="62"/>
        <v>1297.1292200738101</v>
      </c>
      <c r="M128" s="106">
        <f t="shared" si="63"/>
        <v>30</v>
      </c>
      <c r="P128" s="63">
        <f t="shared" si="47"/>
        <v>1.042812924247869</v>
      </c>
      <c r="Q128" s="63">
        <f t="shared" si="68"/>
        <v>433.98418720373229</v>
      </c>
      <c r="R128" s="63">
        <f t="shared" si="64"/>
        <v>0</v>
      </c>
      <c r="S128" s="63">
        <f t="shared" si="65"/>
        <v>0</v>
      </c>
      <c r="T128" s="63">
        <f t="shared" si="66"/>
        <v>0</v>
      </c>
      <c r="U128" s="106">
        <f t="shared" si="59"/>
        <v>5.9999999999999947</v>
      </c>
      <c r="Y128" s="66"/>
      <c r="Z128" s="66"/>
      <c r="AA128" s="63">
        <v>442</v>
      </c>
      <c r="AB128" s="63"/>
      <c r="AC128" s="301">
        <f>AI113-AI128</f>
        <v>-1.819999999999709</v>
      </c>
      <c r="AD128" s="301">
        <f>AJ113-AJ128</f>
        <v>0</v>
      </c>
      <c r="AE128" s="301">
        <f>AK113-AK128</f>
        <v>-1.8200000000000003</v>
      </c>
      <c r="AF128" s="360">
        <f>(AK128-AK113)/AJ128</f>
        <v>5.5729412269044456E-4</v>
      </c>
      <c r="AG128" s="1" t="s">
        <v>506</v>
      </c>
      <c r="AH128" s="333">
        <v>3.4000000000000002E-2</v>
      </c>
      <c r="AI128" s="63">
        <f>AJ128+AK128+AL128</f>
        <v>3268.21</v>
      </c>
      <c r="AJ128" s="63">
        <v>3265.78</v>
      </c>
      <c r="AK128" s="63">
        <v>2.4300000000000002</v>
      </c>
      <c r="AL128" s="120">
        <v>0</v>
      </c>
      <c r="AM128" t="s">
        <v>512</v>
      </c>
      <c r="AN128" s="363">
        <v>6</v>
      </c>
    </row>
    <row r="129" spans="2:42">
      <c r="B129" s="105">
        <v>47696</v>
      </c>
      <c r="C129" s="63">
        <f t="shared" si="55"/>
        <v>370</v>
      </c>
      <c r="D129" s="111">
        <f t="shared" si="56"/>
        <v>3651.2050327051679</v>
      </c>
      <c r="E129" s="63">
        <f t="shared" si="57"/>
        <v>13.640865626544835</v>
      </c>
      <c r="F129" s="111">
        <f t="shared" si="58"/>
        <v>3637.5641670786231</v>
      </c>
      <c r="G129" s="63"/>
      <c r="H129" s="63">
        <f t="shared" si="46"/>
        <v>3.5257283040982657</v>
      </c>
      <c r="I129" s="63">
        <f t="shared" si="67"/>
        <v>292.051353575983</v>
      </c>
      <c r="J129" s="63">
        <f t="shared" si="60"/>
        <v>1015.2153166444596</v>
      </c>
      <c r="K129" s="63">
        <f t="shared" si="61"/>
        <v>4.5607063377795161</v>
      </c>
      <c r="L129" s="63">
        <f t="shared" si="62"/>
        <v>1010.6546103066801</v>
      </c>
      <c r="M129" s="106">
        <f t="shared" si="63"/>
        <v>30.5</v>
      </c>
      <c r="P129" s="63">
        <f t="shared" si="47"/>
        <v>1.0403131741297216</v>
      </c>
      <c r="Q129" s="63">
        <f t="shared" si="68"/>
        <v>432.94387402960257</v>
      </c>
      <c r="R129" s="63">
        <f t="shared" si="64"/>
        <v>0</v>
      </c>
      <c r="S129" s="63">
        <f t="shared" si="65"/>
        <v>0</v>
      </c>
      <c r="T129" s="63">
        <f t="shared" si="66"/>
        <v>0</v>
      </c>
      <c r="U129" s="106">
        <f t="shared" si="59"/>
        <v>6.0999999999999943</v>
      </c>
      <c r="Y129" s="66"/>
      <c r="Z129" s="66"/>
      <c r="AA129" s="63">
        <v>442</v>
      </c>
      <c r="AB129" s="63"/>
      <c r="AC129" s="301">
        <f t="shared" ref="AC129:AC137" si="69">AI114-AI129</f>
        <v>0</v>
      </c>
      <c r="AD129" s="301">
        <f t="shared" ref="AD129:AD137" si="70">AJ114-AJ129</f>
        <v>0</v>
      </c>
      <c r="AE129" s="301">
        <f t="shared" ref="AE129:AE136" si="71">AK114-AK129</f>
        <v>0</v>
      </c>
      <c r="AF129" s="360"/>
      <c r="AG129" s="1" t="s">
        <v>507</v>
      </c>
      <c r="AI129" s="63">
        <f t="shared" ref="AI129:AI134" si="72">AJ129+AK129+AL129</f>
        <v>0</v>
      </c>
      <c r="AJ129" s="63">
        <v>0</v>
      </c>
      <c r="AK129" s="63">
        <v>0</v>
      </c>
      <c r="AL129" s="120">
        <v>0</v>
      </c>
      <c r="AM129" t="s">
        <v>513</v>
      </c>
      <c r="AN129" s="364"/>
    </row>
    <row r="130" spans="2:42">
      <c r="B130" s="105">
        <v>47727</v>
      </c>
      <c r="C130" s="63">
        <f t="shared" si="55"/>
        <v>370</v>
      </c>
      <c r="D130" s="111">
        <f t="shared" si="56"/>
        <v>3293.5095515778121</v>
      </c>
      <c r="E130" s="63">
        <f t="shared" si="57"/>
        <v>12.30451887264438</v>
      </c>
      <c r="F130" s="111">
        <f t="shared" si="58"/>
        <v>3281.2050327051679</v>
      </c>
      <c r="G130" s="63"/>
      <c r="H130" s="63">
        <f t="shared" si="46"/>
        <v>3.4836724045161986</v>
      </c>
      <c r="I130" s="63">
        <f t="shared" si="67"/>
        <v>288.5676811714668</v>
      </c>
      <c r="J130" s="63">
        <f t="shared" si="60"/>
        <v>730.2010970828311</v>
      </c>
      <c r="K130" s="63">
        <f t="shared" si="61"/>
        <v>3.553461609838287</v>
      </c>
      <c r="L130" s="63">
        <f t="shared" si="62"/>
        <v>726.64763547299276</v>
      </c>
      <c r="M130" s="106">
        <f t="shared" si="63"/>
        <v>31</v>
      </c>
      <c r="P130" s="63">
        <f t="shared" si="47"/>
        <v>1.0378194162182695</v>
      </c>
      <c r="Q130" s="63">
        <f t="shared" si="68"/>
        <v>431.9060546133843</v>
      </c>
      <c r="R130" s="63">
        <f t="shared" si="64"/>
        <v>0</v>
      </c>
      <c r="S130" s="63">
        <f t="shared" si="65"/>
        <v>0</v>
      </c>
      <c r="T130" s="63">
        <f t="shared" si="66"/>
        <v>0</v>
      </c>
      <c r="U130" s="106">
        <f t="shared" si="59"/>
        <v>6.199999999999994</v>
      </c>
      <c r="Y130" s="66"/>
      <c r="Z130" s="66"/>
      <c r="AA130" s="63">
        <v>442</v>
      </c>
      <c r="AB130" s="63"/>
      <c r="AC130" s="301">
        <f t="shared" si="69"/>
        <v>-2.3400000000001455</v>
      </c>
      <c r="AD130" s="301">
        <f t="shared" si="70"/>
        <v>0</v>
      </c>
      <c r="AE130" s="301">
        <f t="shared" si="71"/>
        <v>-2.34</v>
      </c>
      <c r="AF130" s="360">
        <f>(AK130-AK115)/AJ130</f>
        <v>5.5693466965919878E-4</v>
      </c>
      <c r="AG130" s="1" t="s">
        <v>509</v>
      </c>
      <c r="AH130" s="333">
        <v>3.4000000000000002E-2</v>
      </c>
      <c r="AI130" s="63">
        <f t="shared" si="72"/>
        <v>4204.7</v>
      </c>
      <c r="AJ130" s="63">
        <v>4201.57</v>
      </c>
      <c r="AK130" s="63">
        <v>3.13</v>
      </c>
      <c r="AL130" s="120">
        <v>0</v>
      </c>
      <c r="AM130" t="s">
        <v>512</v>
      </c>
      <c r="AN130" s="363">
        <v>7</v>
      </c>
    </row>
    <row r="131" spans="2:42">
      <c r="B131" s="105">
        <v>47757</v>
      </c>
      <c r="C131" s="63">
        <f t="shared" si="55"/>
        <v>370</v>
      </c>
      <c r="D131" s="111">
        <f t="shared" si="56"/>
        <v>2934.4727123962289</v>
      </c>
      <c r="E131" s="63">
        <f t="shared" si="57"/>
        <v>10.963160818416794</v>
      </c>
      <c r="F131" s="111">
        <f t="shared" si="58"/>
        <v>2923.5095515778121</v>
      </c>
      <c r="G131" s="63"/>
      <c r="H131" s="63">
        <f t="shared" si="46"/>
        <v>3.4421181597801365</v>
      </c>
      <c r="I131" s="63">
        <f t="shared" si="67"/>
        <v>285.12556301168667</v>
      </c>
      <c r="J131" s="63">
        <f t="shared" si="60"/>
        <v>447.63042715746741</v>
      </c>
      <c r="K131" s="63">
        <f t="shared" si="61"/>
        <v>2.5548930863230424</v>
      </c>
      <c r="L131" s="63">
        <f t="shared" si="62"/>
        <v>445.07553407114438</v>
      </c>
      <c r="M131" s="106">
        <f t="shared" si="63"/>
        <v>31.5</v>
      </c>
      <c r="P131" s="63">
        <f t="shared" si="47"/>
        <v>1.0353316361496354</v>
      </c>
      <c r="Q131" s="63">
        <f t="shared" si="68"/>
        <v>430.87072297723466</v>
      </c>
      <c r="R131" s="63">
        <f t="shared" si="64"/>
        <v>0</v>
      </c>
      <c r="S131" s="63">
        <f t="shared" si="65"/>
        <v>0</v>
      </c>
      <c r="T131" s="63">
        <f t="shared" si="66"/>
        <v>0</v>
      </c>
      <c r="U131" s="106">
        <f t="shared" si="59"/>
        <v>6.2999999999999936</v>
      </c>
      <c r="Y131" s="66"/>
      <c r="Z131" s="66"/>
      <c r="AA131" s="63">
        <v>442</v>
      </c>
      <c r="AB131" s="63"/>
      <c r="AC131" s="301">
        <f t="shared" si="69"/>
        <v>0</v>
      </c>
      <c r="AD131" s="301">
        <f t="shared" si="70"/>
        <v>0</v>
      </c>
      <c r="AE131" s="301">
        <f t="shared" si="71"/>
        <v>0</v>
      </c>
      <c r="AF131" s="360"/>
      <c r="AG131" s="1" t="s">
        <v>510</v>
      </c>
      <c r="AI131" s="63">
        <f t="shared" si="72"/>
        <v>0</v>
      </c>
      <c r="AJ131" s="63">
        <v>0</v>
      </c>
      <c r="AK131" s="63">
        <v>0</v>
      </c>
      <c r="AL131" s="120">
        <v>0</v>
      </c>
      <c r="AM131" t="s">
        <v>512</v>
      </c>
      <c r="AN131" s="364"/>
    </row>
    <row r="132" spans="2:42">
      <c r="B132" s="105">
        <v>47788</v>
      </c>
      <c r="C132" s="63">
        <f t="shared" si="55"/>
        <v>370</v>
      </c>
      <c r="D132" s="111">
        <f t="shared" si="56"/>
        <v>2574.0894850677146</v>
      </c>
      <c r="E132" s="63">
        <f t="shared" si="57"/>
        <v>9.6167726714858581</v>
      </c>
      <c r="F132" s="111">
        <f t="shared" si="58"/>
        <v>2564.4727123962289</v>
      </c>
      <c r="G132" s="63"/>
      <c r="H132" s="63">
        <f t="shared" si="46"/>
        <v>3.4010595860071362</v>
      </c>
      <c r="I132" s="63">
        <f t="shared" si="67"/>
        <v>281.72450342567953</v>
      </c>
      <c r="J132" s="63">
        <f t="shared" si="60"/>
        <v>167.47080930958202</v>
      </c>
      <c r="K132" s="63">
        <f t="shared" si="61"/>
        <v>1.5648855777941437</v>
      </c>
      <c r="L132" s="63">
        <f t="shared" si="62"/>
        <v>165.90592373178788</v>
      </c>
      <c r="M132" s="106">
        <f t="shared" si="63"/>
        <v>32</v>
      </c>
      <c r="P132" s="63">
        <f t="shared" si="47"/>
        <v>1.0328498195939915</v>
      </c>
      <c r="Q132" s="63">
        <f t="shared" si="68"/>
        <v>429.83787315764067</v>
      </c>
      <c r="R132" s="63">
        <f t="shared" si="64"/>
        <v>0</v>
      </c>
      <c r="S132" s="63">
        <f t="shared" si="65"/>
        <v>0</v>
      </c>
      <c r="T132" s="63">
        <f t="shared" si="66"/>
        <v>0</v>
      </c>
      <c r="U132" s="106">
        <f t="shared" si="59"/>
        <v>6.3999999999999932</v>
      </c>
      <c r="Y132" s="66"/>
      <c r="Z132" s="66"/>
      <c r="AA132" s="63">
        <v>442</v>
      </c>
      <c r="AB132" s="63"/>
      <c r="AC132" s="301">
        <f t="shared" si="69"/>
        <v>-3.2600000000002183</v>
      </c>
      <c r="AD132" s="301">
        <f t="shared" si="70"/>
        <v>0</v>
      </c>
      <c r="AE132" s="301">
        <f t="shared" si="71"/>
        <v>-3.26</v>
      </c>
      <c r="AF132" s="360">
        <f>(AK132-AK117)/AJ132</f>
        <v>6.3357438960160611E-4</v>
      </c>
      <c r="AG132" s="1" t="s">
        <v>511</v>
      </c>
      <c r="AH132" s="333">
        <v>3.8600000000000002E-2</v>
      </c>
      <c r="AI132" s="63">
        <f t="shared" si="72"/>
        <v>5149.76</v>
      </c>
      <c r="AJ132" s="63">
        <v>5145.41</v>
      </c>
      <c r="AK132" s="63">
        <v>4.3499999999999996</v>
      </c>
      <c r="AL132" s="120">
        <v>0</v>
      </c>
      <c r="AM132" t="s">
        <v>512</v>
      </c>
      <c r="AN132" s="363">
        <v>5</v>
      </c>
    </row>
    <row r="133" spans="2:42">
      <c r="B133" s="105">
        <v>47818</v>
      </c>
      <c r="C133" s="63">
        <f t="shared" si="55"/>
        <v>370</v>
      </c>
      <c r="D133" s="111">
        <f t="shared" si="56"/>
        <v>2212.3548206367186</v>
      </c>
      <c r="E133" s="63">
        <f t="shared" si="57"/>
        <v>8.2653355690039287</v>
      </c>
      <c r="F133" s="111">
        <f t="shared" si="58"/>
        <v>2204.0894850677146</v>
      </c>
      <c r="G133" s="63"/>
      <c r="H133" s="63">
        <f t="shared" si="46"/>
        <v>3.3604907706915128</v>
      </c>
      <c r="I133" s="63">
        <f t="shared" si="67"/>
        <v>278.36401265498802</v>
      </c>
      <c r="J133" s="63">
        <f t="shared" si="60"/>
        <v>0.58332522784096619</v>
      </c>
      <c r="K133" s="63">
        <f t="shared" si="61"/>
        <v>0.58332522784096619</v>
      </c>
      <c r="L133" s="63">
        <f t="shared" si="62"/>
        <v>0</v>
      </c>
      <c r="M133" s="106">
        <f t="shared" si="63"/>
        <v>32.5</v>
      </c>
      <c r="P133" s="63">
        <f t="shared" si="47"/>
        <v>1.0303739522561841</v>
      </c>
      <c r="Q133" s="63">
        <f t="shared" si="68"/>
        <v>428.80749920538449</v>
      </c>
      <c r="R133" s="63">
        <f t="shared" si="64"/>
        <v>0</v>
      </c>
      <c r="S133" s="63">
        <f t="shared" si="65"/>
        <v>0</v>
      </c>
      <c r="T133" s="63">
        <f t="shared" si="66"/>
        <v>0</v>
      </c>
      <c r="U133" s="106">
        <f t="shared" si="59"/>
        <v>6.4999999999999929</v>
      </c>
      <c r="Y133" s="66"/>
      <c r="Z133" s="66"/>
      <c r="AA133" s="63">
        <v>442</v>
      </c>
      <c r="AB133" s="63"/>
      <c r="AC133" s="301">
        <f t="shared" si="69"/>
        <v>8.7400000000000091</v>
      </c>
      <c r="AD133" s="301">
        <f t="shared" si="70"/>
        <v>6.5399999999999636</v>
      </c>
      <c r="AE133" s="301">
        <f t="shared" si="71"/>
        <v>2.2000000000000002</v>
      </c>
      <c r="AF133" s="360">
        <f>(AK133-AK118)/AJ133</f>
        <v>-1.1076650420912717E-3</v>
      </c>
      <c r="AG133" s="1" t="s">
        <v>514</v>
      </c>
      <c r="AH133" s="333">
        <v>3.8600000000000002E-2</v>
      </c>
      <c r="AI133" s="63">
        <f t="shared" si="72"/>
        <v>1987.21</v>
      </c>
      <c r="AJ133" s="63">
        <v>1986.16</v>
      </c>
      <c r="AK133" s="63">
        <v>1.05</v>
      </c>
      <c r="AL133" s="120">
        <v>0</v>
      </c>
      <c r="AM133" t="s">
        <v>513</v>
      </c>
      <c r="AN133" s="363">
        <v>2</v>
      </c>
    </row>
    <row r="134" spans="2:42">
      <c r="B134" s="105">
        <v>47849</v>
      </c>
      <c r="C134" s="63">
        <f t="shared" si="55"/>
        <v>370</v>
      </c>
      <c r="D134" s="111">
        <f t="shared" si="56"/>
        <v>1849.2636512141064</v>
      </c>
      <c r="E134" s="63">
        <f t="shared" si="57"/>
        <v>6.9088305773876941</v>
      </c>
      <c r="F134" s="111">
        <f t="shared" si="58"/>
        <v>1842.3548206367186</v>
      </c>
      <c r="G134" s="63"/>
      <c r="H134" s="63">
        <f t="shared" si="46"/>
        <v>3.3204058718538931</v>
      </c>
      <c r="I134" s="63">
        <f t="shared" si="67"/>
        <v>275.04360678313412</v>
      </c>
      <c r="J134" s="63">
        <f t="shared" si="60"/>
        <v>0</v>
      </c>
      <c r="K134" s="63">
        <f t="shared" si="61"/>
        <v>0</v>
      </c>
      <c r="L134" s="63">
        <f t="shared" si="62"/>
        <v>0</v>
      </c>
      <c r="M134" s="106">
        <f t="shared" si="63"/>
        <v>33</v>
      </c>
      <c r="P134" s="63">
        <f t="shared" si="47"/>
        <v>1.0279040198752227</v>
      </c>
      <c r="Q134" s="63">
        <f t="shared" si="68"/>
        <v>427.77959518550927</v>
      </c>
      <c r="R134" s="63">
        <f t="shared" si="64"/>
        <v>0</v>
      </c>
      <c r="S134" s="63">
        <f t="shared" si="65"/>
        <v>0</v>
      </c>
      <c r="T134" s="63">
        <f t="shared" si="66"/>
        <v>0</v>
      </c>
      <c r="U134" s="106">
        <f t="shared" si="59"/>
        <v>6.5999999999999925</v>
      </c>
      <c r="Y134" s="66"/>
      <c r="Z134" s="66"/>
      <c r="AA134" s="63">
        <v>442</v>
      </c>
      <c r="AB134" s="63"/>
      <c r="AC134" s="301">
        <f t="shared" si="69"/>
        <v>18.130000000000109</v>
      </c>
      <c r="AD134" s="301">
        <f t="shared" si="70"/>
        <v>19.059999999999945</v>
      </c>
      <c r="AE134" s="301">
        <f>AK119-AK134</f>
        <v>-0.93</v>
      </c>
      <c r="AF134" s="360">
        <f>(AK134-AK119)/AJ134</f>
        <v>3.8061561506255606E-4</v>
      </c>
      <c r="AG134" s="1" t="s">
        <v>515</v>
      </c>
      <c r="AH134" s="333">
        <v>4.6600000000000003E-2</v>
      </c>
      <c r="AI134" s="63">
        <f t="shared" si="72"/>
        <v>2444.9699999999998</v>
      </c>
      <c r="AJ134" s="63">
        <v>2443.41</v>
      </c>
      <c r="AK134" s="63">
        <v>1.56</v>
      </c>
      <c r="AL134" s="120">
        <v>0</v>
      </c>
      <c r="AM134" t="s">
        <v>512</v>
      </c>
      <c r="AN134" s="363">
        <v>1</v>
      </c>
    </row>
    <row r="135" spans="2:42">
      <c r="B135" s="105">
        <v>47880</v>
      </c>
      <c r="C135" s="63">
        <f t="shared" si="55"/>
        <v>370</v>
      </c>
      <c r="D135" s="111">
        <f t="shared" si="56"/>
        <v>1484.810889906159</v>
      </c>
      <c r="E135" s="63">
        <f t="shared" si="57"/>
        <v>5.5472386920528978</v>
      </c>
      <c r="F135" s="111">
        <f t="shared" si="58"/>
        <v>1479.2636512141062</v>
      </c>
      <c r="G135" s="63"/>
      <c r="H135" s="63">
        <f t="shared" si="46"/>
        <v>3.2807991171994786</v>
      </c>
      <c r="I135" s="63">
        <f t="shared" si="67"/>
        <v>271.76280766593464</v>
      </c>
      <c r="J135" s="63">
        <f t="shared" si="60"/>
        <v>0</v>
      </c>
      <c r="K135" s="63">
        <f t="shared" si="61"/>
        <v>0</v>
      </c>
      <c r="L135" s="63">
        <f t="shared" si="62"/>
        <v>0</v>
      </c>
      <c r="M135" s="106">
        <f t="shared" si="63"/>
        <v>33.5</v>
      </c>
      <c r="P135" s="63">
        <f t="shared" si="47"/>
        <v>1.0254400082241659</v>
      </c>
      <c r="Q135" s="63">
        <f t="shared" si="68"/>
        <v>426.7541551772851</v>
      </c>
      <c r="R135" s="63">
        <f t="shared" si="64"/>
        <v>0</v>
      </c>
      <c r="S135" s="63">
        <f t="shared" si="65"/>
        <v>0</v>
      </c>
      <c r="T135" s="63">
        <f t="shared" si="66"/>
        <v>0</v>
      </c>
      <c r="U135" s="106">
        <f t="shared" si="59"/>
        <v>6.6999999999999922</v>
      </c>
      <c r="Y135" s="66"/>
      <c r="Z135" s="66"/>
      <c r="AA135" s="63">
        <v>442</v>
      </c>
      <c r="AB135" s="63"/>
      <c r="AC135" s="301">
        <f t="shared" si="69"/>
        <v>0</v>
      </c>
      <c r="AD135" s="301">
        <f t="shared" si="70"/>
        <v>0</v>
      </c>
      <c r="AE135" s="301">
        <f t="shared" si="71"/>
        <v>0</v>
      </c>
      <c r="AF135" s="360"/>
      <c r="AG135" s="1" t="s">
        <v>516</v>
      </c>
      <c r="AH135" s="333"/>
      <c r="AI135" s="63">
        <v>0</v>
      </c>
      <c r="AJ135" s="63">
        <v>0</v>
      </c>
      <c r="AK135" s="63">
        <v>0</v>
      </c>
      <c r="AL135" s="120">
        <v>0</v>
      </c>
      <c r="AM135" t="s">
        <v>513</v>
      </c>
      <c r="AN135" s="364"/>
    </row>
    <row r="136" spans="2:42">
      <c r="B136" s="105">
        <v>47908</v>
      </c>
      <c r="C136" s="63">
        <f t="shared" si="55"/>
        <v>370</v>
      </c>
      <c r="D136" s="111">
        <f t="shared" si="56"/>
        <v>1118.9914307433071</v>
      </c>
      <c r="E136" s="63">
        <f t="shared" si="57"/>
        <v>4.1805408371480963</v>
      </c>
      <c r="F136" s="111">
        <f t="shared" si="58"/>
        <v>1114.810889906159</v>
      </c>
      <c r="G136" s="63"/>
      <c r="H136" s="63">
        <f t="shared" si="46"/>
        <v>3.2416648032872217</v>
      </c>
      <c r="I136" s="63">
        <f t="shared" si="67"/>
        <v>268.52114286264742</v>
      </c>
      <c r="J136" s="63">
        <f t="shared" si="60"/>
        <v>0</v>
      </c>
      <c r="K136" s="63">
        <f t="shared" si="61"/>
        <v>0</v>
      </c>
      <c r="L136" s="63">
        <f t="shared" si="62"/>
        <v>0</v>
      </c>
      <c r="M136" s="106">
        <f t="shared" si="63"/>
        <v>34</v>
      </c>
      <c r="P136" s="63">
        <f t="shared" si="47"/>
        <v>1.0229819031104626</v>
      </c>
      <c r="Q136" s="63">
        <f t="shared" si="68"/>
        <v>425.73117327417464</v>
      </c>
      <c r="R136" s="63">
        <f t="shared" si="64"/>
        <v>0</v>
      </c>
      <c r="S136" s="63">
        <f t="shared" si="65"/>
        <v>0</v>
      </c>
      <c r="T136" s="63">
        <f t="shared" si="66"/>
        <v>0</v>
      </c>
      <c r="U136" s="106">
        <f t="shared" si="59"/>
        <v>6.7999999999999918</v>
      </c>
      <c r="Y136" s="66"/>
      <c r="Z136" s="66"/>
      <c r="AA136" s="63">
        <v>442</v>
      </c>
      <c r="AB136" s="63"/>
      <c r="AC136" s="301">
        <f t="shared" si="69"/>
        <v>-1.8000000000001819</v>
      </c>
      <c r="AD136" s="301">
        <f t="shared" si="70"/>
        <v>0</v>
      </c>
      <c r="AE136" s="301">
        <f t="shared" si="71"/>
        <v>-1.7999999999999998</v>
      </c>
      <c r="AF136" s="360">
        <f>(AK136-AK121)/AJ136</f>
        <v>7.0453682574847249E-4</v>
      </c>
      <c r="AG136" s="1" t="s">
        <v>517</v>
      </c>
      <c r="AH136" s="333">
        <v>4.2900000000000001E-2</v>
      </c>
      <c r="AI136" s="63">
        <f>AJ136+AK136+AL136</f>
        <v>2557.27</v>
      </c>
      <c r="AJ136" s="63">
        <v>2554.87</v>
      </c>
      <c r="AK136" s="63">
        <v>2.4</v>
      </c>
      <c r="AL136" s="120">
        <v>0</v>
      </c>
      <c r="AM136" t="s">
        <v>512</v>
      </c>
      <c r="AN136" s="363">
        <v>4</v>
      </c>
    </row>
    <row r="137" spans="2:42">
      <c r="B137" s="105">
        <v>47939</v>
      </c>
      <c r="C137" s="63">
        <f t="shared" si="55"/>
        <v>370</v>
      </c>
      <c r="D137" s="111">
        <f t="shared" si="56"/>
        <v>751.80014860859444</v>
      </c>
      <c r="E137" s="63">
        <f t="shared" si="57"/>
        <v>2.8087178652874014</v>
      </c>
      <c r="F137" s="111">
        <f t="shared" si="58"/>
        <v>748.99143074330709</v>
      </c>
      <c r="G137" s="63"/>
      <c r="H137" s="63">
        <f t="shared" si="46"/>
        <v>3.2029972947082683</v>
      </c>
      <c r="I137" s="63">
        <f t="shared" si="67"/>
        <v>265.31814556793915</v>
      </c>
      <c r="J137" s="63">
        <f t="shared" si="60"/>
        <v>0</v>
      </c>
      <c r="K137" s="63">
        <f t="shared" si="61"/>
        <v>0</v>
      </c>
      <c r="L137" s="63">
        <f t="shared" si="62"/>
        <v>0</v>
      </c>
      <c r="M137" s="106">
        <f t="shared" si="63"/>
        <v>34.5</v>
      </c>
      <c r="P137" s="63">
        <f t="shared" si="47"/>
        <v>1.0205296903753265</v>
      </c>
      <c r="Q137" s="63">
        <f t="shared" si="68"/>
        <v>424.71064358379931</v>
      </c>
      <c r="R137" s="63">
        <f t="shared" si="64"/>
        <v>0</v>
      </c>
      <c r="S137" s="63">
        <f t="shared" si="65"/>
        <v>0</v>
      </c>
      <c r="T137" s="63">
        <f t="shared" si="66"/>
        <v>0</v>
      </c>
      <c r="U137" s="106">
        <f t="shared" si="59"/>
        <v>6.8999999999999915</v>
      </c>
      <c r="Y137" s="66"/>
      <c r="Z137" s="66"/>
      <c r="AA137" s="63">
        <v>442</v>
      </c>
      <c r="AB137" s="63"/>
      <c r="AC137" s="301">
        <f t="shared" si="69"/>
        <v>-4.5100000000002183</v>
      </c>
      <c r="AD137" s="301">
        <f t="shared" si="70"/>
        <v>0</v>
      </c>
      <c r="AE137" s="301">
        <f>AK122-AK137</f>
        <v>-4.51</v>
      </c>
      <c r="AF137" s="360">
        <f>(AK137-AK122)/AJ137</f>
        <v>7.0542709622119443E-4</v>
      </c>
      <c r="AG137" s="1" t="s">
        <v>518</v>
      </c>
      <c r="AH137" s="333">
        <v>4.2999999999999997E-2</v>
      </c>
      <c r="AI137" s="63">
        <f>AJ137+AK137+AL137</f>
        <v>6399.31</v>
      </c>
      <c r="AJ137" s="63">
        <v>6393.29</v>
      </c>
      <c r="AK137" s="63">
        <v>6.02</v>
      </c>
      <c r="AL137" s="120">
        <v>0</v>
      </c>
      <c r="AM137" t="s">
        <v>513</v>
      </c>
      <c r="AN137" s="363">
        <v>3</v>
      </c>
    </row>
    <row r="138" spans="2:42">
      <c r="B138" s="105">
        <v>47969</v>
      </c>
      <c r="C138" s="63">
        <f t="shared" si="55"/>
        <v>370</v>
      </c>
      <c r="D138" s="111">
        <f t="shared" si="56"/>
        <v>383.23189916587671</v>
      </c>
      <c r="E138" s="63">
        <f t="shared" si="57"/>
        <v>1.4317505572822293</v>
      </c>
      <c r="F138" s="111">
        <f t="shared" si="58"/>
        <v>381.8001486085945</v>
      </c>
      <c r="G138" s="63"/>
      <c r="H138" s="63">
        <f t="shared" si="46"/>
        <v>3.1647910232744607</v>
      </c>
      <c r="I138" s="63">
        <f t="shared" si="67"/>
        <v>262.15335454466469</v>
      </c>
      <c r="J138" s="63">
        <f t="shared" si="60"/>
        <v>0</v>
      </c>
      <c r="K138" s="63">
        <f t="shared" si="61"/>
        <v>0</v>
      </c>
      <c r="L138" s="63">
        <f t="shared" si="62"/>
        <v>0</v>
      </c>
      <c r="M138" s="106">
        <f t="shared" si="63"/>
        <v>35</v>
      </c>
      <c r="P138" s="63">
        <f t="shared" si="47"/>
        <v>1.0180833558941345</v>
      </c>
      <c r="Q138" s="63">
        <f t="shared" si="68"/>
        <v>423.69256022790518</v>
      </c>
      <c r="R138" s="63">
        <f t="shared" si="64"/>
        <v>0</v>
      </c>
      <c r="S138" s="63">
        <f t="shared" si="65"/>
        <v>0</v>
      </c>
      <c r="T138" s="63">
        <f t="shared" si="66"/>
        <v>0</v>
      </c>
      <c r="U138" s="106">
        <f t="shared" si="59"/>
        <v>6.9999999999999911</v>
      </c>
      <c r="Y138" s="66"/>
      <c r="Z138" s="66"/>
      <c r="AA138" s="63">
        <v>442</v>
      </c>
      <c r="AB138" s="63"/>
      <c r="AC138" s="63">
        <f>SUM(AC128:AC137)</f>
        <v>13.139999999999645</v>
      </c>
      <c r="AD138" s="63">
        <f>SUM(AD128:AD137)</f>
        <v>25.599999999999909</v>
      </c>
      <c r="AE138" s="63">
        <f>SUM(AE128:AE137)</f>
        <v>-12.459999999999999</v>
      </c>
      <c r="AF138" s="66"/>
      <c r="AK138" s="6">
        <f>SUM(AK128:AK137)</f>
        <v>20.94</v>
      </c>
    </row>
    <row r="139" spans="2:42">
      <c r="B139" s="105">
        <v>48000</v>
      </c>
      <c r="C139" s="63">
        <f t="shared" si="55"/>
        <v>370</v>
      </c>
      <c r="D139" s="111">
        <f t="shared" si="56"/>
        <v>13.28151878774875</v>
      </c>
      <c r="E139" s="63">
        <f t="shared" si="57"/>
        <v>4.9619621872037667E-2</v>
      </c>
      <c r="F139" s="111">
        <f t="shared" si="58"/>
        <v>13.231899165876712</v>
      </c>
      <c r="G139" s="63"/>
      <c r="H139" s="63">
        <f t="shared" si="46"/>
        <v>3.1270404872168456</v>
      </c>
      <c r="I139" s="63">
        <f t="shared" si="67"/>
        <v>259.02631405744785</v>
      </c>
      <c r="J139" s="63">
        <f t="shared" si="60"/>
        <v>0</v>
      </c>
      <c r="K139" s="63">
        <f t="shared" si="61"/>
        <v>0</v>
      </c>
      <c r="L139" s="63">
        <f t="shared" si="62"/>
        <v>0</v>
      </c>
      <c r="M139" s="106">
        <f t="shared" si="63"/>
        <v>35.5</v>
      </c>
      <c r="P139" s="63">
        <f t="shared" si="47"/>
        <v>1.0156428855756872</v>
      </c>
      <c r="Q139" s="63">
        <f t="shared" si="68"/>
        <v>422.67691734232949</v>
      </c>
      <c r="R139" s="63">
        <f t="shared" si="64"/>
        <v>0</v>
      </c>
      <c r="S139" s="63">
        <f t="shared" si="65"/>
        <v>0</v>
      </c>
      <c r="T139" s="63">
        <f t="shared" si="66"/>
        <v>0</v>
      </c>
      <c r="U139" s="106">
        <f t="shared" si="59"/>
        <v>7.0999999999999908</v>
      </c>
      <c r="Y139" s="66"/>
      <c r="Z139" s="66"/>
      <c r="AA139" s="63">
        <v>442</v>
      </c>
      <c r="AB139" s="63"/>
      <c r="AC139" s="63"/>
      <c r="AD139" s="63"/>
      <c r="AE139" s="66"/>
      <c r="AF139" s="66"/>
      <c r="AN139" t="s">
        <v>694</v>
      </c>
    </row>
    <row r="140" spans="2:42">
      <c r="B140" s="105">
        <v>48030</v>
      </c>
      <c r="C140" s="63">
        <f t="shared" si="55"/>
        <v>370</v>
      </c>
      <c r="D140" s="111">
        <f t="shared" si="56"/>
        <v>0</v>
      </c>
      <c r="E140" s="63">
        <f t="shared" si="57"/>
        <v>0</v>
      </c>
      <c r="F140" s="111">
        <f t="shared" si="58"/>
        <v>0</v>
      </c>
      <c r="G140" s="63"/>
      <c r="H140" s="63">
        <f t="shared" si="46"/>
        <v>3.0897402503930209</v>
      </c>
      <c r="I140" s="63">
        <f t="shared" si="67"/>
        <v>255.93657380705483</v>
      </c>
      <c r="J140" s="63">
        <f t="shared" si="60"/>
        <v>0</v>
      </c>
      <c r="K140" s="63">
        <f t="shared" si="61"/>
        <v>0</v>
      </c>
      <c r="L140" s="63">
        <f t="shared" si="62"/>
        <v>0</v>
      </c>
      <c r="M140" s="106">
        <f t="shared" si="63"/>
        <v>36</v>
      </c>
      <c r="P140" s="63">
        <f t="shared" si="47"/>
        <v>1.0132082653632892</v>
      </c>
      <c r="Q140" s="63">
        <f t="shared" si="68"/>
        <v>421.6637090769662</v>
      </c>
      <c r="R140" s="63">
        <f t="shared" si="64"/>
        <v>0</v>
      </c>
      <c r="S140" s="63">
        <f t="shared" si="65"/>
        <v>0</v>
      </c>
      <c r="T140" s="63">
        <f t="shared" si="66"/>
        <v>0</v>
      </c>
      <c r="U140" s="106">
        <f t="shared" si="59"/>
        <v>7.1999999999999904</v>
      </c>
      <c r="Y140" s="66"/>
      <c r="Z140" s="66"/>
      <c r="AA140" s="63"/>
      <c r="AB140" s="63"/>
      <c r="AC140" s="63"/>
      <c r="AD140" s="63"/>
      <c r="AE140" s="66"/>
      <c r="AF140" s="102">
        <v>45474</v>
      </c>
      <c r="AH140" s="8" t="s">
        <v>521</v>
      </c>
      <c r="AI140" s="6">
        <f>SUM(AI142:AI151)</f>
        <v>26067.719999999998</v>
      </c>
      <c r="AJ140" s="8" t="s">
        <v>560</v>
      </c>
      <c r="AK140" s="8"/>
      <c r="AL140" s="8"/>
      <c r="AM140" s="338">
        <v>255.6</v>
      </c>
      <c r="AN140">
        <v>285.51</v>
      </c>
      <c r="AP140" s="6"/>
    </row>
    <row r="141" spans="2:42">
      <c r="B141" s="105">
        <v>48061</v>
      </c>
      <c r="C141" s="63">
        <f t="shared" si="55"/>
        <v>370</v>
      </c>
      <c r="D141" s="111">
        <f t="shared" si="56"/>
        <v>0</v>
      </c>
      <c r="E141" s="63">
        <f t="shared" si="57"/>
        <v>0</v>
      </c>
      <c r="F141" s="111">
        <f t="shared" si="58"/>
        <v>0</v>
      </c>
      <c r="G141" s="63"/>
      <c r="H141" s="63">
        <f t="shared" si="46"/>
        <v>3.0528849415042316</v>
      </c>
      <c r="I141" s="63">
        <f t="shared" si="67"/>
        <v>252.8836888655506</v>
      </c>
      <c r="J141" s="63">
        <f t="shared" si="60"/>
        <v>0</v>
      </c>
      <c r="K141" s="63">
        <f t="shared" si="61"/>
        <v>0</v>
      </c>
      <c r="L141" s="63">
        <f t="shared" si="62"/>
        <v>0</v>
      </c>
      <c r="M141" s="106">
        <f t="shared" si="63"/>
        <v>36.5</v>
      </c>
      <c r="P141" s="63">
        <f t="shared" si="47"/>
        <v>1.0107794812331008</v>
      </c>
      <c r="Q141" s="63">
        <f t="shared" si="68"/>
        <v>420.6529295957331</v>
      </c>
      <c r="R141" s="63">
        <f t="shared" si="64"/>
        <v>0</v>
      </c>
      <c r="S141" s="63">
        <f t="shared" si="65"/>
        <v>0</v>
      </c>
      <c r="T141" s="63">
        <f t="shared" si="66"/>
        <v>0</v>
      </c>
      <c r="U141" s="106">
        <f t="shared" si="59"/>
        <v>7.2999999999999901</v>
      </c>
      <c r="Y141" s="66"/>
      <c r="Z141" s="66"/>
      <c r="AA141" s="63"/>
      <c r="AB141" s="63"/>
      <c r="AC141" s="63" t="s">
        <v>699</v>
      </c>
      <c r="AD141" s="63" t="s">
        <v>700</v>
      </c>
      <c r="AE141" s="66" t="s">
        <v>701</v>
      </c>
      <c r="AG141" t="s">
        <v>508</v>
      </c>
      <c r="AH141" t="s">
        <v>520</v>
      </c>
      <c r="AI141" t="s">
        <v>12</v>
      </c>
      <c r="AJ141" t="s">
        <v>519</v>
      </c>
      <c r="AK141" t="s">
        <v>154</v>
      </c>
      <c r="AL141" t="s">
        <v>332</v>
      </c>
    </row>
    <row r="142" spans="2:42">
      <c r="B142" s="105">
        <v>48092</v>
      </c>
      <c r="C142" s="63">
        <f t="shared" si="55"/>
        <v>370</v>
      </c>
      <c r="D142" s="111">
        <f t="shared" si="56"/>
        <v>0</v>
      </c>
      <c r="E142" s="63">
        <f t="shared" si="57"/>
        <v>0</v>
      </c>
      <c r="F142" s="111">
        <f t="shared" si="58"/>
        <v>0</v>
      </c>
      <c r="G142" s="63"/>
      <c r="H142" s="63">
        <f t="shared" si="46"/>
        <v>3.0164692533225548</v>
      </c>
      <c r="I142" s="63">
        <f t="shared" si="67"/>
        <v>249.86721961222804</v>
      </c>
      <c r="J142" s="63">
        <f t="shared" si="60"/>
        <v>0</v>
      </c>
      <c r="K142" s="63">
        <f t="shared" si="61"/>
        <v>0</v>
      </c>
      <c r="L142" s="63">
        <f t="shared" si="62"/>
        <v>0</v>
      </c>
      <c r="M142" s="106">
        <f t="shared" si="63"/>
        <v>37</v>
      </c>
      <c r="P142" s="63">
        <f t="shared" si="47"/>
        <v>1.0083565191956154</v>
      </c>
      <c r="Q142" s="63">
        <f t="shared" si="68"/>
        <v>419.64457307653748</v>
      </c>
      <c r="R142" s="63">
        <f t="shared" si="64"/>
        <v>0</v>
      </c>
      <c r="S142" s="63">
        <f t="shared" si="65"/>
        <v>0</v>
      </c>
      <c r="T142" s="63">
        <f t="shared" si="66"/>
        <v>0</v>
      </c>
      <c r="U142" s="106">
        <f t="shared" si="59"/>
        <v>7.3999999999999897</v>
      </c>
      <c r="Y142" s="66"/>
      <c r="Z142" s="66"/>
      <c r="AA142" s="63"/>
      <c r="AB142" s="63"/>
      <c r="AC142" s="301">
        <f t="shared" ref="AC142:AC151" si="73">AI128-AI142</f>
        <v>-6.080000000000382</v>
      </c>
      <c r="AD142" s="301">
        <f t="shared" ref="AD142:AD151" si="74">AJ128-AJ142</f>
        <v>0</v>
      </c>
      <c r="AE142" s="301">
        <f t="shared" ref="AE142:AE151" si="75">AK128-AK142</f>
        <v>-6.08</v>
      </c>
      <c r="AF142" s="360">
        <f>(AK142-AK128)/AJ142</f>
        <v>1.8617298164603862E-3</v>
      </c>
      <c r="AG142" s="1" t="s">
        <v>506</v>
      </c>
      <c r="AH142" s="333">
        <v>3.4000000000000002E-2</v>
      </c>
      <c r="AI142" s="63">
        <f>AJ142+AK142+AL142</f>
        <v>3274.2900000000004</v>
      </c>
      <c r="AJ142" s="63">
        <v>3265.78</v>
      </c>
      <c r="AK142" s="63">
        <v>8.51</v>
      </c>
      <c r="AL142" s="120">
        <v>0</v>
      </c>
      <c r="AM142" t="s">
        <v>512</v>
      </c>
      <c r="AN142" s="363">
        <v>6</v>
      </c>
    </row>
    <row r="143" spans="2:42">
      <c r="B143" s="105">
        <v>48122</v>
      </c>
      <c r="C143" s="63">
        <f t="shared" si="55"/>
        <v>370</v>
      </c>
      <c r="D143" s="111">
        <f t="shared" si="56"/>
        <v>0</v>
      </c>
      <c r="E143" s="63">
        <f t="shared" si="57"/>
        <v>0</v>
      </c>
      <c r="F143" s="111">
        <f t="shared" si="58"/>
        <v>0</v>
      </c>
      <c r="G143" s="63"/>
      <c r="H143" s="63">
        <f t="shared" si="46"/>
        <v>2.980487941925702</v>
      </c>
      <c r="I143" s="63">
        <f t="shared" si="67"/>
        <v>246.88673167030234</v>
      </c>
      <c r="J143" s="63">
        <f t="shared" si="60"/>
        <v>0</v>
      </c>
      <c r="K143" s="63">
        <f t="shared" si="61"/>
        <v>0</v>
      </c>
      <c r="L143" s="63">
        <f t="shared" si="62"/>
        <v>0</v>
      </c>
      <c r="M143" s="106">
        <f t="shared" si="63"/>
        <v>37.5</v>
      </c>
      <c r="P143" s="63">
        <f t="shared" si="47"/>
        <v>1.0059393652944664</v>
      </c>
      <c r="Q143" s="63">
        <f t="shared" si="68"/>
        <v>418.63863371124302</v>
      </c>
      <c r="R143" s="63">
        <f t="shared" si="64"/>
        <v>0</v>
      </c>
      <c r="S143" s="63">
        <f t="shared" si="65"/>
        <v>0</v>
      </c>
      <c r="T143" s="63">
        <f t="shared" si="66"/>
        <v>0</v>
      </c>
      <c r="U143" s="106">
        <f t="shared" si="59"/>
        <v>7.4999999999999893</v>
      </c>
      <c r="Y143" s="66"/>
      <c r="Z143" s="66"/>
      <c r="AA143" s="63"/>
      <c r="AB143" s="63"/>
      <c r="AC143" s="301">
        <f t="shared" si="73"/>
        <v>0</v>
      </c>
      <c r="AD143" s="301">
        <f t="shared" si="74"/>
        <v>0</v>
      </c>
      <c r="AE143" s="301">
        <f t="shared" si="75"/>
        <v>0</v>
      </c>
      <c r="AF143" s="360"/>
      <c r="AG143" s="1" t="s">
        <v>507</v>
      </c>
      <c r="AI143" s="63">
        <f t="shared" ref="AI143:AI148" si="76">AJ143+AK143+AL143</f>
        <v>0</v>
      </c>
      <c r="AJ143" s="63">
        <v>0</v>
      </c>
      <c r="AK143" s="63">
        <v>0</v>
      </c>
      <c r="AL143" s="120">
        <v>0</v>
      </c>
      <c r="AM143" t="s">
        <v>513</v>
      </c>
      <c r="AN143" s="364"/>
    </row>
    <row r="144" spans="2:42">
      <c r="B144" s="105">
        <v>48153</v>
      </c>
      <c r="C144" s="63">
        <f t="shared" si="55"/>
        <v>370</v>
      </c>
      <c r="D144" s="111">
        <f t="shared" si="56"/>
        <v>0</v>
      </c>
      <c r="E144" s="63">
        <f t="shared" si="57"/>
        <v>0</v>
      </c>
      <c r="F144" s="111">
        <f t="shared" si="58"/>
        <v>0</v>
      </c>
      <c r="G144" s="63"/>
      <c r="H144" s="63">
        <f t="shared" si="46"/>
        <v>2.9449358259428777</v>
      </c>
      <c r="I144" s="63">
        <f t="shared" si="67"/>
        <v>243.94179584435946</v>
      </c>
      <c r="J144" s="63">
        <f t="shared" si="60"/>
        <v>0</v>
      </c>
      <c r="K144" s="63">
        <f t="shared" si="61"/>
        <v>0</v>
      </c>
      <c r="L144" s="63">
        <f t="shared" si="62"/>
        <v>0</v>
      </c>
      <c r="M144" s="106">
        <f t="shared" si="63"/>
        <v>38</v>
      </c>
      <c r="P144" s="63">
        <f t="shared" si="47"/>
        <v>1.0035280056068814</v>
      </c>
      <c r="Q144" s="63">
        <f t="shared" si="68"/>
        <v>417.63510570563614</v>
      </c>
      <c r="R144" s="63">
        <f t="shared" si="64"/>
        <v>0</v>
      </c>
      <c r="S144" s="63">
        <f t="shared" si="65"/>
        <v>0</v>
      </c>
      <c r="T144" s="63">
        <f t="shared" si="66"/>
        <v>0</v>
      </c>
      <c r="U144" s="106">
        <f t="shared" si="59"/>
        <v>7.599999999999989</v>
      </c>
      <c r="Y144" s="66"/>
      <c r="Z144" s="66"/>
      <c r="AA144" s="63"/>
      <c r="AB144" s="63"/>
      <c r="AC144" s="301">
        <f t="shared" si="73"/>
        <v>-7.8299999999999272</v>
      </c>
      <c r="AD144" s="301">
        <f t="shared" si="74"/>
        <v>0</v>
      </c>
      <c r="AE144" s="301">
        <f t="shared" si="75"/>
        <v>-7.830000000000001</v>
      </c>
      <c r="AF144" s="360">
        <f>(AK144-AK130)/AJ144</f>
        <v>1.8635890869365503E-3</v>
      </c>
      <c r="AG144" s="1" t="s">
        <v>509</v>
      </c>
      <c r="AH144" s="333">
        <v>3.4000000000000002E-2</v>
      </c>
      <c r="AI144" s="63">
        <f t="shared" si="76"/>
        <v>4212.53</v>
      </c>
      <c r="AJ144" s="63">
        <v>4201.57</v>
      </c>
      <c r="AK144" s="63">
        <v>10.96</v>
      </c>
      <c r="AL144" s="120">
        <v>0</v>
      </c>
      <c r="AM144" t="s">
        <v>512</v>
      </c>
      <c r="AN144" s="363">
        <v>7</v>
      </c>
    </row>
    <row r="145" spans="2:40">
      <c r="B145" s="105">
        <v>48183</v>
      </c>
      <c r="C145" s="63">
        <f t="shared" si="55"/>
        <v>370</v>
      </c>
      <c r="D145" s="111">
        <f t="shared" si="56"/>
        <v>0</v>
      </c>
      <c r="E145" s="63">
        <f t="shared" si="57"/>
        <v>0</v>
      </c>
      <c r="F145" s="111">
        <f t="shared" si="58"/>
        <v>0</v>
      </c>
      <c r="G145" s="63"/>
      <c r="H145" s="63">
        <f t="shared" si="46"/>
        <v>2.9098077858078568</v>
      </c>
      <c r="I145" s="63">
        <f t="shared" si="67"/>
        <v>241.0319880585516</v>
      </c>
      <c r="J145" s="63">
        <f t="shared" si="60"/>
        <v>0</v>
      </c>
      <c r="K145" s="63">
        <f t="shared" si="61"/>
        <v>0</v>
      </c>
      <c r="L145" s="63">
        <f t="shared" si="62"/>
        <v>0</v>
      </c>
      <c r="M145" s="106">
        <f t="shared" si="63"/>
        <v>38.5</v>
      </c>
      <c r="P145" s="63">
        <f t="shared" si="47"/>
        <v>1.0011224262432847</v>
      </c>
      <c r="Q145" s="63">
        <f t="shared" si="68"/>
        <v>416.63398327939285</v>
      </c>
      <c r="R145" s="63">
        <f t="shared" si="64"/>
        <v>0</v>
      </c>
      <c r="S145" s="63">
        <f t="shared" si="65"/>
        <v>0</v>
      </c>
      <c r="T145" s="63">
        <f t="shared" si="66"/>
        <v>0</v>
      </c>
      <c r="U145" s="106">
        <f t="shared" si="59"/>
        <v>7.6999999999999886</v>
      </c>
      <c r="Y145" s="66"/>
      <c r="Z145" s="66"/>
      <c r="AA145" s="63"/>
      <c r="AB145" s="63"/>
      <c r="AC145" s="301">
        <f t="shared" si="73"/>
        <v>0</v>
      </c>
      <c r="AD145" s="301">
        <f t="shared" si="74"/>
        <v>0</v>
      </c>
      <c r="AE145" s="301">
        <f t="shared" si="75"/>
        <v>0</v>
      </c>
      <c r="AF145" s="360"/>
      <c r="AG145" s="1" t="s">
        <v>510</v>
      </c>
      <c r="AI145" s="63">
        <f t="shared" si="76"/>
        <v>0</v>
      </c>
      <c r="AJ145" s="63">
        <v>0</v>
      </c>
      <c r="AK145" s="63">
        <v>0</v>
      </c>
      <c r="AL145" s="120">
        <v>0</v>
      </c>
      <c r="AM145" t="s">
        <v>512</v>
      </c>
      <c r="AN145" s="364"/>
    </row>
    <row r="146" spans="2:40">
      <c r="B146" s="105"/>
      <c r="C146" s="63"/>
      <c r="D146" s="111"/>
      <c r="E146" s="63"/>
      <c r="F146" s="111"/>
      <c r="G146" s="63"/>
      <c r="H146" s="63"/>
      <c r="I146" s="63"/>
      <c r="J146" s="63"/>
      <c r="K146" s="63"/>
      <c r="L146" s="63"/>
      <c r="M146" s="106"/>
      <c r="P146" s="63"/>
      <c r="Q146" s="63"/>
      <c r="R146" s="63"/>
      <c r="S146" s="63"/>
      <c r="T146" s="63"/>
      <c r="U146" s="106"/>
      <c r="Y146" s="66"/>
      <c r="Z146" s="66"/>
      <c r="AA146" s="63"/>
      <c r="AB146" s="63"/>
      <c r="AC146" s="301">
        <f t="shared" si="73"/>
        <v>-10.8799999999992</v>
      </c>
      <c r="AD146" s="301">
        <f t="shared" si="74"/>
        <v>0</v>
      </c>
      <c r="AE146" s="301">
        <f t="shared" si="75"/>
        <v>-10.88</v>
      </c>
      <c r="AF146" s="360">
        <f>(AK146-AK132)/AJ146</f>
        <v>2.1145059383022931E-3</v>
      </c>
      <c r="AG146" s="1" t="s">
        <v>511</v>
      </c>
      <c r="AH146" s="333">
        <v>3.8600000000000002E-2</v>
      </c>
      <c r="AI146" s="63">
        <f t="shared" si="76"/>
        <v>5160.6399999999994</v>
      </c>
      <c r="AJ146" s="63">
        <v>5145.41</v>
      </c>
      <c r="AK146" s="63">
        <v>15.23</v>
      </c>
      <c r="AL146" s="120">
        <v>0</v>
      </c>
      <c r="AM146" t="s">
        <v>512</v>
      </c>
      <c r="AN146" s="363">
        <v>5</v>
      </c>
    </row>
    <row r="147" spans="2:40">
      <c r="B147" s="105"/>
      <c r="C147" s="63"/>
      <c r="D147" s="111"/>
      <c r="E147" s="63"/>
      <c r="F147" s="111"/>
      <c r="G147" s="63"/>
      <c r="H147" s="63"/>
      <c r="I147" s="63"/>
      <c r="J147" s="63"/>
      <c r="K147" s="63"/>
      <c r="L147" s="63"/>
      <c r="M147" s="106"/>
      <c r="P147" s="63"/>
      <c r="Q147" s="63"/>
      <c r="R147" s="63"/>
      <c r="S147" s="63"/>
      <c r="T147" s="63"/>
      <c r="U147" s="106"/>
      <c r="AA147" s="63"/>
      <c r="AB147" s="63"/>
      <c r="AC147" s="301">
        <f t="shared" si="73"/>
        <v>-4.2000000000000455</v>
      </c>
      <c r="AD147" s="301">
        <f t="shared" si="74"/>
        <v>0</v>
      </c>
      <c r="AE147" s="301">
        <f t="shared" si="75"/>
        <v>-4.2</v>
      </c>
      <c r="AF147" s="360">
        <f>(AK147-AK133)/AJ147</f>
        <v>2.1146332621742457E-3</v>
      </c>
      <c r="AG147" s="1" t="s">
        <v>514</v>
      </c>
      <c r="AH147" s="333">
        <v>3.8600000000000002E-2</v>
      </c>
      <c r="AI147" s="63">
        <f t="shared" si="76"/>
        <v>1991.41</v>
      </c>
      <c r="AJ147" s="63">
        <v>1986.16</v>
      </c>
      <c r="AK147" s="63">
        <v>5.25</v>
      </c>
      <c r="AL147" s="120">
        <v>0</v>
      </c>
      <c r="AM147" t="s">
        <v>513</v>
      </c>
      <c r="AN147" s="363">
        <v>2</v>
      </c>
    </row>
    <row r="148" spans="2:40">
      <c r="B148" s="105"/>
      <c r="C148" s="63"/>
      <c r="D148" s="111"/>
      <c r="E148" s="63"/>
      <c r="F148" s="111"/>
      <c r="G148" s="63"/>
      <c r="H148" s="63"/>
      <c r="I148" s="63"/>
      <c r="J148" s="63"/>
      <c r="K148" s="63"/>
      <c r="L148" s="63"/>
      <c r="M148" s="106"/>
      <c r="P148" s="63"/>
      <c r="Q148" s="63"/>
      <c r="R148" s="63"/>
      <c r="S148" s="63"/>
      <c r="T148" s="63"/>
      <c r="U148" s="106"/>
      <c r="AA148" s="63"/>
      <c r="AB148" s="63"/>
      <c r="AC148" s="301">
        <f t="shared" si="73"/>
        <v>-6.2400000000002365</v>
      </c>
      <c r="AD148" s="301">
        <f t="shared" si="74"/>
        <v>0</v>
      </c>
      <c r="AE148" s="301">
        <f t="shared" si="75"/>
        <v>-6.24</v>
      </c>
      <c r="AF148" s="360">
        <f>(AK148-AK134)/AJ148</f>
        <v>2.5538079978390856E-3</v>
      </c>
      <c r="AG148" s="1" t="s">
        <v>515</v>
      </c>
      <c r="AH148" s="333">
        <v>4.6600000000000003E-2</v>
      </c>
      <c r="AI148" s="63">
        <f t="shared" si="76"/>
        <v>2451.21</v>
      </c>
      <c r="AJ148" s="63">
        <v>2443.41</v>
      </c>
      <c r="AK148" s="63">
        <v>7.8</v>
      </c>
      <c r="AL148" s="120">
        <v>0</v>
      </c>
      <c r="AM148" t="s">
        <v>512</v>
      </c>
      <c r="AN148" s="363">
        <v>1</v>
      </c>
    </row>
    <row r="149" spans="2:40">
      <c r="B149" s="105"/>
      <c r="C149" s="63"/>
      <c r="D149" s="111"/>
      <c r="E149" s="63"/>
      <c r="F149" s="111"/>
      <c r="G149" s="63"/>
      <c r="H149" s="63"/>
      <c r="I149" s="63"/>
      <c r="J149" s="63"/>
      <c r="K149" s="63"/>
      <c r="L149" s="63"/>
      <c r="M149" s="106"/>
      <c r="P149" s="63"/>
      <c r="Q149" s="63"/>
      <c r="R149" s="63"/>
      <c r="S149" s="63"/>
      <c r="T149" s="63"/>
      <c r="U149" s="106"/>
      <c r="AA149" s="63"/>
      <c r="AB149" s="63"/>
      <c r="AC149" s="301">
        <f t="shared" si="73"/>
        <v>0</v>
      </c>
      <c r="AD149" s="301">
        <f t="shared" si="74"/>
        <v>0</v>
      </c>
      <c r="AE149" s="301">
        <f t="shared" si="75"/>
        <v>0</v>
      </c>
      <c r="AF149" s="360"/>
      <c r="AG149" s="1" t="s">
        <v>516</v>
      </c>
      <c r="AH149" s="333"/>
      <c r="AI149" s="63">
        <v>0</v>
      </c>
      <c r="AJ149" s="63">
        <v>0</v>
      </c>
      <c r="AK149" s="63">
        <v>0</v>
      </c>
      <c r="AL149" s="120">
        <v>0</v>
      </c>
      <c r="AM149" t="s">
        <v>513</v>
      </c>
      <c r="AN149" s="364"/>
    </row>
    <row r="150" spans="2:40">
      <c r="B150" s="105"/>
      <c r="C150" s="63"/>
      <c r="D150" s="111"/>
      <c r="E150" s="63"/>
      <c r="F150" s="111"/>
      <c r="G150" s="63"/>
      <c r="H150" s="63"/>
      <c r="I150" s="63"/>
      <c r="J150" s="63"/>
      <c r="K150" s="63"/>
      <c r="L150" s="63"/>
      <c r="M150" s="106"/>
      <c r="P150" s="63"/>
      <c r="Q150" s="63"/>
      <c r="R150" s="63"/>
      <c r="S150" s="63"/>
      <c r="T150" s="63"/>
      <c r="U150" s="106"/>
      <c r="AA150" s="63"/>
      <c r="AB150" s="63"/>
      <c r="AC150" s="301">
        <f t="shared" si="73"/>
        <v>-6</v>
      </c>
      <c r="AD150" s="301">
        <f t="shared" si="74"/>
        <v>0</v>
      </c>
      <c r="AE150" s="301">
        <f t="shared" si="75"/>
        <v>-6</v>
      </c>
      <c r="AF150" s="360">
        <f>(AK150-AK136)/AJ150</f>
        <v>2.3484560858282417E-3</v>
      </c>
      <c r="AG150" s="1" t="s">
        <v>517</v>
      </c>
      <c r="AH150" s="333">
        <v>4.2900000000000001E-2</v>
      </c>
      <c r="AI150" s="63">
        <f>AJ150+AK150+AL150</f>
        <v>2563.27</v>
      </c>
      <c r="AJ150" s="63">
        <v>2554.87</v>
      </c>
      <c r="AK150" s="63">
        <v>8.4</v>
      </c>
      <c r="AL150" s="120">
        <v>0</v>
      </c>
      <c r="AM150" t="s">
        <v>512</v>
      </c>
      <c r="AN150" s="363">
        <v>4</v>
      </c>
    </row>
    <row r="151" spans="2:40">
      <c r="B151" s="105"/>
      <c r="C151" s="63"/>
      <c r="D151" s="111"/>
      <c r="E151" s="63"/>
      <c r="F151" s="111"/>
      <c r="G151" s="63"/>
      <c r="H151" s="63"/>
      <c r="I151" s="63"/>
      <c r="J151" s="63"/>
      <c r="K151" s="63"/>
      <c r="L151" s="63"/>
      <c r="M151" s="106"/>
      <c r="P151" s="63"/>
      <c r="Q151" s="63"/>
      <c r="R151" s="63"/>
      <c r="S151" s="63"/>
      <c r="T151" s="63"/>
      <c r="U151" s="106"/>
      <c r="AA151" s="63"/>
      <c r="AB151" s="63"/>
      <c r="AC151" s="301">
        <f t="shared" si="73"/>
        <v>-15.059999999999491</v>
      </c>
      <c r="AD151" s="301">
        <f t="shared" si="74"/>
        <v>0</v>
      </c>
      <c r="AE151" s="301">
        <f t="shared" si="75"/>
        <v>-15.059999999999999</v>
      </c>
      <c r="AF151" s="360">
        <f>(AK151-AK137)/AJ151</f>
        <v>2.3555946938117931E-3</v>
      </c>
      <c r="AG151" s="1" t="s">
        <v>518</v>
      </c>
      <c r="AH151" s="333">
        <v>4.2999999999999997E-2</v>
      </c>
      <c r="AI151" s="63">
        <f>AJ151+AK151+AL151</f>
        <v>6414.37</v>
      </c>
      <c r="AJ151" s="63">
        <v>6393.29</v>
      </c>
      <c r="AK151" s="63">
        <v>21.08</v>
      </c>
      <c r="AL151" s="120">
        <v>0</v>
      </c>
      <c r="AM151" t="s">
        <v>513</v>
      </c>
      <c r="AN151" s="363">
        <v>3</v>
      </c>
    </row>
    <row r="152" spans="2:40">
      <c r="B152" s="105"/>
      <c r="C152" s="63"/>
      <c r="D152" s="111"/>
      <c r="E152" s="63"/>
      <c r="F152" s="111"/>
      <c r="H152" s="63"/>
      <c r="I152" s="63"/>
      <c r="J152" s="63"/>
      <c r="K152" s="63"/>
      <c r="L152" s="63"/>
      <c r="M152" s="106"/>
      <c r="P152" s="63"/>
      <c r="Q152" s="63"/>
      <c r="R152" s="63"/>
      <c r="S152" s="63"/>
      <c r="T152" s="63"/>
      <c r="U152" s="106"/>
      <c r="AA152" s="63"/>
      <c r="AB152" s="63"/>
      <c r="AC152" s="63">
        <f>SUM(AC142:AC151)</f>
        <v>-56.289999999999281</v>
      </c>
      <c r="AD152" s="63">
        <f>SUM(AD142:AD151)</f>
        <v>0</v>
      </c>
      <c r="AE152" s="63">
        <f>SUM(AE142:AE151)</f>
        <v>-56.289999999999992</v>
      </c>
      <c r="AF152" s="66"/>
      <c r="AK152" s="6">
        <f>SUM(AK142:AK151)</f>
        <v>77.22999999999999</v>
      </c>
    </row>
    <row r="153" spans="2:40">
      <c r="B153" s="105"/>
      <c r="C153" s="63"/>
      <c r="D153" s="111"/>
      <c r="E153" s="63"/>
      <c r="F153" s="111"/>
      <c r="H153" s="63"/>
      <c r="I153" s="63"/>
      <c r="J153" s="63"/>
      <c r="K153" s="63"/>
      <c r="L153" s="63"/>
      <c r="M153" s="106"/>
      <c r="P153" s="63"/>
      <c r="Q153" s="63"/>
      <c r="R153" s="63"/>
      <c r="S153" s="63"/>
      <c r="T153" s="63"/>
      <c r="U153" s="106"/>
      <c r="AA153" s="63"/>
      <c r="AB153" s="63"/>
      <c r="AC153" s="63"/>
      <c r="AD153" s="63"/>
      <c r="AE153" s="6"/>
      <c r="AF153" s="66"/>
      <c r="AN153" t="s">
        <v>694</v>
      </c>
    </row>
    <row r="154" spans="2:40">
      <c r="B154" s="105"/>
      <c r="C154" s="63"/>
      <c r="D154" s="111"/>
      <c r="E154" s="63"/>
      <c r="F154" s="111"/>
      <c r="H154" s="63"/>
      <c r="I154" s="63"/>
      <c r="J154" s="63"/>
      <c r="K154" s="63"/>
      <c r="L154" s="63"/>
      <c r="M154" s="106"/>
      <c r="P154" s="63"/>
      <c r="Q154" s="63"/>
      <c r="R154" s="63"/>
      <c r="S154" s="63"/>
      <c r="T154" s="63"/>
      <c r="U154" s="106"/>
      <c r="AA154" s="63"/>
      <c r="AB154" s="63"/>
      <c r="AC154" s="63"/>
      <c r="AD154" s="63"/>
      <c r="AE154" s="66"/>
      <c r="AF154" s="102">
        <v>45476</v>
      </c>
      <c r="AH154" s="8" t="s">
        <v>521</v>
      </c>
      <c r="AI154" s="6">
        <f>SUM(AI156:AI165)</f>
        <v>25753.29</v>
      </c>
      <c r="AJ154" s="8" t="s">
        <v>560</v>
      </c>
      <c r="AK154" s="8"/>
      <c r="AL154" s="8"/>
      <c r="AM154" s="338">
        <v>255.6</v>
      </c>
      <c r="AN154">
        <v>285.51</v>
      </c>
    </row>
    <row r="155" spans="2:40">
      <c r="B155" s="105"/>
      <c r="C155" s="63"/>
      <c r="D155" s="111"/>
      <c r="E155" s="63"/>
      <c r="F155" s="111"/>
      <c r="H155" s="63"/>
      <c r="I155" s="63"/>
      <c r="J155" s="63"/>
      <c r="K155" s="63"/>
      <c r="L155" s="63"/>
      <c r="M155" s="106"/>
      <c r="P155" s="63"/>
      <c r="Q155" s="63"/>
      <c r="R155" s="63"/>
      <c r="S155" s="63"/>
      <c r="T155" s="63"/>
      <c r="U155" s="106"/>
      <c r="AA155" s="63"/>
      <c r="AB155" s="63" t="s">
        <v>739</v>
      </c>
      <c r="AC155" s="63" t="s">
        <v>699</v>
      </c>
      <c r="AD155" s="63" t="s">
        <v>700</v>
      </c>
      <c r="AE155" s="66" t="s">
        <v>701</v>
      </c>
      <c r="AG155" t="s">
        <v>508</v>
      </c>
      <c r="AH155" t="s">
        <v>520</v>
      </c>
      <c r="AI155" t="s">
        <v>12</v>
      </c>
      <c r="AJ155" t="s">
        <v>519</v>
      </c>
      <c r="AK155" t="s">
        <v>154</v>
      </c>
      <c r="AL155" t="s">
        <v>332</v>
      </c>
      <c r="AN155" t="s">
        <v>740</v>
      </c>
    </row>
    <row r="156" spans="2:40">
      <c r="B156" s="105"/>
      <c r="C156" s="63"/>
      <c r="D156" s="111"/>
      <c r="E156" s="63"/>
      <c r="F156" s="111"/>
      <c r="H156" s="63"/>
      <c r="I156" s="63"/>
      <c r="J156" s="63"/>
      <c r="K156" s="63"/>
      <c r="L156" s="63"/>
      <c r="M156" s="106"/>
      <c r="P156" s="63"/>
      <c r="Q156" s="63"/>
      <c r="R156" s="63"/>
      <c r="S156" s="63"/>
      <c r="T156" s="63"/>
      <c r="U156" s="106"/>
      <c r="AA156" s="63"/>
      <c r="AB156" s="63">
        <f>AC156+AK156</f>
        <v>34.600000000000236</v>
      </c>
      <c r="AC156" s="301">
        <f>AI142-AI156</f>
        <v>33.990000000000236</v>
      </c>
      <c r="AD156" s="301">
        <f>AJ142-AJ156</f>
        <v>26.090000000000146</v>
      </c>
      <c r="AE156" s="301">
        <f>AK142-AK156</f>
        <v>7.8999999999999995</v>
      </c>
      <c r="AF156" s="360">
        <f>(AK156-AK142)/AJ156</f>
        <v>-2.4385049186804908E-3</v>
      </c>
      <c r="AG156" s="1" t="s">
        <v>506</v>
      </c>
      <c r="AH156" s="333">
        <v>3.4000000000000002E-2</v>
      </c>
      <c r="AI156" s="63">
        <f>AJ156+AK156+AL156</f>
        <v>3240.3</v>
      </c>
      <c r="AJ156" s="63">
        <v>3239.69</v>
      </c>
      <c r="AK156" s="63">
        <v>0.61</v>
      </c>
      <c r="AL156" s="120">
        <v>0</v>
      </c>
      <c r="AM156" t="s">
        <v>512</v>
      </c>
      <c r="AN156" s="363">
        <v>6</v>
      </c>
    </row>
    <row r="157" spans="2:40">
      <c r="B157" s="105"/>
      <c r="C157" s="63"/>
      <c r="D157" s="111"/>
      <c r="E157" s="63"/>
      <c r="F157" s="111"/>
      <c r="H157" s="63"/>
      <c r="I157" s="63"/>
      <c r="J157" s="63"/>
      <c r="K157" s="63"/>
      <c r="L157" s="63"/>
      <c r="M157" s="106"/>
      <c r="P157" s="63"/>
      <c r="Q157" s="63"/>
      <c r="R157" s="63"/>
      <c r="S157" s="63"/>
      <c r="T157" s="63"/>
      <c r="U157" s="106"/>
      <c r="AA157" s="63"/>
      <c r="AB157" s="63"/>
      <c r="AC157" s="301"/>
      <c r="AD157" s="301"/>
      <c r="AE157" s="301"/>
      <c r="AF157" s="360"/>
      <c r="AG157" s="1" t="s">
        <v>507</v>
      </c>
      <c r="AI157" s="63">
        <f t="shared" ref="AI157:AI162" si="77">AJ157+AK157+AL157</f>
        <v>0</v>
      </c>
      <c r="AJ157" s="63">
        <v>0</v>
      </c>
      <c r="AK157" s="63">
        <v>0</v>
      </c>
      <c r="AL157" s="120">
        <v>0</v>
      </c>
      <c r="AM157" t="s">
        <v>513</v>
      </c>
      <c r="AN157" s="364"/>
    </row>
    <row r="158" spans="2:40">
      <c r="B158" s="105"/>
      <c r="C158" s="63"/>
      <c r="D158" s="111"/>
      <c r="E158" s="63"/>
      <c r="F158" s="111"/>
      <c r="H158" s="63"/>
      <c r="I158" s="63"/>
      <c r="J158" s="63"/>
      <c r="K158" s="63"/>
      <c r="L158" s="63"/>
      <c r="M158" s="106"/>
      <c r="P158" s="63"/>
      <c r="Q158" s="63"/>
      <c r="R158" s="63"/>
      <c r="S158" s="63"/>
      <c r="T158" s="63"/>
      <c r="U158" s="106"/>
      <c r="AA158" s="63"/>
      <c r="AB158" s="63">
        <f>AC158+AK158</f>
        <v>44.509999999998875</v>
      </c>
      <c r="AC158" s="301">
        <f>AI144-AI158</f>
        <v>43.739999999998872</v>
      </c>
      <c r="AD158" s="301">
        <f>AJ144-AJ158</f>
        <v>33.549999999999272</v>
      </c>
      <c r="AE158" s="301">
        <f>AK144-AK158</f>
        <v>10.190000000000001</v>
      </c>
      <c r="AF158" s="360">
        <f>(AK158-AK144)/AJ158</f>
        <v>-2.4448059270348989E-3</v>
      </c>
      <c r="AG158" s="1" t="s">
        <v>509</v>
      </c>
      <c r="AH158" s="333">
        <v>3.4000000000000002E-2</v>
      </c>
      <c r="AI158" s="63">
        <f t="shared" si="77"/>
        <v>4168.7900000000009</v>
      </c>
      <c r="AJ158" s="63">
        <v>4168.0200000000004</v>
      </c>
      <c r="AK158" s="63">
        <v>0.77</v>
      </c>
      <c r="AL158" s="120">
        <v>0</v>
      </c>
      <c r="AM158" t="s">
        <v>512</v>
      </c>
      <c r="AN158" s="363">
        <v>7</v>
      </c>
    </row>
    <row r="159" spans="2:40">
      <c r="B159" s="105"/>
      <c r="C159" s="63"/>
      <c r="D159" s="111"/>
      <c r="E159" s="63"/>
      <c r="F159" s="111"/>
      <c r="H159" s="63"/>
      <c r="I159" s="63"/>
      <c r="J159" s="63"/>
      <c r="K159" s="63"/>
      <c r="L159" s="63"/>
      <c r="M159" s="106"/>
      <c r="P159" s="63"/>
      <c r="Q159" s="63"/>
      <c r="R159" s="63"/>
      <c r="S159" s="63"/>
      <c r="T159" s="63"/>
      <c r="U159" s="106"/>
      <c r="AA159" s="63"/>
      <c r="AB159" s="63"/>
      <c r="AC159" s="301"/>
      <c r="AD159" s="301"/>
      <c r="AE159" s="301"/>
      <c r="AF159" s="360"/>
      <c r="AG159" s="1" t="s">
        <v>510</v>
      </c>
      <c r="AI159" s="63">
        <f t="shared" si="77"/>
        <v>0</v>
      </c>
      <c r="AJ159" s="63">
        <v>0</v>
      </c>
      <c r="AK159" s="63">
        <v>0</v>
      </c>
      <c r="AL159" s="120">
        <v>0</v>
      </c>
      <c r="AM159" t="s">
        <v>512</v>
      </c>
      <c r="AN159" s="364"/>
    </row>
    <row r="160" spans="2:40">
      <c r="B160" s="105"/>
      <c r="C160" s="63"/>
      <c r="D160" s="111"/>
      <c r="E160" s="63"/>
      <c r="F160" s="111"/>
      <c r="H160" s="63"/>
      <c r="I160" s="63"/>
      <c r="J160" s="63"/>
      <c r="K160" s="63"/>
      <c r="L160" s="63"/>
      <c r="M160" s="106"/>
      <c r="P160" s="63"/>
      <c r="Q160" s="63"/>
      <c r="R160" s="63"/>
      <c r="S160" s="63"/>
      <c r="T160" s="63"/>
      <c r="U160" s="106"/>
      <c r="AA160" s="63"/>
      <c r="AB160" s="63">
        <f t="shared" ref="AB160:AB165" si="78">AC160+AK160</f>
        <v>55.599999999999525</v>
      </c>
      <c r="AC160" s="301">
        <f t="shared" ref="AC160:AE162" si="79">AI146-AI160</f>
        <v>54.519999999999527</v>
      </c>
      <c r="AD160" s="301">
        <f t="shared" si="79"/>
        <v>40.369999999999891</v>
      </c>
      <c r="AE160" s="301">
        <f t="shared" si="79"/>
        <v>14.15</v>
      </c>
      <c r="AF160" s="360">
        <f t="shared" ref="AF160:AF165" si="80">(AK160-AK146)/AJ160</f>
        <v>-2.7717706423456036E-3</v>
      </c>
      <c r="AG160" s="1" t="s">
        <v>511</v>
      </c>
      <c r="AH160" s="333">
        <v>3.8600000000000002E-2</v>
      </c>
      <c r="AI160" s="63">
        <f t="shared" si="77"/>
        <v>5106.12</v>
      </c>
      <c r="AJ160" s="63">
        <v>5105.04</v>
      </c>
      <c r="AK160" s="63">
        <v>1.08</v>
      </c>
      <c r="AL160" s="120">
        <v>0</v>
      </c>
      <c r="AM160" t="s">
        <v>512</v>
      </c>
      <c r="AN160" s="363">
        <v>5</v>
      </c>
    </row>
    <row r="161" spans="2:42">
      <c r="B161" s="105"/>
      <c r="C161" s="63"/>
      <c r="D161" s="111"/>
      <c r="E161" s="63"/>
      <c r="F161" s="111"/>
      <c r="H161" s="63"/>
      <c r="I161" s="63"/>
      <c r="J161" s="63"/>
      <c r="K161" s="63"/>
      <c r="L161" s="63"/>
      <c r="M161" s="106"/>
      <c r="P161" s="63"/>
      <c r="Q161" s="63"/>
      <c r="R161" s="63"/>
      <c r="S161" s="63"/>
      <c r="T161" s="63"/>
      <c r="U161" s="106"/>
      <c r="AA161" s="63"/>
      <c r="AB161" s="63">
        <f t="shared" si="78"/>
        <v>21.590000000000074</v>
      </c>
      <c r="AC161" s="301">
        <f t="shared" si="79"/>
        <v>21.170000000000073</v>
      </c>
      <c r="AD161" s="301">
        <f t="shared" si="79"/>
        <v>16.340000000000146</v>
      </c>
      <c r="AE161" s="301">
        <f t="shared" si="79"/>
        <v>4.83</v>
      </c>
      <c r="AF161" s="360">
        <f t="shared" si="80"/>
        <v>-2.452000690418414E-3</v>
      </c>
      <c r="AG161" s="1" t="s">
        <v>514</v>
      </c>
      <c r="AH161" s="333">
        <v>3.8600000000000002E-2</v>
      </c>
      <c r="AI161" s="63">
        <f t="shared" si="77"/>
        <v>1970.24</v>
      </c>
      <c r="AJ161" s="63">
        <v>1969.82</v>
      </c>
      <c r="AK161" s="63">
        <v>0.42</v>
      </c>
      <c r="AL161" s="120">
        <v>0</v>
      </c>
      <c r="AM161" t="s">
        <v>513</v>
      </c>
      <c r="AN161" s="363">
        <v>2</v>
      </c>
    </row>
    <row r="162" spans="2:42">
      <c r="B162" s="105"/>
      <c r="C162" s="63"/>
      <c r="D162" s="111"/>
      <c r="E162" s="63"/>
      <c r="F162" s="111"/>
      <c r="H162" s="63"/>
      <c r="I162" s="63"/>
      <c r="J162" s="63"/>
      <c r="K162" s="63"/>
      <c r="L162" s="63"/>
      <c r="M162" s="106"/>
      <c r="P162" s="63"/>
      <c r="Q162" s="63"/>
      <c r="R162" s="63"/>
      <c r="S162" s="63"/>
      <c r="T162" s="63"/>
      <c r="U162" s="106"/>
      <c r="AA162" s="63"/>
      <c r="AB162" s="63">
        <f t="shared" si="78"/>
        <v>57.800000000000054</v>
      </c>
      <c r="AC162" s="301">
        <f t="shared" si="79"/>
        <v>57.190000000000055</v>
      </c>
      <c r="AD162" s="301">
        <f t="shared" si="79"/>
        <v>50</v>
      </c>
      <c r="AE162" s="301">
        <f t="shared" si="79"/>
        <v>7.1899999999999995</v>
      </c>
      <c r="AF162" s="360">
        <f t="shared" si="80"/>
        <v>-3.0040820419401605E-3</v>
      </c>
      <c r="AG162" s="1" t="s">
        <v>515</v>
      </c>
      <c r="AH162" s="333">
        <v>4.6600000000000003E-2</v>
      </c>
      <c r="AI162" s="63">
        <f t="shared" si="77"/>
        <v>2394.02</v>
      </c>
      <c r="AJ162" s="63">
        <v>2393.41</v>
      </c>
      <c r="AK162" s="63">
        <v>0.61</v>
      </c>
      <c r="AL162" s="120">
        <v>0</v>
      </c>
      <c r="AM162" t="s">
        <v>512</v>
      </c>
      <c r="AN162" s="363">
        <v>1</v>
      </c>
    </row>
    <row r="163" spans="2:42">
      <c r="B163" s="105"/>
      <c r="C163" s="63"/>
      <c r="D163" s="111"/>
      <c r="E163" s="63"/>
      <c r="F163" s="111"/>
      <c r="H163" s="63"/>
      <c r="I163" s="63"/>
      <c r="J163" s="63"/>
      <c r="K163" s="63"/>
      <c r="L163" s="63"/>
      <c r="M163" s="106"/>
      <c r="P163" s="63"/>
      <c r="Q163" s="63"/>
      <c r="R163" s="63"/>
      <c r="S163" s="63"/>
      <c r="T163" s="63"/>
      <c r="U163" s="106"/>
      <c r="AA163" s="63"/>
      <c r="AB163" s="63"/>
      <c r="AC163" s="301"/>
      <c r="AD163" s="301"/>
      <c r="AE163" s="301"/>
      <c r="AF163" s="360"/>
      <c r="AG163" s="1" t="s">
        <v>516</v>
      </c>
      <c r="AH163" s="333"/>
      <c r="AI163" s="63">
        <v>0</v>
      </c>
      <c r="AJ163" s="63">
        <v>0</v>
      </c>
      <c r="AK163" s="63">
        <v>0</v>
      </c>
      <c r="AL163" s="120">
        <v>0</v>
      </c>
      <c r="AM163" t="s">
        <v>513</v>
      </c>
      <c r="AN163" s="364"/>
    </row>
    <row r="164" spans="2:42">
      <c r="B164" s="105"/>
      <c r="C164" s="63"/>
      <c r="D164" s="111"/>
      <c r="E164" s="63"/>
      <c r="F164" s="111"/>
      <c r="H164" s="63"/>
      <c r="I164" s="63"/>
      <c r="J164" s="63"/>
      <c r="K164" s="63"/>
      <c r="L164" s="63"/>
      <c r="M164" s="106"/>
      <c r="P164" s="63"/>
      <c r="Q164" s="63"/>
      <c r="R164" s="63"/>
      <c r="S164" s="63"/>
      <c r="T164" s="63"/>
      <c r="U164" s="106"/>
      <c r="AA164" s="63"/>
      <c r="AB164" s="63">
        <f t="shared" si="78"/>
        <v>32.459999999999894</v>
      </c>
      <c r="AC164" s="301">
        <f t="shared" ref="AC164:AE167" si="81">AI150-AI164</f>
        <v>31.869999999999891</v>
      </c>
      <c r="AD164" s="301">
        <f t="shared" si="81"/>
        <v>24.059999999999945</v>
      </c>
      <c r="AE164" s="301">
        <f t="shared" si="81"/>
        <v>7.8100000000000005</v>
      </c>
      <c r="AF164" s="360">
        <f t="shared" si="80"/>
        <v>-3.0859685239113172E-3</v>
      </c>
      <c r="AG164" s="1" t="s">
        <v>517</v>
      </c>
      <c r="AH164" s="333">
        <v>4.2900000000000001E-2</v>
      </c>
      <c r="AI164" s="63">
        <f>AJ164+AK164+AL164</f>
        <v>2531.4</v>
      </c>
      <c r="AJ164" s="63">
        <v>2530.81</v>
      </c>
      <c r="AK164" s="63">
        <v>0.59</v>
      </c>
      <c r="AL164" s="120">
        <v>0</v>
      </c>
      <c r="AM164" t="s">
        <v>512</v>
      </c>
      <c r="AN164" s="363">
        <v>4</v>
      </c>
    </row>
    <row r="165" spans="2:42">
      <c r="B165" s="105"/>
      <c r="C165" s="63"/>
      <c r="D165" s="111"/>
      <c r="E165" s="63"/>
      <c r="F165" s="111"/>
      <c r="H165" s="63"/>
      <c r="I165" s="63"/>
      <c r="J165" s="63"/>
      <c r="K165" s="63"/>
      <c r="L165" s="63"/>
      <c r="M165" s="106"/>
      <c r="P165" s="63"/>
      <c r="Q165" s="63"/>
      <c r="R165" s="63"/>
      <c r="S165" s="63"/>
      <c r="T165" s="63"/>
      <c r="U165" s="106"/>
      <c r="AA165" s="63"/>
      <c r="AB165" s="63">
        <f t="shared" si="78"/>
        <v>73.439999999999813</v>
      </c>
      <c r="AC165" s="301">
        <f t="shared" si="81"/>
        <v>71.949999999999818</v>
      </c>
      <c r="AD165" s="301">
        <f t="shared" si="81"/>
        <v>52.359999999999673</v>
      </c>
      <c r="AE165" s="301">
        <f t="shared" si="81"/>
        <v>19.59</v>
      </c>
      <c r="AF165" s="360">
        <f t="shared" si="80"/>
        <v>-3.0894521781505233E-3</v>
      </c>
      <c r="AG165" s="1" t="s">
        <v>518</v>
      </c>
      <c r="AH165" s="333">
        <v>4.2999999999999997E-2</v>
      </c>
      <c r="AI165" s="63">
        <f>AJ165+AK165+AL165</f>
        <v>6342.42</v>
      </c>
      <c r="AJ165" s="63">
        <v>6340.93</v>
      </c>
      <c r="AK165" s="63">
        <v>1.49</v>
      </c>
      <c r="AL165" s="120">
        <v>0</v>
      </c>
      <c r="AM165" t="s">
        <v>513</v>
      </c>
      <c r="AN165" s="363">
        <v>3</v>
      </c>
    </row>
    <row r="166" spans="2:42">
      <c r="B166" s="105"/>
      <c r="C166" s="63"/>
      <c r="D166" s="111"/>
      <c r="E166" s="63"/>
      <c r="F166" s="111"/>
      <c r="H166" s="63"/>
      <c r="I166" s="63"/>
      <c r="J166" s="63"/>
      <c r="K166" s="63"/>
      <c r="L166" s="63"/>
      <c r="M166" s="106"/>
      <c r="P166" s="63"/>
      <c r="Q166" s="63"/>
      <c r="R166" s="63"/>
      <c r="S166" s="63"/>
      <c r="T166" s="63"/>
      <c r="U166" s="106"/>
      <c r="AA166" s="63"/>
      <c r="AC166" s="301">
        <f t="shared" si="81"/>
        <v>0</v>
      </c>
      <c r="AD166" s="301">
        <f t="shared" si="81"/>
        <v>0</v>
      </c>
      <c r="AE166" s="301">
        <f t="shared" si="81"/>
        <v>71.66</v>
      </c>
      <c r="AF166" s="360"/>
      <c r="AK166" s="6">
        <f>SUM(AK156:AK165)</f>
        <v>5.57</v>
      </c>
    </row>
    <row r="167" spans="2:42">
      <c r="B167" s="105"/>
      <c r="C167" s="63"/>
      <c r="D167" s="111"/>
      <c r="E167" s="63"/>
      <c r="F167" s="111"/>
      <c r="H167" s="63"/>
      <c r="I167" s="63"/>
      <c r="J167" s="63"/>
      <c r="K167" s="63"/>
      <c r="L167" s="63"/>
      <c r="M167" s="106"/>
      <c r="P167" s="63"/>
      <c r="Q167" s="63"/>
      <c r="R167" s="63"/>
      <c r="S167" s="63"/>
      <c r="T167" s="63"/>
      <c r="U167" s="106"/>
      <c r="AB167" s="63">
        <f>SUM(AB156:AB165)</f>
        <v>319.99999999999847</v>
      </c>
      <c r="AC167" s="301">
        <f t="shared" si="81"/>
        <v>0</v>
      </c>
      <c r="AD167" s="301">
        <f t="shared" si="81"/>
        <v>0</v>
      </c>
      <c r="AE167" s="301">
        <f t="shared" si="81"/>
        <v>0</v>
      </c>
      <c r="AF167" s="360"/>
    </row>
    <row r="168" spans="2:42">
      <c r="B168" s="105"/>
      <c r="C168" s="63"/>
      <c r="D168" s="111"/>
      <c r="E168" s="63"/>
      <c r="F168" s="111"/>
      <c r="H168" s="63"/>
      <c r="I168" s="63"/>
      <c r="J168" s="63"/>
      <c r="K168" s="63"/>
      <c r="L168" s="63"/>
      <c r="M168" s="106"/>
      <c r="P168" s="63"/>
      <c r="Q168" s="63"/>
      <c r="R168" s="63"/>
      <c r="S168" s="63"/>
      <c r="T168" s="63"/>
      <c r="U168" s="106"/>
      <c r="AA168" s="63"/>
      <c r="AB168" s="63"/>
      <c r="AC168" s="63"/>
      <c r="AD168" s="63"/>
      <c r="AE168" s="66"/>
      <c r="AF168" s="102">
        <v>45505</v>
      </c>
      <c r="AH168" s="8" t="s">
        <v>521</v>
      </c>
      <c r="AI168" s="6">
        <f>SUM(AI170:AI179)</f>
        <v>25834.07</v>
      </c>
      <c r="AJ168" s="8" t="s">
        <v>560</v>
      </c>
      <c r="AK168" s="8"/>
      <c r="AL168" s="8"/>
      <c r="AM168" s="338">
        <v>255.6</v>
      </c>
      <c r="AN168">
        <v>285.51</v>
      </c>
    </row>
    <row r="169" spans="2:42">
      <c r="B169" s="105"/>
      <c r="C169" s="63"/>
      <c r="D169" s="111"/>
      <c r="E169" s="63"/>
      <c r="F169" s="111"/>
      <c r="H169" s="63"/>
      <c r="I169" s="63"/>
      <c r="J169" s="63"/>
      <c r="K169" s="63"/>
      <c r="L169" s="63"/>
      <c r="M169" s="106"/>
      <c r="P169" s="63"/>
      <c r="Q169" s="63"/>
      <c r="R169" s="63"/>
      <c r="S169" s="63"/>
      <c r="T169" s="63"/>
      <c r="U169" s="106"/>
      <c r="AA169" s="63"/>
      <c r="AB169" s="63"/>
      <c r="AC169" s="63" t="s">
        <v>699</v>
      </c>
      <c r="AD169" s="63" t="s">
        <v>700</v>
      </c>
      <c r="AE169" s="66" t="s">
        <v>701</v>
      </c>
      <c r="AG169" t="s">
        <v>508</v>
      </c>
      <c r="AH169" t="s">
        <v>520</v>
      </c>
      <c r="AI169" t="s">
        <v>12</v>
      </c>
      <c r="AJ169" t="s">
        <v>519</v>
      </c>
      <c r="AK169" t="s">
        <v>154</v>
      </c>
      <c r="AL169" t="s">
        <v>332</v>
      </c>
    </row>
    <row r="170" spans="2:42">
      <c r="B170" s="105"/>
      <c r="C170" s="63"/>
      <c r="D170" s="63"/>
      <c r="E170" s="63"/>
      <c r="F170" s="63"/>
      <c r="P170" s="63"/>
      <c r="Q170" s="63"/>
      <c r="R170" s="63"/>
      <c r="S170" s="63"/>
      <c r="T170" s="63"/>
      <c r="U170" s="106"/>
      <c r="AA170" s="63"/>
      <c r="AB170" s="63"/>
      <c r="AC170" s="301">
        <f t="shared" ref="AC170:AC179" si="82">AI156-AI170</f>
        <v>-8.7399999999997817</v>
      </c>
      <c r="AD170" s="301">
        <f t="shared" ref="AD170:AD179" si="83">AJ156-AJ170</f>
        <v>0</v>
      </c>
      <c r="AE170" s="301">
        <f t="shared" ref="AE170:AE179" si="84">AK156-AK170</f>
        <v>-8.74</v>
      </c>
      <c r="AF170" s="360">
        <f>(AK170-AK156)/AJ170</f>
        <v>2.6977889859832269E-3</v>
      </c>
      <c r="AG170" s="1" t="s">
        <v>506</v>
      </c>
      <c r="AH170" s="333">
        <v>3.4000000000000002E-2</v>
      </c>
      <c r="AI170" s="63">
        <f>AJ170+AK170+AL170</f>
        <v>3249.04</v>
      </c>
      <c r="AJ170" s="63">
        <v>3239.69</v>
      </c>
      <c r="AK170" s="63">
        <v>9.35</v>
      </c>
      <c r="AL170" s="120">
        <v>0</v>
      </c>
      <c r="AM170" t="s">
        <v>512</v>
      </c>
      <c r="AN170" s="363">
        <v>6</v>
      </c>
    </row>
    <row r="171" spans="2:42">
      <c r="B171" s="105"/>
      <c r="C171" s="63"/>
      <c r="D171" s="63"/>
      <c r="E171" s="63"/>
      <c r="F171" s="63"/>
      <c r="AA171" s="63"/>
      <c r="AB171" s="63"/>
      <c r="AC171" s="301">
        <f t="shared" si="82"/>
        <v>0</v>
      </c>
      <c r="AD171" s="301">
        <f t="shared" si="83"/>
        <v>0</v>
      </c>
      <c r="AE171" s="301">
        <f t="shared" si="84"/>
        <v>0</v>
      </c>
      <c r="AF171" s="360"/>
      <c r="AG171" s="1" t="s">
        <v>507</v>
      </c>
      <c r="AI171" s="63">
        <f t="shared" ref="AI171:AI176" si="85">AJ171+AK171+AL171</f>
        <v>0</v>
      </c>
      <c r="AJ171" s="63">
        <v>0</v>
      </c>
      <c r="AK171" s="63">
        <v>0</v>
      </c>
      <c r="AL171" s="120">
        <v>0</v>
      </c>
      <c r="AM171" t="s">
        <v>513</v>
      </c>
      <c r="AN171" s="364"/>
      <c r="AP171" s="6"/>
    </row>
    <row r="172" spans="2:42">
      <c r="B172" s="105"/>
      <c r="C172" s="63"/>
      <c r="D172" s="63"/>
      <c r="E172" s="63"/>
      <c r="F172" s="63"/>
      <c r="AA172" s="63"/>
      <c r="AB172" s="63"/>
      <c r="AC172" s="301">
        <f t="shared" si="82"/>
        <v>-11.25</v>
      </c>
      <c r="AD172" s="301">
        <f t="shared" si="83"/>
        <v>0</v>
      </c>
      <c r="AE172" s="301">
        <f t="shared" si="84"/>
        <v>-11.25</v>
      </c>
      <c r="AF172" s="360">
        <f>(AK172-AK158)/AJ172</f>
        <v>2.699123324744123E-3</v>
      </c>
      <c r="AG172" s="1" t="s">
        <v>509</v>
      </c>
      <c r="AH172" s="333">
        <v>3.4000000000000002E-2</v>
      </c>
      <c r="AI172" s="63">
        <f t="shared" si="85"/>
        <v>4180.0400000000009</v>
      </c>
      <c r="AJ172" s="63">
        <v>4168.0200000000004</v>
      </c>
      <c r="AK172" s="63">
        <v>12.02</v>
      </c>
      <c r="AL172" s="120">
        <v>0</v>
      </c>
      <c r="AM172" t="s">
        <v>512</v>
      </c>
      <c r="AN172" s="363">
        <v>7</v>
      </c>
    </row>
    <row r="173" spans="2:42">
      <c r="B173" s="105"/>
      <c r="C173" s="63"/>
      <c r="D173" s="63"/>
      <c r="E173" s="63"/>
      <c r="F173" s="63"/>
      <c r="AA173" s="63"/>
      <c r="AB173" s="63"/>
      <c r="AC173" s="301">
        <f t="shared" si="82"/>
        <v>0</v>
      </c>
      <c r="AD173" s="301">
        <f t="shared" si="83"/>
        <v>0</v>
      </c>
      <c r="AE173" s="301">
        <f t="shared" si="84"/>
        <v>0</v>
      </c>
      <c r="AF173" s="360"/>
      <c r="AG173" s="1" t="s">
        <v>510</v>
      </c>
      <c r="AI173" s="63">
        <f t="shared" si="85"/>
        <v>0</v>
      </c>
      <c r="AJ173" s="63">
        <v>0</v>
      </c>
      <c r="AK173" s="63">
        <v>0</v>
      </c>
      <c r="AL173" s="120">
        <v>0</v>
      </c>
      <c r="AM173" t="s">
        <v>512</v>
      </c>
      <c r="AN173" s="364"/>
    </row>
    <row r="174" spans="2:42">
      <c r="B174" s="105"/>
      <c r="C174" s="63"/>
      <c r="D174" s="63"/>
      <c r="E174" s="63"/>
      <c r="F174" s="63"/>
      <c r="AA174" s="63"/>
      <c r="AB174" s="63"/>
      <c r="AC174" s="301">
        <f t="shared" si="82"/>
        <v>-15.640000000000327</v>
      </c>
      <c r="AD174" s="301">
        <f t="shared" si="83"/>
        <v>0</v>
      </c>
      <c r="AE174" s="301">
        <f t="shared" si="84"/>
        <v>-15.639999999999999</v>
      </c>
      <c r="AF174" s="360">
        <f>(AK174-AK160)/AJ174</f>
        <v>3.0636390704088506E-3</v>
      </c>
      <c r="AG174" s="1" t="s">
        <v>511</v>
      </c>
      <c r="AH174" s="333">
        <v>3.8600000000000002E-2</v>
      </c>
      <c r="AI174" s="63">
        <f t="shared" si="85"/>
        <v>5121.76</v>
      </c>
      <c r="AJ174" s="63">
        <v>5105.04</v>
      </c>
      <c r="AK174" s="63">
        <v>16.72</v>
      </c>
      <c r="AL174" s="120">
        <v>0</v>
      </c>
      <c r="AM174" t="s">
        <v>512</v>
      </c>
      <c r="AN174" s="363">
        <v>5</v>
      </c>
    </row>
    <row r="175" spans="2:42">
      <c r="B175" s="105"/>
      <c r="C175" s="63"/>
      <c r="D175" s="63"/>
      <c r="E175" s="63"/>
      <c r="F175" s="63"/>
      <c r="AA175" s="63"/>
      <c r="AB175" s="63"/>
      <c r="AC175" s="301">
        <f t="shared" si="82"/>
        <v>-6.0299999999999727</v>
      </c>
      <c r="AD175" s="301">
        <f t="shared" si="83"/>
        <v>0</v>
      </c>
      <c r="AE175" s="301">
        <f t="shared" si="84"/>
        <v>-6.03</v>
      </c>
      <c r="AF175" s="360">
        <f>(AK175-AK161)/AJ175</f>
        <v>3.06119340853479E-3</v>
      </c>
      <c r="AG175" s="1" t="s">
        <v>514</v>
      </c>
      <c r="AH175" s="333">
        <v>3.8600000000000002E-2</v>
      </c>
      <c r="AI175" s="63">
        <f t="shared" si="85"/>
        <v>1976.27</v>
      </c>
      <c r="AJ175" s="63">
        <v>1969.82</v>
      </c>
      <c r="AK175" s="63">
        <v>6.45</v>
      </c>
      <c r="AL175" s="120">
        <v>0</v>
      </c>
      <c r="AM175" t="s">
        <v>513</v>
      </c>
      <c r="AN175" s="363">
        <v>2</v>
      </c>
    </row>
    <row r="176" spans="2:42">
      <c r="B176" s="105"/>
      <c r="C176" s="63"/>
      <c r="D176" s="63"/>
      <c r="E176" s="63"/>
      <c r="F176" s="63"/>
      <c r="AA176" s="63"/>
      <c r="AB176" s="63"/>
      <c r="AC176" s="301">
        <f t="shared" si="82"/>
        <v>-8.8499999999999091</v>
      </c>
      <c r="AD176" s="301">
        <f t="shared" si="83"/>
        <v>0</v>
      </c>
      <c r="AE176" s="301">
        <f t="shared" si="84"/>
        <v>-8.8500000000000014</v>
      </c>
      <c r="AF176" s="360">
        <f>(AK176-AK162)/AJ176</f>
        <v>3.6976531392448439E-3</v>
      </c>
      <c r="AG176" s="1" t="s">
        <v>515</v>
      </c>
      <c r="AH176" s="333">
        <v>4.6600000000000003E-2</v>
      </c>
      <c r="AI176" s="63">
        <f t="shared" si="85"/>
        <v>2402.87</v>
      </c>
      <c r="AJ176" s="63">
        <v>2393.41</v>
      </c>
      <c r="AK176" s="63">
        <v>9.4600000000000009</v>
      </c>
      <c r="AL176" s="120">
        <v>0</v>
      </c>
      <c r="AM176" t="s">
        <v>512</v>
      </c>
      <c r="AN176" s="363">
        <v>1</v>
      </c>
    </row>
    <row r="177" spans="2:40">
      <c r="B177" s="105"/>
      <c r="C177" s="63"/>
      <c r="D177" s="63"/>
      <c r="E177" s="63"/>
      <c r="F177" s="63"/>
      <c r="AA177" s="63"/>
      <c r="AB177" s="63"/>
      <c r="AC177" s="301">
        <f t="shared" si="82"/>
        <v>0</v>
      </c>
      <c r="AD177" s="301">
        <f t="shared" si="83"/>
        <v>0</v>
      </c>
      <c r="AE177" s="301">
        <f t="shared" si="84"/>
        <v>0</v>
      </c>
      <c r="AF177" s="360"/>
      <c r="AG177" s="1" t="s">
        <v>516</v>
      </c>
      <c r="AH177" s="333"/>
      <c r="AI177" s="63">
        <v>0</v>
      </c>
      <c r="AJ177" s="63">
        <v>0</v>
      </c>
      <c r="AK177" s="63">
        <v>0</v>
      </c>
      <c r="AL177" s="120">
        <v>0</v>
      </c>
      <c r="AM177" t="s">
        <v>513</v>
      </c>
      <c r="AN177" s="364"/>
    </row>
    <row r="178" spans="2:40">
      <c r="B178" s="105"/>
      <c r="C178" s="63"/>
      <c r="D178" s="63"/>
      <c r="E178" s="63"/>
      <c r="F178" s="63"/>
      <c r="AA178" s="63"/>
      <c r="AB178" s="63"/>
      <c r="AC178" s="301">
        <f t="shared" si="82"/>
        <v>-8.6199999999998909</v>
      </c>
      <c r="AD178" s="301">
        <f t="shared" si="83"/>
        <v>0</v>
      </c>
      <c r="AE178" s="301">
        <f t="shared" si="84"/>
        <v>-8.620000000000001</v>
      </c>
      <c r="AF178" s="360">
        <f>(AK178-AK164)/AJ178</f>
        <v>3.4060241582734387E-3</v>
      </c>
      <c r="AG178" s="1" t="s">
        <v>517</v>
      </c>
      <c r="AH178" s="333">
        <v>4.2900000000000001E-2</v>
      </c>
      <c r="AI178" s="63">
        <f>AJ178+AK178+AL178</f>
        <v>2540.02</v>
      </c>
      <c r="AJ178" s="63">
        <v>2530.81</v>
      </c>
      <c r="AK178" s="63">
        <v>9.2100000000000009</v>
      </c>
      <c r="AL178" s="120">
        <v>0</v>
      </c>
      <c r="AM178" t="s">
        <v>512</v>
      </c>
      <c r="AN178" s="363">
        <v>4</v>
      </c>
    </row>
    <row r="179" spans="2:40">
      <c r="B179" s="105"/>
      <c r="C179" s="63"/>
      <c r="D179" s="63"/>
      <c r="E179" s="63"/>
      <c r="F179" s="63"/>
      <c r="AA179" s="63"/>
      <c r="AB179" s="63"/>
      <c r="AC179" s="301">
        <f t="shared" si="82"/>
        <v>-21.650000000000546</v>
      </c>
      <c r="AD179" s="301">
        <f t="shared" si="83"/>
        <v>0</v>
      </c>
      <c r="AE179" s="301">
        <f t="shared" si="84"/>
        <v>-21.650000000000002</v>
      </c>
      <c r="AF179" s="360">
        <f>(AK179-AK165)/AJ179</f>
        <v>3.4143256588544586E-3</v>
      </c>
      <c r="AG179" s="1" t="s">
        <v>518</v>
      </c>
      <c r="AH179" s="333">
        <v>4.2999999999999997E-2</v>
      </c>
      <c r="AI179" s="63">
        <f>AJ179+AK179+AL179</f>
        <v>6364.0700000000006</v>
      </c>
      <c r="AJ179" s="63">
        <v>6340.93</v>
      </c>
      <c r="AK179" s="63">
        <v>23.14</v>
      </c>
      <c r="AL179" s="120">
        <v>0</v>
      </c>
      <c r="AM179" t="s">
        <v>513</v>
      </c>
      <c r="AN179" s="363">
        <v>3</v>
      </c>
    </row>
    <row r="180" spans="2:40">
      <c r="B180" s="105"/>
      <c r="C180" s="63"/>
      <c r="D180" s="63"/>
      <c r="E180" s="63"/>
      <c r="F180" s="63"/>
      <c r="AA180" s="63"/>
      <c r="AB180" s="63"/>
      <c r="AC180" s="63">
        <f>SUM(AC170:AC179)</f>
        <v>-80.780000000000427</v>
      </c>
      <c r="AD180" s="63">
        <f>SUM(AD170:AD179)</f>
        <v>0</v>
      </c>
      <c r="AE180" s="63">
        <f>SUM(AE170:AE179)</f>
        <v>-80.780000000000015</v>
      </c>
      <c r="AF180" s="66"/>
      <c r="AK180" s="6">
        <f>SUM(AK170:AK179)</f>
        <v>86.35</v>
      </c>
    </row>
    <row r="181" spans="2:40">
      <c r="B181" s="105"/>
      <c r="C181" s="63"/>
      <c r="D181" s="63"/>
      <c r="E181" s="63"/>
      <c r="F181" s="63"/>
      <c r="AA181" s="63"/>
      <c r="AB181" s="63"/>
      <c r="AC181" s="63"/>
      <c r="AD181" s="63"/>
      <c r="AE181" s="6"/>
      <c r="AF181" s="66"/>
      <c r="AN181" t="s">
        <v>694</v>
      </c>
    </row>
    <row r="182" spans="2:40">
      <c r="B182" s="105"/>
      <c r="C182" s="63"/>
      <c r="D182" s="63"/>
      <c r="E182" s="63"/>
      <c r="F182" s="63"/>
      <c r="AA182" s="63"/>
      <c r="AB182" s="63"/>
      <c r="AC182" s="63"/>
      <c r="AD182" s="63"/>
      <c r="AE182" s="66"/>
      <c r="AF182" s="102">
        <v>45509</v>
      </c>
      <c r="AH182" s="8" t="s">
        <v>521</v>
      </c>
      <c r="AI182" s="6">
        <f>SUM(AI184:AI193)</f>
        <v>25589.579999999998</v>
      </c>
      <c r="AJ182" s="8" t="s">
        <v>560</v>
      </c>
      <c r="AK182" s="8"/>
      <c r="AL182" s="8"/>
      <c r="AM182" s="338">
        <v>255.6</v>
      </c>
      <c r="AN182">
        <v>285.51</v>
      </c>
    </row>
    <row r="183" spans="2:40">
      <c r="B183" s="105"/>
      <c r="C183" s="63"/>
      <c r="D183" s="63"/>
      <c r="E183" s="63"/>
      <c r="F183" s="63"/>
      <c r="AA183" s="63"/>
      <c r="AB183" s="63" t="s">
        <v>739</v>
      </c>
      <c r="AC183" s="63" t="s">
        <v>699</v>
      </c>
      <c r="AD183" s="63" t="s">
        <v>700</v>
      </c>
      <c r="AE183" s="66" t="s">
        <v>701</v>
      </c>
      <c r="AG183" t="s">
        <v>508</v>
      </c>
      <c r="AH183" t="s">
        <v>520</v>
      </c>
      <c r="AI183" t="s">
        <v>12</v>
      </c>
      <c r="AJ183" t="s">
        <v>519</v>
      </c>
      <c r="AK183" t="s">
        <v>154</v>
      </c>
      <c r="AL183" t="s">
        <v>332</v>
      </c>
      <c r="AN183" t="s">
        <v>740</v>
      </c>
    </row>
    <row r="184" spans="2:40">
      <c r="B184" s="105"/>
      <c r="C184" s="63"/>
      <c r="D184" s="63"/>
      <c r="E184" s="63"/>
      <c r="F184" s="63"/>
      <c r="AA184" s="63"/>
      <c r="AB184" s="63">
        <f>AC184+AK184</f>
        <v>34.30000000000009</v>
      </c>
      <c r="AC184" s="301">
        <f>AI170-AI184</f>
        <v>33.400000000000091</v>
      </c>
      <c r="AD184" s="301">
        <f>AJ170-AJ184</f>
        <v>24.950000000000273</v>
      </c>
      <c r="AE184" s="301">
        <f>AK170-AK184</f>
        <v>8.4499999999999993</v>
      </c>
      <c r="AF184" s="360">
        <f>(AK184-AK170)/AJ184</f>
        <v>-2.6285173917641861E-3</v>
      </c>
      <c r="AG184" s="1" t="s">
        <v>506</v>
      </c>
      <c r="AH184" s="333">
        <v>3.4000000000000002E-2</v>
      </c>
      <c r="AI184" s="63">
        <f>AJ184+AK184+AL184</f>
        <v>3215.64</v>
      </c>
      <c r="AJ184" s="63">
        <v>3214.74</v>
      </c>
      <c r="AK184" s="63">
        <v>0.9</v>
      </c>
      <c r="AL184" s="120">
        <v>0</v>
      </c>
      <c r="AM184" t="s">
        <v>512</v>
      </c>
      <c r="AN184" s="363">
        <v>6</v>
      </c>
    </row>
    <row r="185" spans="2:40">
      <c r="B185" s="105"/>
      <c r="C185" s="63"/>
      <c r="D185" s="63"/>
      <c r="E185" s="63"/>
      <c r="F185" s="63"/>
      <c r="AA185" s="63"/>
      <c r="AB185" s="63"/>
      <c r="AC185" s="301"/>
      <c r="AD185" s="301"/>
      <c r="AE185" s="301"/>
      <c r="AF185" s="360"/>
      <c r="AG185" s="1" t="s">
        <v>507</v>
      </c>
      <c r="AI185" s="63">
        <f t="shared" ref="AI185:AI190" si="86">AJ185+AK185+AL185</f>
        <v>0</v>
      </c>
      <c r="AJ185" s="63">
        <v>0</v>
      </c>
      <c r="AK185" s="63">
        <v>0</v>
      </c>
      <c r="AL185" s="120">
        <v>0</v>
      </c>
      <c r="AM185" t="s">
        <v>513</v>
      </c>
      <c r="AN185" s="364"/>
    </row>
    <row r="186" spans="2:40">
      <c r="B186" s="105"/>
      <c r="C186" s="63"/>
      <c r="D186" s="63"/>
      <c r="E186" s="63"/>
      <c r="F186" s="63"/>
      <c r="AA186" s="63"/>
      <c r="AB186" s="63">
        <f>AC186+AK186</f>
        <v>44.120000000000942</v>
      </c>
      <c r="AC186" s="301">
        <f>AI172-AI186</f>
        <v>42.960000000000946</v>
      </c>
      <c r="AD186" s="301">
        <f>AJ172-AJ186</f>
        <v>32.100000000000364</v>
      </c>
      <c r="AE186" s="301">
        <f>AK172-AK186</f>
        <v>10.86</v>
      </c>
      <c r="AF186" s="360">
        <f>(AK186-AK172)/AJ186</f>
        <v>-2.6257761271978181E-3</v>
      </c>
      <c r="AG186" s="1" t="s">
        <v>509</v>
      </c>
      <c r="AH186" s="333">
        <v>3.4000000000000002E-2</v>
      </c>
      <c r="AI186" s="63">
        <f t="shared" si="86"/>
        <v>4137.08</v>
      </c>
      <c r="AJ186" s="63">
        <v>4135.92</v>
      </c>
      <c r="AK186" s="63">
        <v>1.1599999999999999</v>
      </c>
      <c r="AL186" s="120">
        <v>0</v>
      </c>
      <c r="AM186" t="s">
        <v>512</v>
      </c>
      <c r="AN186" s="363">
        <v>7</v>
      </c>
    </row>
    <row r="187" spans="2:40">
      <c r="B187" s="105"/>
      <c r="C187" s="63"/>
      <c r="D187" s="63"/>
      <c r="E187" s="63"/>
      <c r="F187" s="63"/>
      <c r="AA187" s="63"/>
      <c r="AB187" s="63"/>
      <c r="AC187" s="301"/>
      <c r="AD187" s="301"/>
      <c r="AE187" s="301"/>
      <c r="AF187" s="360"/>
      <c r="AG187" s="1" t="s">
        <v>510</v>
      </c>
      <c r="AI187" s="63">
        <f t="shared" si="86"/>
        <v>0</v>
      </c>
      <c r="AJ187" s="63">
        <v>0</v>
      </c>
      <c r="AK187" s="63">
        <v>0</v>
      </c>
      <c r="AL187" s="120">
        <v>0</v>
      </c>
      <c r="AM187" t="s">
        <v>512</v>
      </c>
      <c r="AN187" s="364"/>
    </row>
    <row r="188" spans="2:40">
      <c r="B188" s="105"/>
      <c r="C188" s="63"/>
      <c r="D188" s="63"/>
      <c r="E188" s="63"/>
      <c r="F188" s="63"/>
      <c r="AA188" s="63"/>
      <c r="AB188" s="63">
        <f>AC188+AK188</f>
        <v>55.060000000000727</v>
      </c>
      <c r="AC188" s="301">
        <f t="shared" ref="AC188:AE190" si="87">AI174-AI188</f>
        <v>53.450000000000728</v>
      </c>
      <c r="AD188" s="301">
        <f t="shared" si="87"/>
        <v>38.340000000000146</v>
      </c>
      <c r="AE188" s="301">
        <f t="shared" si="87"/>
        <v>15.11</v>
      </c>
      <c r="AF188" s="360">
        <f>(AK188-AK174)/AJ188</f>
        <v>-2.9822172222551168E-3</v>
      </c>
      <c r="AG188" s="1" t="s">
        <v>511</v>
      </c>
      <c r="AH188" s="333">
        <v>3.8600000000000002E-2</v>
      </c>
      <c r="AI188" s="63">
        <f t="shared" si="86"/>
        <v>5068.3099999999995</v>
      </c>
      <c r="AJ188" s="63">
        <v>5066.7</v>
      </c>
      <c r="AK188" s="63">
        <v>1.61</v>
      </c>
      <c r="AL188" s="120">
        <v>0</v>
      </c>
      <c r="AM188" t="s">
        <v>512</v>
      </c>
      <c r="AN188" s="363">
        <v>5</v>
      </c>
    </row>
    <row r="189" spans="2:40">
      <c r="B189" s="105"/>
      <c r="C189" s="63"/>
      <c r="D189" s="63"/>
      <c r="E189" s="63"/>
      <c r="F189" s="63"/>
      <c r="AA189" s="63"/>
      <c r="AB189" s="63">
        <f>AC189+AK189</f>
        <v>21.379999999999992</v>
      </c>
      <c r="AC189" s="301">
        <f t="shared" si="87"/>
        <v>20.759999999999991</v>
      </c>
      <c r="AD189" s="301">
        <f t="shared" si="87"/>
        <v>14.929999999999836</v>
      </c>
      <c r="AE189" s="301">
        <f t="shared" si="87"/>
        <v>5.83</v>
      </c>
      <c r="AF189" s="360">
        <f>(AK189-AK175)/AJ189</f>
        <v>-2.9822649867767494E-3</v>
      </c>
      <c r="AG189" s="1" t="s">
        <v>514</v>
      </c>
      <c r="AH189" s="333">
        <v>3.8600000000000002E-2</v>
      </c>
      <c r="AI189" s="63">
        <f t="shared" si="86"/>
        <v>1955.51</v>
      </c>
      <c r="AJ189" s="63">
        <v>1954.89</v>
      </c>
      <c r="AK189" s="63">
        <v>0.62</v>
      </c>
      <c r="AL189" s="120">
        <v>0</v>
      </c>
      <c r="AM189" t="s">
        <v>513</v>
      </c>
      <c r="AN189" s="363">
        <v>2</v>
      </c>
    </row>
    <row r="190" spans="2:40">
      <c r="B190" s="105"/>
      <c r="C190" s="63"/>
      <c r="D190" s="63"/>
      <c r="E190" s="63"/>
      <c r="F190" s="63"/>
      <c r="AA190" s="63"/>
      <c r="AB190" s="63">
        <f>AC190+AK190</f>
        <v>9.4600000000001998</v>
      </c>
      <c r="AC190" s="301">
        <f t="shared" si="87"/>
        <v>-1.2199999999997999</v>
      </c>
      <c r="AD190" s="301">
        <f t="shared" si="87"/>
        <v>0</v>
      </c>
      <c r="AE190" s="301">
        <f t="shared" si="87"/>
        <v>-1.2199999999999989</v>
      </c>
      <c r="AF190" s="360">
        <f>(AK190-AK176)/AJ190</f>
        <v>5.0973297512753725E-4</v>
      </c>
      <c r="AG190" s="1" t="s">
        <v>515</v>
      </c>
      <c r="AH190" s="333">
        <v>4.6600000000000003E-2</v>
      </c>
      <c r="AI190" s="63">
        <f t="shared" si="86"/>
        <v>2404.0899999999997</v>
      </c>
      <c r="AJ190" s="63">
        <v>2393.41</v>
      </c>
      <c r="AK190" s="63">
        <v>10.68</v>
      </c>
      <c r="AL190" s="120">
        <v>0</v>
      </c>
      <c r="AM190" t="s">
        <v>512</v>
      </c>
      <c r="AN190" s="363">
        <v>1</v>
      </c>
    </row>
    <row r="191" spans="2:40">
      <c r="B191" s="105"/>
      <c r="C191" s="63"/>
      <c r="D191" s="63"/>
      <c r="E191" s="63"/>
      <c r="F191" s="63"/>
      <c r="AA191" s="63"/>
      <c r="AB191" s="63"/>
      <c r="AC191" s="301"/>
      <c r="AD191" s="301"/>
      <c r="AE191" s="301"/>
      <c r="AF191" s="360"/>
      <c r="AG191" s="1" t="s">
        <v>516</v>
      </c>
      <c r="AH191" s="333"/>
      <c r="AI191" s="63">
        <v>0</v>
      </c>
      <c r="AJ191" s="63">
        <v>0</v>
      </c>
      <c r="AK191" s="63">
        <v>0</v>
      </c>
      <c r="AL191" s="120">
        <v>0</v>
      </c>
      <c r="AM191" t="s">
        <v>513</v>
      </c>
      <c r="AN191" s="364"/>
    </row>
    <row r="192" spans="2:40">
      <c r="B192" s="105"/>
      <c r="C192" s="63"/>
      <c r="D192" s="63"/>
      <c r="E192" s="63"/>
      <c r="F192" s="63"/>
      <c r="AA192" s="63"/>
      <c r="AB192" s="63">
        <f>AC192+AK192</f>
        <v>28.199999999999946</v>
      </c>
      <c r="AC192" s="301">
        <f t="shared" ref="AC192:AE195" si="88">AI178-AI192</f>
        <v>27.309999999999945</v>
      </c>
      <c r="AD192" s="301">
        <f t="shared" si="88"/>
        <v>18.989999999999782</v>
      </c>
      <c r="AE192" s="301">
        <f t="shared" si="88"/>
        <v>8.32</v>
      </c>
      <c r="AF192" s="360">
        <f>(AK192-AK178)/AJ192</f>
        <v>-3.3123392599788202E-3</v>
      </c>
      <c r="AG192" s="1" t="s">
        <v>517</v>
      </c>
      <c r="AH192" s="333">
        <v>4.2900000000000001E-2</v>
      </c>
      <c r="AI192" s="63">
        <f>AJ192+AK192+AL192</f>
        <v>2512.71</v>
      </c>
      <c r="AJ192" s="63">
        <v>2511.8200000000002</v>
      </c>
      <c r="AK192" s="63">
        <v>0.89</v>
      </c>
      <c r="AL192" s="120">
        <v>0</v>
      </c>
      <c r="AM192" t="s">
        <v>512</v>
      </c>
      <c r="AN192" s="363">
        <v>4</v>
      </c>
    </row>
    <row r="193" spans="2:40">
      <c r="B193" s="105"/>
      <c r="C193" s="63"/>
      <c r="D193" s="63"/>
      <c r="E193" s="63"/>
      <c r="F193" s="63"/>
      <c r="AA193" s="63"/>
      <c r="AB193" s="63">
        <f>AC193+AK193</f>
        <v>70.049999999999926</v>
      </c>
      <c r="AC193" s="301">
        <f t="shared" si="88"/>
        <v>67.829999999999927</v>
      </c>
      <c r="AD193" s="301">
        <f t="shared" si="88"/>
        <v>46.909999999999854</v>
      </c>
      <c r="AE193" s="301">
        <f t="shared" si="88"/>
        <v>20.92</v>
      </c>
      <c r="AF193" s="360">
        <f>(AK193-AK179)/AJ193</f>
        <v>-3.3237898830953826E-3</v>
      </c>
      <c r="AG193" s="1" t="s">
        <v>518</v>
      </c>
      <c r="AH193" s="333">
        <v>4.2999999999999997E-2</v>
      </c>
      <c r="AI193" s="63">
        <f>AJ193+AK193+AL193</f>
        <v>6296.2400000000007</v>
      </c>
      <c r="AJ193" s="63">
        <v>6294.02</v>
      </c>
      <c r="AK193" s="63">
        <v>2.2200000000000002</v>
      </c>
      <c r="AL193" s="120">
        <v>0</v>
      </c>
      <c r="AM193" t="s">
        <v>513</v>
      </c>
      <c r="AN193" s="363">
        <v>3</v>
      </c>
    </row>
    <row r="194" spans="2:40">
      <c r="B194" s="105"/>
      <c r="C194" s="63"/>
      <c r="D194" s="63"/>
      <c r="E194" s="63"/>
      <c r="F194" s="63"/>
      <c r="AA194" s="63"/>
      <c r="AC194" s="301">
        <f t="shared" si="88"/>
        <v>0</v>
      </c>
      <c r="AD194" s="301">
        <f t="shared" si="88"/>
        <v>0</v>
      </c>
      <c r="AE194" s="301">
        <f t="shared" si="88"/>
        <v>68.27</v>
      </c>
      <c r="AF194" s="360"/>
      <c r="AK194" s="6">
        <f>SUM(AK184:AK193)</f>
        <v>18.079999999999998</v>
      </c>
    </row>
    <row r="195" spans="2:40">
      <c r="B195" s="105"/>
      <c r="C195" s="63"/>
      <c r="D195" s="63"/>
      <c r="E195" s="63"/>
      <c r="F195" s="63"/>
      <c r="AB195" s="63">
        <f>SUM(AB184:AB193)</f>
        <v>262.57000000000187</v>
      </c>
      <c r="AC195" s="301">
        <f t="shared" si="88"/>
        <v>0</v>
      </c>
      <c r="AD195" s="301">
        <f t="shared" si="88"/>
        <v>0</v>
      </c>
      <c r="AE195" s="301">
        <f t="shared" si="88"/>
        <v>0</v>
      </c>
      <c r="AF195" s="360"/>
    </row>
    <row r="196" spans="2:40">
      <c r="B196" s="105"/>
      <c r="C196" s="63"/>
      <c r="D196" s="63"/>
      <c r="E196" s="63"/>
      <c r="F196" s="63"/>
      <c r="AB196" s="63"/>
      <c r="AC196" s="63"/>
      <c r="AD196" s="63"/>
      <c r="AE196" s="66"/>
      <c r="AF196" s="102" t="s">
        <v>784</v>
      </c>
      <c r="AH196" s="8" t="s">
        <v>521</v>
      </c>
      <c r="AI196" s="6">
        <f>SUM(AI198:AI207)</f>
        <v>25834.07</v>
      </c>
      <c r="AJ196" s="8" t="s">
        <v>560</v>
      </c>
      <c r="AK196" s="8"/>
      <c r="AL196" s="8"/>
      <c r="AM196" s="338">
        <v>255.6</v>
      </c>
      <c r="AN196">
        <v>285.51</v>
      </c>
    </row>
    <row r="197" spans="2:40">
      <c r="B197" s="105"/>
      <c r="C197" s="63"/>
      <c r="D197" s="63"/>
      <c r="E197" s="63"/>
      <c r="F197" s="63"/>
      <c r="AB197" s="63"/>
      <c r="AC197" s="63" t="s">
        <v>699</v>
      </c>
      <c r="AD197" s="63" t="s">
        <v>700</v>
      </c>
      <c r="AE197" s="66" t="s">
        <v>701</v>
      </c>
      <c r="AG197" t="s">
        <v>508</v>
      </c>
      <c r="AH197" t="s">
        <v>520</v>
      </c>
      <c r="AI197" t="s">
        <v>12</v>
      </c>
      <c r="AJ197" t="s">
        <v>519</v>
      </c>
      <c r="AK197" t="s">
        <v>154</v>
      </c>
      <c r="AL197" t="s">
        <v>332</v>
      </c>
    </row>
    <row r="198" spans="2:40">
      <c r="B198" s="105"/>
      <c r="C198" s="63"/>
      <c r="D198" s="63"/>
      <c r="E198" s="63"/>
      <c r="F198" s="63"/>
      <c r="AB198" s="63"/>
      <c r="AC198" s="301">
        <f t="shared" ref="AC198:AC207" si="89">AI184-AI198</f>
        <v>-33.400000000000091</v>
      </c>
      <c r="AD198" s="301">
        <f t="shared" ref="AD198:AD207" si="90">AJ184-AJ198</f>
        <v>-24.950000000000273</v>
      </c>
      <c r="AE198" s="301">
        <f t="shared" ref="AE198:AE207" si="91">AK184-AK198</f>
        <v>-8.4499999999999993</v>
      </c>
      <c r="AF198" s="360">
        <f>(AK198-AK184)/AJ198</f>
        <v>2.6082742484620437E-3</v>
      </c>
      <c r="AG198" s="1" t="s">
        <v>506</v>
      </c>
      <c r="AH198" s="333">
        <v>3.4000000000000002E-2</v>
      </c>
      <c r="AI198" s="63">
        <f>AJ198+AK198+AL198</f>
        <v>3249.04</v>
      </c>
      <c r="AJ198" s="63">
        <v>3239.69</v>
      </c>
      <c r="AK198" s="63">
        <v>9.35</v>
      </c>
      <c r="AL198" s="120">
        <v>0</v>
      </c>
      <c r="AM198" t="s">
        <v>512</v>
      </c>
      <c r="AN198" s="363">
        <v>6</v>
      </c>
    </row>
    <row r="199" spans="2:40">
      <c r="B199" s="105"/>
      <c r="C199" s="63"/>
      <c r="D199" s="63"/>
      <c r="E199" s="63"/>
      <c r="F199" s="63"/>
      <c r="AB199" s="63"/>
      <c r="AC199" s="301">
        <f t="shared" si="89"/>
        <v>0</v>
      </c>
      <c r="AD199" s="301">
        <f t="shared" si="90"/>
        <v>0</v>
      </c>
      <c r="AE199" s="301">
        <f t="shared" si="91"/>
        <v>0</v>
      </c>
      <c r="AF199" s="360"/>
      <c r="AG199" s="1" t="s">
        <v>507</v>
      </c>
      <c r="AI199" s="63">
        <f t="shared" ref="AI199:AI204" si="92">AJ199+AK199+AL199</f>
        <v>0</v>
      </c>
      <c r="AJ199" s="63">
        <v>0</v>
      </c>
      <c r="AK199" s="63">
        <v>0</v>
      </c>
      <c r="AL199" s="120">
        <v>0</v>
      </c>
      <c r="AM199" t="s">
        <v>513</v>
      </c>
      <c r="AN199" s="364"/>
    </row>
    <row r="200" spans="2:40">
      <c r="B200" s="105"/>
      <c r="C200" s="63"/>
      <c r="D200" s="63"/>
      <c r="E200" s="63"/>
      <c r="F200" s="63"/>
      <c r="AB200" s="63"/>
      <c r="AC200" s="301">
        <f t="shared" si="89"/>
        <v>-42.960000000000946</v>
      </c>
      <c r="AD200" s="301">
        <f t="shared" si="90"/>
        <v>-32.100000000000364</v>
      </c>
      <c r="AE200" s="301">
        <f t="shared" si="91"/>
        <v>-10.86</v>
      </c>
      <c r="AF200" s="360">
        <f>(AK200-AK186)/AJ200</f>
        <v>2.6055537161529933E-3</v>
      </c>
      <c r="AG200" s="1" t="s">
        <v>509</v>
      </c>
      <c r="AH200" s="333">
        <v>3.4000000000000002E-2</v>
      </c>
      <c r="AI200" s="63">
        <f t="shared" si="92"/>
        <v>4180.0400000000009</v>
      </c>
      <c r="AJ200" s="63">
        <v>4168.0200000000004</v>
      </c>
      <c r="AK200" s="63">
        <v>12.02</v>
      </c>
      <c r="AL200" s="120">
        <v>0</v>
      </c>
      <c r="AM200" t="s">
        <v>512</v>
      </c>
      <c r="AN200" s="363">
        <v>7</v>
      </c>
    </row>
    <row r="201" spans="2:40">
      <c r="B201" s="105"/>
      <c r="C201" s="63"/>
      <c r="D201" s="63"/>
      <c r="E201" s="63"/>
      <c r="F201" s="63"/>
      <c r="AB201" s="63"/>
      <c r="AC201" s="301">
        <f t="shared" si="89"/>
        <v>0</v>
      </c>
      <c r="AD201" s="301">
        <f t="shared" si="90"/>
        <v>0</v>
      </c>
      <c r="AE201" s="301">
        <f t="shared" si="91"/>
        <v>0</v>
      </c>
      <c r="AF201" s="360"/>
      <c r="AG201" s="1" t="s">
        <v>510</v>
      </c>
      <c r="AI201" s="63">
        <f t="shared" si="92"/>
        <v>0</v>
      </c>
      <c r="AJ201" s="63">
        <v>0</v>
      </c>
      <c r="AK201" s="63">
        <v>0</v>
      </c>
      <c r="AL201" s="120">
        <v>0</v>
      </c>
      <c r="AM201" t="s">
        <v>512</v>
      </c>
      <c r="AN201" s="364"/>
    </row>
    <row r="202" spans="2:40">
      <c r="B202" s="105"/>
      <c r="C202" s="63"/>
      <c r="D202" s="63"/>
      <c r="E202" s="63"/>
      <c r="F202" s="63"/>
      <c r="AB202" s="63"/>
      <c r="AC202" s="301">
        <f t="shared" si="89"/>
        <v>-53.450000000000728</v>
      </c>
      <c r="AD202" s="301">
        <f t="shared" si="90"/>
        <v>-38.340000000000146</v>
      </c>
      <c r="AE202" s="301">
        <f t="shared" si="91"/>
        <v>-15.11</v>
      </c>
      <c r="AF202" s="360">
        <f>(AK202-AK188)/AJ202</f>
        <v>2.9598200993527965E-3</v>
      </c>
      <c r="AG202" s="1" t="s">
        <v>511</v>
      </c>
      <c r="AH202" s="333">
        <v>3.8600000000000002E-2</v>
      </c>
      <c r="AI202" s="63">
        <f t="shared" si="92"/>
        <v>5121.76</v>
      </c>
      <c r="AJ202" s="63">
        <v>5105.04</v>
      </c>
      <c r="AK202" s="63">
        <v>16.72</v>
      </c>
      <c r="AL202" s="120">
        <v>0</v>
      </c>
      <c r="AM202" t="s">
        <v>512</v>
      </c>
      <c r="AN202" s="363">
        <v>5</v>
      </c>
    </row>
    <row r="203" spans="2:40">
      <c r="B203" s="105"/>
      <c r="C203" s="63"/>
      <c r="D203" s="63"/>
      <c r="E203" s="63"/>
      <c r="F203" s="63"/>
      <c r="AB203" s="63"/>
      <c r="AC203" s="301">
        <f t="shared" si="89"/>
        <v>-20.759999999999991</v>
      </c>
      <c r="AD203" s="301">
        <f t="shared" si="90"/>
        <v>-14.929999999999836</v>
      </c>
      <c r="AE203" s="301">
        <f t="shared" si="91"/>
        <v>-5.83</v>
      </c>
      <c r="AF203" s="360">
        <f>(AK203-AK189)/AJ203</f>
        <v>2.9596612888487276E-3</v>
      </c>
      <c r="AG203" s="1" t="s">
        <v>514</v>
      </c>
      <c r="AH203" s="333">
        <v>3.8600000000000002E-2</v>
      </c>
      <c r="AI203" s="63">
        <f t="shared" si="92"/>
        <v>1976.27</v>
      </c>
      <c r="AJ203" s="63">
        <v>1969.82</v>
      </c>
      <c r="AK203" s="63">
        <v>6.45</v>
      </c>
      <c r="AL203" s="120">
        <v>0</v>
      </c>
      <c r="AM203" t="s">
        <v>513</v>
      </c>
      <c r="AN203" s="363">
        <v>2</v>
      </c>
    </row>
    <row r="204" spans="2:40">
      <c r="B204" s="105"/>
      <c r="C204" s="63"/>
      <c r="D204" s="63"/>
      <c r="E204" s="63"/>
      <c r="F204" s="63"/>
      <c r="AB204" s="63"/>
      <c r="AC204" s="301">
        <f t="shared" si="89"/>
        <v>1.2199999999997999</v>
      </c>
      <c r="AD204" s="301">
        <f t="shared" si="90"/>
        <v>0</v>
      </c>
      <c r="AE204" s="301">
        <f t="shared" si="91"/>
        <v>1.2199999999999989</v>
      </c>
      <c r="AF204" s="360">
        <f>(AK204-AK190)/AJ204</f>
        <v>-5.0973297512753725E-4</v>
      </c>
      <c r="AG204" s="1" t="s">
        <v>515</v>
      </c>
      <c r="AH204" s="333">
        <v>4.6600000000000003E-2</v>
      </c>
      <c r="AI204" s="63">
        <f t="shared" si="92"/>
        <v>2402.87</v>
      </c>
      <c r="AJ204" s="63">
        <v>2393.41</v>
      </c>
      <c r="AK204" s="63">
        <v>9.4600000000000009</v>
      </c>
      <c r="AL204" s="120">
        <v>0</v>
      </c>
      <c r="AM204" t="s">
        <v>512</v>
      </c>
      <c r="AN204" s="363">
        <v>1</v>
      </c>
    </row>
    <row r="205" spans="2:40">
      <c r="B205" s="105"/>
      <c r="C205" s="63"/>
      <c r="D205" s="63"/>
      <c r="E205" s="63"/>
      <c r="F205" s="63"/>
      <c r="AB205" s="63"/>
      <c r="AC205" s="301">
        <f t="shared" si="89"/>
        <v>0</v>
      </c>
      <c r="AD205" s="301">
        <f t="shared" si="90"/>
        <v>0</v>
      </c>
      <c r="AE205" s="301">
        <f t="shared" si="91"/>
        <v>0</v>
      </c>
      <c r="AF205" s="360"/>
      <c r="AG205" s="1" t="s">
        <v>516</v>
      </c>
      <c r="AH205" s="333"/>
      <c r="AI205" s="63">
        <v>0</v>
      </c>
      <c r="AJ205" s="63">
        <v>0</v>
      </c>
      <c r="AK205" s="63">
        <v>0</v>
      </c>
      <c r="AL205" s="120">
        <v>0</v>
      </c>
      <c r="AM205" t="s">
        <v>513</v>
      </c>
      <c r="AN205" s="364"/>
    </row>
    <row r="206" spans="2:40">
      <c r="B206" s="105"/>
      <c r="C206" s="63"/>
      <c r="D206" s="63"/>
      <c r="E206" s="63"/>
      <c r="F206" s="63"/>
      <c r="AB206" s="63"/>
      <c r="AC206" s="301">
        <f t="shared" si="89"/>
        <v>-27.309999999999945</v>
      </c>
      <c r="AD206" s="301">
        <f t="shared" si="90"/>
        <v>-18.989999999999782</v>
      </c>
      <c r="AE206" s="301">
        <f t="shared" si="91"/>
        <v>-8.32</v>
      </c>
      <c r="AF206" s="360">
        <f>(AK206-AK192)/AJ206</f>
        <v>3.2874850344356155E-3</v>
      </c>
      <c r="AG206" s="1" t="s">
        <v>517</v>
      </c>
      <c r="AH206" s="333">
        <v>4.2900000000000001E-2</v>
      </c>
      <c r="AI206" s="63">
        <f>AJ206+AK206+AL206</f>
        <v>2540.02</v>
      </c>
      <c r="AJ206" s="63">
        <v>2530.81</v>
      </c>
      <c r="AK206" s="63">
        <v>9.2100000000000009</v>
      </c>
      <c r="AL206" s="120">
        <v>0</v>
      </c>
      <c r="AM206" t="s">
        <v>512</v>
      </c>
      <c r="AN206" s="363">
        <v>4</v>
      </c>
    </row>
    <row r="207" spans="2:40">
      <c r="B207" s="105"/>
      <c r="C207" s="63"/>
      <c r="D207" s="63"/>
      <c r="E207" s="63"/>
      <c r="F207" s="63"/>
      <c r="AB207" s="63"/>
      <c r="AC207" s="301">
        <f t="shared" si="89"/>
        <v>-67.829999999999927</v>
      </c>
      <c r="AD207" s="301">
        <f t="shared" si="90"/>
        <v>-46.909999999999854</v>
      </c>
      <c r="AE207" s="301">
        <f t="shared" si="91"/>
        <v>-20.92</v>
      </c>
      <c r="AF207" s="360">
        <f>(AK207-AK193)/AJ207</f>
        <v>3.2992005904496661E-3</v>
      </c>
      <c r="AG207" s="1" t="s">
        <v>518</v>
      </c>
      <c r="AH207" s="333">
        <v>4.2999999999999997E-2</v>
      </c>
      <c r="AI207" s="63">
        <f>AJ207+AK207+AL207</f>
        <v>6364.0700000000006</v>
      </c>
      <c r="AJ207" s="63">
        <v>6340.93</v>
      </c>
      <c r="AK207" s="63">
        <v>23.14</v>
      </c>
      <c r="AL207" s="120">
        <v>0</v>
      </c>
      <c r="AM207" t="s">
        <v>513</v>
      </c>
      <c r="AN207" s="363">
        <v>3</v>
      </c>
    </row>
    <row r="208" spans="2:40">
      <c r="B208" s="105"/>
      <c r="C208" s="63"/>
      <c r="D208" s="63"/>
      <c r="E208" s="63"/>
      <c r="F208" s="63"/>
      <c r="AB208" s="63"/>
      <c r="AC208" s="63">
        <f>SUM(AC198:AC207)</f>
        <v>-244.49000000000183</v>
      </c>
      <c r="AD208" s="63">
        <f>SUM(AD198:AD207)</f>
        <v>-176.22000000000025</v>
      </c>
      <c r="AE208" s="63">
        <f>SUM(AE198:AE207)</f>
        <v>-68.27000000000001</v>
      </c>
      <c r="AF208" s="66"/>
      <c r="AK208" s="6">
        <f>SUM(AK198:AK207)</f>
        <v>86.35</v>
      </c>
    </row>
    <row r="209" spans="2:40">
      <c r="B209" s="105"/>
      <c r="C209" s="63"/>
      <c r="D209" s="63"/>
      <c r="E209" s="63"/>
      <c r="F209" s="63"/>
      <c r="AB209" s="63"/>
      <c r="AC209" s="63"/>
      <c r="AD209" s="63"/>
      <c r="AE209" s="6"/>
      <c r="AF209" s="66"/>
      <c r="AN209" t="s">
        <v>694</v>
      </c>
    </row>
    <row r="210" spans="2:40">
      <c r="B210" s="105"/>
      <c r="C210" s="63"/>
      <c r="D210" s="63"/>
      <c r="E210" s="63"/>
      <c r="F210" s="63"/>
      <c r="AB210" s="63"/>
      <c r="AC210" s="63"/>
      <c r="AD210" s="63"/>
      <c r="AE210" s="66"/>
      <c r="AF210" s="102">
        <v>45511</v>
      </c>
      <c r="AH210" s="8" t="s">
        <v>521</v>
      </c>
      <c r="AI210" s="6">
        <f>SUM(AI212:AI221)</f>
        <v>25550.710000000003</v>
      </c>
      <c r="AJ210" s="8" t="s">
        <v>560</v>
      </c>
      <c r="AK210" s="8"/>
      <c r="AL210" s="8"/>
      <c r="AM210" s="338">
        <v>255.6</v>
      </c>
      <c r="AN210">
        <v>285.51</v>
      </c>
    </row>
    <row r="211" spans="2:40">
      <c r="B211" s="105"/>
      <c r="C211" s="63"/>
      <c r="D211" s="63"/>
      <c r="E211" s="63"/>
      <c r="F211" s="63"/>
      <c r="AB211" s="63" t="s">
        <v>739</v>
      </c>
      <c r="AC211" s="63" t="s">
        <v>699</v>
      </c>
      <c r="AD211" s="63" t="s">
        <v>700</v>
      </c>
      <c r="AE211" s="66" t="s">
        <v>701</v>
      </c>
      <c r="AG211" t="s">
        <v>508</v>
      </c>
      <c r="AH211" t="s">
        <v>520</v>
      </c>
      <c r="AI211" t="s">
        <v>12</v>
      </c>
      <c r="AJ211" t="s">
        <v>519</v>
      </c>
      <c r="AK211" t="s">
        <v>154</v>
      </c>
      <c r="AL211" t="s">
        <v>332</v>
      </c>
      <c r="AN211" t="s">
        <v>740</v>
      </c>
    </row>
    <row r="212" spans="2:40">
      <c r="B212" s="105"/>
      <c r="C212" s="63"/>
      <c r="D212" s="63"/>
      <c r="E212" s="63"/>
      <c r="F212" s="63"/>
      <c r="AB212" s="63">
        <f>AC212+AK212</f>
        <v>34.300000000000182</v>
      </c>
      <c r="AC212" s="301">
        <f>AI198-AI212</f>
        <v>32.800000000000182</v>
      </c>
      <c r="AD212" s="301">
        <f>AJ198-AJ212</f>
        <v>24.950000000000273</v>
      </c>
      <c r="AE212" s="301">
        <f>AK198-AK212</f>
        <v>7.85</v>
      </c>
      <c r="AF212" s="360">
        <f>(AK212-AK198)/AJ212</f>
        <v>-2.4418771035915813E-3</v>
      </c>
      <c r="AG212" s="1" t="s">
        <v>506</v>
      </c>
      <c r="AH212" s="333">
        <v>3.4000000000000002E-2</v>
      </c>
      <c r="AI212" s="63">
        <f>AJ212+AK212+AL212</f>
        <v>3216.24</v>
      </c>
      <c r="AJ212" s="63">
        <v>3214.74</v>
      </c>
      <c r="AK212" s="63">
        <v>1.5</v>
      </c>
      <c r="AL212" s="120">
        <v>0</v>
      </c>
      <c r="AM212" t="s">
        <v>512</v>
      </c>
      <c r="AN212" s="363">
        <v>6</v>
      </c>
    </row>
    <row r="213" spans="2:40">
      <c r="B213" s="105"/>
      <c r="C213" s="63"/>
      <c r="D213" s="63"/>
      <c r="E213" s="63"/>
      <c r="F213" s="63"/>
      <c r="AB213" s="63"/>
      <c r="AC213" s="301"/>
      <c r="AD213" s="301"/>
      <c r="AE213" s="301"/>
      <c r="AF213" s="360"/>
      <c r="AG213" s="1" t="s">
        <v>507</v>
      </c>
      <c r="AI213" s="63">
        <f t="shared" ref="AI213:AI218" si="93">AJ213+AK213+AL213</f>
        <v>0</v>
      </c>
      <c r="AJ213" s="63">
        <v>0</v>
      </c>
      <c r="AK213" s="63">
        <v>0</v>
      </c>
      <c r="AL213" s="120">
        <v>0</v>
      </c>
      <c r="AM213" t="s">
        <v>513</v>
      </c>
      <c r="AN213" s="364"/>
    </row>
    <row r="214" spans="2:40">
      <c r="B214" s="105"/>
      <c r="C214" s="63"/>
      <c r="D214" s="63"/>
      <c r="E214" s="63"/>
      <c r="F214" s="63"/>
      <c r="AB214" s="63">
        <f>AC214+AK214</f>
        <v>44.120000000000509</v>
      </c>
      <c r="AC214" s="301">
        <f>AI200-AI214</f>
        <v>42.190000000000509</v>
      </c>
      <c r="AD214" s="301">
        <f>AJ200-AJ214</f>
        <v>32.100000000000364</v>
      </c>
      <c r="AE214" s="301">
        <f>AK200-AK214</f>
        <v>10.09</v>
      </c>
      <c r="AF214" s="360">
        <f>(AK214-AK200)/AJ214</f>
        <v>-2.4396023133909745E-3</v>
      </c>
      <c r="AG214" s="1" t="s">
        <v>509</v>
      </c>
      <c r="AH214" s="333">
        <v>3.4000000000000002E-2</v>
      </c>
      <c r="AI214" s="63">
        <f t="shared" si="93"/>
        <v>4137.8500000000004</v>
      </c>
      <c r="AJ214" s="63">
        <v>4135.92</v>
      </c>
      <c r="AK214" s="63">
        <v>1.93</v>
      </c>
      <c r="AL214" s="120">
        <v>0</v>
      </c>
      <c r="AM214" t="s">
        <v>512</v>
      </c>
      <c r="AN214" s="363">
        <v>7</v>
      </c>
    </row>
    <row r="215" spans="2:40">
      <c r="B215" s="105"/>
      <c r="C215" s="63"/>
      <c r="D215" s="63"/>
      <c r="E215" s="63"/>
      <c r="F215" s="63"/>
      <c r="AB215" s="63"/>
      <c r="AC215" s="301"/>
      <c r="AD215" s="301"/>
      <c r="AE215" s="301"/>
      <c r="AF215" s="360"/>
      <c r="AG215" s="1" t="s">
        <v>510</v>
      </c>
      <c r="AI215" s="63">
        <f t="shared" si="93"/>
        <v>0</v>
      </c>
      <c r="AJ215" s="63">
        <v>0</v>
      </c>
      <c r="AK215" s="63">
        <v>0</v>
      </c>
      <c r="AL215" s="120">
        <v>0</v>
      </c>
      <c r="AM215" t="s">
        <v>512</v>
      </c>
      <c r="AN215" s="364"/>
    </row>
    <row r="216" spans="2:40">
      <c r="B216" s="105"/>
      <c r="C216" s="63"/>
      <c r="D216" s="63"/>
      <c r="E216" s="63"/>
      <c r="F216" s="63"/>
      <c r="AB216" s="63">
        <f>AC216+AK216</f>
        <v>55.060000000000109</v>
      </c>
      <c r="AC216" s="301">
        <f t="shared" ref="AC216:AE218" si="94">AI202-AI216</f>
        <v>52.380000000000109</v>
      </c>
      <c r="AD216" s="301">
        <f t="shared" si="94"/>
        <v>38.340000000000146</v>
      </c>
      <c r="AE216" s="301">
        <f t="shared" si="94"/>
        <v>14.04</v>
      </c>
      <c r="AF216" s="360">
        <f>(AK216-AK202)/AJ216</f>
        <v>-2.7710344010894662E-3</v>
      </c>
      <c r="AG216" s="1" t="s">
        <v>511</v>
      </c>
      <c r="AH216" s="333">
        <v>3.8600000000000002E-2</v>
      </c>
      <c r="AI216" s="63">
        <f t="shared" si="93"/>
        <v>5069.38</v>
      </c>
      <c r="AJ216" s="63">
        <v>5066.7</v>
      </c>
      <c r="AK216" s="63">
        <v>2.68</v>
      </c>
      <c r="AL216" s="120">
        <v>0</v>
      </c>
      <c r="AM216" t="s">
        <v>512</v>
      </c>
      <c r="AN216" s="363">
        <v>5</v>
      </c>
    </row>
    <row r="217" spans="2:40">
      <c r="B217" s="105"/>
      <c r="C217" s="63"/>
      <c r="D217" s="63"/>
      <c r="E217" s="63"/>
      <c r="F217" s="63"/>
      <c r="AB217" s="63">
        <f>AC217+AK217</f>
        <v>21.37999999999991</v>
      </c>
      <c r="AC217" s="301">
        <f t="shared" si="94"/>
        <v>20.349999999999909</v>
      </c>
      <c r="AD217" s="301">
        <f t="shared" si="94"/>
        <v>14.929999999999836</v>
      </c>
      <c r="AE217" s="301">
        <f t="shared" si="94"/>
        <v>5.42</v>
      </c>
      <c r="AF217" s="360">
        <f>(AK217-AK203)/AJ217</f>
        <v>-2.7725345160085732E-3</v>
      </c>
      <c r="AG217" s="1" t="s">
        <v>514</v>
      </c>
      <c r="AH217" s="333">
        <v>3.8600000000000002E-2</v>
      </c>
      <c r="AI217" s="63">
        <f t="shared" si="93"/>
        <v>1955.92</v>
      </c>
      <c r="AJ217" s="63">
        <v>1954.89</v>
      </c>
      <c r="AK217" s="63">
        <v>1.03</v>
      </c>
      <c r="AL217" s="120">
        <v>0</v>
      </c>
      <c r="AM217" t="s">
        <v>513</v>
      </c>
      <c r="AN217" s="363">
        <v>2</v>
      </c>
    </row>
    <row r="218" spans="2:40">
      <c r="AB218" s="63">
        <f>AC218+AK218</f>
        <v>42.869999999999706</v>
      </c>
      <c r="AC218" s="301">
        <f t="shared" si="94"/>
        <v>42.569999999999709</v>
      </c>
      <c r="AD218" s="301">
        <f t="shared" si="94"/>
        <v>33.409999999999854</v>
      </c>
      <c r="AE218" s="301">
        <f t="shared" si="94"/>
        <v>9.16</v>
      </c>
      <c r="AF218" s="360">
        <f>(AK218-AK204)/AJ218</f>
        <v>-3.88135593220339E-3</v>
      </c>
      <c r="AG218" s="1" t="s">
        <v>515</v>
      </c>
      <c r="AH218" s="333">
        <v>4.6600000000000003E-2</v>
      </c>
      <c r="AI218" s="63">
        <f t="shared" si="93"/>
        <v>2360.3000000000002</v>
      </c>
      <c r="AJ218" s="63">
        <v>2360</v>
      </c>
      <c r="AK218" s="63">
        <v>0.3</v>
      </c>
      <c r="AL218" s="120">
        <v>0</v>
      </c>
      <c r="AM218" t="s">
        <v>512</v>
      </c>
      <c r="AN218" s="363">
        <v>1</v>
      </c>
    </row>
    <row r="219" spans="2:40">
      <c r="AB219" s="63"/>
      <c r="AC219" s="301"/>
      <c r="AD219" s="301"/>
      <c r="AE219" s="301"/>
      <c r="AF219" s="360"/>
      <c r="AG219" s="1" t="s">
        <v>516</v>
      </c>
      <c r="AH219" s="333"/>
      <c r="AI219" s="63">
        <v>0</v>
      </c>
      <c r="AJ219" s="63">
        <v>0</v>
      </c>
      <c r="AK219" s="63">
        <v>0</v>
      </c>
      <c r="AL219" s="120">
        <v>0</v>
      </c>
      <c r="AM219" t="s">
        <v>513</v>
      </c>
      <c r="AN219" s="364"/>
    </row>
    <row r="220" spans="2:40">
      <c r="AB220" s="63">
        <f>AC220+AK220</f>
        <v>28.1999999999998</v>
      </c>
      <c r="AC220" s="301">
        <f t="shared" ref="AC220:AE223" si="95">AI206-AI220</f>
        <v>26.7199999999998</v>
      </c>
      <c r="AD220" s="301">
        <f t="shared" si="95"/>
        <v>18.989999999999782</v>
      </c>
      <c r="AE220" s="301">
        <f t="shared" si="95"/>
        <v>7.73</v>
      </c>
      <c r="AF220" s="360">
        <f>(AK220-AK206)/AJ220</f>
        <v>-3.077449817263976E-3</v>
      </c>
      <c r="AG220" s="1" t="s">
        <v>517</v>
      </c>
      <c r="AH220" s="333">
        <v>4.2900000000000001E-2</v>
      </c>
      <c r="AI220" s="63">
        <f>AJ220+AK220+AL220</f>
        <v>2513.3000000000002</v>
      </c>
      <c r="AJ220" s="63">
        <v>2511.8200000000002</v>
      </c>
      <c r="AK220" s="63">
        <v>1.48</v>
      </c>
      <c r="AL220" s="120">
        <v>0</v>
      </c>
      <c r="AM220" t="s">
        <v>512</v>
      </c>
      <c r="AN220" s="363">
        <v>4</v>
      </c>
    </row>
    <row r="221" spans="2:40">
      <c r="AB221" s="63">
        <f>AC221+AK221</f>
        <v>70.050000000000367</v>
      </c>
      <c r="AC221" s="301">
        <f t="shared" si="95"/>
        <v>66.350000000000364</v>
      </c>
      <c r="AD221" s="301">
        <f t="shared" si="95"/>
        <v>46.909999999999854</v>
      </c>
      <c r="AE221" s="301">
        <f t="shared" si="95"/>
        <v>19.440000000000001</v>
      </c>
      <c r="AF221" s="360">
        <f>(AK221-AK207)/AJ221</f>
        <v>-3.0886460481536443E-3</v>
      </c>
      <c r="AG221" s="1" t="s">
        <v>518</v>
      </c>
      <c r="AH221" s="333">
        <v>4.2999999999999997E-2</v>
      </c>
      <c r="AI221" s="63">
        <f>AJ221+AK221+AL221</f>
        <v>6297.72</v>
      </c>
      <c r="AJ221" s="63">
        <v>6294.02</v>
      </c>
      <c r="AK221" s="63">
        <v>3.7</v>
      </c>
      <c r="AL221" s="120">
        <v>0</v>
      </c>
      <c r="AM221" t="s">
        <v>513</v>
      </c>
      <c r="AN221" s="363">
        <v>3</v>
      </c>
    </row>
    <row r="222" spans="2:40">
      <c r="AC222" s="301">
        <f t="shared" si="95"/>
        <v>0</v>
      </c>
      <c r="AD222" s="301">
        <f t="shared" si="95"/>
        <v>0</v>
      </c>
      <c r="AE222" s="301">
        <f t="shared" si="95"/>
        <v>73.72999999999999</v>
      </c>
      <c r="AF222" s="360"/>
      <c r="AK222" s="6">
        <f>SUM(AK212:AK221)</f>
        <v>12.620000000000001</v>
      </c>
    </row>
    <row r="223" spans="2:40">
      <c r="AB223" s="63">
        <f>SUM(AB212:AB221)</f>
        <v>295.98000000000059</v>
      </c>
      <c r="AC223" s="301">
        <f t="shared" si="95"/>
        <v>0</v>
      </c>
      <c r="AD223" s="301">
        <f t="shared" si="95"/>
        <v>0</v>
      </c>
      <c r="AE223" s="301">
        <f t="shared" si="95"/>
        <v>0</v>
      </c>
      <c r="AF223" s="360"/>
    </row>
    <row r="226" spans="28:40">
      <c r="AB226" s="63"/>
      <c r="AC226" s="63"/>
      <c r="AD226" s="63"/>
      <c r="AE226" s="66"/>
      <c r="AF226" s="102">
        <v>45536</v>
      </c>
      <c r="AH226" s="8" t="s">
        <v>521</v>
      </c>
      <c r="AI226" s="6">
        <f>SUM(AI228:AI237)</f>
        <v>25619.789999999997</v>
      </c>
      <c r="AJ226" s="8" t="s">
        <v>560</v>
      </c>
      <c r="AK226" s="8"/>
      <c r="AL226" s="8"/>
      <c r="AM226" s="338">
        <v>255.6</v>
      </c>
      <c r="AN226">
        <v>285.51</v>
      </c>
    </row>
    <row r="227" spans="28:40">
      <c r="AB227" s="63"/>
      <c r="AC227" s="63" t="s">
        <v>699</v>
      </c>
      <c r="AD227" s="63" t="s">
        <v>700</v>
      </c>
      <c r="AE227" s="66" t="s">
        <v>701</v>
      </c>
      <c r="AG227" t="s">
        <v>508</v>
      </c>
      <c r="AH227" t="s">
        <v>520</v>
      </c>
      <c r="AI227" t="s">
        <v>12</v>
      </c>
      <c r="AJ227" t="s">
        <v>519</v>
      </c>
      <c r="AK227" t="s">
        <v>154</v>
      </c>
      <c r="AL227" t="s">
        <v>332</v>
      </c>
    </row>
    <row r="228" spans="28:40">
      <c r="AB228" s="63"/>
      <c r="AC228" s="301">
        <f t="shared" ref="AC228:AC237" si="96">AI214-AI228</f>
        <v>914.13000000000056</v>
      </c>
      <c r="AD228" s="301">
        <f t="shared" ref="AD228:AD237" si="97">AJ214-AJ228</f>
        <v>921.18000000000029</v>
      </c>
      <c r="AE228" s="301">
        <f t="shared" ref="AE228:AE237" si="98">AK214-AK228</f>
        <v>-7.0500000000000007</v>
      </c>
      <c r="AF228" s="360">
        <f>(AK228-AK214)/AJ228</f>
        <v>2.1930233860281085E-3</v>
      </c>
      <c r="AG228" s="1" t="s">
        <v>506</v>
      </c>
      <c r="AH228" s="333">
        <v>3.4000000000000002E-2</v>
      </c>
      <c r="AI228" s="63">
        <f>AJ228+AK228+AL228</f>
        <v>3223.72</v>
      </c>
      <c r="AJ228" s="63">
        <v>3214.74</v>
      </c>
      <c r="AK228" s="63">
        <v>8.98</v>
      </c>
      <c r="AL228" s="120">
        <v>0</v>
      </c>
      <c r="AM228" t="s">
        <v>512</v>
      </c>
      <c r="AN228" s="363">
        <v>6</v>
      </c>
    </row>
    <row r="229" spans="28:40">
      <c r="AB229" s="63"/>
      <c r="AC229" s="301">
        <f t="shared" si="96"/>
        <v>0</v>
      </c>
      <c r="AD229" s="301">
        <f t="shared" si="97"/>
        <v>0</v>
      </c>
      <c r="AE229" s="301">
        <f t="shared" si="98"/>
        <v>0</v>
      </c>
      <c r="AF229" s="360"/>
      <c r="AG229" s="1" t="s">
        <v>507</v>
      </c>
      <c r="AI229" s="63">
        <f t="shared" ref="AI229:AI234" si="99">AJ229+AK229+AL229</f>
        <v>0</v>
      </c>
      <c r="AJ229" s="63">
        <v>0</v>
      </c>
      <c r="AK229" s="63">
        <v>0</v>
      </c>
      <c r="AL229" s="120">
        <v>0</v>
      </c>
      <c r="AM229" t="s">
        <v>513</v>
      </c>
      <c r="AN229" s="364"/>
    </row>
    <row r="230" spans="28:40">
      <c r="AB230" s="63"/>
      <c r="AC230" s="301">
        <f t="shared" si="96"/>
        <v>921.90999999999985</v>
      </c>
      <c r="AD230" s="301">
        <f t="shared" si="97"/>
        <v>930.77999999999975</v>
      </c>
      <c r="AE230" s="301">
        <f t="shared" si="98"/>
        <v>-8.870000000000001</v>
      </c>
      <c r="AF230" s="360">
        <f>(AK230-AK216)/AJ230</f>
        <v>2.1446256213853267E-3</v>
      </c>
      <c r="AG230" s="1" t="s">
        <v>509</v>
      </c>
      <c r="AH230" s="333">
        <v>3.4000000000000002E-2</v>
      </c>
      <c r="AI230" s="63">
        <f t="shared" si="99"/>
        <v>4147.47</v>
      </c>
      <c r="AJ230" s="63">
        <v>4135.92</v>
      </c>
      <c r="AK230" s="63">
        <v>11.55</v>
      </c>
      <c r="AL230" s="120">
        <v>0</v>
      </c>
      <c r="AM230" t="s">
        <v>512</v>
      </c>
      <c r="AN230" s="363">
        <v>7</v>
      </c>
    </row>
    <row r="231" spans="28:40">
      <c r="AB231" s="63"/>
      <c r="AC231" s="301">
        <f t="shared" si="96"/>
        <v>1955.92</v>
      </c>
      <c r="AD231" s="301">
        <f t="shared" si="97"/>
        <v>1954.89</v>
      </c>
      <c r="AE231" s="301">
        <f t="shared" si="98"/>
        <v>1.03</v>
      </c>
      <c r="AF231" s="360"/>
      <c r="AG231" s="1" t="s">
        <v>510</v>
      </c>
      <c r="AI231" s="63">
        <f t="shared" si="99"/>
        <v>0</v>
      </c>
      <c r="AJ231" s="63">
        <v>0</v>
      </c>
      <c r="AK231" s="63">
        <v>0</v>
      </c>
      <c r="AL231" s="120">
        <v>0</v>
      </c>
      <c r="AM231" t="s">
        <v>512</v>
      </c>
      <c r="AN231" s="364"/>
    </row>
    <row r="232" spans="28:40">
      <c r="AB232" s="63"/>
      <c r="AC232" s="301">
        <f t="shared" si="96"/>
        <v>-2722.4699999999993</v>
      </c>
      <c r="AD232" s="301">
        <f t="shared" si="97"/>
        <v>-2706.7</v>
      </c>
      <c r="AE232" s="301">
        <f t="shared" si="98"/>
        <v>-15.77</v>
      </c>
      <c r="AF232" s="360">
        <f>(AK232-AK218)/AJ232</f>
        <v>3.1124795231610319E-3</v>
      </c>
      <c r="AG232" s="1" t="s">
        <v>511</v>
      </c>
      <c r="AH232" s="333">
        <v>3.8600000000000002E-2</v>
      </c>
      <c r="AI232" s="63">
        <f t="shared" si="99"/>
        <v>5082.7699999999995</v>
      </c>
      <c r="AJ232" s="63">
        <v>5066.7</v>
      </c>
      <c r="AK232" s="63">
        <v>16.07</v>
      </c>
      <c r="AL232" s="120">
        <v>0</v>
      </c>
      <c r="AM232" t="s">
        <v>512</v>
      </c>
      <c r="AN232" s="363">
        <v>5</v>
      </c>
    </row>
    <row r="233" spans="28:40">
      <c r="AB233" s="63"/>
      <c r="AC233" s="301">
        <f t="shared" si="96"/>
        <v>-1961.0900000000001</v>
      </c>
      <c r="AD233" s="301">
        <f t="shared" si="97"/>
        <v>-1954.89</v>
      </c>
      <c r="AE233" s="301">
        <f t="shared" si="98"/>
        <v>-6.2</v>
      </c>
      <c r="AF233" s="360">
        <f>(AK233-AK219)/AJ233</f>
        <v>3.1715339482016889E-3</v>
      </c>
      <c r="AG233" s="1" t="s">
        <v>514</v>
      </c>
      <c r="AH233" s="333">
        <v>3.8600000000000002E-2</v>
      </c>
      <c r="AI233" s="63">
        <f t="shared" si="99"/>
        <v>1961.0900000000001</v>
      </c>
      <c r="AJ233" s="63">
        <v>1954.89</v>
      </c>
      <c r="AK233" s="63">
        <v>6.2</v>
      </c>
      <c r="AL233" s="120">
        <v>0</v>
      </c>
      <c r="AM233" t="s">
        <v>513</v>
      </c>
      <c r="AN233" s="363">
        <v>2</v>
      </c>
    </row>
    <row r="234" spans="28:40">
      <c r="AB234" s="63"/>
      <c r="AC234" s="301">
        <f t="shared" si="96"/>
        <v>145.47000000000025</v>
      </c>
      <c r="AD234" s="301">
        <f t="shared" si="97"/>
        <v>151.82000000000016</v>
      </c>
      <c r="AE234" s="301">
        <f t="shared" si="98"/>
        <v>-6.35</v>
      </c>
      <c r="AF234" s="360">
        <f>(AK234-AK220)/AJ234</f>
        <v>2.6906779661016946E-3</v>
      </c>
      <c r="AG234" s="1" t="s">
        <v>515</v>
      </c>
      <c r="AH234" s="333">
        <v>4.6600000000000003E-2</v>
      </c>
      <c r="AI234" s="63">
        <f t="shared" si="99"/>
        <v>2367.83</v>
      </c>
      <c r="AJ234" s="63">
        <v>2360</v>
      </c>
      <c r="AK234" s="63">
        <v>7.83</v>
      </c>
      <c r="AL234" s="120">
        <v>0</v>
      </c>
      <c r="AM234" t="s">
        <v>512</v>
      </c>
      <c r="AN234" s="363">
        <v>1</v>
      </c>
    </row>
    <row r="235" spans="28:40">
      <c r="AB235" s="63"/>
      <c r="AC235" s="301">
        <f t="shared" si="96"/>
        <v>6297.72</v>
      </c>
      <c r="AD235" s="301">
        <f t="shared" si="97"/>
        <v>6294.02</v>
      </c>
      <c r="AE235" s="301">
        <f t="shared" si="98"/>
        <v>3.7</v>
      </c>
      <c r="AF235" s="360"/>
      <c r="AG235" s="1" t="s">
        <v>516</v>
      </c>
      <c r="AH235" s="333"/>
      <c r="AI235" s="63">
        <v>0</v>
      </c>
      <c r="AJ235" s="63">
        <v>0</v>
      </c>
      <c r="AK235" s="63">
        <v>0</v>
      </c>
      <c r="AL235" s="120">
        <v>0</v>
      </c>
      <c r="AM235" t="s">
        <v>513</v>
      </c>
      <c r="AN235" s="364"/>
    </row>
    <row r="236" spans="28:40">
      <c r="AB236" s="63"/>
      <c r="AC236" s="301">
        <f t="shared" si="96"/>
        <v>-2520.67</v>
      </c>
      <c r="AD236" s="301">
        <f t="shared" si="97"/>
        <v>-2511.8200000000002</v>
      </c>
      <c r="AE236" s="301">
        <f t="shared" si="98"/>
        <v>3.7700000000000014</v>
      </c>
      <c r="AF236" s="360">
        <f>(AK236-AK222)/AJ236</f>
        <v>-1.5009037271779032E-3</v>
      </c>
      <c r="AG236" s="1" t="s">
        <v>517</v>
      </c>
      <c r="AH236" s="333">
        <v>4.2900000000000001E-2</v>
      </c>
      <c r="AI236" s="63">
        <f>AJ236+AK236+AL236</f>
        <v>2520.67</v>
      </c>
      <c r="AJ236" s="63">
        <v>2511.8200000000002</v>
      </c>
      <c r="AK236" s="63">
        <v>8.85</v>
      </c>
      <c r="AL236" s="120">
        <v>0</v>
      </c>
      <c r="AM236" t="s">
        <v>512</v>
      </c>
      <c r="AN236" s="363">
        <v>3</v>
      </c>
    </row>
    <row r="237" spans="28:40">
      <c r="AB237" s="63"/>
      <c r="AC237" s="301">
        <f t="shared" si="96"/>
        <v>-6316.2400000000007</v>
      </c>
      <c r="AD237" s="301">
        <f t="shared" si="97"/>
        <v>-6294.02</v>
      </c>
      <c r="AE237" s="301">
        <f t="shared" si="98"/>
        <v>-22.22</v>
      </c>
      <c r="AF237" s="360">
        <f>(AK237-AK223)/AJ237</f>
        <v>3.5303351435171794E-3</v>
      </c>
      <c r="AG237" s="1" t="s">
        <v>518</v>
      </c>
      <c r="AH237" s="333">
        <v>4.2999999999999997E-2</v>
      </c>
      <c r="AI237" s="63">
        <f>AJ237+AK237+AL237</f>
        <v>6316.2400000000007</v>
      </c>
      <c r="AJ237" s="63">
        <v>6294.02</v>
      </c>
      <c r="AK237" s="63">
        <v>22.22</v>
      </c>
      <c r="AL237" s="120">
        <v>0</v>
      </c>
      <c r="AM237" t="s">
        <v>513</v>
      </c>
      <c r="AN237" s="363">
        <v>4</v>
      </c>
    </row>
    <row r="238" spans="28:40">
      <c r="AB238" s="63"/>
      <c r="AC238" s="63">
        <f>SUM(AC228:AC237)</f>
        <v>-3285.3199999999988</v>
      </c>
      <c r="AD238" s="63">
        <f>SUM(AD228:AD237)</f>
        <v>-3214.7399999999993</v>
      </c>
      <c r="AE238" s="63">
        <f>SUM(AE228:AE237)</f>
        <v>-57.96</v>
      </c>
      <c r="AF238" s="66"/>
      <c r="AK238" s="6">
        <f>SUM(AK228:AK237)</f>
        <v>81.7</v>
      </c>
    </row>
    <row r="239" spans="28:40">
      <c r="AB239" s="63"/>
      <c r="AC239" s="63"/>
      <c r="AD239" s="63"/>
      <c r="AE239" s="6"/>
      <c r="AF239" s="66"/>
      <c r="AN239" t="s">
        <v>694</v>
      </c>
    </row>
    <row r="240" spans="28:40">
      <c r="AB240" s="63"/>
      <c r="AC240" s="63"/>
      <c r="AD240" s="63"/>
      <c r="AE240" s="66"/>
      <c r="AF240" s="102">
        <v>45543</v>
      </c>
      <c r="AH240" s="8" t="s">
        <v>521</v>
      </c>
      <c r="AI240" s="6">
        <f>SUM(AI242:AI251)</f>
        <v>25383.43</v>
      </c>
      <c r="AJ240" s="8" t="s">
        <v>560</v>
      </c>
      <c r="AK240" s="8"/>
      <c r="AL240" s="8"/>
      <c r="AM240" s="338">
        <v>255.6</v>
      </c>
      <c r="AN240">
        <v>285.51</v>
      </c>
    </row>
    <row r="241" spans="28:40">
      <c r="AB241" s="63" t="s">
        <v>739</v>
      </c>
      <c r="AC241" s="63" t="s">
        <v>699</v>
      </c>
      <c r="AD241" s="63" t="s">
        <v>700</v>
      </c>
      <c r="AE241" s="66" t="s">
        <v>701</v>
      </c>
      <c r="AG241" t="s">
        <v>508</v>
      </c>
      <c r="AH241" t="s">
        <v>520</v>
      </c>
      <c r="AI241" t="s">
        <v>12</v>
      </c>
      <c r="AJ241" t="s">
        <v>519</v>
      </c>
      <c r="AK241" t="s">
        <v>154</v>
      </c>
      <c r="AL241" t="s">
        <v>332</v>
      </c>
      <c r="AN241" t="s">
        <v>740</v>
      </c>
    </row>
    <row r="242" spans="28:40">
      <c r="AB242" s="63">
        <f>AC242+AK242</f>
        <v>34.299999999999528</v>
      </c>
      <c r="AC242" s="301">
        <f>AI228-AI242</f>
        <v>32.519999999999527</v>
      </c>
      <c r="AD242" s="301">
        <f>AJ228-AJ242</f>
        <v>25.319999999999709</v>
      </c>
      <c r="AE242" s="301">
        <f>AK228-AK242</f>
        <v>7.2</v>
      </c>
      <c r="AF242" s="360">
        <f>(AK242-AK228)/AJ242</f>
        <v>-2.2574637394886846E-3</v>
      </c>
      <c r="AG242" s="1" t="s">
        <v>506</v>
      </c>
      <c r="AH242" s="333">
        <v>3.4000000000000002E-2</v>
      </c>
      <c r="AI242" s="63">
        <f>AJ242+AK242+AL242</f>
        <v>3191.2000000000003</v>
      </c>
      <c r="AJ242" s="63">
        <v>3189.42</v>
      </c>
      <c r="AK242" s="63">
        <v>1.78</v>
      </c>
      <c r="AL242" s="120">
        <v>0</v>
      </c>
      <c r="AM242" t="s">
        <v>512</v>
      </c>
      <c r="AN242" s="363">
        <v>6</v>
      </c>
    </row>
    <row r="243" spans="28:40">
      <c r="AB243" s="63"/>
      <c r="AC243" s="301"/>
      <c r="AD243" s="301"/>
      <c r="AE243" s="301"/>
      <c r="AF243" s="360"/>
      <c r="AG243" s="1" t="s">
        <v>507</v>
      </c>
      <c r="AI243" s="63">
        <f t="shared" ref="AI243:AI248" si="100">AJ243+AK243+AL243</f>
        <v>0</v>
      </c>
      <c r="AJ243" s="63">
        <v>0</v>
      </c>
      <c r="AK243" s="63">
        <v>0</v>
      </c>
      <c r="AL243" s="120">
        <v>0</v>
      </c>
      <c r="AM243" t="s">
        <v>513</v>
      </c>
      <c r="AN243" s="364"/>
    </row>
    <row r="244" spans="28:40">
      <c r="AB244" s="63">
        <f>AC244+AK244</f>
        <v>44.119999999999926</v>
      </c>
      <c r="AC244" s="301">
        <f>AI230-AI244</f>
        <v>41.829999999999927</v>
      </c>
      <c r="AD244" s="301">
        <f>AJ230-AJ244</f>
        <v>32.569999999999709</v>
      </c>
      <c r="AE244" s="301">
        <f>AK230-AK244</f>
        <v>9.2600000000000016</v>
      </c>
      <c r="AF244" s="360">
        <f>(AK244-AK230)/AJ244</f>
        <v>-2.256692702304215E-3</v>
      </c>
      <c r="AG244" s="1" t="s">
        <v>509</v>
      </c>
      <c r="AH244" s="333">
        <v>3.4000000000000002E-2</v>
      </c>
      <c r="AI244" s="63">
        <f t="shared" si="100"/>
        <v>4105.6400000000003</v>
      </c>
      <c r="AJ244" s="63">
        <v>4103.3500000000004</v>
      </c>
      <c r="AK244" s="63">
        <v>2.29</v>
      </c>
      <c r="AL244" s="120">
        <v>0</v>
      </c>
      <c r="AM244" t="s">
        <v>512</v>
      </c>
      <c r="AN244" s="363">
        <v>7</v>
      </c>
    </row>
    <row r="245" spans="28:40">
      <c r="AB245" s="63"/>
      <c r="AC245" s="301"/>
      <c r="AD245" s="301"/>
      <c r="AE245" s="301"/>
      <c r="AF245" s="360"/>
      <c r="AG245" s="1" t="s">
        <v>510</v>
      </c>
      <c r="AI245" s="63">
        <f t="shared" si="100"/>
        <v>0</v>
      </c>
      <c r="AJ245" s="63">
        <v>0</v>
      </c>
      <c r="AK245" s="63">
        <v>0</v>
      </c>
      <c r="AL245" s="120">
        <v>0</v>
      </c>
      <c r="AM245" t="s">
        <v>512</v>
      </c>
      <c r="AN245" s="364"/>
    </row>
    <row r="246" spans="28:40">
      <c r="AB246" s="63">
        <f>AC246+AK246</f>
        <v>55.070000000000107</v>
      </c>
      <c r="AC246" s="301">
        <f t="shared" ref="AC246:AE248" si="101">AI232-AI246</f>
        <v>51.880000000000109</v>
      </c>
      <c r="AD246" s="301">
        <f t="shared" si="101"/>
        <v>39</v>
      </c>
      <c r="AE246" s="301">
        <f t="shared" si="101"/>
        <v>12.88</v>
      </c>
      <c r="AF246" s="360">
        <f>(AK246-AK232)/AJ246</f>
        <v>-2.5618075859737059E-3</v>
      </c>
      <c r="AG246" s="1" t="s">
        <v>511</v>
      </c>
      <c r="AH246" s="333">
        <v>3.8600000000000002E-2</v>
      </c>
      <c r="AI246" s="63">
        <f t="shared" si="100"/>
        <v>5030.8899999999994</v>
      </c>
      <c r="AJ246" s="63">
        <v>5027.7</v>
      </c>
      <c r="AK246" s="63">
        <v>3.19</v>
      </c>
      <c r="AL246" s="120">
        <v>0</v>
      </c>
      <c r="AM246" t="s">
        <v>512</v>
      </c>
      <c r="AN246" s="363">
        <v>5</v>
      </c>
    </row>
    <row r="247" spans="28:40">
      <c r="AB247" s="63">
        <f>AC247+AK247</f>
        <v>21.380000000000091</v>
      </c>
      <c r="AC247" s="301">
        <f t="shared" si="101"/>
        <v>20.150000000000091</v>
      </c>
      <c r="AD247" s="301">
        <f t="shared" si="101"/>
        <v>15.180000000000064</v>
      </c>
      <c r="AE247" s="301">
        <f t="shared" si="101"/>
        <v>4.9700000000000006</v>
      </c>
      <c r="AF247" s="360">
        <f>(AK247-AK233)/AJ247</f>
        <v>-2.5622386851642774E-3</v>
      </c>
      <c r="AG247" s="1" t="s">
        <v>514</v>
      </c>
      <c r="AH247" s="333">
        <v>3.8600000000000002E-2</v>
      </c>
      <c r="AI247" s="63">
        <f t="shared" si="100"/>
        <v>1940.94</v>
      </c>
      <c r="AJ247" s="63">
        <v>1939.71</v>
      </c>
      <c r="AK247" s="63">
        <v>1.23</v>
      </c>
      <c r="AL247" s="120">
        <v>0</v>
      </c>
      <c r="AM247" t="s">
        <v>513</v>
      </c>
      <c r="AN247" s="363">
        <v>2</v>
      </c>
    </row>
    <row r="248" spans="28:40">
      <c r="AB248" s="63">
        <f>AC248+AK248</f>
        <v>7.8299999999998722</v>
      </c>
      <c r="AC248" s="301">
        <f t="shared" si="101"/>
        <v>-2.1100000000001273</v>
      </c>
      <c r="AD248" s="301">
        <f t="shared" si="101"/>
        <v>0</v>
      </c>
      <c r="AE248" s="301">
        <f t="shared" si="101"/>
        <v>-2.1099999999999994</v>
      </c>
      <c r="AF248" s="360">
        <f>(AK248-AK234)/AJ248</f>
        <v>8.9406779661016923E-4</v>
      </c>
      <c r="AG248" s="1" t="s">
        <v>515</v>
      </c>
      <c r="AH248" s="333">
        <v>4.6600000000000003E-2</v>
      </c>
      <c r="AI248" s="63">
        <f t="shared" si="100"/>
        <v>2369.94</v>
      </c>
      <c r="AJ248" s="63">
        <v>2360</v>
      </c>
      <c r="AK248" s="63">
        <v>9.94</v>
      </c>
      <c r="AL248" s="120">
        <v>0</v>
      </c>
      <c r="AM248" t="s">
        <v>512</v>
      </c>
      <c r="AN248" s="363">
        <v>1</v>
      </c>
    </row>
    <row r="249" spans="28:40">
      <c r="AB249" s="63"/>
      <c r="AC249" s="301"/>
      <c r="AD249" s="301"/>
      <c r="AE249" s="301"/>
      <c r="AF249" s="360"/>
      <c r="AG249" s="1" t="s">
        <v>516</v>
      </c>
      <c r="AH249" s="333"/>
      <c r="AI249" s="63">
        <v>0</v>
      </c>
      <c r="AJ249" s="63">
        <v>0</v>
      </c>
      <c r="AK249" s="63">
        <v>0</v>
      </c>
      <c r="AL249" s="120">
        <v>0</v>
      </c>
      <c r="AM249" t="s">
        <v>513</v>
      </c>
      <c r="AN249" s="364"/>
    </row>
    <row r="250" spans="28:40">
      <c r="AB250" s="63">
        <f>AC250+AK250</f>
        <v>28.200000000000273</v>
      </c>
      <c r="AC250" s="301">
        <f t="shared" ref="AC250:AE253" si="102">AI236-AI250</f>
        <v>26.450000000000273</v>
      </c>
      <c r="AD250" s="301">
        <f t="shared" si="102"/>
        <v>19.350000000000364</v>
      </c>
      <c r="AE250" s="301">
        <f t="shared" si="102"/>
        <v>7.1</v>
      </c>
      <c r="AF250" s="360">
        <f>(AK250-AK236)/AJ250</f>
        <v>-2.8485799227272544E-3</v>
      </c>
      <c r="AG250" s="1" t="s">
        <v>517</v>
      </c>
      <c r="AH250" s="333">
        <v>4.2900000000000001E-2</v>
      </c>
      <c r="AI250" s="63">
        <f>AJ250+AK250+AL250</f>
        <v>2494.2199999999998</v>
      </c>
      <c r="AJ250" s="63">
        <v>2492.4699999999998</v>
      </c>
      <c r="AK250" s="63">
        <v>1.75</v>
      </c>
      <c r="AL250" s="120">
        <v>0</v>
      </c>
      <c r="AM250" t="s">
        <v>512</v>
      </c>
      <c r="AN250" s="363">
        <v>3</v>
      </c>
    </row>
    <row r="251" spans="28:40">
      <c r="AB251" s="63">
        <f>AC251+AK251</f>
        <v>70.050000000001234</v>
      </c>
      <c r="AC251" s="301">
        <f t="shared" si="102"/>
        <v>65.640000000001237</v>
      </c>
      <c r="AD251" s="301">
        <f t="shared" si="102"/>
        <v>47.830000000000837</v>
      </c>
      <c r="AE251" s="301">
        <f t="shared" si="102"/>
        <v>17.809999999999999</v>
      </c>
      <c r="AF251" s="360">
        <f>(AK251-AK237)/AJ251</f>
        <v>-2.8513381757519383E-3</v>
      </c>
      <c r="AG251" s="1" t="s">
        <v>518</v>
      </c>
      <c r="AH251" s="333">
        <v>4.2999999999999997E-2</v>
      </c>
      <c r="AI251" s="63">
        <f>AJ251+AK251+AL251</f>
        <v>6250.5999999999995</v>
      </c>
      <c r="AJ251" s="63">
        <v>6246.19</v>
      </c>
      <c r="AK251" s="63">
        <v>4.41</v>
      </c>
      <c r="AL251" s="120">
        <v>0</v>
      </c>
      <c r="AM251" t="s">
        <v>513</v>
      </c>
      <c r="AN251" s="363">
        <v>4</v>
      </c>
    </row>
    <row r="252" spans="28:40">
      <c r="AC252" s="301">
        <f t="shared" si="102"/>
        <v>0</v>
      </c>
      <c r="AD252" s="301">
        <f t="shared" si="102"/>
        <v>0</v>
      </c>
      <c r="AE252" s="301">
        <f t="shared" si="102"/>
        <v>57.11</v>
      </c>
      <c r="AF252" s="360"/>
      <c r="AK252" s="6">
        <f>SUM(AK242:AK251)</f>
        <v>24.59</v>
      </c>
    </row>
    <row r="253" spans="28:40">
      <c r="AB253" s="63">
        <f>SUM(AB242:AB251)</f>
        <v>260.95000000000101</v>
      </c>
      <c r="AC253" s="301">
        <f t="shared" si="102"/>
        <v>0</v>
      </c>
      <c r="AD253" s="301">
        <f t="shared" si="102"/>
        <v>0</v>
      </c>
      <c r="AE253" s="301">
        <f t="shared" si="102"/>
        <v>0</v>
      </c>
      <c r="AF253" s="360"/>
    </row>
    <row r="255" spans="28:40">
      <c r="AB255" s="63"/>
      <c r="AC255" s="63"/>
      <c r="AD255" s="63"/>
      <c r="AE255" s="66"/>
      <c r="AF255" s="102">
        <v>45549</v>
      </c>
      <c r="AH255" s="8" t="s">
        <v>521</v>
      </c>
      <c r="AI255" s="6">
        <f>SUM(AI257:AI266)</f>
        <v>25311.839999999997</v>
      </c>
      <c r="AJ255" s="8" t="s">
        <v>560</v>
      </c>
      <c r="AK255" s="8"/>
      <c r="AL255" s="8"/>
      <c r="AM255" s="338">
        <v>255.6</v>
      </c>
      <c r="AN255">
        <v>285.51</v>
      </c>
    </row>
    <row r="256" spans="28:40">
      <c r="AB256" s="63"/>
      <c r="AC256" s="63" t="s">
        <v>699</v>
      </c>
      <c r="AD256" s="63" t="s">
        <v>700</v>
      </c>
      <c r="AE256" s="66" t="s">
        <v>701</v>
      </c>
      <c r="AG256" t="s">
        <v>508</v>
      </c>
      <c r="AH256" t="s">
        <v>520</v>
      </c>
      <c r="AI256" t="s">
        <v>12</v>
      </c>
      <c r="AJ256" t="s">
        <v>519</v>
      </c>
      <c r="AK256" t="s">
        <v>154</v>
      </c>
      <c r="AL256" t="s">
        <v>332</v>
      </c>
    </row>
    <row r="257" spans="28:40">
      <c r="AB257" s="63"/>
      <c r="AC257" s="301">
        <f t="shared" ref="AC257:AC266" si="103">AI243-AI257</f>
        <v>-3190.98</v>
      </c>
      <c r="AD257" s="301">
        <f t="shared" ref="AD257:AD266" si="104">AJ243-AJ257</f>
        <v>-3189.42</v>
      </c>
      <c r="AE257" s="301">
        <f t="shared" ref="AE257:AE266" si="105">AK243-AK257</f>
        <v>-1.56</v>
      </c>
      <c r="AF257" s="360">
        <f>(AK257-AK243)/AJ257</f>
        <v>4.8911714355588166E-4</v>
      </c>
      <c r="AG257" s="1" t="s">
        <v>506</v>
      </c>
      <c r="AH257" s="333">
        <v>3.4000000000000002E-2</v>
      </c>
      <c r="AI257" s="63">
        <f>AJ257+AK257+AL257</f>
        <v>3190.98</v>
      </c>
      <c r="AJ257" s="63">
        <v>3189.42</v>
      </c>
      <c r="AK257" s="63">
        <v>1.56</v>
      </c>
      <c r="AL257" s="120">
        <v>0</v>
      </c>
      <c r="AM257" t="s">
        <v>512</v>
      </c>
      <c r="AN257" s="363">
        <v>6</v>
      </c>
    </row>
    <row r="258" spans="28:40">
      <c r="AB258" s="63"/>
      <c r="AC258" s="301"/>
      <c r="AD258" s="301"/>
      <c r="AE258" s="301"/>
      <c r="AF258" s="360"/>
      <c r="AG258" s="1" t="s">
        <v>507</v>
      </c>
      <c r="AI258" s="63">
        <f t="shared" ref="AI258:AI263" si="106">AJ258+AK258+AL258</f>
        <v>0</v>
      </c>
      <c r="AJ258" s="63">
        <v>0</v>
      </c>
      <c r="AK258" s="63">
        <v>0</v>
      </c>
      <c r="AL258" s="120">
        <v>0</v>
      </c>
      <c r="AM258" t="s">
        <v>513</v>
      </c>
      <c r="AN258" s="364"/>
    </row>
    <row r="259" spans="28:40">
      <c r="AB259" s="63"/>
      <c r="AC259" s="301">
        <f t="shared" si="103"/>
        <v>-4104.93</v>
      </c>
      <c r="AD259" s="301">
        <f t="shared" si="104"/>
        <v>-4103.0200000000004</v>
      </c>
      <c r="AE259" s="301">
        <f t="shared" si="105"/>
        <v>-1.91</v>
      </c>
      <c r="AF259" s="360">
        <f>(AK259-AK245)/AJ259</f>
        <v>4.6551077011567081E-4</v>
      </c>
      <c r="AG259" s="1" t="s">
        <v>509</v>
      </c>
      <c r="AH259" s="333">
        <v>3.4000000000000002E-2</v>
      </c>
      <c r="AI259" s="63">
        <f t="shared" si="106"/>
        <v>4104.93</v>
      </c>
      <c r="AJ259" s="63">
        <v>4103.0200000000004</v>
      </c>
      <c r="AK259" s="63">
        <v>1.91</v>
      </c>
      <c r="AL259" s="120">
        <v>0</v>
      </c>
      <c r="AM259" t="s">
        <v>512</v>
      </c>
      <c r="AN259" s="363">
        <v>7</v>
      </c>
    </row>
    <row r="260" spans="28:40">
      <c r="AB260" s="63"/>
      <c r="AC260" s="301"/>
      <c r="AD260" s="301"/>
      <c r="AE260" s="301"/>
      <c r="AF260" s="360"/>
      <c r="AG260" s="1" t="s">
        <v>510</v>
      </c>
      <c r="AI260" s="63">
        <f t="shared" si="106"/>
        <v>0</v>
      </c>
      <c r="AJ260" s="63">
        <v>0</v>
      </c>
      <c r="AK260" s="63">
        <v>0</v>
      </c>
      <c r="AL260" s="120">
        <v>0</v>
      </c>
      <c r="AM260" t="s">
        <v>512</v>
      </c>
      <c r="AN260" s="364"/>
    </row>
    <row r="261" spans="28:40">
      <c r="AB261" s="63"/>
      <c r="AC261" s="301">
        <f t="shared" si="103"/>
        <v>-3089.64</v>
      </c>
      <c r="AD261" s="301">
        <f t="shared" si="104"/>
        <v>-3087.99</v>
      </c>
      <c r="AE261" s="301">
        <f t="shared" si="105"/>
        <v>-1.65</v>
      </c>
      <c r="AF261" s="360">
        <f>(AK261-AK247)/AJ261</f>
        <v>3.2818187242675576E-4</v>
      </c>
      <c r="AG261" s="1" t="s">
        <v>511</v>
      </c>
      <c r="AH261" s="333">
        <v>3.8600000000000002E-2</v>
      </c>
      <c r="AI261" s="63">
        <f t="shared" si="106"/>
        <v>5030.58</v>
      </c>
      <c r="AJ261" s="63">
        <v>5027.7</v>
      </c>
      <c r="AK261" s="63">
        <v>2.88</v>
      </c>
      <c r="AL261" s="120">
        <v>0</v>
      </c>
      <c r="AM261" t="s">
        <v>512</v>
      </c>
      <c r="AN261" s="363">
        <v>5</v>
      </c>
    </row>
    <row r="262" spans="28:40">
      <c r="AB262" s="63"/>
      <c r="AC262" s="301">
        <f t="shared" si="103"/>
        <v>429.78</v>
      </c>
      <c r="AD262" s="301">
        <f t="shared" si="104"/>
        <v>420.8599999999999</v>
      </c>
      <c r="AE262" s="301">
        <f t="shared" si="105"/>
        <v>8.92</v>
      </c>
      <c r="AF262" s="360">
        <f>(AK262-AK248)/AJ262</f>
        <v>-4.5999773095289666E-3</v>
      </c>
      <c r="AG262" s="1" t="s">
        <v>514</v>
      </c>
      <c r="AH262" s="333">
        <v>3.8600000000000002E-2</v>
      </c>
      <c r="AI262" s="63">
        <f t="shared" si="106"/>
        <v>1940.16</v>
      </c>
      <c r="AJ262" s="63">
        <v>1939.14</v>
      </c>
      <c r="AK262" s="63">
        <v>1.02</v>
      </c>
      <c r="AL262" s="120">
        <v>0</v>
      </c>
      <c r="AM262" t="s">
        <v>513</v>
      </c>
      <c r="AN262" s="363">
        <v>2</v>
      </c>
    </row>
    <row r="263" spans="28:40">
      <c r="AB263" s="63"/>
      <c r="AC263" s="301">
        <f t="shared" si="103"/>
        <v>-2301.1999999999998</v>
      </c>
      <c r="AD263" s="301">
        <f t="shared" si="104"/>
        <v>-2299.7399999999998</v>
      </c>
      <c r="AE263" s="301">
        <f t="shared" si="105"/>
        <v>-1.46</v>
      </c>
      <c r="AF263" s="360">
        <f>(AK263-AK249)/AJ263</f>
        <v>6.3485437484237352E-4</v>
      </c>
      <c r="AG263" s="1" t="s">
        <v>515</v>
      </c>
      <c r="AH263" s="333">
        <v>4.6600000000000003E-2</v>
      </c>
      <c r="AI263" s="63">
        <f t="shared" si="106"/>
        <v>2301.1999999999998</v>
      </c>
      <c r="AJ263" s="63">
        <v>2299.7399999999998</v>
      </c>
      <c r="AK263" s="63">
        <v>1.46</v>
      </c>
      <c r="AL263" s="120">
        <v>0</v>
      </c>
      <c r="AM263" t="s">
        <v>512</v>
      </c>
      <c r="AN263" s="363">
        <v>1</v>
      </c>
    </row>
    <row r="264" spans="28:40">
      <c r="AB264" s="63"/>
      <c r="AC264" s="301"/>
      <c r="AD264" s="301"/>
      <c r="AE264" s="301"/>
      <c r="AF264" s="360"/>
      <c r="AG264" s="1" t="s">
        <v>516</v>
      </c>
      <c r="AH264" s="333"/>
      <c r="AI264" s="63">
        <v>0</v>
      </c>
      <c r="AJ264" s="63">
        <v>0</v>
      </c>
      <c r="AK264" s="63">
        <v>0</v>
      </c>
      <c r="AL264" s="120">
        <v>0</v>
      </c>
      <c r="AM264" t="s">
        <v>513</v>
      </c>
      <c r="AN264" s="364"/>
    </row>
    <row r="265" spans="28:40">
      <c r="AB265" s="63"/>
      <c r="AC265" s="301">
        <f t="shared" si="103"/>
        <v>3756.6199999999994</v>
      </c>
      <c r="AD265" s="301">
        <f t="shared" si="104"/>
        <v>3753.72</v>
      </c>
      <c r="AE265" s="301">
        <f t="shared" si="105"/>
        <v>2.9000000000000004</v>
      </c>
      <c r="AF265" s="360">
        <f>(AK265-AK251)/AJ265</f>
        <v>-1.1635044754801465E-3</v>
      </c>
      <c r="AG265" s="1" t="s">
        <v>517</v>
      </c>
      <c r="AH265" s="333">
        <v>4.2900000000000001E-2</v>
      </c>
      <c r="AI265" s="63">
        <f>AJ265+AK265+AL265</f>
        <v>2493.98</v>
      </c>
      <c r="AJ265" s="63">
        <v>2492.4699999999998</v>
      </c>
      <c r="AK265" s="63">
        <v>1.51</v>
      </c>
      <c r="AL265" s="120">
        <v>0</v>
      </c>
      <c r="AM265" t="s">
        <v>512</v>
      </c>
      <c r="AN265" s="363">
        <v>3</v>
      </c>
    </row>
    <row r="266" spans="28:40">
      <c r="AB266" s="63"/>
      <c r="AC266" s="301">
        <f t="shared" si="103"/>
        <v>-6250.0099999999993</v>
      </c>
      <c r="AD266" s="301">
        <f t="shared" si="104"/>
        <v>-6246.19</v>
      </c>
      <c r="AE266" s="301">
        <f t="shared" si="105"/>
        <v>20.77</v>
      </c>
      <c r="AF266" s="360">
        <f>(AK266-AK252)/AJ266</f>
        <v>-3.3252270584148099E-3</v>
      </c>
      <c r="AG266" s="1" t="s">
        <v>518</v>
      </c>
      <c r="AH266" s="333">
        <v>4.2999999999999997E-2</v>
      </c>
      <c r="AI266" s="63">
        <f>AJ266+AK266+AL266</f>
        <v>6250.0099999999993</v>
      </c>
      <c r="AJ266" s="63">
        <v>6246.19</v>
      </c>
      <c r="AK266" s="63">
        <v>3.82</v>
      </c>
      <c r="AL266" s="120">
        <v>0</v>
      </c>
      <c r="AM266" t="s">
        <v>513</v>
      </c>
      <c r="AN266" s="363">
        <v>4</v>
      </c>
    </row>
    <row r="267" spans="28:40">
      <c r="AB267" s="63"/>
      <c r="AC267" s="63">
        <f>SUM(AC257:AC266)</f>
        <v>-14750.359999999997</v>
      </c>
      <c r="AD267" s="63">
        <f>SUM(AD257:AD266)</f>
        <v>-14751.779999999999</v>
      </c>
      <c r="AE267" s="63">
        <f>SUM(AE257:AE266)</f>
        <v>26.01</v>
      </c>
      <c r="AF267" s="66"/>
      <c r="AK267" s="6">
        <f>SUM(AK257:AK266)</f>
        <v>14.159999999999998</v>
      </c>
    </row>
    <row r="268" spans="28:40">
      <c r="AB268" s="63"/>
      <c r="AC268" s="63"/>
      <c r="AD268" s="63"/>
      <c r="AE268" s="6"/>
      <c r="AF268" s="66"/>
      <c r="AN268" t="s">
        <v>694</v>
      </c>
    </row>
    <row r="269" spans="28:40">
      <c r="AB269" s="63"/>
      <c r="AC269" s="63"/>
      <c r="AD269" s="63"/>
      <c r="AE269" s="66"/>
      <c r="AF269" s="102">
        <v>45568</v>
      </c>
      <c r="AH269" s="8" t="s">
        <v>521</v>
      </c>
      <c r="AI269" s="6">
        <f>SUM(AI271:AI280)</f>
        <v>25363.84</v>
      </c>
      <c r="AJ269" s="8" t="s">
        <v>560</v>
      </c>
      <c r="AK269" s="8"/>
      <c r="AL269" s="8"/>
      <c r="AM269" s="338">
        <v>255.6</v>
      </c>
      <c r="AN269">
        <v>285.51</v>
      </c>
    </row>
    <row r="270" spans="28:40">
      <c r="AB270" s="63" t="s">
        <v>739</v>
      </c>
      <c r="AC270" s="63" t="s">
        <v>699</v>
      </c>
      <c r="AD270" s="63" t="s">
        <v>700</v>
      </c>
      <c r="AE270" s="66" t="s">
        <v>701</v>
      </c>
      <c r="AG270" t="s">
        <v>508</v>
      </c>
      <c r="AH270" t="s">
        <v>520</v>
      </c>
      <c r="AI270" t="s">
        <v>12</v>
      </c>
      <c r="AJ270" t="s">
        <v>519</v>
      </c>
      <c r="AK270" t="s">
        <v>154</v>
      </c>
      <c r="AL270" t="s">
        <v>332</v>
      </c>
      <c r="AN270" t="s">
        <v>740</v>
      </c>
    </row>
    <row r="271" spans="28:40">
      <c r="AB271" s="63">
        <f>AC271+AK271</f>
        <v>1.5600000000001275</v>
      </c>
      <c r="AC271" s="301">
        <f>AI257-AI271</f>
        <v>-5.6399999999998727</v>
      </c>
      <c r="AD271" s="301">
        <f>AJ257-AJ271</f>
        <v>0</v>
      </c>
      <c r="AE271" s="301">
        <f>AK257-AK271</f>
        <v>-5.6400000000000006</v>
      </c>
      <c r="AF271" s="360">
        <f>(AK271-AK257)/AJ271</f>
        <v>1.768346595932803E-3</v>
      </c>
      <c r="AG271" s="1" t="s">
        <v>506</v>
      </c>
      <c r="AH271" s="333">
        <v>3.4000000000000002E-2</v>
      </c>
      <c r="AI271" s="63">
        <f>AJ271+AK271+AL271</f>
        <v>3196.62</v>
      </c>
      <c r="AJ271" s="63">
        <v>3189.42</v>
      </c>
      <c r="AK271" s="63">
        <v>7.2</v>
      </c>
      <c r="AL271" s="120">
        <v>0</v>
      </c>
      <c r="AM271" t="s">
        <v>512</v>
      </c>
      <c r="AN271" s="363">
        <v>6</v>
      </c>
    </row>
    <row r="272" spans="28:40">
      <c r="AB272" s="63"/>
      <c r="AC272" s="301"/>
      <c r="AD272" s="301"/>
      <c r="AE272" s="301"/>
      <c r="AF272" s="360"/>
      <c r="AG272" s="1" t="s">
        <v>507</v>
      </c>
      <c r="AI272" s="63">
        <f t="shared" ref="AI272:AI277" si="107">AJ272+AK272+AL272</f>
        <v>0</v>
      </c>
      <c r="AJ272" s="63">
        <v>0</v>
      </c>
      <c r="AK272" s="63"/>
      <c r="AL272" s="120">
        <v>0</v>
      </c>
      <c r="AM272" t="s">
        <v>513</v>
      </c>
      <c r="AN272" s="364"/>
    </row>
    <row r="273" spans="28:40">
      <c r="AB273" s="63">
        <f>AC273+AK273</f>
        <v>1.9099999999997817</v>
      </c>
      <c r="AC273" s="301">
        <f>AI259-AI273</f>
        <v>-7.2600000000002183</v>
      </c>
      <c r="AD273" s="301">
        <f>AJ259-AJ273</f>
        <v>0</v>
      </c>
      <c r="AE273" s="301">
        <f>AK259-AK273</f>
        <v>-7.26</v>
      </c>
      <c r="AF273" s="360">
        <f>(AK273-AK259)/AJ273</f>
        <v>1.7694283722721311E-3</v>
      </c>
      <c r="AG273" s="1" t="s">
        <v>509</v>
      </c>
      <c r="AH273" s="333">
        <v>3.4000000000000002E-2</v>
      </c>
      <c r="AI273" s="63">
        <f t="shared" si="107"/>
        <v>4112.1900000000005</v>
      </c>
      <c r="AJ273" s="63">
        <v>4103.0200000000004</v>
      </c>
      <c r="AK273" s="63">
        <v>9.17</v>
      </c>
      <c r="AL273" s="120">
        <v>0</v>
      </c>
      <c r="AM273" t="s">
        <v>512</v>
      </c>
      <c r="AN273" s="363">
        <v>7</v>
      </c>
    </row>
    <row r="274" spans="28:40">
      <c r="AB274" s="63"/>
      <c r="AC274" s="301"/>
      <c r="AD274" s="301"/>
      <c r="AE274" s="301"/>
      <c r="AF274" s="360"/>
      <c r="AG274" s="1" t="s">
        <v>510</v>
      </c>
      <c r="AI274" s="63">
        <f t="shared" si="107"/>
        <v>0</v>
      </c>
      <c r="AJ274" s="63">
        <v>0</v>
      </c>
      <c r="AK274" s="63"/>
      <c r="AL274" s="120">
        <v>0</v>
      </c>
      <c r="AM274" t="s">
        <v>512</v>
      </c>
      <c r="AN274" s="364"/>
    </row>
    <row r="275" spans="28:40">
      <c r="AB275" s="63">
        <f>AC275+AK275</f>
        <v>2.8799999999998551</v>
      </c>
      <c r="AC275" s="301">
        <f t="shared" ref="AC275:AE277" si="108">AI261-AI275</f>
        <v>-10.090000000000146</v>
      </c>
      <c r="AD275" s="301">
        <f t="shared" si="108"/>
        <v>0</v>
      </c>
      <c r="AE275" s="301">
        <f t="shared" si="108"/>
        <v>-10.09</v>
      </c>
      <c r="AF275" s="360">
        <f>(AK275-AK261)/AJ275</f>
        <v>2.0068818744157367E-3</v>
      </c>
      <c r="AG275" s="1" t="s">
        <v>511</v>
      </c>
      <c r="AH275" s="333">
        <v>3.8600000000000002E-2</v>
      </c>
      <c r="AI275" s="63">
        <f t="shared" si="107"/>
        <v>5040.67</v>
      </c>
      <c r="AJ275" s="63">
        <v>5027.7</v>
      </c>
      <c r="AK275" s="63">
        <v>12.97</v>
      </c>
      <c r="AL275" s="120">
        <v>0</v>
      </c>
      <c r="AM275" t="s">
        <v>512</v>
      </c>
      <c r="AN275" s="363">
        <v>5</v>
      </c>
    </row>
    <row r="276" spans="28:40">
      <c r="AB276" s="63">
        <f>AC276+AK276</f>
        <v>1.019999999999909</v>
      </c>
      <c r="AC276" s="301">
        <f t="shared" si="108"/>
        <v>-3.9000000000000909</v>
      </c>
      <c r="AD276" s="301">
        <f t="shared" si="108"/>
        <v>0</v>
      </c>
      <c r="AE276" s="301">
        <f t="shared" si="108"/>
        <v>-3.9</v>
      </c>
      <c r="AF276" s="360">
        <f>(AK276-AK262)/AJ276</f>
        <v>2.0112008416101981E-3</v>
      </c>
      <c r="AG276" s="1" t="s">
        <v>514</v>
      </c>
      <c r="AH276" s="333">
        <v>3.8600000000000002E-2</v>
      </c>
      <c r="AI276" s="63">
        <f t="shared" si="107"/>
        <v>1944.0600000000002</v>
      </c>
      <c r="AJ276" s="63">
        <v>1939.14</v>
      </c>
      <c r="AK276" s="63">
        <v>4.92</v>
      </c>
      <c r="AL276" s="120">
        <v>0</v>
      </c>
      <c r="AM276" t="s">
        <v>513</v>
      </c>
      <c r="AN276" s="363">
        <v>2</v>
      </c>
    </row>
    <row r="277" spans="28:40">
      <c r="AB277" s="63">
        <f>AC277+AK277</f>
        <v>1.4600000000000728</v>
      </c>
      <c r="AC277" s="301">
        <f t="shared" si="108"/>
        <v>-5.5799999999999272</v>
      </c>
      <c r="AD277" s="301">
        <f t="shared" si="108"/>
        <v>0</v>
      </c>
      <c r="AE277" s="301">
        <f t="shared" si="108"/>
        <v>-5.58</v>
      </c>
      <c r="AF277" s="360">
        <f>(AK277-AK263)/AJ277</f>
        <v>2.4263612408359208E-3</v>
      </c>
      <c r="AG277" s="1" t="s">
        <v>515</v>
      </c>
      <c r="AH277" s="333">
        <v>4.6600000000000003E-2</v>
      </c>
      <c r="AI277" s="63">
        <f t="shared" si="107"/>
        <v>2306.7799999999997</v>
      </c>
      <c r="AJ277" s="63">
        <v>2299.7399999999998</v>
      </c>
      <c r="AK277" s="63">
        <v>7.04</v>
      </c>
      <c r="AL277" s="120">
        <v>0</v>
      </c>
      <c r="AM277" t="s">
        <v>512</v>
      </c>
      <c r="AN277" s="363">
        <v>1</v>
      </c>
    </row>
    <row r="278" spans="28:40">
      <c r="AB278" s="63"/>
      <c r="AC278" s="301"/>
      <c r="AD278" s="301"/>
      <c r="AE278" s="301"/>
      <c r="AF278" s="360"/>
      <c r="AG278" s="1" t="s">
        <v>516</v>
      </c>
      <c r="AH278" s="333"/>
      <c r="AI278" s="63">
        <v>0</v>
      </c>
      <c r="AJ278" s="63">
        <v>0</v>
      </c>
      <c r="AK278" s="63"/>
      <c r="AL278" s="120">
        <v>0</v>
      </c>
      <c r="AM278" t="s">
        <v>513</v>
      </c>
      <c r="AN278" s="364"/>
    </row>
    <row r="279" spans="28:40">
      <c r="AB279" s="63">
        <f>AC279+AK279</f>
        <v>1.5100000000000549</v>
      </c>
      <c r="AC279" s="301">
        <f t="shared" ref="AC279:AE282" si="109">AI265-AI279</f>
        <v>-5.5599999999999454</v>
      </c>
      <c r="AD279" s="301">
        <f t="shared" si="109"/>
        <v>0</v>
      </c>
      <c r="AE279" s="301">
        <f t="shared" si="109"/>
        <v>-5.5600000000000005</v>
      </c>
      <c r="AF279" s="360">
        <f>(AK279-AK265)/AJ279</f>
        <v>2.2307189254033152E-3</v>
      </c>
      <c r="AG279" s="1" t="s">
        <v>517</v>
      </c>
      <c r="AH279" s="333">
        <v>4.2900000000000001E-2</v>
      </c>
      <c r="AI279" s="63">
        <f>AJ279+AK279+AL279</f>
        <v>2499.54</v>
      </c>
      <c r="AJ279" s="63">
        <v>2492.4699999999998</v>
      </c>
      <c r="AK279" s="63">
        <v>7.07</v>
      </c>
      <c r="AL279" s="120">
        <v>0</v>
      </c>
      <c r="AM279" t="s">
        <v>512</v>
      </c>
      <c r="AN279" s="363">
        <v>3</v>
      </c>
    </row>
    <row r="280" spans="28:40">
      <c r="AB280" s="63">
        <f>AC280+AK280</f>
        <v>3.8199999999997445</v>
      </c>
      <c r="AC280" s="301">
        <f t="shared" si="109"/>
        <v>-13.970000000000255</v>
      </c>
      <c r="AD280" s="301">
        <f t="shared" si="109"/>
        <v>0</v>
      </c>
      <c r="AE280" s="301">
        <f t="shared" si="109"/>
        <v>-13.969999999999999</v>
      </c>
      <c r="AF280" s="360">
        <f>(AK280-AK266)/AJ280</f>
        <v>2.2365634090541595E-3</v>
      </c>
      <c r="AG280" s="1" t="s">
        <v>518</v>
      </c>
      <c r="AH280" s="333">
        <v>4.2999999999999997E-2</v>
      </c>
      <c r="AI280" s="63">
        <f>AJ280+AK280+AL280</f>
        <v>6263.98</v>
      </c>
      <c r="AJ280" s="63">
        <v>6246.19</v>
      </c>
      <c r="AK280" s="63">
        <v>17.79</v>
      </c>
      <c r="AL280" s="120">
        <v>0</v>
      </c>
      <c r="AM280" t="s">
        <v>513</v>
      </c>
      <c r="AN280" s="363">
        <v>4</v>
      </c>
    </row>
    <row r="281" spans="28:40">
      <c r="AC281" s="301">
        <f t="shared" si="109"/>
        <v>0</v>
      </c>
      <c r="AD281" s="301">
        <f t="shared" si="109"/>
        <v>0</v>
      </c>
      <c r="AE281" s="301">
        <f t="shared" si="109"/>
        <v>-52</v>
      </c>
      <c r="AF281" s="360"/>
      <c r="AK281" s="6">
        <f>SUM(AK271:AK280)</f>
        <v>66.16</v>
      </c>
    </row>
    <row r="282" spans="28:40">
      <c r="AB282" s="63">
        <f>SUM(AB271:AB280)</f>
        <v>14.159999999999545</v>
      </c>
      <c r="AC282" s="301">
        <f t="shared" si="109"/>
        <v>0</v>
      </c>
      <c r="AD282" s="301">
        <f t="shared" si="109"/>
        <v>0</v>
      </c>
      <c r="AE282" s="301">
        <f t="shared" si="109"/>
        <v>0</v>
      </c>
      <c r="AF282" s="360"/>
    </row>
    <row r="284" spans="28:40">
      <c r="AB284" s="63"/>
      <c r="AC284" s="63"/>
      <c r="AD284" s="63"/>
      <c r="AE284" s="66"/>
      <c r="AF284" s="102">
        <v>45574</v>
      </c>
      <c r="AH284" s="8" t="s">
        <v>521</v>
      </c>
      <c r="AI284" s="6">
        <f>SUM(AI286:AI295)</f>
        <v>25124.560000000001</v>
      </c>
      <c r="AJ284" s="8" t="s">
        <v>560</v>
      </c>
      <c r="AK284" s="8"/>
      <c r="AL284" s="8"/>
      <c r="AM284" s="338">
        <v>260.64999999999998</v>
      </c>
      <c r="AN284">
        <v>285.51</v>
      </c>
    </row>
    <row r="285" spans="28:40">
      <c r="AB285" s="63"/>
      <c r="AC285" s="63" t="s">
        <v>699</v>
      </c>
      <c r="AD285" s="63" t="s">
        <v>700</v>
      </c>
      <c r="AE285" s="66" t="s">
        <v>701</v>
      </c>
      <c r="AG285" t="s">
        <v>508</v>
      </c>
      <c r="AH285" t="s">
        <v>520</v>
      </c>
      <c r="AI285" t="s">
        <v>12</v>
      </c>
      <c r="AJ285" t="s">
        <v>519</v>
      </c>
      <c r="AK285" t="s">
        <v>154</v>
      </c>
      <c r="AL285" t="s">
        <v>332</v>
      </c>
    </row>
    <row r="286" spans="28:40">
      <c r="AB286" s="63"/>
      <c r="AC286" s="301">
        <f>AI272-AI286</f>
        <v>-3163.79</v>
      </c>
      <c r="AD286" s="301">
        <f>AJ272-AJ286</f>
        <v>-3162.32</v>
      </c>
      <c r="AE286" s="301">
        <f>AK272-AK286</f>
        <v>-1.47</v>
      </c>
      <c r="AF286" s="360">
        <f>(AK286-AK272)/AJ286</f>
        <v>4.6484859217283509E-4</v>
      </c>
      <c r="AG286" s="1" t="s">
        <v>506</v>
      </c>
      <c r="AH286" s="333">
        <v>3.4000000000000002E-2</v>
      </c>
      <c r="AI286" s="63">
        <f>AJ286+AK286+AL286</f>
        <v>3163.79</v>
      </c>
      <c r="AJ286" s="63">
        <v>3162.32</v>
      </c>
      <c r="AK286" s="63">
        <v>1.47</v>
      </c>
      <c r="AL286" s="120">
        <v>0</v>
      </c>
      <c r="AM286" t="s">
        <v>512</v>
      </c>
      <c r="AN286" s="363">
        <v>6</v>
      </c>
    </row>
    <row r="287" spans="28:40">
      <c r="AB287" s="63"/>
      <c r="AC287" s="301"/>
      <c r="AD287" s="301"/>
      <c r="AE287" s="301"/>
      <c r="AF287" s="360"/>
      <c r="AG287" s="1" t="s">
        <v>507</v>
      </c>
      <c r="AI287" s="63">
        <f t="shared" ref="AI287:AI292" si="110">AJ287+AK287+AL287</f>
        <v>0</v>
      </c>
      <c r="AJ287" s="63">
        <v>0</v>
      </c>
      <c r="AK287" s="63">
        <v>0</v>
      </c>
      <c r="AL287" s="120">
        <v>0</v>
      </c>
      <c r="AM287" t="s">
        <v>513</v>
      </c>
      <c r="AN287" s="364"/>
    </row>
    <row r="288" spans="28:40">
      <c r="AB288" s="63"/>
      <c r="AC288" s="301">
        <f>AI274-AI288</f>
        <v>-4069.95</v>
      </c>
      <c r="AD288" s="301">
        <f>AJ274-AJ288</f>
        <v>-4068.06</v>
      </c>
      <c r="AE288" s="301">
        <f>AK274-AK288</f>
        <v>-1.89</v>
      </c>
      <c r="AF288" s="360">
        <f>(AK288-AK274)/AJ288</f>
        <v>4.6459491747909322E-4</v>
      </c>
      <c r="AG288" s="1" t="s">
        <v>509</v>
      </c>
      <c r="AH288" s="333">
        <v>3.4000000000000002E-2</v>
      </c>
      <c r="AI288" s="63">
        <f t="shared" si="110"/>
        <v>4069.95</v>
      </c>
      <c r="AJ288" s="63">
        <v>4068.06</v>
      </c>
      <c r="AK288" s="63">
        <v>1.89</v>
      </c>
      <c r="AL288" s="120">
        <v>0</v>
      </c>
      <c r="AM288" t="s">
        <v>512</v>
      </c>
      <c r="AN288" s="363">
        <v>7</v>
      </c>
    </row>
    <row r="289" spans="28:40">
      <c r="AB289" s="63"/>
      <c r="AC289" s="301"/>
      <c r="AD289" s="301"/>
      <c r="AE289" s="301"/>
      <c r="AF289" s="360"/>
      <c r="AG289" s="1" t="s">
        <v>510</v>
      </c>
      <c r="AI289" s="63">
        <f t="shared" si="110"/>
        <v>0</v>
      </c>
      <c r="AJ289" s="63">
        <v>0</v>
      </c>
      <c r="AK289" s="63">
        <v>0</v>
      </c>
      <c r="AL289" s="120">
        <v>0</v>
      </c>
      <c r="AM289" t="s">
        <v>512</v>
      </c>
      <c r="AN289" s="364"/>
    </row>
    <row r="290" spans="28:40">
      <c r="AB290" s="63"/>
      <c r="AC290" s="301">
        <f t="shared" ref="AC290:AE292" si="111">AI276-AI290</f>
        <v>-3044.1800000000003</v>
      </c>
      <c r="AD290" s="301">
        <f t="shared" si="111"/>
        <v>-3046.46</v>
      </c>
      <c r="AE290" s="301">
        <f t="shared" si="111"/>
        <v>2.2799999999999998</v>
      </c>
      <c r="AF290" s="360">
        <f>(AK290-AK276)/AJ290</f>
        <v>-4.5731707317073163E-4</v>
      </c>
      <c r="AG290" s="1" t="s">
        <v>511</v>
      </c>
      <c r="AH290" s="333">
        <v>3.8600000000000002E-2</v>
      </c>
      <c r="AI290" s="63">
        <f t="shared" si="110"/>
        <v>4988.2400000000007</v>
      </c>
      <c r="AJ290" s="63">
        <v>4985.6000000000004</v>
      </c>
      <c r="AK290" s="63">
        <v>2.64</v>
      </c>
      <c r="AL290" s="120">
        <v>0</v>
      </c>
      <c r="AM290" t="s">
        <v>512</v>
      </c>
      <c r="AN290" s="363">
        <v>5</v>
      </c>
    </row>
    <row r="291" spans="28:40">
      <c r="AB291" s="63"/>
      <c r="AC291" s="301">
        <f t="shared" si="111"/>
        <v>383.08999999999969</v>
      </c>
      <c r="AD291" s="301">
        <f t="shared" si="111"/>
        <v>377.06999999999971</v>
      </c>
      <c r="AE291" s="301">
        <f t="shared" si="111"/>
        <v>6.02</v>
      </c>
      <c r="AF291" s="360">
        <f>(AK291-AK277)/AJ291</f>
        <v>-3.131062532831947E-3</v>
      </c>
      <c r="AG291" s="1" t="s">
        <v>514</v>
      </c>
      <c r="AH291" s="333">
        <v>3.8600000000000002E-2</v>
      </c>
      <c r="AI291" s="63">
        <f t="shared" si="110"/>
        <v>1923.69</v>
      </c>
      <c r="AJ291" s="63">
        <v>1922.67</v>
      </c>
      <c r="AK291" s="63">
        <v>1.02</v>
      </c>
      <c r="AL291" s="120">
        <v>0</v>
      </c>
      <c r="AM291" t="s">
        <v>513</v>
      </c>
      <c r="AN291" s="363">
        <v>4</v>
      </c>
    </row>
    <row r="292" spans="28:40">
      <c r="AB292" s="63"/>
      <c r="AC292" s="301">
        <f t="shared" si="111"/>
        <v>-2308.54</v>
      </c>
      <c r="AD292" s="301">
        <f t="shared" si="111"/>
        <v>-2299.7399999999998</v>
      </c>
      <c r="AE292" s="301">
        <f t="shared" si="111"/>
        <v>-8.8000000000000007</v>
      </c>
      <c r="AF292" s="360">
        <f>(AK292-AK278)/AJ292</f>
        <v>3.8265195195978682E-3</v>
      </c>
      <c r="AG292" s="1" t="s">
        <v>515</v>
      </c>
      <c r="AH292" s="333">
        <v>4.6600000000000003E-2</v>
      </c>
      <c r="AI292" s="63">
        <f t="shared" si="110"/>
        <v>2308.54</v>
      </c>
      <c r="AJ292" s="63">
        <v>2299.7399999999998</v>
      </c>
      <c r="AK292" s="63">
        <v>8.8000000000000007</v>
      </c>
      <c r="AL292" s="120">
        <v>0</v>
      </c>
      <c r="AM292" t="s">
        <v>512</v>
      </c>
      <c r="AN292" s="363">
        <v>1</v>
      </c>
    </row>
    <row r="293" spans="28:40">
      <c r="AB293" s="63"/>
      <c r="AC293" s="301"/>
      <c r="AD293" s="301"/>
      <c r="AE293" s="301"/>
      <c r="AF293" s="360"/>
      <c r="AG293" s="1" t="s">
        <v>516</v>
      </c>
      <c r="AH293" s="333"/>
      <c r="AI293" s="63">
        <v>0</v>
      </c>
      <c r="AJ293" s="63">
        <v>0</v>
      </c>
      <c r="AK293" s="63">
        <v>0</v>
      </c>
      <c r="AL293" s="120">
        <v>0</v>
      </c>
      <c r="AM293" t="s">
        <v>513</v>
      </c>
      <c r="AN293" s="364"/>
    </row>
    <row r="294" spans="28:40">
      <c r="AB294" s="63"/>
      <c r="AC294" s="301">
        <f t="shared" ref="AC294:AE295" si="112">AI280-AI294</f>
        <v>3791.1899999999996</v>
      </c>
      <c r="AD294" s="301">
        <f t="shared" si="112"/>
        <v>3774.8599999999997</v>
      </c>
      <c r="AE294" s="301">
        <f t="shared" si="112"/>
        <v>16.329999999999998</v>
      </c>
      <c r="AF294" s="360">
        <f>(AK294-AK280)/AJ294</f>
        <v>-6.6077779980820038E-3</v>
      </c>
      <c r="AG294" s="1" t="s">
        <v>517</v>
      </c>
      <c r="AH294" s="333">
        <v>4.2900000000000001E-2</v>
      </c>
      <c r="AI294" s="63">
        <f>AJ294+AK294+AL294</f>
        <v>2472.79</v>
      </c>
      <c r="AJ294" s="63">
        <v>2471.33</v>
      </c>
      <c r="AK294" s="63">
        <v>1.46</v>
      </c>
      <c r="AL294" s="120">
        <v>0</v>
      </c>
      <c r="AM294" t="s">
        <v>512</v>
      </c>
      <c r="AN294" s="363">
        <v>2</v>
      </c>
    </row>
    <row r="295" spans="28:40">
      <c r="AB295" s="63"/>
      <c r="AC295" s="301">
        <f t="shared" si="112"/>
        <v>-6197.56</v>
      </c>
      <c r="AD295" s="301">
        <f t="shared" si="112"/>
        <v>-6193.92</v>
      </c>
      <c r="AE295" s="301">
        <f t="shared" si="112"/>
        <v>62.519999999999996</v>
      </c>
      <c r="AF295" s="360">
        <f>(AK295-AK281)/AJ295</f>
        <v>-1.0093769373837569E-2</v>
      </c>
      <c r="AG295" s="1" t="s">
        <v>518</v>
      </c>
      <c r="AH295" s="333">
        <v>4.2999999999999997E-2</v>
      </c>
      <c r="AI295" s="63">
        <f>AJ295+AK295+AL295</f>
        <v>6197.56</v>
      </c>
      <c r="AJ295" s="63">
        <v>6193.92</v>
      </c>
      <c r="AK295" s="63">
        <v>3.64</v>
      </c>
      <c r="AL295" s="120">
        <v>0</v>
      </c>
      <c r="AM295" t="s">
        <v>513</v>
      </c>
      <c r="AN295" s="363">
        <v>3</v>
      </c>
    </row>
    <row r="296" spans="28:40">
      <c r="AB296" s="63"/>
      <c r="AC296" s="63">
        <f>SUM(AC286:AC295)</f>
        <v>-14609.740000000002</v>
      </c>
      <c r="AD296" s="63">
        <f>SUM(AD286:AD295)</f>
        <v>-14618.570000000002</v>
      </c>
      <c r="AE296" s="63">
        <f>SUM(AE286:AE295)</f>
        <v>74.989999999999995</v>
      </c>
      <c r="AF296" s="66"/>
      <c r="AK296" s="6">
        <f>SUM(AK286:AK295)</f>
        <v>20.92</v>
      </c>
    </row>
    <row r="297" spans="28:40">
      <c r="AB297" s="63"/>
      <c r="AC297" s="63"/>
      <c r="AD297" s="63"/>
      <c r="AE297" s="6"/>
      <c r="AF297" s="66"/>
      <c r="AN297" t="s">
        <v>694</v>
      </c>
    </row>
    <row r="298" spans="28:40">
      <c r="AB298" s="63"/>
      <c r="AC298" s="63"/>
      <c r="AD298" s="63"/>
      <c r="AE298" s="66"/>
      <c r="AF298" s="102">
        <v>45577</v>
      </c>
      <c r="AH298" s="8" t="s">
        <v>521</v>
      </c>
      <c r="AI298" s="6">
        <f>SUM(AI300:AI309)</f>
        <v>25049.699999999997</v>
      </c>
      <c r="AJ298" s="8" t="s">
        <v>560</v>
      </c>
      <c r="AK298" s="8"/>
      <c r="AL298" s="8"/>
      <c r="AM298" s="338">
        <v>255.6</v>
      </c>
      <c r="AN298">
        <v>285.51</v>
      </c>
    </row>
    <row r="299" spans="28:40">
      <c r="AB299" s="63" t="s">
        <v>739</v>
      </c>
      <c r="AC299" s="63" t="s">
        <v>699</v>
      </c>
      <c r="AD299" s="63" t="s">
        <v>700</v>
      </c>
      <c r="AE299" s="66" t="s">
        <v>701</v>
      </c>
      <c r="AG299" t="s">
        <v>508</v>
      </c>
      <c r="AH299" t="s">
        <v>520</v>
      </c>
      <c r="AI299" t="s">
        <v>12</v>
      </c>
      <c r="AJ299" t="s">
        <v>519</v>
      </c>
      <c r="AK299" t="s">
        <v>154</v>
      </c>
      <c r="AL299" t="s">
        <v>332</v>
      </c>
      <c r="AN299" t="s">
        <v>740</v>
      </c>
    </row>
    <row r="300" spans="28:40">
      <c r="AB300" s="63">
        <f>AC300+AK300</f>
        <v>2.1999999999996724</v>
      </c>
      <c r="AC300" s="301">
        <f>AI286-AI300</f>
        <v>1.6099999999996726</v>
      </c>
      <c r="AD300" s="301">
        <f>AJ286-AJ300</f>
        <v>0.73000000000001819</v>
      </c>
      <c r="AE300" s="301">
        <f>AK286-AK300</f>
        <v>0.88</v>
      </c>
      <c r="AF300" s="360">
        <f>(AK300-AK286)/AJ300</f>
        <v>-2.7834096135172492E-4</v>
      </c>
      <c r="AG300" s="1" t="s">
        <v>506</v>
      </c>
      <c r="AH300" s="333">
        <v>3.4000000000000002E-2</v>
      </c>
      <c r="AI300" s="63">
        <f>AJ300+AK300+AL300</f>
        <v>3162.1800000000003</v>
      </c>
      <c r="AJ300" s="63">
        <v>3161.59</v>
      </c>
      <c r="AK300" s="63">
        <v>0.59</v>
      </c>
      <c r="AL300" s="120">
        <v>0</v>
      </c>
      <c r="AM300" t="s">
        <v>512</v>
      </c>
      <c r="AN300" s="363">
        <v>6</v>
      </c>
    </row>
    <row r="301" spans="28:40">
      <c r="AB301" s="63"/>
      <c r="AC301" s="301"/>
      <c r="AD301" s="301"/>
      <c r="AE301" s="301"/>
      <c r="AF301" s="360"/>
      <c r="AG301" s="1" t="s">
        <v>507</v>
      </c>
      <c r="AI301" s="63">
        <f t="shared" ref="AI301:AI306" si="113">AJ301+AK301+AL301</f>
        <v>0</v>
      </c>
      <c r="AJ301" s="63">
        <v>0</v>
      </c>
      <c r="AK301" s="63"/>
      <c r="AL301" s="120">
        <v>0</v>
      </c>
      <c r="AM301" t="s">
        <v>513</v>
      </c>
      <c r="AN301" s="364"/>
    </row>
    <row r="302" spans="28:40">
      <c r="AB302" s="63">
        <f>AC302+AK302</f>
        <v>2.6199999999996724</v>
      </c>
      <c r="AC302" s="301">
        <f>AI288-AI302</f>
        <v>1.8599999999996726</v>
      </c>
      <c r="AD302" s="301">
        <f>AJ288-AJ302</f>
        <v>0.73000000000001819</v>
      </c>
      <c r="AE302" s="301">
        <f>AK288-AK302</f>
        <v>1.1299999999999999</v>
      </c>
      <c r="AF302" s="360">
        <f>(AK302-AK288)/AJ302</f>
        <v>-2.7782353534136641E-4</v>
      </c>
      <c r="AG302" s="1" t="s">
        <v>509</v>
      </c>
      <c r="AH302" s="333">
        <v>3.4000000000000002E-2</v>
      </c>
      <c r="AI302" s="63">
        <f t="shared" si="113"/>
        <v>4068.09</v>
      </c>
      <c r="AJ302" s="63">
        <v>4067.33</v>
      </c>
      <c r="AK302" s="63">
        <v>0.76</v>
      </c>
      <c r="AL302" s="120">
        <v>0</v>
      </c>
      <c r="AM302" t="s">
        <v>512</v>
      </c>
      <c r="AN302" s="363">
        <v>7</v>
      </c>
    </row>
    <row r="303" spans="28:40">
      <c r="AB303" s="63"/>
      <c r="AC303" s="301"/>
      <c r="AD303" s="301"/>
      <c r="AE303" s="301"/>
      <c r="AF303" s="360"/>
      <c r="AG303" s="1" t="s">
        <v>510</v>
      </c>
      <c r="AI303" s="63">
        <f t="shared" si="113"/>
        <v>0</v>
      </c>
      <c r="AJ303" s="63">
        <v>0</v>
      </c>
      <c r="AK303" s="63"/>
      <c r="AL303" s="120">
        <v>0</v>
      </c>
      <c r="AM303" t="s">
        <v>512</v>
      </c>
      <c r="AN303" s="364"/>
    </row>
    <row r="304" spans="28:40">
      <c r="AB304" s="63">
        <f>AC304+AK304</f>
        <v>2.9700000000000726</v>
      </c>
      <c r="AC304" s="301">
        <f t="shared" ref="AC304:AE306" si="114">AI290-AI304</f>
        <v>1.9200000000000728</v>
      </c>
      <c r="AD304" s="301">
        <f t="shared" si="114"/>
        <v>0.32999999999992724</v>
      </c>
      <c r="AE304" s="301">
        <f t="shared" si="114"/>
        <v>1.59</v>
      </c>
      <c r="AF304" s="360">
        <f>(AK304-AK290)/AJ304</f>
        <v>-3.189395960499632E-4</v>
      </c>
      <c r="AG304" s="1" t="s">
        <v>511</v>
      </c>
      <c r="AH304" s="333">
        <v>3.8600000000000002E-2</v>
      </c>
      <c r="AI304" s="63">
        <f t="shared" si="113"/>
        <v>4986.3200000000006</v>
      </c>
      <c r="AJ304" s="63">
        <v>4985.2700000000004</v>
      </c>
      <c r="AK304" s="63">
        <v>1.05</v>
      </c>
      <c r="AL304" s="120">
        <v>0</v>
      </c>
      <c r="AM304" t="s">
        <v>512</v>
      </c>
      <c r="AN304" s="363">
        <v>5</v>
      </c>
    </row>
    <row r="305" spans="27:40">
      <c r="AB305" s="63">
        <f>AC305+AK305</f>
        <v>1.7999999999998726</v>
      </c>
      <c r="AC305" s="301">
        <f t="shared" si="114"/>
        <v>1.3899999999998727</v>
      </c>
      <c r="AD305" s="301">
        <f t="shared" si="114"/>
        <v>0.77999999999997272</v>
      </c>
      <c r="AE305" s="301">
        <f t="shared" si="114"/>
        <v>0.6100000000000001</v>
      </c>
      <c r="AF305" s="360">
        <f>(AK305-AK291)/AJ305</f>
        <v>-3.1739589674747255E-4</v>
      </c>
      <c r="AG305" s="1" t="s">
        <v>514</v>
      </c>
      <c r="AH305" s="333">
        <v>3.8600000000000002E-2</v>
      </c>
      <c r="AI305" s="63">
        <f t="shared" si="113"/>
        <v>1922.3000000000002</v>
      </c>
      <c r="AJ305" s="63">
        <v>1921.89</v>
      </c>
      <c r="AK305" s="63">
        <v>0.41</v>
      </c>
      <c r="AL305" s="120">
        <v>0</v>
      </c>
      <c r="AM305" t="s">
        <v>513</v>
      </c>
      <c r="AN305" s="363">
        <v>4</v>
      </c>
    </row>
    <row r="306" spans="27:40">
      <c r="AB306" s="63">
        <f>AC306+AK306</f>
        <v>64.709999999999866</v>
      </c>
      <c r="AC306" s="301">
        <f t="shared" si="114"/>
        <v>64.139999999999873</v>
      </c>
      <c r="AD306" s="301">
        <f t="shared" si="114"/>
        <v>55.909999999999854</v>
      </c>
      <c r="AE306" s="301">
        <f t="shared" si="114"/>
        <v>8.23</v>
      </c>
      <c r="AF306" s="360">
        <f>(AK306-AK292)/AJ306</f>
        <v>-3.6678357986121945E-3</v>
      </c>
      <c r="AG306" s="1" t="s">
        <v>515</v>
      </c>
      <c r="AH306" s="333">
        <v>4.6600000000000003E-2</v>
      </c>
      <c r="AI306" s="63">
        <f t="shared" si="113"/>
        <v>2244.4</v>
      </c>
      <c r="AJ306" s="63">
        <v>2243.83</v>
      </c>
      <c r="AK306" s="63">
        <v>0.56999999999999995</v>
      </c>
      <c r="AL306" s="120">
        <v>0</v>
      </c>
      <c r="AM306" t="s">
        <v>512</v>
      </c>
      <c r="AN306" s="363">
        <v>1</v>
      </c>
    </row>
    <row r="307" spans="27:40">
      <c r="AB307" s="63"/>
      <c r="AC307" s="301"/>
      <c r="AD307" s="301"/>
      <c r="AE307" s="301"/>
      <c r="AF307" s="360"/>
      <c r="AG307" s="1" t="s">
        <v>516</v>
      </c>
      <c r="AH307" s="333"/>
      <c r="AI307" s="63">
        <v>0</v>
      </c>
      <c r="AJ307" s="63">
        <v>0</v>
      </c>
      <c r="AK307" s="63"/>
      <c r="AL307" s="120">
        <v>0</v>
      </c>
      <c r="AM307" t="s">
        <v>513</v>
      </c>
      <c r="AN307" s="364"/>
    </row>
    <row r="308" spans="27:40">
      <c r="AB308" s="63">
        <f>AC308+AK308</f>
        <v>2.2100000000001092</v>
      </c>
      <c r="AC308" s="301">
        <f t="shared" ref="AC308:AE311" si="115">AI294-AI308</f>
        <v>1.6300000000001091</v>
      </c>
      <c r="AD308" s="301">
        <f t="shared" si="115"/>
        <v>0.75</v>
      </c>
      <c r="AE308" s="301">
        <f t="shared" si="115"/>
        <v>0.88</v>
      </c>
      <c r="AF308" s="360">
        <f>(AK308-AK294)/AJ308</f>
        <v>-3.5619166349602121E-4</v>
      </c>
      <c r="AG308" s="1" t="s">
        <v>517</v>
      </c>
      <c r="AH308" s="333">
        <v>4.2900000000000001E-2</v>
      </c>
      <c r="AI308" s="63">
        <f>AJ308+AK308+AL308</f>
        <v>2471.16</v>
      </c>
      <c r="AJ308" s="63">
        <v>2470.58</v>
      </c>
      <c r="AK308" s="63">
        <v>0.57999999999999996</v>
      </c>
      <c r="AL308" s="120">
        <v>0</v>
      </c>
      <c r="AM308" t="s">
        <v>512</v>
      </c>
      <c r="AN308" s="363">
        <v>2</v>
      </c>
    </row>
    <row r="309" spans="27:40">
      <c r="AB309" s="63">
        <f>AC309+AK309</f>
        <v>3.7700000000004001</v>
      </c>
      <c r="AC309" s="301">
        <f t="shared" si="115"/>
        <v>2.3100000000004002</v>
      </c>
      <c r="AD309" s="301">
        <f t="shared" si="115"/>
        <v>0.13000000000010914</v>
      </c>
      <c r="AE309" s="301">
        <f t="shared" si="115"/>
        <v>2.1800000000000002</v>
      </c>
      <c r="AF309" s="360">
        <f>(AK309-AK295)/AJ309</f>
        <v>-3.5196543634834248E-4</v>
      </c>
      <c r="AG309" s="1" t="s">
        <v>518</v>
      </c>
      <c r="AH309" s="333">
        <v>4.2999999999999997E-2</v>
      </c>
      <c r="AI309" s="63">
        <f>AJ309+AK309+AL309</f>
        <v>6195.25</v>
      </c>
      <c r="AJ309" s="63">
        <v>6193.79</v>
      </c>
      <c r="AK309" s="63">
        <v>1.46</v>
      </c>
      <c r="AL309" s="120">
        <v>0</v>
      </c>
      <c r="AM309" t="s">
        <v>513</v>
      </c>
      <c r="AN309" s="363">
        <v>3</v>
      </c>
    </row>
    <row r="310" spans="27:40">
      <c r="AC310" s="301">
        <f t="shared" si="115"/>
        <v>0</v>
      </c>
      <c r="AD310" s="301">
        <f t="shared" si="115"/>
        <v>0</v>
      </c>
      <c r="AE310" s="301">
        <f t="shared" si="115"/>
        <v>15.500000000000002</v>
      </c>
      <c r="AF310" s="360"/>
      <c r="AK310" s="6">
        <f>SUM(AK300:AK309)</f>
        <v>5.42</v>
      </c>
    </row>
    <row r="311" spans="27:40">
      <c r="AB311" s="63">
        <f>SUM(AB300:AB309)</f>
        <v>80.27999999999966</v>
      </c>
      <c r="AC311" s="301">
        <f t="shared" si="115"/>
        <v>0</v>
      </c>
      <c r="AD311" s="301">
        <f t="shared" si="115"/>
        <v>0</v>
      </c>
      <c r="AE311" s="301">
        <f t="shared" si="115"/>
        <v>0</v>
      </c>
      <c r="AF311" s="360"/>
    </row>
    <row r="313" spans="27:40">
      <c r="AB313" s="63"/>
      <c r="AC313" s="63"/>
      <c r="AD313" s="63"/>
      <c r="AE313" s="6"/>
      <c r="AF313" s="66"/>
      <c r="AN313" t="s">
        <v>694</v>
      </c>
    </row>
    <row r="314" spans="27:40">
      <c r="AB314" s="63"/>
      <c r="AC314" s="63"/>
      <c r="AD314" s="63"/>
      <c r="AE314" s="66"/>
      <c r="AF314" s="102">
        <v>45604</v>
      </c>
      <c r="AH314" s="8" t="s">
        <v>521</v>
      </c>
      <c r="AI314" s="6">
        <f>SUM(AI316:AI325)</f>
        <v>24822.720000000001</v>
      </c>
      <c r="AJ314" s="8" t="s">
        <v>560</v>
      </c>
      <c r="AK314" s="8"/>
      <c r="AL314" s="8"/>
      <c r="AM314" s="338">
        <v>255.6</v>
      </c>
      <c r="AN314">
        <v>285.51</v>
      </c>
    </row>
    <row r="315" spans="27:40">
      <c r="AA315" t="s">
        <v>906</v>
      </c>
      <c r="AB315" s="63" t="s">
        <v>739</v>
      </c>
      <c r="AC315" s="63" t="s">
        <v>699</v>
      </c>
      <c r="AD315" s="63" t="s">
        <v>700</v>
      </c>
      <c r="AE315" s="66" t="s">
        <v>701</v>
      </c>
      <c r="AG315" t="s">
        <v>508</v>
      </c>
      <c r="AH315" t="s">
        <v>520</v>
      </c>
      <c r="AI315" t="s">
        <v>12</v>
      </c>
      <c r="AJ315" t="s">
        <v>519</v>
      </c>
      <c r="AK315" t="s">
        <v>154</v>
      </c>
      <c r="AL315" t="s">
        <v>332</v>
      </c>
      <c r="AN315" t="s">
        <v>740</v>
      </c>
    </row>
    <row r="316" spans="27:40">
      <c r="AA316" s="63">
        <v>34.6</v>
      </c>
      <c r="AB316" s="63">
        <f>AC316+AK316</f>
        <v>27.830000000000528</v>
      </c>
      <c r="AC316" s="301">
        <f>AI300-AI316</f>
        <v>26.670000000000528</v>
      </c>
      <c r="AD316" s="301">
        <f>AJ300-AJ316</f>
        <v>27.240000000000236</v>
      </c>
      <c r="AE316" s="301">
        <f>AK302-AK316</f>
        <v>-0.39999999999999991</v>
      </c>
      <c r="AF316" s="360">
        <f>(AK316-AK302)/AJ316</f>
        <v>1.2761816644599357E-4</v>
      </c>
      <c r="AG316" s="1" t="s">
        <v>506</v>
      </c>
      <c r="AH316" s="333">
        <v>3.4000000000000002E-2</v>
      </c>
      <c r="AI316" s="63">
        <f>AJ316+AK316+AL316</f>
        <v>3135.5099999999998</v>
      </c>
      <c r="AJ316" s="63">
        <v>3134.35</v>
      </c>
      <c r="AK316" s="63">
        <v>1.1599999999999999</v>
      </c>
      <c r="AL316" s="120">
        <v>0</v>
      </c>
      <c r="AM316" t="s">
        <v>512</v>
      </c>
      <c r="AN316" s="363">
        <v>6</v>
      </c>
    </row>
    <row r="317" spans="27:40">
      <c r="AA317" s="63"/>
      <c r="AB317" s="63"/>
      <c r="AC317" s="301"/>
      <c r="AD317" s="301"/>
      <c r="AE317" s="301"/>
      <c r="AF317" s="360"/>
      <c r="AG317" s="1" t="s">
        <v>507</v>
      </c>
      <c r="AI317" s="63">
        <f t="shared" ref="AI317:AI322" si="116">AJ317+AK317+AL317</f>
        <v>0</v>
      </c>
      <c r="AJ317" s="63">
        <v>0</v>
      </c>
      <c r="AK317" s="63"/>
      <c r="AL317" s="120">
        <v>0</v>
      </c>
      <c r="AM317" t="s">
        <v>513</v>
      </c>
      <c r="AN317" s="364"/>
    </row>
    <row r="318" spans="27:40">
      <c r="AA318" s="63">
        <v>44.51</v>
      </c>
      <c r="AB318" s="63">
        <f>AC318+AK318</f>
        <v>35.800000000000182</v>
      </c>
      <c r="AC318" s="301">
        <f>AI302-AI318</f>
        <v>34.300000000000182</v>
      </c>
      <c r="AD318" s="301">
        <f>AJ302-AJ318</f>
        <v>35.039999999999964</v>
      </c>
      <c r="AE318" s="301">
        <f>AK304-AK318</f>
        <v>-0.44999999999999996</v>
      </c>
      <c r="AF318" s="360">
        <f>(AK318-AK304)/AJ318</f>
        <v>1.115991161350002E-4</v>
      </c>
      <c r="AG318" s="1" t="s">
        <v>509</v>
      </c>
      <c r="AH318" s="333">
        <v>3.4000000000000002E-2</v>
      </c>
      <c r="AI318" s="63">
        <f t="shared" si="116"/>
        <v>4033.79</v>
      </c>
      <c r="AJ318" s="63">
        <v>4032.29</v>
      </c>
      <c r="AK318" s="63">
        <v>1.5</v>
      </c>
      <c r="AL318" s="120">
        <v>0</v>
      </c>
      <c r="AM318" t="s">
        <v>512</v>
      </c>
      <c r="AN318" s="363">
        <v>7</v>
      </c>
    </row>
    <row r="319" spans="27:40">
      <c r="AA319" s="63"/>
      <c r="AB319" s="63"/>
      <c r="AC319" s="301"/>
      <c r="AD319" s="301"/>
      <c r="AE319" s="301"/>
      <c r="AF319" s="360"/>
      <c r="AG319" s="1" t="s">
        <v>510</v>
      </c>
      <c r="AI319" s="63">
        <f t="shared" si="116"/>
        <v>0</v>
      </c>
      <c r="AJ319" s="63">
        <v>0</v>
      </c>
      <c r="AK319" s="63"/>
      <c r="AL319" s="120">
        <v>0</v>
      </c>
      <c r="AM319" t="s">
        <v>512</v>
      </c>
      <c r="AN319" s="364"/>
    </row>
    <row r="320" spans="27:40">
      <c r="AA320" s="63">
        <v>55.6</v>
      </c>
      <c r="AB320" s="63">
        <f>AC320+AK320</f>
        <v>43.480000000000331</v>
      </c>
      <c r="AC320" s="301">
        <f t="shared" ref="AC320:AD322" si="117">AI304-AI320</f>
        <v>41.390000000000327</v>
      </c>
      <c r="AD320" s="301">
        <f t="shared" si="117"/>
        <v>42.430000000000291</v>
      </c>
      <c r="AE320" s="301">
        <f>AK306-AK320</f>
        <v>-1.52</v>
      </c>
      <c r="AF320" s="360">
        <f>(AK320-AK306)/AJ320</f>
        <v>3.0751551739485804E-4</v>
      </c>
      <c r="AG320" s="1" t="s">
        <v>511</v>
      </c>
      <c r="AH320" s="333">
        <v>3.8600000000000002E-2</v>
      </c>
      <c r="AI320" s="63">
        <f t="shared" si="116"/>
        <v>4944.93</v>
      </c>
      <c r="AJ320" s="63">
        <v>4942.84</v>
      </c>
      <c r="AK320" s="63">
        <v>2.09</v>
      </c>
      <c r="AL320" s="120">
        <v>0</v>
      </c>
      <c r="AM320" t="s">
        <v>512</v>
      </c>
      <c r="AN320" s="363">
        <v>5</v>
      </c>
    </row>
    <row r="321" spans="27:40">
      <c r="AA321" s="63">
        <v>21.59</v>
      </c>
      <c r="AB321" s="63">
        <f>AC321+AK321</f>
        <v>16.920000000000126</v>
      </c>
      <c r="AC321" s="301">
        <f t="shared" si="117"/>
        <v>16.110000000000127</v>
      </c>
      <c r="AD321" s="301">
        <f t="shared" si="117"/>
        <v>16.509999999999991</v>
      </c>
      <c r="AE321" s="301">
        <f>AK307-AK321</f>
        <v>-0.81</v>
      </c>
      <c r="AF321" s="360">
        <f>(AK321-AK307)/AJ321</f>
        <v>4.2511205113940527E-4</v>
      </c>
      <c r="AG321" s="1" t="s">
        <v>514</v>
      </c>
      <c r="AH321" s="333">
        <v>3.8600000000000002E-2</v>
      </c>
      <c r="AI321" s="63">
        <f t="shared" si="116"/>
        <v>1906.19</v>
      </c>
      <c r="AJ321" s="63">
        <v>1905.38</v>
      </c>
      <c r="AK321" s="63">
        <v>0.81</v>
      </c>
      <c r="AL321" s="120">
        <v>0</v>
      </c>
      <c r="AM321" t="s">
        <v>513</v>
      </c>
      <c r="AN321" s="363">
        <v>4</v>
      </c>
    </row>
    <row r="322" spans="27:40">
      <c r="AA322" s="63">
        <v>29.91</v>
      </c>
      <c r="AB322" s="63">
        <f>AC322+AK322</f>
        <v>18.13</v>
      </c>
      <c r="AC322" s="301">
        <f t="shared" si="117"/>
        <v>17</v>
      </c>
      <c r="AD322" s="301">
        <f t="shared" si="117"/>
        <v>17.559999999999945</v>
      </c>
      <c r="AE322" s="301">
        <f>AK308-AK322</f>
        <v>-0.54999999999999993</v>
      </c>
      <c r="AF322" s="360">
        <f>(AK322-AK308)/AJ322</f>
        <v>2.4704999842786361E-4</v>
      </c>
      <c r="AG322" s="1" t="s">
        <v>515</v>
      </c>
      <c r="AH322" s="333">
        <v>4.6600000000000003E-2</v>
      </c>
      <c r="AI322" s="63">
        <f t="shared" si="116"/>
        <v>2227.4</v>
      </c>
      <c r="AJ322" s="63">
        <v>2226.27</v>
      </c>
      <c r="AK322" s="63">
        <v>1.1299999999999999</v>
      </c>
      <c r="AL322" s="120">
        <v>0</v>
      </c>
      <c r="AM322" t="s">
        <v>512</v>
      </c>
      <c r="AN322" s="363">
        <v>1</v>
      </c>
    </row>
    <row r="323" spans="27:40">
      <c r="AA323" s="63"/>
      <c r="AB323" s="63"/>
      <c r="AC323" s="301"/>
      <c r="AD323" s="301"/>
      <c r="AE323" s="301"/>
      <c r="AF323" s="360"/>
      <c r="AG323" s="1" t="s">
        <v>516</v>
      </c>
      <c r="AH323" s="333"/>
      <c r="AI323" s="63">
        <v>0</v>
      </c>
      <c r="AJ323" s="63">
        <v>0</v>
      </c>
      <c r="AK323" s="63"/>
      <c r="AL323" s="120">
        <v>0</v>
      </c>
      <c r="AM323" t="s">
        <v>513</v>
      </c>
      <c r="AN323" s="364"/>
    </row>
    <row r="324" spans="27:40">
      <c r="AA324" s="63">
        <v>28.5</v>
      </c>
      <c r="AB324" s="63">
        <f>AC324+AK324</f>
        <v>33.64</v>
      </c>
      <c r="AC324" s="301">
        <f>AI308-AI324</f>
        <v>32.5</v>
      </c>
      <c r="AD324" s="301">
        <f>AJ308-AJ324</f>
        <v>33.059999999999945</v>
      </c>
      <c r="AE324" s="301">
        <f>AK310-AK324</f>
        <v>4.28</v>
      </c>
      <c r="AF324" s="360">
        <f>(AK324-AK310)/AJ324</f>
        <v>-1.7558830286520727E-3</v>
      </c>
      <c r="AG324" s="1" t="s">
        <v>517</v>
      </c>
      <c r="AH324" s="333">
        <v>4.2900000000000001E-2</v>
      </c>
      <c r="AI324" s="63">
        <f>AJ324+AK324+AL324</f>
        <v>2438.66</v>
      </c>
      <c r="AJ324" s="63">
        <v>2437.52</v>
      </c>
      <c r="AK324" s="63">
        <v>1.1399999999999999</v>
      </c>
      <c r="AL324" s="120">
        <v>0</v>
      </c>
      <c r="AM324" t="s">
        <v>512</v>
      </c>
      <c r="AN324" s="363">
        <v>3</v>
      </c>
    </row>
    <row r="325" spans="27:40">
      <c r="AA325" s="63">
        <v>70.8</v>
      </c>
      <c r="AB325" s="63">
        <f>AC325+AK325</f>
        <v>-6133.35</v>
      </c>
      <c r="AC325" s="301">
        <f t="shared" ref="AC325:AD327" si="118">AI311-AI325</f>
        <v>-6136.2400000000007</v>
      </c>
      <c r="AD325" s="301">
        <f t="shared" si="118"/>
        <v>-6133.35</v>
      </c>
      <c r="AE325" s="301">
        <f>AK311-AK325</f>
        <v>-2.89</v>
      </c>
      <c r="AF325" s="360">
        <f>(AK325-AK311)/AJ325</f>
        <v>4.7119437175442458E-4</v>
      </c>
      <c r="AG325" s="1" t="s">
        <v>518</v>
      </c>
      <c r="AH325" s="333">
        <v>4.2999999999999997E-2</v>
      </c>
      <c r="AI325" s="63">
        <f>AJ325+AK325+AL325</f>
        <v>6136.2400000000007</v>
      </c>
      <c r="AJ325" s="63">
        <v>6133.35</v>
      </c>
      <c r="AK325" s="63">
        <v>2.89</v>
      </c>
      <c r="AL325" s="120">
        <v>0</v>
      </c>
      <c r="AM325" t="s">
        <v>513</v>
      </c>
      <c r="AN325" s="363">
        <v>2</v>
      </c>
    </row>
    <row r="326" spans="27:40">
      <c r="AA326" s="63"/>
      <c r="AC326" s="301">
        <f t="shared" si="118"/>
        <v>0</v>
      </c>
      <c r="AD326" s="301">
        <f t="shared" si="118"/>
        <v>0</v>
      </c>
      <c r="AE326" s="301">
        <f>AK312-AK326</f>
        <v>-10.72</v>
      </c>
      <c r="AF326" s="360"/>
      <c r="AK326" s="6">
        <f>SUM(AK316:AK325)</f>
        <v>10.72</v>
      </c>
    </row>
    <row r="327" spans="27:40">
      <c r="AA327" s="63"/>
      <c r="AB327" s="63">
        <f>SUM(AB316:AB325)</f>
        <v>-5957.5499999999993</v>
      </c>
      <c r="AC327" s="301">
        <f t="shared" si="118"/>
        <v>0</v>
      </c>
      <c r="AD327" s="301">
        <f t="shared" si="118"/>
        <v>0</v>
      </c>
      <c r="AE327" s="301">
        <f>AK313-AK327</f>
        <v>0</v>
      </c>
      <c r="AF327" s="360"/>
    </row>
    <row r="328" spans="27:40">
      <c r="AA328" s="63"/>
    </row>
    <row r="330" spans="27:40">
      <c r="AB330" s="63"/>
      <c r="AC330" s="63"/>
      <c r="AD330" s="63"/>
      <c r="AE330" s="6"/>
      <c r="AF330" s="66"/>
      <c r="AN330" t="s">
        <v>694</v>
      </c>
    </row>
    <row r="331" spans="27:40">
      <c r="AB331" s="63"/>
      <c r="AC331" s="63"/>
      <c r="AD331" s="63"/>
      <c r="AE331" s="66"/>
      <c r="AF331" s="102">
        <v>45627</v>
      </c>
      <c r="AH331" s="8" t="s">
        <v>521</v>
      </c>
      <c r="AI331" s="6">
        <f>SUM(AI333:AI342)</f>
        <v>24884.440000000002</v>
      </c>
      <c r="AJ331" s="8" t="s">
        <v>560</v>
      </c>
      <c r="AK331" s="8"/>
      <c r="AL331" s="8"/>
      <c r="AM331" s="338">
        <v>255.6</v>
      </c>
      <c r="AN331">
        <v>285.51</v>
      </c>
    </row>
    <row r="332" spans="27:40">
      <c r="AA332" t="s">
        <v>906</v>
      </c>
      <c r="AB332" s="63" t="s">
        <v>739</v>
      </c>
      <c r="AC332" s="63" t="s">
        <v>699</v>
      </c>
      <c r="AD332" s="63" t="s">
        <v>700</v>
      </c>
      <c r="AE332" s="66" t="s">
        <v>701</v>
      </c>
      <c r="AG332" t="s">
        <v>508</v>
      </c>
      <c r="AH332" t="s">
        <v>520</v>
      </c>
      <c r="AI332" t="s">
        <v>12</v>
      </c>
      <c r="AJ332" t="s">
        <v>519</v>
      </c>
      <c r="AK332" t="s">
        <v>154</v>
      </c>
      <c r="AL332" t="s">
        <v>332</v>
      </c>
      <c r="AN332" t="s">
        <v>740</v>
      </c>
    </row>
    <row r="333" spans="27:40">
      <c r="AA333" s="63">
        <v>34.6</v>
      </c>
      <c r="AB333" s="63">
        <f>AC333+AK333</f>
        <v>-3134.35</v>
      </c>
      <c r="AC333" s="301">
        <f>AI317-AI333</f>
        <v>-3142.22</v>
      </c>
      <c r="AD333" s="301">
        <f>AJ317-AJ333</f>
        <v>-3134.35</v>
      </c>
      <c r="AE333" s="301">
        <f>AK319-AK333</f>
        <v>-7.87</v>
      </c>
      <c r="AF333" s="360">
        <f>(AK333-AK319)/AJ333</f>
        <v>2.5108874248249238E-3</v>
      </c>
      <c r="AG333" s="1" t="s">
        <v>506</v>
      </c>
      <c r="AH333" s="333">
        <v>3.4000000000000002E-2</v>
      </c>
      <c r="AI333" s="63">
        <f>AJ333+AK333+AL333</f>
        <v>3142.22</v>
      </c>
      <c r="AJ333" s="63">
        <v>3134.35</v>
      </c>
      <c r="AK333" s="63">
        <v>7.87</v>
      </c>
      <c r="AL333" s="120">
        <v>0</v>
      </c>
      <c r="AM333" t="s">
        <v>512</v>
      </c>
      <c r="AN333" s="363">
        <v>6</v>
      </c>
    </row>
    <row r="334" spans="27:40">
      <c r="AA334" s="63"/>
      <c r="AB334" s="63"/>
      <c r="AC334" s="301"/>
      <c r="AD334" s="301"/>
      <c r="AE334" s="301"/>
      <c r="AF334" s="360"/>
      <c r="AG334" s="1" t="s">
        <v>507</v>
      </c>
      <c r="AI334" s="63">
        <f t="shared" ref="AI334:AI339" si="119">AJ334+AK334+AL334</f>
        <v>0</v>
      </c>
      <c r="AJ334" s="63">
        <v>0</v>
      </c>
      <c r="AK334" s="63"/>
      <c r="AL334" s="120">
        <v>0</v>
      </c>
      <c r="AM334" t="s">
        <v>513</v>
      </c>
      <c r="AN334" s="364"/>
    </row>
    <row r="335" spans="27:40">
      <c r="AA335" s="63">
        <v>44.51</v>
      </c>
      <c r="AB335" s="63">
        <f>AC335+AK335</f>
        <v>-4032.29</v>
      </c>
      <c r="AC335" s="301">
        <f>AI319-AI335</f>
        <v>-4042.42</v>
      </c>
      <c r="AD335" s="301">
        <f>AJ319-AJ335</f>
        <v>-4032.29</v>
      </c>
      <c r="AE335" s="301">
        <f>AK321-AK335</f>
        <v>-9.32</v>
      </c>
      <c r="AF335" s="360">
        <f>(AK335-AK321)/AJ335</f>
        <v>2.3113416941737824E-3</v>
      </c>
      <c r="AG335" s="1" t="s">
        <v>509</v>
      </c>
      <c r="AH335" s="333">
        <v>3.4000000000000002E-2</v>
      </c>
      <c r="AI335" s="63">
        <f t="shared" si="119"/>
        <v>4042.42</v>
      </c>
      <c r="AJ335" s="63">
        <v>4032.29</v>
      </c>
      <c r="AK335" s="63">
        <v>10.130000000000001</v>
      </c>
      <c r="AL335" s="120">
        <v>0</v>
      </c>
      <c r="AM335" t="s">
        <v>512</v>
      </c>
      <c r="AN335" s="363">
        <v>7</v>
      </c>
    </row>
    <row r="336" spans="27:40">
      <c r="AA336" s="63"/>
      <c r="AB336" s="63"/>
      <c r="AC336" s="301"/>
      <c r="AD336" s="301"/>
      <c r="AE336" s="301"/>
      <c r="AF336" s="360"/>
      <c r="AG336" s="1" t="s">
        <v>510</v>
      </c>
      <c r="AI336" s="63">
        <f t="shared" si="119"/>
        <v>0</v>
      </c>
      <c r="AJ336" s="63">
        <v>0</v>
      </c>
      <c r="AK336" s="63"/>
      <c r="AL336" s="120">
        <v>0</v>
      </c>
      <c r="AM336" t="s">
        <v>512</v>
      </c>
      <c r="AN336" s="364"/>
    </row>
    <row r="337" spans="27:40">
      <c r="AA337" s="63">
        <v>55.6</v>
      </c>
      <c r="AB337" s="63">
        <f>AC337+AK337</f>
        <v>-3036.6500000000005</v>
      </c>
      <c r="AC337" s="301">
        <f t="shared" ref="AC337:AD339" si="120">AI321-AI337</f>
        <v>-3050.7500000000005</v>
      </c>
      <c r="AD337" s="301">
        <f t="shared" si="120"/>
        <v>-3037.46</v>
      </c>
      <c r="AE337" s="301">
        <f>AK323-AK337</f>
        <v>-14.1</v>
      </c>
      <c r="AF337" s="360">
        <f>(AK337-AK323)/AJ337</f>
        <v>2.8526110495180907E-3</v>
      </c>
      <c r="AG337" s="1" t="s">
        <v>511</v>
      </c>
      <c r="AH337" s="333">
        <v>3.8600000000000002E-2</v>
      </c>
      <c r="AI337" s="63">
        <f t="shared" si="119"/>
        <v>4956.9400000000005</v>
      </c>
      <c r="AJ337" s="63">
        <v>4942.84</v>
      </c>
      <c r="AK337" s="63">
        <v>14.1</v>
      </c>
      <c r="AL337" s="120">
        <v>0</v>
      </c>
      <c r="AM337" t="s">
        <v>512</v>
      </c>
      <c r="AN337" s="363">
        <v>5</v>
      </c>
    </row>
    <row r="338" spans="27:40">
      <c r="AA338" s="63">
        <v>21.59</v>
      </c>
      <c r="AB338" s="63">
        <f>AC338+AK338</f>
        <v>322.01999999999992</v>
      </c>
      <c r="AC338" s="301">
        <f t="shared" si="120"/>
        <v>316.57999999999993</v>
      </c>
      <c r="AD338" s="301">
        <f t="shared" si="120"/>
        <v>320.88999999999987</v>
      </c>
      <c r="AE338" s="301">
        <f>AK324-AK338</f>
        <v>-4.3000000000000007</v>
      </c>
      <c r="AF338" s="360">
        <f>(AK338-AK324)/AJ338</f>
        <v>2.2567676788882011E-3</v>
      </c>
      <c r="AG338" s="1" t="s">
        <v>514</v>
      </c>
      <c r="AH338" s="333">
        <v>3.8600000000000002E-2</v>
      </c>
      <c r="AI338" s="63">
        <f t="shared" si="119"/>
        <v>1910.8200000000002</v>
      </c>
      <c r="AJ338" s="63">
        <v>1905.38</v>
      </c>
      <c r="AK338" s="63">
        <v>5.44</v>
      </c>
      <c r="AL338" s="120">
        <v>0</v>
      </c>
      <c r="AM338" t="s">
        <v>513</v>
      </c>
      <c r="AN338" s="363">
        <v>4</v>
      </c>
    </row>
    <row r="339" spans="27:40">
      <c r="AA339" s="63">
        <v>29.91</v>
      </c>
      <c r="AB339" s="63">
        <f>AC339+AK339</f>
        <v>-2226.27</v>
      </c>
      <c r="AC339" s="301">
        <f t="shared" si="120"/>
        <v>-2233.94</v>
      </c>
      <c r="AD339" s="301">
        <f t="shared" si="120"/>
        <v>-2226.27</v>
      </c>
      <c r="AE339" s="301">
        <f>AK325-AK339</f>
        <v>-4.7799999999999994</v>
      </c>
      <c r="AF339" s="360">
        <f>(AK339-AK325)/AJ339</f>
        <v>2.1470890772457966E-3</v>
      </c>
      <c r="AG339" s="1" t="s">
        <v>515</v>
      </c>
      <c r="AH339" s="333">
        <v>4.6600000000000003E-2</v>
      </c>
      <c r="AI339" s="63">
        <f t="shared" si="119"/>
        <v>2233.94</v>
      </c>
      <c r="AJ339" s="63">
        <v>2226.27</v>
      </c>
      <c r="AK339" s="63">
        <v>7.67</v>
      </c>
      <c r="AL339" s="120">
        <v>0</v>
      </c>
      <c r="AM339" t="s">
        <v>512</v>
      </c>
      <c r="AN339" s="363">
        <v>1</v>
      </c>
    </row>
    <row r="340" spans="27:40">
      <c r="AA340" s="63"/>
      <c r="AB340" s="63"/>
      <c r="AC340" s="301"/>
      <c r="AD340" s="301"/>
      <c r="AE340" s="301"/>
      <c r="AF340" s="360"/>
      <c r="AG340" s="1" t="s">
        <v>516</v>
      </c>
      <c r="AH340" s="333"/>
      <c r="AI340" s="63">
        <v>0</v>
      </c>
      <c r="AJ340" s="63">
        <v>0</v>
      </c>
      <c r="AK340" s="63"/>
      <c r="AL340" s="120">
        <v>0</v>
      </c>
      <c r="AM340" t="s">
        <v>513</v>
      </c>
      <c r="AN340" s="364"/>
    </row>
    <row r="341" spans="27:40">
      <c r="AA341" s="63">
        <v>28.5</v>
      </c>
      <c r="AB341" s="63">
        <f>AC341+AK341</f>
        <v>3698.7200000000007</v>
      </c>
      <c r="AC341" s="301">
        <f>AI325-AI341</f>
        <v>3690.9900000000007</v>
      </c>
      <c r="AD341" s="301">
        <f>AJ325-AJ341</f>
        <v>3695.8300000000004</v>
      </c>
      <c r="AE341" s="301">
        <f>AK327-AK341</f>
        <v>-7.73</v>
      </c>
      <c r="AF341" s="360">
        <f>(AK341-AK327)/AJ341</f>
        <v>3.1712560307197483E-3</v>
      </c>
      <c r="AG341" s="1" t="s">
        <v>517</v>
      </c>
      <c r="AH341" s="333">
        <v>4.2900000000000001E-2</v>
      </c>
      <c r="AI341" s="63">
        <f>AJ341+AK341+AL341</f>
        <v>2445.25</v>
      </c>
      <c r="AJ341" s="63">
        <v>2437.52</v>
      </c>
      <c r="AK341" s="63">
        <v>7.73</v>
      </c>
      <c r="AL341" s="120">
        <v>0</v>
      </c>
      <c r="AM341" t="s">
        <v>512</v>
      </c>
      <c r="AN341" s="363">
        <v>3</v>
      </c>
    </row>
    <row r="342" spans="27:40">
      <c r="AA342" s="63">
        <v>70.8</v>
      </c>
      <c r="AB342" s="63">
        <f>AC342+AK342</f>
        <v>-6133.35</v>
      </c>
      <c r="AC342" s="301">
        <f t="shared" ref="AC342:AD344" si="121">AI328-AI342</f>
        <v>-6152.85</v>
      </c>
      <c r="AD342" s="301">
        <f t="shared" si="121"/>
        <v>-6133.35</v>
      </c>
      <c r="AE342" s="301">
        <f>AK328-AK342</f>
        <v>-19.5</v>
      </c>
      <c r="AF342" s="360">
        <f>(AK342-AK328)/AJ342</f>
        <v>3.1793391865782973E-3</v>
      </c>
      <c r="AG342" s="1" t="s">
        <v>518</v>
      </c>
      <c r="AH342" s="333">
        <v>4.2999999999999997E-2</v>
      </c>
      <c r="AI342" s="63">
        <f>AJ342+AK342+AL342</f>
        <v>6152.85</v>
      </c>
      <c r="AJ342" s="63">
        <v>6133.35</v>
      </c>
      <c r="AK342" s="63">
        <v>19.5</v>
      </c>
      <c r="AL342" s="120">
        <v>0</v>
      </c>
      <c r="AM342" t="s">
        <v>513</v>
      </c>
      <c r="AN342" s="363">
        <v>2</v>
      </c>
    </row>
    <row r="343" spans="27:40">
      <c r="AA343" s="63"/>
      <c r="AC343" s="301">
        <f t="shared" si="121"/>
        <v>0</v>
      </c>
      <c r="AD343" s="301">
        <f t="shared" si="121"/>
        <v>0</v>
      </c>
      <c r="AE343" s="301">
        <f>AK329-AK343</f>
        <v>-72.44</v>
      </c>
      <c r="AF343" s="360"/>
      <c r="AK343" s="6">
        <f>SUM(AK333:AK342)</f>
        <v>72.44</v>
      </c>
    </row>
    <row r="344" spans="27:40">
      <c r="AA344" s="63">
        <f>SUM(AA333:AA342)</f>
        <v>285.51</v>
      </c>
      <c r="AB344" s="63">
        <f>SUM(AB333:AB342)</f>
        <v>-14542.17</v>
      </c>
      <c r="AC344" s="301">
        <f t="shared" si="121"/>
        <v>0</v>
      </c>
      <c r="AD344" s="301">
        <f t="shared" si="121"/>
        <v>0</v>
      </c>
      <c r="AE344" s="301">
        <f>AK330-AK344</f>
        <v>0</v>
      </c>
      <c r="AF344" s="360"/>
    </row>
    <row r="345" spans="27:40">
      <c r="AA345" s="63"/>
    </row>
    <row r="347" spans="27:40">
      <c r="AB347" s="63"/>
      <c r="AC347" s="63"/>
      <c r="AD347" s="63"/>
      <c r="AE347" s="6"/>
      <c r="AF347" s="66"/>
      <c r="AN347" t="s">
        <v>694</v>
      </c>
    </row>
    <row r="348" spans="27:40">
      <c r="AB348" s="63"/>
      <c r="AC348" s="63"/>
      <c r="AD348" s="63"/>
      <c r="AE348" s="66"/>
      <c r="AF348" s="102">
        <v>45658</v>
      </c>
      <c r="AH348" s="8" t="s">
        <v>521</v>
      </c>
      <c r="AI348" s="6">
        <f>SUM(AI350:AI359)</f>
        <v>24666.87</v>
      </c>
      <c r="AJ348" s="8" t="s">
        <v>560</v>
      </c>
      <c r="AK348" s="8"/>
      <c r="AL348" s="8"/>
      <c r="AM348" s="338">
        <v>255.6</v>
      </c>
      <c r="AN348">
        <v>285.51</v>
      </c>
    </row>
    <row r="349" spans="27:40">
      <c r="AB349" s="63"/>
      <c r="AC349" s="63"/>
      <c r="AD349" s="63"/>
      <c r="AE349" t="s">
        <v>906</v>
      </c>
      <c r="AG349" t="s">
        <v>508</v>
      </c>
      <c r="AH349" t="s">
        <v>520</v>
      </c>
      <c r="AI349" t="s">
        <v>12</v>
      </c>
      <c r="AJ349" t="s">
        <v>519</v>
      </c>
      <c r="AK349" t="s">
        <v>154</v>
      </c>
      <c r="AL349" t="s">
        <v>332</v>
      </c>
      <c r="AN349" t="s">
        <v>740</v>
      </c>
    </row>
    <row r="350" spans="27:40">
      <c r="AB350" s="63"/>
      <c r="AC350" s="301"/>
      <c r="AD350" s="301"/>
      <c r="AE350" s="63">
        <v>34.6</v>
      </c>
      <c r="AF350" s="360">
        <f>(AK350-AK336)/AJ350</f>
        <v>2.7928736675128948E-3</v>
      </c>
      <c r="AG350" s="1" t="s">
        <v>506</v>
      </c>
      <c r="AH350" s="333">
        <v>3.4000000000000002E-2</v>
      </c>
      <c r="AI350" s="63">
        <f>AJ350+AK350+AL350</f>
        <v>3116.5899999999997</v>
      </c>
      <c r="AJ350" s="63">
        <v>3107.91</v>
      </c>
      <c r="AK350" s="63">
        <v>8.68</v>
      </c>
      <c r="AL350" s="120">
        <v>0</v>
      </c>
      <c r="AM350" t="s">
        <v>512</v>
      </c>
      <c r="AN350" s="363">
        <v>6</v>
      </c>
    </row>
    <row r="351" spans="27:40">
      <c r="AB351" s="63"/>
      <c r="AC351" s="301"/>
      <c r="AD351" s="301"/>
      <c r="AE351" s="63"/>
      <c r="AF351" s="360"/>
      <c r="AG351" s="1" t="s">
        <v>507</v>
      </c>
      <c r="AI351" s="63">
        <f t="shared" ref="AI351:AI356" si="122">AJ351+AK351+AL351</f>
        <v>0</v>
      </c>
      <c r="AJ351" s="63">
        <v>0</v>
      </c>
      <c r="AK351" s="63"/>
      <c r="AL351" s="120">
        <v>0</v>
      </c>
      <c r="AM351" t="s">
        <v>513</v>
      </c>
      <c r="AN351" s="364"/>
    </row>
    <row r="352" spans="27:40">
      <c r="AB352" s="63"/>
      <c r="AC352" s="301"/>
      <c r="AD352" s="301"/>
      <c r="AE352" s="63">
        <v>44.51</v>
      </c>
      <c r="AF352" s="360">
        <f>(AK352-AK338)/AJ352</f>
        <v>1.4306115864532087E-3</v>
      </c>
      <c r="AG352" s="1" t="s">
        <v>509</v>
      </c>
      <c r="AH352" s="333">
        <v>3.4000000000000002E-2</v>
      </c>
      <c r="AI352" s="63">
        <f t="shared" si="122"/>
        <v>4009.45</v>
      </c>
      <c r="AJ352" s="63">
        <v>3998.29</v>
      </c>
      <c r="AK352" s="63">
        <v>11.16</v>
      </c>
      <c r="AL352" s="120">
        <v>0</v>
      </c>
      <c r="AM352" t="s">
        <v>512</v>
      </c>
      <c r="AN352" s="363">
        <v>7</v>
      </c>
    </row>
    <row r="353" spans="28:40">
      <c r="AB353" s="63"/>
      <c r="AC353" s="301"/>
      <c r="AD353" s="301"/>
      <c r="AE353" s="63"/>
      <c r="AF353" s="360"/>
      <c r="AG353" s="1" t="s">
        <v>510</v>
      </c>
      <c r="AI353" s="63">
        <f t="shared" si="122"/>
        <v>0</v>
      </c>
      <c r="AJ353" s="63">
        <v>0</v>
      </c>
      <c r="AK353" s="63"/>
      <c r="AL353" s="120">
        <v>0</v>
      </c>
      <c r="AM353" t="s">
        <v>512</v>
      </c>
      <c r="AN353" s="364"/>
    </row>
    <row r="354" spans="28:40">
      <c r="AB354" s="63"/>
      <c r="AC354" s="301"/>
      <c r="AD354" s="301"/>
      <c r="AE354" s="63">
        <v>55.6</v>
      </c>
      <c r="AF354" s="360">
        <f>(AK354-AK340)/AJ354</f>
        <v>3.1702251798296972E-3</v>
      </c>
      <c r="AG354" s="1" t="s">
        <v>511</v>
      </c>
      <c r="AH354" s="333">
        <v>3.8600000000000002E-2</v>
      </c>
      <c r="AI354" s="63">
        <f t="shared" si="122"/>
        <v>4917.3999999999996</v>
      </c>
      <c r="AJ354" s="63">
        <v>4901.8599999999997</v>
      </c>
      <c r="AK354" s="63">
        <v>15.54</v>
      </c>
      <c r="AL354" s="120">
        <v>0</v>
      </c>
      <c r="AM354" t="s">
        <v>512</v>
      </c>
      <c r="AN354" s="363">
        <v>5</v>
      </c>
    </row>
    <row r="355" spans="28:40">
      <c r="AB355" s="63"/>
      <c r="AC355" s="301"/>
      <c r="AD355" s="301"/>
      <c r="AE355" s="63">
        <v>21.59</v>
      </c>
      <c r="AF355" s="360">
        <f>(AK355-AK341)/AJ355</f>
        <v>-9.20912656197901E-4</v>
      </c>
      <c r="AG355" s="1" t="s">
        <v>514</v>
      </c>
      <c r="AH355" s="333">
        <v>3.8600000000000002E-2</v>
      </c>
      <c r="AI355" s="63">
        <f t="shared" si="122"/>
        <v>1895.42</v>
      </c>
      <c r="AJ355" s="63">
        <v>1889.43</v>
      </c>
      <c r="AK355" s="63">
        <v>5.99</v>
      </c>
      <c r="AL355" s="120">
        <v>0</v>
      </c>
      <c r="AM355" t="s">
        <v>513</v>
      </c>
      <c r="AN355" s="363">
        <v>4</v>
      </c>
    </row>
    <row r="356" spans="28:40">
      <c r="AB356" s="63"/>
      <c r="AC356" s="301"/>
      <c r="AD356" s="301"/>
      <c r="AE356" s="63">
        <v>29.91</v>
      </c>
      <c r="AF356" s="360">
        <f>(AK356-AK342)/AJ356</f>
        <v>-5.0476316184736945E-3</v>
      </c>
      <c r="AG356" s="1" t="s">
        <v>515</v>
      </c>
      <c r="AH356" s="333">
        <v>4.6600000000000003E-2</v>
      </c>
      <c r="AI356" s="63">
        <f t="shared" si="122"/>
        <v>2205.48</v>
      </c>
      <c r="AJ356" s="63">
        <v>2197.0700000000002</v>
      </c>
      <c r="AK356" s="63">
        <v>8.41</v>
      </c>
      <c r="AL356" s="120">
        <v>0</v>
      </c>
      <c r="AM356" t="s">
        <v>512</v>
      </c>
      <c r="AN356" s="363">
        <v>1</v>
      </c>
    </row>
    <row r="357" spans="28:40">
      <c r="AB357" s="63"/>
      <c r="AC357" s="301"/>
      <c r="AD357" s="301"/>
      <c r="AE357" s="63"/>
      <c r="AF357" s="360"/>
      <c r="AG357" s="1" t="s">
        <v>516</v>
      </c>
      <c r="AH357" s="333"/>
      <c r="AI357" s="63">
        <v>0</v>
      </c>
      <c r="AJ357" s="63">
        <v>0</v>
      </c>
      <c r="AK357" s="63"/>
      <c r="AL357" s="120">
        <v>0</v>
      </c>
      <c r="AM357" t="s">
        <v>513</v>
      </c>
      <c r="AN357" s="364"/>
    </row>
    <row r="358" spans="28:40">
      <c r="AB358" s="63"/>
      <c r="AC358" s="301"/>
      <c r="AD358" s="301"/>
      <c r="AE358" s="63">
        <v>28.5</v>
      </c>
      <c r="AF358" s="360">
        <f>(AK358-AK344)/AJ358</f>
        <v>3.5230386000688028E-3</v>
      </c>
      <c r="AG358" s="1" t="s">
        <v>517</v>
      </c>
      <c r="AH358" s="333">
        <v>4.2900000000000001E-2</v>
      </c>
      <c r="AI358" s="63">
        <f>AJ358+AK358+AL358</f>
        <v>2421.19</v>
      </c>
      <c r="AJ358" s="63">
        <v>2412.69</v>
      </c>
      <c r="AK358" s="63">
        <v>8.5</v>
      </c>
      <c r="AL358" s="120">
        <v>0</v>
      </c>
      <c r="AM358" t="s">
        <v>512</v>
      </c>
      <c r="AN358" s="363">
        <v>3</v>
      </c>
    </row>
    <row r="359" spans="28:40">
      <c r="AB359" s="63"/>
      <c r="AC359" s="301"/>
      <c r="AD359" s="301"/>
      <c r="AE359" s="63">
        <v>70.8</v>
      </c>
      <c r="AF359" s="360">
        <f>(AK359-AK345)/AJ359</f>
        <v>3.5313255053150807E-3</v>
      </c>
      <c r="AG359" s="1" t="s">
        <v>518</v>
      </c>
      <c r="AH359" s="333">
        <v>4.2999999999999997E-2</v>
      </c>
      <c r="AI359" s="63">
        <f>AJ359+AK359+AL359</f>
        <v>6101.34</v>
      </c>
      <c r="AJ359" s="63">
        <v>6079.87</v>
      </c>
      <c r="AK359" s="63">
        <v>21.47</v>
      </c>
      <c r="AL359" s="120">
        <v>0</v>
      </c>
      <c r="AM359" t="s">
        <v>513</v>
      </c>
      <c r="AN359" s="363">
        <v>2</v>
      </c>
    </row>
    <row r="360" spans="28:40">
      <c r="AC360" s="301"/>
      <c r="AD360" s="301"/>
      <c r="AE360" s="63"/>
      <c r="AF360" s="360"/>
      <c r="AK360" s="6">
        <f>SUM(AK350:AK359)</f>
        <v>79.75</v>
      </c>
    </row>
    <row r="361" spans="28:40">
      <c r="AB361" s="63"/>
      <c r="AC361" s="301"/>
      <c r="AD361" s="301"/>
      <c r="AE361" s="63">
        <f>SUM(AE350:AE359)</f>
        <v>285.51</v>
      </c>
      <c r="AF361" s="360"/>
    </row>
    <row r="364" spans="28:40">
      <c r="AE364" s="6"/>
      <c r="AF364" s="66"/>
      <c r="AN364" t="s">
        <v>694</v>
      </c>
    </row>
    <row r="365" spans="28:40">
      <c r="AE365" s="66"/>
      <c r="AF365" s="102">
        <v>45722</v>
      </c>
      <c r="AH365" s="8" t="s">
        <v>521</v>
      </c>
      <c r="AI365" s="6">
        <f>SUM(AI367:AI376)</f>
        <v>23934.680000000004</v>
      </c>
      <c r="AJ365" s="8" t="s">
        <v>560</v>
      </c>
      <c r="AK365" s="8"/>
      <c r="AL365" s="8"/>
      <c r="AM365" s="338">
        <v>255.6</v>
      </c>
      <c r="AN365">
        <v>285.51</v>
      </c>
    </row>
    <row r="366" spans="28:40">
      <c r="AE366" t="s">
        <v>906</v>
      </c>
      <c r="AG366" t="s">
        <v>508</v>
      </c>
      <c r="AH366" t="s">
        <v>520</v>
      </c>
      <c r="AI366" t="s">
        <v>12</v>
      </c>
      <c r="AJ366" t="s">
        <v>519</v>
      </c>
      <c r="AK366" t="s">
        <v>154</v>
      </c>
      <c r="AL366" t="s">
        <v>332</v>
      </c>
      <c r="AN366" t="s">
        <v>740</v>
      </c>
    </row>
    <row r="367" spans="28:40">
      <c r="AE367" s="63">
        <v>34.6</v>
      </c>
      <c r="AF367" s="360">
        <f>(AK367-AK353)/AJ367</f>
        <v>2.772066806810044E-4</v>
      </c>
      <c r="AG367" s="1" t="s">
        <v>506</v>
      </c>
      <c r="AH367" s="333">
        <v>3.4000000000000002E-2</v>
      </c>
      <c r="AI367" s="63">
        <f>AJ367+AK367+AL367</f>
        <v>3031.07</v>
      </c>
      <c r="AJ367" s="63">
        <v>3030.23</v>
      </c>
      <c r="AK367" s="63">
        <v>0.84</v>
      </c>
      <c r="AL367" s="120">
        <v>0</v>
      </c>
      <c r="AM367" t="s">
        <v>512</v>
      </c>
      <c r="AN367" s="363">
        <v>6</v>
      </c>
    </row>
    <row r="368" spans="28:40">
      <c r="AE368" s="63"/>
      <c r="AF368" s="360"/>
      <c r="AG368" s="1" t="s">
        <v>507</v>
      </c>
      <c r="AI368" s="63">
        <f t="shared" ref="AI368:AI373" si="123">AJ368+AK368+AL368</f>
        <v>0</v>
      </c>
      <c r="AJ368" s="63">
        <v>0</v>
      </c>
      <c r="AK368" s="63"/>
      <c r="AL368" s="120">
        <v>0</v>
      </c>
      <c r="AM368" t="s">
        <v>513</v>
      </c>
      <c r="AN368" s="364"/>
    </row>
    <row r="369" spans="31:40">
      <c r="AE369" s="63">
        <v>44.51</v>
      </c>
      <c r="AF369" s="360">
        <f>(AK369-AK355)/AJ369</f>
        <v>-1.2569420395808484E-3</v>
      </c>
      <c r="AG369" s="1" t="s">
        <v>509</v>
      </c>
      <c r="AH369" s="333">
        <v>3.4000000000000002E-2</v>
      </c>
      <c r="AI369" s="63">
        <f t="shared" si="123"/>
        <v>3899.44</v>
      </c>
      <c r="AJ369" s="63">
        <v>3898.35</v>
      </c>
      <c r="AK369" s="63">
        <v>1.0900000000000001</v>
      </c>
      <c r="AL369" s="120">
        <v>0</v>
      </c>
      <c r="AM369" t="s">
        <v>512</v>
      </c>
      <c r="AN369" s="363">
        <v>7</v>
      </c>
    </row>
    <row r="370" spans="31:40">
      <c r="AE370" s="63"/>
      <c r="AF370" s="360"/>
      <c r="AG370" s="1" t="s">
        <v>510</v>
      </c>
      <c r="AI370" s="63">
        <f t="shared" si="123"/>
        <v>0</v>
      </c>
      <c r="AJ370" s="63">
        <v>0</v>
      </c>
      <c r="AK370" s="63"/>
      <c r="AL370" s="120">
        <v>0</v>
      </c>
      <c r="AM370" t="s">
        <v>512</v>
      </c>
      <c r="AN370" s="364"/>
    </row>
    <row r="371" spans="31:40">
      <c r="AE371" s="63">
        <v>55.6</v>
      </c>
      <c r="AF371" s="360">
        <f>(AK371-AK357)/AJ371</f>
        <v>3.1786993682335004E-4</v>
      </c>
      <c r="AG371" s="1" t="s">
        <v>511</v>
      </c>
      <c r="AH371" s="333">
        <v>3.8600000000000002E-2</v>
      </c>
      <c r="AI371" s="63">
        <f t="shared" si="123"/>
        <v>4783.3500000000004</v>
      </c>
      <c r="AJ371" s="63">
        <v>4781.83</v>
      </c>
      <c r="AK371" s="63">
        <v>1.52</v>
      </c>
      <c r="AL371" s="120">
        <v>0</v>
      </c>
      <c r="AM371" t="s">
        <v>512</v>
      </c>
      <c r="AN371" s="363">
        <v>5</v>
      </c>
    </row>
    <row r="372" spans="31:40">
      <c r="AE372" s="63">
        <v>21.59</v>
      </c>
      <c r="AF372" s="360">
        <f>(AK372-AK358)/AJ372</f>
        <v>-4.2926606898647619E-3</v>
      </c>
      <c r="AG372" s="1" t="s">
        <v>514</v>
      </c>
      <c r="AH372" s="333">
        <v>3.8600000000000002E-2</v>
      </c>
      <c r="AI372" s="63">
        <f t="shared" si="123"/>
        <v>1843.27</v>
      </c>
      <c r="AJ372" s="63">
        <v>1842.68</v>
      </c>
      <c r="AK372" s="63">
        <v>0.59</v>
      </c>
      <c r="AL372" s="120">
        <v>0</v>
      </c>
      <c r="AM372" t="s">
        <v>513</v>
      </c>
      <c r="AN372" s="363">
        <v>4</v>
      </c>
    </row>
    <row r="373" spans="31:40">
      <c r="AE373" s="63">
        <v>29.91</v>
      </c>
      <c r="AF373" s="360">
        <f>(AK373-AK359)/AJ373</f>
        <v>-9.792449344090657E-3</v>
      </c>
      <c r="AG373" s="1" t="s">
        <v>515</v>
      </c>
      <c r="AH373" s="333">
        <v>4.6600000000000003E-2</v>
      </c>
      <c r="AI373" s="63">
        <f t="shared" si="123"/>
        <v>2111.61</v>
      </c>
      <c r="AJ373" s="63">
        <v>2110.81</v>
      </c>
      <c r="AK373" s="63">
        <v>0.8</v>
      </c>
      <c r="AL373" s="120">
        <v>0</v>
      </c>
      <c r="AM373" t="s">
        <v>512</v>
      </c>
      <c r="AN373" s="363">
        <v>1</v>
      </c>
    </row>
    <row r="374" spans="31:40">
      <c r="AE374" s="63"/>
      <c r="AF374" s="360"/>
      <c r="AG374" s="1" t="s">
        <v>516</v>
      </c>
      <c r="AH374" s="333"/>
      <c r="AI374" s="63">
        <v>0</v>
      </c>
      <c r="AJ374" s="63">
        <v>0</v>
      </c>
      <c r="AK374" s="63"/>
      <c r="AL374" s="120">
        <v>0</v>
      </c>
      <c r="AM374" t="s">
        <v>513</v>
      </c>
      <c r="AN374" s="364"/>
    </row>
    <row r="375" spans="31:40">
      <c r="AE375" s="63">
        <v>28.5</v>
      </c>
      <c r="AF375" s="360">
        <f>(AK375-AK361)/AJ375</f>
        <v>3.5047677663944059E-4</v>
      </c>
      <c r="AG375" s="1" t="s">
        <v>517</v>
      </c>
      <c r="AH375" s="333">
        <v>4.2900000000000001E-2</v>
      </c>
      <c r="AI375" s="63">
        <f>AJ375+AK375+AL375</f>
        <v>2340.4900000000002</v>
      </c>
      <c r="AJ375" s="63">
        <v>2339.67</v>
      </c>
      <c r="AK375" s="63">
        <v>0.82</v>
      </c>
      <c r="AL375" s="120">
        <v>0</v>
      </c>
      <c r="AM375" t="s">
        <v>512</v>
      </c>
      <c r="AN375" s="363">
        <v>3</v>
      </c>
    </row>
    <row r="376" spans="31:40">
      <c r="AE376" s="63">
        <v>70.8</v>
      </c>
      <c r="AF376" s="360">
        <f>(AK376-AK362)/AJ376</f>
        <v>3.5284027984117122E-4</v>
      </c>
      <c r="AG376" s="1" t="s">
        <v>518</v>
      </c>
      <c r="AH376" s="333">
        <v>4.2999999999999997E-2</v>
      </c>
      <c r="AI376" s="63">
        <f>AJ376+AK376+AL376</f>
        <v>5925.45</v>
      </c>
      <c r="AJ376" s="63">
        <v>5923.36</v>
      </c>
      <c r="AK376" s="63">
        <v>2.09</v>
      </c>
      <c r="AL376" s="120">
        <v>0</v>
      </c>
      <c r="AM376" t="s">
        <v>513</v>
      </c>
      <c r="AN376" s="363">
        <v>2</v>
      </c>
    </row>
    <row r="377" spans="31:40">
      <c r="AE377" s="63"/>
      <c r="AF377" s="360"/>
      <c r="AK377" s="6">
        <f>SUM(AK367:AK376)</f>
        <v>7.75</v>
      </c>
    </row>
    <row r="378" spans="31:40">
      <c r="AE378" s="63">
        <f>SUM(AE367:AE376)</f>
        <v>285.51</v>
      </c>
      <c r="AF378" s="360"/>
    </row>
    <row r="383" spans="31:40">
      <c r="AE383" s="6"/>
      <c r="AF383" s="66"/>
      <c r="AN383" t="s">
        <v>694</v>
      </c>
    </row>
    <row r="384" spans="31:40">
      <c r="AE384" s="66"/>
      <c r="AF384" s="102">
        <v>45748</v>
      </c>
      <c r="AH384" s="8" t="s">
        <v>521</v>
      </c>
      <c r="AI384" s="6">
        <f>SUM(AI386:AI395)</f>
        <v>24001.940000000002</v>
      </c>
      <c r="AJ384" s="8" t="s">
        <v>560</v>
      </c>
      <c r="AK384" s="8"/>
      <c r="AL384" s="8"/>
      <c r="AM384" s="338">
        <v>255.6</v>
      </c>
      <c r="AN384">
        <v>285.51</v>
      </c>
    </row>
    <row r="385" spans="31:45">
      <c r="AE385" t="s">
        <v>906</v>
      </c>
      <c r="AG385" t="s">
        <v>508</v>
      </c>
      <c r="AH385" t="s">
        <v>520</v>
      </c>
      <c r="AI385" t="s">
        <v>12</v>
      </c>
      <c r="AJ385" t="s">
        <v>519</v>
      </c>
      <c r="AK385" t="s">
        <v>154</v>
      </c>
      <c r="AL385" t="s">
        <v>332</v>
      </c>
      <c r="AN385" t="s">
        <v>740</v>
      </c>
    </row>
    <row r="386" spans="31:45">
      <c r="AE386" s="63">
        <v>34.6</v>
      </c>
      <c r="AF386" s="360">
        <f>(AK386-AK372)/AJ386</f>
        <v>2.5047603647247898E-3</v>
      </c>
      <c r="AG386" s="1" t="s">
        <v>506</v>
      </c>
      <c r="AH386" s="333">
        <v>3.4000000000000002E-2</v>
      </c>
      <c r="AI386" s="63">
        <f t="shared" ref="AI386:AI392" si="124">AJ386+AK386+AL386</f>
        <v>3038.41</v>
      </c>
      <c r="AJ386" s="63">
        <v>3030.23</v>
      </c>
      <c r="AK386" s="63">
        <v>8.18</v>
      </c>
      <c r="AL386" s="120">
        <v>0</v>
      </c>
      <c r="AM386" t="s">
        <v>512</v>
      </c>
      <c r="AN386" s="363">
        <v>6</v>
      </c>
      <c r="AQ386" s="118">
        <f t="shared" ref="AQ386:AQ394" si="125">AK386/AJ386</f>
        <v>2.699465057107876E-3</v>
      </c>
      <c r="AR386" s="118">
        <f t="shared" ref="AR386:AR394" si="126">AK386/AI386</f>
        <v>2.6921975638574125E-3</v>
      </c>
      <c r="AS386" s="118">
        <f t="shared" ref="AS386:AS395" si="127">AR386*12</f>
        <v>3.230637076628895E-2</v>
      </c>
    </row>
    <row r="387" spans="31:45">
      <c r="AE387" s="63"/>
      <c r="AF387" s="360"/>
      <c r="AG387" s="1" t="s">
        <v>507</v>
      </c>
      <c r="AI387" s="63">
        <f t="shared" si="124"/>
        <v>0</v>
      </c>
      <c r="AJ387" s="63">
        <v>0</v>
      </c>
      <c r="AK387" s="63"/>
      <c r="AL387" s="120">
        <v>0</v>
      </c>
      <c r="AM387" t="s">
        <v>513</v>
      </c>
      <c r="AN387" s="364"/>
      <c r="AQ387" s="118"/>
      <c r="AR387" s="118"/>
      <c r="AS387" s="118">
        <f t="shared" si="127"/>
        <v>0</v>
      </c>
    </row>
    <row r="388" spans="31:45">
      <c r="AE388" s="63">
        <v>44.51</v>
      </c>
      <c r="AF388" s="360">
        <f>(AK388-AK374)/AJ388</f>
        <v>2.6985776033450048E-3</v>
      </c>
      <c r="AG388" s="1" t="s">
        <v>509</v>
      </c>
      <c r="AH388" s="333">
        <v>3.4000000000000002E-2</v>
      </c>
      <c r="AI388" s="63">
        <f t="shared" si="124"/>
        <v>3908.87</v>
      </c>
      <c r="AJ388" s="63">
        <v>3898.35</v>
      </c>
      <c r="AK388" s="63">
        <v>10.52</v>
      </c>
      <c r="AL388" s="120">
        <v>0</v>
      </c>
      <c r="AM388" t="s">
        <v>512</v>
      </c>
      <c r="AN388" s="363">
        <v>7</v>
      </c>
      <c r="AQ388" s="118">
        <f t="shared" si="125"/>
        <v>2.6985776033450048E-3</v>
      </c>
      <c r="AR388" s="118">
        <f t="shared" si="126"/>
        <v>2.691314881282826E-3</v>
      </c>
      <c r="AS388" s="118">
        <f t="shared" si="127"/>
        <v>3.229577857539391E-2</v>
      </c>
    </row>
    <row r="389" spans="31:45">
      <c r="AE389" s="63"/>
      <c r="AF389" s="360"/>
      <c r="AG389" s="1" t="s">
        <v>510</v>
      </c>
      <c r="AI389" s="63">
        <f t="shared" si="124"/>
        <v>0</v>
      </c>
      <c r="AJ389" s="63">
        <v>0</v>
      </c>
      <c r="AK389" s="63"/>
      <c r="AL389" s="120">
        <v>0</v>
      </c>
      <c r="AM389" t="s">
        <v>512</v>
      </c>
      <c r="AN389" s="364"/>
      <c r="AQ389" s="118"/>
      <c r="AR389" s="118"/>
      <c r="AS389" s="118">
        <f t="shared" si="127"/>
        <v>0</v>
      </c>
    </row>
    <row r="390" spans="31:45">
      <c r="AE390" s="63">
        <v>55.6</v>
      </c>
      <c r="AF390" s="360">
        <f>(AK390-AK376)/AJ390</f>
        <v>2.6287007275457306E-3</v>
      </c>
      <c r="AG390" s="1" t="s">
        <v>511</v>
      </c>
      <c r="AH390" s="333">
        <v>3.8600000000000002E-2</v>
      </c>
      <c r="AI390" s="63">
        <f t="shared" si="124"/>
        <v>4796.49</v>
      </c>
      <c r="AJ390" s="63">
        <v>4781.83</v>
      </c>
      <c r="AK390" s="63">
        <v>14.66</v>
      </c>
      <c r="AL390" s="120">
        <v>0</v>
      </c>
      <c r="AM390" t="s">
        <v>512</v>
      </c>
      <c r="AN390" s="363">
        <v>5</v>
      </c>
      <c r="AQ390" s="118">
        <f t="shared" si="125"/>
        <v>3.0657718906778367E-3</v>
      </c>
      <c r="AR390" s="118">
        <f t="shared" si="126"/>
        <v>3.0564016603808202E-3</v>
      </c>
      <c r="AS390" s="118">
        <f t="shared" si="127"/>
        <v>3.6676819924569844E-2</v>
      </c>
    </row>
    <row r="391" spans="31:45">
      <c r="AE391" s="63">
        <v>21.59</v>
      </c>
      <c r="AF391" s="360">
        <f>(AK391-AK377)/AJ391</f>
        <v>-1.1396444309375474E-3</v>
      </c>
      <c r="AG391" s="1" t="s">
        <v>514</v>
      </c>
      <c r="AH391" s="333">
        <v>3.8600000000000002E-2</v>
      </c>
      <c r="AI391" s="63">
        <f t="shared" si="124"/>
        <v>1848.3300000000002</v>
      </c>
      <c r="AJ391" s="63">
        <v>1842.68</v>
      </c>
      <c r="AK391" s="63">
        <v>5.65</v>
      </c>
      <c r="AL391" s="120">
        <v>0</v>
      </c>
      <c r="AM391" t="s">
        <v>513</v>
      </c>
      <c r="AN391" s="363">
        <v>4</v>
      </c>
      <c r="AQ391" s="118">
        <f t="shared" si="125"/>
        <v>3.0661862070462589E-3</v>
      </c>
      <c r="AR391" s="118">
        <f t="shared" si="126"/>
        <v>3.0568134478150548E-3</v>
      </c>
      <c r="AS391" s="118">
        <f t="shared" si="127"/>
        <v>3.6681761373780659E-2</v>
      </c>
    </row>
    <row r="392" spans="31:45">
      <c r="AE392" s="63">
        <v>29.91</v>
      </c>
      <c r="AF392" s="360">
        <f>(AK392-AK378)/AJ392</f>
        <v>3.7000014212553475E-3</v>
      </c>
      <c r="AG392" s="1" t="s">
        <v>515</v>
      </c>
      <c r="AH392" s="333">
        <v>4.6600000000000003E-2</v>
      </c>
      <c r="AI392" s="63">
        <f t="shared" si="124"/>
        <v>2118.62</v>
      </c>
      <c r="AJ392" s="63">
        <v>2110.81</v>
      </c>
      <c r="AK392" s="63">
        <v>7.81</v>
      </c>
      <c r="AL392" s="120">
        <v>0</v>
      </c>
      <c r="AM392" t="s">
        <v>512</v>
      </c>
      <c r="AN392" s="363">
        <v>1</v>
      </c>
      <c r="AQ392" s="118">
        <f t="shared" si="125"/>
        <v>3.7000014212553475E-3</v>
      </c>
      <c r="AR392" s="118">
        <f t="shared" si="126"/>
        <v>3.6863618770709237E-3</v>
      </c>
      <c r="AS392" s="118">
        <f>AR392*12</f>
        <v>4.4236342524851084E-2</v>
      </c>
    </row>
    <row r="393" spans="31:45">
      <c r="AE393" s="63"/>
      <c r="AF393" s="360"/>
      <c r="AG393" s="1" t="s">
        <v>516</v>
      </c>
      <c r="AH393" s="333"/>
      <c r="AI393" s="63">
        <v>0</v>
      </c>
      <c r="AJ393" s="63">
        <v>0</v>
      </c>
      <c r="AK393" s="63"/>
      <c r="AL393" s="120">
        <v>0</v>
      </c>
      <c r="AM393" t="s">
        <v>513</v>
      </c>
      <c r="AN393" s="364"/>
      <c r="AQ393" s="118"/>
      <c r="AR393" s="118"/>
      <c r="AS393" s="118">
        <f t="shared" si="127"/>
        <v>0</v>
      </c>
    </row>
    <row r="394" spans="31:45">
      <c r="AE394" s="63">
        <v>28.5</v>
      </c>
      <c r="AF394" s="360">
        <f>(AK394-AK380)/AJ394</f>
        <v>3.4064633046540747E-3</v>
      </c>
      <c r="AG394" s="1" t="s">
        <v>517</v>
      </c>
      <c r="AH394" s="333">
        <v>4.2900000000000001E-2</v>
      </c>
      <c r="AI394" s="63">
        <f>AJ394+AK394+AL394</f>
        <v>2347.64</v>
      </c>
      <c r="AJ394" s="63">
        <v>2339.67</v>
      </c>
      <c r="AK394" s="63">
        <v>7.97</v>
      </c>
      <c r="AL394" s="120">
        <v>0</v>
      </c>
      <c r="AM394" t="s">
        <v>512</v>
      </c>
      <c r="AN394" s="363">
        <v>3</v>
      </c>
      <c r="AQ394" s="118">
        <f t="shared" si="125"/>
        <v>3.4064633046540747E-3</v>
      </c>
      <c r="AR394" s="118">
        <f t="shared" si="126"/>
        <v>3.3948987067863898E-3</v>
      </c>
      <c r="AS394" s="118">
        <f t="shared" si="127"/>
        <v>4.0738784481436675E-2</v>
      </c>
    </row>
    <row r="395" spans="31:45">
      <c r="AE395" s="63">
        <v>70.8</v>
      </c>
      <c r="AF395" s="360">
        <f>(AK395-AK381)/AJ395</f>
        <v>3.4136030901380297E-3</v>
      </c>
      <c r="AG395" s="1" t="s">
        <v>518</v>
      </c>
      <c r="AH395" s="333">
        <v>4.2999999999999997E-2</v>
      </c>
      <c r="AI395" s="63">
        <f>AJ395+AK395+AL395</f>
        <v>5943.58</v>
      </c>
      <c r="AJ395" s="63">
        <v>5923.36</v>
      </c>
      <c r="AK395" s="63">
        <v>20.22</v>
      </c>
      <c r="AL395" s="120">
        <v>0</v>
      </c>
      <c r="AM395" t="s">
        <v>513</v>
      </c>
      <c r="AN395" s="363">
        <v>2</v>
      </c>
      <c r="AQ395" s="118">
        <f>AK395/AJ395</f>
        <v>3.4136030901380297E-3</v>
      </c>
      <c r="AR395" s="118">
        <f>AK395/AI395</f>
        <v>3.4019900464030096E-3</v>
      </c>
      <c r="AS395" s="118">
        <f t="shared" si="127"/>
        <v>4.0823880556836112E-2</v>
      </c>
    </row>
    <row r="396" spans="31:45">
      <c r="AE396" s="63"/>
      <c r="AF396" s="360"/>
      <c r="AK396" s="6">
        <f>SUM(AK386:AK395)</f>
        <v>75.009999999999991</v>
      </c>
    </row>
    <row r="397" spans="31:45">
      <c r="AE397" s="63">
        <f>SUM(AE386:AE395)</f>
        <v>285.51</v>
      </c>
      <c r="AF397" s="360"/>
    </row>
    <row r="403" spans="31:45">
      <c r="AE403" s="6"/>
      <c r="AF403" s="66"/>
      <c r="AN403" t="s">
        <v>694</v>
      </c>
    </row>
    <row r="404" spans="31:45">
      <c r="AE404" s="66"/>
      <c r="AF404" s="102">
        <v>45839</v>
      </c>
      <c r="AH404" s="8" t="s">
        <v>521</v>
      </c>
      <c r="AI404" s="6">
        <f>SUM(AI406:AI415)</f>
        <v>23333.05</v>
      </c>
      <c r="AJ404" s="8" t="s">
        <v>560</v>
      </c>
      <c r="AK404" s="8"/>
      <c r="AL404" s="8"/>
      <c r="AM404" s="338">
        <v>255.6</v>
      </c>
      <c r="AN404">
        <v>285.51</v>
      </c>
    </row>
    <row r="405" spans="31:45">
      <c r="AE405" t="s">
        <v>906</v>
      </c>
      <c r="AG405" t="s">
        <v>508</v>
      </c>
      <c r="AH405" t="s">
        <v>520</v>
      </c>
      <c r="AI405" t="s">
        <v>12</v>
      </c>
      <c r="AJ405" t="s">
        <v>519</v>
      </c>
      <c r="AK405" t="s">
        <v>154</v>
      </c>
      <c r="AL405" t="s">
        <v>332</v>
      </c>
      <c r="AN405" t="s">
        <v>740</v>
      </c>
    </row>
    <row r="406" spans="31:45">
      <c r="AE406" s="63">
        <v>34.6</v>
      </c>
      <c r="AF406" s="360"/>
      <c r="AG406" s="1" t="s">
        <v>506</v>
      </c>
      <c r="AH406" s="333">
        <v>3.4000000000000002E-2</v>
      </c>
      <c r="AI406" s="63">
        <f>AJ406+AK406+AL406</f>
        <v>2959.85</v>
      </c>
      <c r="AJ406" s="63">
        <v>2951.88</v>
      </c>
      <c r="AK406" s="63">
        <v>7.97</v>
      </c>
      <c r="AL406" s="120">
        <v>0</v>
      </c>
      <c r="AM406" t="s">
        <v>512</v>
      </c>
      <c r="AN406" s="363">
        <v>6</v>
      </c>
      <c r="AQ406" s="118">
        <f>AK406/AJ406</f>
        <v>2.6999742536959496E-3</v>
      </c>
      <c r="AR406" s="118">
        <f>AK406/AI406</f>
        <v>2.6927040221632853E-3</v>
      </c>
      <c r="AS406" s="118">
        <f t="shared" ref="AS406:AS411" si="128">AR406*12</f>
        <v>3.2312448265959422E-2</v>
      </c>
    </row>
    <row r="407" spans="31:45">
      <c r="AE407" s="63"/>
      <c r="AF407" s="360"/>
      <c r="AG407" s="1" t="s">
        <v>507</v>
      </c>
      <c r="AI407" s="63"/>
      <c r="AJ407" s="63"/>
      <c r="AK407" s="63"/>
      <c r="AL407" s="120">
        <v>0</v>
      </c>
      <c r="AM407" t="s">
        <v>513</v>
      </c>
      <c r="AN407" s="364"/>
      <c r="AQ407" s="118"/>
      <c r="AR407" s="118"/>
      <c r="AS407" s="118">
        <f t="shared" si="128"/>
        <v>0</v>
      </c>
    </row>
    <row r="408" spans="31:45">
      <c r="AE408" s="63">
        <v>44.51</v>
      </c>
      <c r="AF408" s="360"/>
      <c r="AG408" s="1" t="s">
        <v>509</v>
      </c>
      <c r="AH408" s="333">
        <v>3.4000000000000002E-2</v>
      </c>
      <c r="AI408" s="63">
        <f>AJ408+AK408+AL408</f>
        <v>3807.82</v>
      </c>
      <c r="AJ408" s="63">
        <v>3797.57</v>
      </c>
      <c r="AK408" s="63">
        <v>10.25</v>
      </c>
      <c r="AL408" s="120">
        <v>0</v>
      </c>
      <c r="AM408" t="s">
        <v>512</v>
      </c>
      <c r="AN408" s="363">
        <v>7</v>
      </c>
      <c r="AQ408" s="118">
        <f>AK408/AJ408</f>
        <v>2.6990944209060001E-3</v>
      </c>
      <c r="AR408" s="118">
        <f>AK408/AI408</f>
        <v>2.6918289204846866E-3</v>
      </c>
      <c r="AS408" s="118">
        <f t="shared" si="128"/>
        <v>3.2301947045816237E-2</v>
      </c>
    </row>
    <row r="409" spans="31:45">
      <c r="AE409" s="63"/>
      <c r="AF409" s="360"/>
      <c r="AG409" s="1" t="s">
        <v>510</v>
      </c>
      <c r="AI409" s="63"/>
      <c r="AJ409" s="63"/>
      <c r="AK409" s="63"/>
      <c r="AL409" s="120">
        <v>0</v>
      </c>
      <c r="AM409" t="s">
        <v>512</v>
      </c>
      <c r="AN409" s="364"/>
      <c r="AQ409" s="118"/>
      <c r="AR409" s="118"/>
      <c r="AS409" s="118">
        <f t="shared" si="128"/>
        <v>0</v>
      </c>
    </row>
    <row r="410" spans="31:45">
      <c r="AE410" s="63">
        <v>55.6</v>
      </c>
      <c r="AF410" s="360"/>
      <c r="AG410" s="1" t="s">
        <v>511</v>
      </c>
      <c r="AH410" s="333">
        <v>3.8600000000000002E-2</v>
      </c>
      <c r="AI410" s="63">
        <f>AJ410+AK410+AL410</f>
        <v>4674.92</v>
      </c>
      <c r="AJ410" s="63">
        <v>4660.6400000000003</v>
      </c>
      <c r="AK410" s="63">
        <v>14.28</v>
      </c>
      <c r="AL410" s="120">
        <v>0</v>
      </c>
      <c r="AM410" t="s">
        <v>512</v>
      </c>
      <c r="AN410" s="363">
        <v>5</v>
      </c>
      <c r="AQ410" s="118">
        <f>AK410/AJ410</f>
        <v>3.06395688145834E-3</v>
      </c>
      <c r="AR410" s="118">
        <f>AK410/AI410</f>
        <v>3.0545977257364831E-3</v>
      </c>
      <c r="AS410" s="118">
        <f t="shared" si="128"/>
        <v>3.6655172708837794E-2</v>
      </c>
    </row>
    <row r="411" spans="31:45">
      <c r="AE411" s="63">
        <v>21.59</v>
      </c>
      <c r="AF411" s="360"/>
      <c r="AG411" s="1" t="s">
        <v>514</v>
      </c>
      <c r="AH411" s="333">
        <v>3.8600000000000002E-2</v>
      </c>
      <c r="AI411" s="63">
        <f>AJ411+AK411+AL411</f>
        <v>1800.99</v>
      </c>
      <c r="AJ411" s="63">
        <v>1795.49</v>
      </c>
      <c r="AK411" s="63">
        <v>5.5</v>
      </c>
      <c r="AL411" s="120">
        <v>0</v>
      </c>
      <c r="AM411" t="s">
        <v>513</v>
      </c>
      <c r="AN411" s="363">
        <v>4</v>
      </c>
      <c r="AQ411" s="118">
        <f>AK411/AJ411</f>
        <v>3.0632306501289343E-3</v>
      </c>
      <c r="AR411" s="118">
        <f>AK411/AI411</f>
        <v>3.0538759237974671E-3</v>
      </c>
      <c r="AS411" s="118">
        <f t="shared" si="128"/>
        <v>3.6646511085569607E-2</v>
      </c>
    </row>
    <row r="412" spans="31:45">
      <c r="AE412" s="63">
        <v>29.91</v>
      </c>
      <c r="AF412" s="360"/>
      <c r="AG412" s="1" t="s">
        <v>515</v>
      </c>
      <c r="AH412" s="333">
        <v>4.6600000000000003E-2</v>
      </c>
      <c r="AI412" s="63">
        <f>AJ412+AK412+AL412</f>
        <v>2031.02</v>
      </c>
      <c r="AJ412" s="63">
        <v>2023.53</v>
      </c>
      <c r="AK412" s="63">
        <v>7.49</v>
      </c>
      <c r="AL412" s="120">
        <v>0</v>
      </c>
      <c r="AM412" t="s">
        <v>512</v>
      </c>
      <c r="AN412" s="363">
        <v>1</v>
      </c>
      <c r="AQ412" s="118">
        <f>AK412/AJ412</f>
        <v>3.7014524123684849E-3</v>
      </c>
      <c r="AR412" s="118">
        <f>AK412/AI412</f>
        <v>3.687802188063141E-3</v>
      </c>
      <c r="AS412" s="118">
        <f>AR412*12</f>
        <v>4.4253626256757689E-2</v>
      </c>
    </row>
    <row r="413" spans="31:45">
      <c r="AE413" s="63"/>
      <c r="AF413" s="360"/>
      <c r="AG413" s="1" t="s">
        <v>516</v>
      </c>
      <c r="AH413" s="333"/>
      <c r="AI413" s="63"/>
      <c r="AJ413" s="63"/>
      <c r="AK413" s="63"/>
      <c r="AL413" s="120">
        <v>0</v>
      </c>
      <c r="AM413" t="s">
        <v>513</v>
      </c>
      <c r="AN413" s="364"/>
      <c r="AQ413" s="118"/>
      <c r="AR413" s="118"/>
      <c r="AS413" s="118">
        <f>AR413*12</f>
        <v>0</v>
      </c>
    </row>
    <row r="414" spans="31:45">
      <c r="AE414" s="63">
        <v>28.5</v>
      </c>
      <c r="AF414" s="360"/>
      <c r="AG414" s="1" t="s">
        <v>517</v>
      </c>
      <c r="AH414" s="333">
        <v>4.2900000000000001E-2</v>
      </c>
      <c r="AI414" s="63">
        <f>AJ414+AK414+AL414</f>
        <v>2273.5899999999997</v>
      </c>
      <c r="AJ414" s="63">
        <v>2265.87</v>
      </c>
      <c r="AK414" s="63">
        <v>7.72</v>
      </c>
      <c r="AL414" s="120">
        <v>0</v>
      </c>
      <c r="AM414" t="s">
        <v>512</v>
      </c>
      <c r="AN414" s="363">
        <v>2</v>
      </c>
      <c r="AQ414" s="118">
        <f>AK414/AJ414</f>
        <v>3.4070798412971621E-3</v>
      </c>
      <c r="AR414" s="118">
        <f>AK414/AI414</f>
        <v>3.3955110640001059E-3</v>
      </c>
      <c r="AS414" s="118">
        <f>AR414*12</f>
        <v>4.0746132768001271E-2</v>
      </c>
    </row>
    <row r="415" spans="31:45">
      <c r="AE415" s="63">
        <v>70.8</v>
      </c>
      <c r="AF415" s="360"/>
      <c r="AG415" s="1" t="s">
        <v>518</v>
      </c>
      <c r="AH415" s="333">
        <v>4.2999999999999997E-2</v>
      </c>
      <c r="AI415" s="63">
        <f>AJ415+AK415+AL415</f>
        <v>5784.86</v>
      </c>
      <c r="AJ415" s="63">
        <v>5765.17</v>
      </c>
      <c r="AK415" s="63">
        <v>19.690000000000001</v>
      </c>
      <c r="AL415" s="120">
        <v>0</v>
      </c>
      <c r="AM415" t="s">
        <v>513</v>
      </c>
      <c r="AN415" s="363">
        <v>3</v>
      </c>
      <c r="AQ415" s="118">
        <f>AK415/AJ415</f>
        <v>3.4153372753969098E-3</v>
      </c>
      <c r="AR415" s="118">
        <f>AK415/AI415</f>
        <v>3.4037124493937628E-3</v>
      </c>
      <c r="AS415" s="118">
        <f>AR415*12</f>
        <v>4.0844549392725152E-2</v>
      </c>
    </row>
    <row r="416" spans="31:45">
      <c r="AE416" s="63"/>
      <c r="AF416" s="360"/>
      <c r="AK416" s="6">
        <f>SUM(AK406:AK415)</f>
        <v>72.900000000000006</v>
      </c>
    </row>
    <row r="417" spans="31:45">
      <c r="AE417" s="63">
        <f>SUM(AE406:AE415)</f>
        <v>285.51</v>
      </c>
      <c r="AF417" s="360"/>
    </row>
    <row r="421" spans="31:45">
      <c r="AE421" s="6"/>
      <c r="AF421" s="66"/>
      <c r="AN421" t="s">
        <v>694</v>
      </c>
    </row>
    <row r="422" spans="31:45">
      <c r="AE422" s="66"/>
      <c r="AF422" s="102">
        <v>45970</v>
      </c>
      <c r="AH422" s="8" t="s">
        <v>521</v>
      </c>
      <c r="AI422" s="6">
        <v>22148.2</v>
      </c>
      <c r="AJ422" s="8" t="s">
        <v>560</v>
      </c>
      <c r="AK422" s="8"/>
      <c r="AL422" s="8"/>
      <c r="AM422" s="338">
        <v>211.63</v>
      </c>
      <c r="AN422">
        <v>285.51</v>
      </c>
    </row>
    <row r="423" spans="31:45">
      <c r="AE423" t="s">
        <v>906</v>
      </c>
      <c r="AG423" t="s">
        <v>508</v>
      </c>
      <c r="AH423" t="s">
        <v>520</v>
      </c>
      <c r="AI423" t="s">
        <v>12</v>
      </c>
      <c r="AJ423" t="s">
        <v>519</v>
      </c>
      <c r="AK423" t="s">
        <v>154</v>
      </c>
      <c r="AL423" t="s">
        <v>332</v>
      </c>
      <c r="AN423" t="s">
        <v>740</v>
      </c>
    </row>
    <row r="424" spans="31:45">
      <c r="AE424" s="63">
        <v>34.6</v>
      </c>
      <c r="AF424" s="360"/>
      <c r="AG424" s="1" t="s">
        <v>506</v>
      </c>
      <c r="AH424" s="333">
        <v>3.4000000000000002E-2</v>
      </c>
      <c r="AI424" s="63">
        <f>AJ424+AK424+AL424</f>
        <v>2856.38</v>
      </c>
      <c r="AJ424" s="63">
        <v>2848.42</v>
      </c>
      <c r="AK424" s="63">
        <v>7.96</v>
      </c>
      <c r="AL424" s="120">
        <v>0</v>
      </c>
      <c r="AM424" t="s">
        <v>512</v>
      </c>
      <c r="AN424" s="363">
        <v>6</v>
      </c>
      <c r="AQ424" s="118">
        <f>AK424/AJ424</f>
        <v>2.7945317052962696E-3</v>
      </c>
      <c r="AR424" s="118">
        <f>AK424/AI424</f>
        <v>2.786744060664197E-3</v>
      </c>
      <c r="AS424" s="118">
        <f t="shared" ref="AS424:AS429" si="129">AR424*12</f>
        <v>3.3440928727970366E-2</v>
      </c>
    </row>
    <row r="425" spans="31:45">
      <c r="AE425" s="63"/>
      <c r="AF425" s="360"/>
      <c r="AG425" s="1" t="s">
        <v>507</v>
      </c>
      <c r="AI425" s="63"/>
      <c r="AJ425" s="63"/>
      <c r="AK425" s="63"/>
      <c r="AL425" s="120">
        <v>0</v>
      </c>
      <c r="AM425" t="s">
        <v>513</v>
      </c>
      <c r="AN425" s="364"/>
      <c r="AQ425" s="118"/>
      <c r="AR425" s="118"/>
      <c r="AS425" s="118">
        <f t="shared" si="129"/>
        <v>0</v>
      </c>
    </row>
    <row r="426" spans="31:45">
      <c r="AE426" s="63">
        <v>44.51</v>
      </c>
      <c r="AF426" s="360"/>
      <c r="AG426" s="1" t="s">
        <v>509</v>
      </c>
      <c r="AH426" s="333">
        <v>3.4000000000000002E-2</v>
      </c>
      <c r="AI426" s="63">
        <f>AJ426+AK426+AL426</f>
        <v>3674.71</v>
      </c>
      <c r="AJ426" s="63">
        <v>3664.48</v>
      </c>
      <c r="AK426" s="63">
        <v>10.23</v>
      </c>
      <c r="AL426" s="120">
        <v>0</v>
      </c>
      <c r="AM426" t="s">
        <v>512</v>
      </c>
      <c r="AN426" s="363">
        <v>7</v>
      </c>
      <c r="AQ426" s="118">
        <f>AK426/AJ426</f>
        <v>2.7916648473999038E-3</v>
      </c>
      <c r="AR426" s="118">
        <f>AK426/AI426</f>
        <v>2.7838931507520323E-3</v>
      </c>
      <c r="AS426" s="118">
        <f t="shared" si="129"/>
        <v>3.3406717809024392E-2</v>
      </c>
    </row>
    <row r="427" spans="31:45">
      <c r="AE427" s="63"/>
      <c r="AF427" s="360"/>
      <c r="AG427" s="1" t="s">
        <v>510</v>
      </c>
      <c r="AI427" s="63"/>
      <c r="AJ427" s="63"/>
      <c r="AK427" s="63"/>
      <c r="AL427" s="120">
        <v>0</v>
      </c>
      <c r="AM427" t="s">
        <v>512</v>
      </c>
      <c r="AN427" s="364"/>
      <c r="AQ427" s="118"/>
      <c r="AR427" s="118"/>
      <c r="AS427" s="118">
        <f t="shared" si="129"/>
        <v>0</v>
      </c>
    </row>
    <row r="428" spans="31:45">
      <c r="AE428" s="63">
        <v>55.6</v>
      </c>
      <c r="AF428" s="360"/>
      <c r="AG428" s="1" t="s">
        <v>511</v>
      </c>
      <c r="AH428" s="333">
        <v>3.8600000000000002E-2</v>
      </c>
      <c r="AI428" s="63">
        <f>AJ428+AK428+AL428</f>
        <v>4515.1600000000008</v>
      </c>
      <c r="AJ428" s="63">
        <v>4500.8900000000003</v>
      </c>
      <c r="AK428" s="63">
        <v>14.27</v>
      </c>
      <c r="AL428" s="120">
        <v>0</v>
      </c>
      <c r="AM428" t="s">
        <v>512</v>
      </c>
      <c r="AN428" s="363">
        <v>5</v>
      </c>
      <c r="AQ428" s="118">
        <f>AK428/AJ428</f>
        <v>3.1704840598192801E-3</v>
      </c>
      <c r="AR428" s="118">
        <f>AK428/AI428</f>
        <v>3.1604638595310016E-3</v>
      </c>
      <c r="AS428" s="118">
        <f t="shared" si="129"/>
        <v>3.7925566314372022E-2</v>
      </c>
    </row>
    <row r="429" spans="31:45">
      <c r="AE429" s="63">
        <v>21.59</v>
      </c>
      <c r="AF429" s="360"/>
      <c r="AG429" s="1" t="s">
        <v>514</v>
      </c>
      <c r="AH429" s="333">
        <v>3.8600000000000002E-2</v>
      </c>
      <c r="AI429" s="63">
        <f>AJ429+AK429+AL429</f>
        <v>1738.75</v>
      </c>
      <c r="AJ429" s="63">
        <v>1733.26</v>
      </c>
      <c r="AK429" s="63">
        <v>5.49</v>
      </c>
      <c r="AL429" s="120">
        <v>0</v>
      </c>
      <c r="AM429" t="s">
        <v>513</v>
      </c>
      <c r="AN429" s="363">
        <v>4</v>
      </c>
      <c r="AQ429" s="118">
        <f>AK429/AJ429</f>
        <v>3.1674416994565157E-3</v>
      </c>
      <c r="AR429" s="118">
        <f>AK429/AI429</f>
        <v>3.1574406901509707E-3</v>
      </c>
      <c r="AS429" s="118">
        <f t="shared" si="129"/>
        <v>3.7889288281811651E-2</v>
      </c>
    </row>
    <row r="430" spans="31:45">
      <c r="AE430" s="63">
        <v>29.91</v>
      </c>
      <c r="AF430" s="360"/>
      <c r="AG430" s="1" t="s">
        <v>515</v>
      </c>
      <c r="AH430" s="333">
        <v>4.6600000000000003E-2</v>
      </c>
      <c r="AI430" s="63">
        <f>AJ430+AK430+AL430</f>
        <v>1726.74</v>
      </c>
      <c r="AJ430" s="63">
        <v>1720.15</v>
      </c>
      <c r="AK430" s="63">
        <v>6.59</v>
      </c>
      <c r="AL430" s="120">
        <v>0</v>
      </c>
      <c r="AM430" t="s">
        <v>512</v>
      </c>
      <c r="AN430" s="363">
        <v>1</v>
      </c>
      <c r="AQ430" s="118">
        <f>AK430/AJ430</f>
        <v>3.8310612446588958E-3</v>
      </c>
      <c r="AR430" s="118">
        <f>AK430/AI430</f>
        <v>3.8164402284072878E-3</v>
      </c>
      <c r="AS430" s="118">
        <f>AR430*12</f>
        <v>4.5797282740887457E-2</v>
      </c>
    </row>
    <row r="431" spans="31:45">
      <c r="AE431" s="63"/>
      <c r="AF431" s="360"/>
      <c r="AG431" s="1" t="s">
        <v>516</v>
      </c>
      <c r="AH431" s="333"/>
      <c r="AI431" s="63"/>
      <c r="AJ431" s="63"/>
      <c r="AK431" s="63"/>
      <c r="AL431" s="120">
        <v>0</v>
      </c>
      <c r="AM431" t="s">
        <v>513</v>
      </c>
      <c r="AN431" s="364"/>
      <c r="AQ431" s="118"/>
      <c r="AR431" s="118"/>
      <c r="AS431" s="118">
        <f>AR431*12</f>
        <v>0</v>
      </c>
    </row>
    <row r="432" spans="31:45">
      <c r="AE432" s="63">
        <v>28.5</v>
      </c>
      <c r="AF432" s="360"/>
      <c r="AG432" s="1" t="s">
        <v>517</v>
      </c>
      <c r="AH432" s="333">
        <v>4.2900000000000001E-2</v>
      </c>
      <c r="AI432" s="63">
        <f>AJ432+AK432+AL432</f>
        <v>2064.3200000000002</v>
      </c>
      <c r="AJ432" s="63">
        <v>2057.0700000000002</v>
      </c>
      <c r="AK432" s="63">
        <v>7.25</v>
      </c>
      <c r="AL432" s="120">
        <v>0</v>
      </c>
      <c r="AM432" t="s">
        <v>512</v>
      </c>
      <c r="AN432" s="363">
        <v>2</v>
      </c>
      <c r="AQ432" s="118">
        <f>AK432/AJ432</f>
        <v>3.524430379131483E-3</v>
      </c>
      <c r="AR432" s="118">
        <f>AK432/AI432</f>
        <v>3.5120523949775228E-3</v>
      </c>
      <c r="AS432" s="118">
        <f>AR432*12</f>
        <v>4.2144628739730274E-2</v>
      </c>
    </row>
    <row r="433" spans="31:45">
      <c r="AE433" s="63">
        <v>70.8</v>
      </c>
      <c r="AF433" s="360"/>
      <c r="AG433" s="1" t="s">
        <v>518</v>
      </c>
      <c r="AH433" s="333">
        <v>4.2999999999999997E-2</v>
      </c>
      <c r="AI433" s="63">
        <f>AJ433+AK433+AL433</f>
        <v>5572.1399999999994</v>
      </c>
      <c r="AJ433" s="63">
        <v>5552.53</v>
      </c>
      <c r="AK433" s="63">
        <v>19.61</v>
      </c>
      <c r="AL433" s="120">
        <v>0</v>
      </c>
      <c r="AM433" t="s">
        <v>513</v>
      </c>
      <c r="AN433" s="363">
        <v>3</v>
      </c>
      <c r="AQ433" s="118">
        <f>AK433/AJ433</f>
        <v>3.5317233765508695E-3</v>
      </c>
      <c r="AR433" s="118">
        <f>AK433/AI433</f>
        <v>3.5192942029453676E-3</v>
      </c>
      <c r="AS433" s="118">
        <f>AR433*12</f>
        <v>4.223153043534441E-2</v>
      </c>
    </row>
    <row r="434" spans="31:45">
      <c r="AE434" s="63"/>
      <c r="AF434" s="360"/>
      <c r="AK434" s="6">
        <f>SUM(AK424:AK433)</f>
        <v>71.400000000000006</v>
      </c>
    </row>
    <row r="435" spans="31:45">
      <c r="AE435" s="63">
        <f>SUM(AE424:AE433)</f>
        <v>285.51</v>
      </c>
      <c r="AF435" s="360"/>
    </row>
    <row r="437" spans="31:45">
      <c r="AE437" s="6"/>
      <c r="AF437" s="66"/>
      <c r="AN437" t="s">
        <v>694</v>
      </c>
    </row>
    <row r="438" spans="31:45">
      <c r="AE438" s="66"/>
      <c r="AF438" s="102">
        <v>45997</v>
      </c>
      <c r="AH438" s="8" t="s">
        <v>521</v>
      </c>
      <c r="AI438" s="6">
        <v>21964.36</v>
      </c>
      <c r="AJ438" s="8" t="s">
        <v>560</v>
      </c>
      <c r="AK438" s="8"/>
      <c r="AL438" s="8"/>
      <c r="AM438" s="338">
        <v>221.34</v>
      </c>
      <c r="AN438">
        <v>285.51</v>
      </c>
    </row>
    <row r="439" spans="31:45">
      <c r="AE439" t="s">
        <v>906</v>
      </c>
      <c r="AG439" t="s">
        <v>508</v>
      </c>
      <c r="AH439" t="s">
        <v>520</v>
      </c>
      <c r="AI439" t="s">
        <v>12</v>
      </c>
      <c r="AJ439" t="s">
        <v>519</v>
      </c>
      <c r="AK439" t="s">
        <v>154</v>
      </c>
      <c r="AL439" t="s">
        <v>332</v>
      </c>
      <c r="AN439" t="s">
        <v>740</v>
      </c>
    </row>
    <row r="440" spans="31:45">
      <c r="AE440" s="63">
        <v>34.6</v>
      </c>
      <c r="AF440" s="360"/>
      <c r="AG440" s="1" t="s">
        <v>506</v>
      </c>
      <c r="AH440" s="333">
        <v>3.4000000000000002E-2</v>
      </c>
      <c r="AI440" s="63">
        <f>AJ440+AK440+AL440</f>
        <v>2829.14</v>
      </c>
      <c r="AJ440" s="63">
        <v>2822.31</v>
      </c>
      <c r="AK440" s="63">
        <v>6.83</v>
      </c>
      <c r="AL440" s="120">
        <v>0</v>
      </c>
      <c r="AM440" t="s">
        <v>512</v>
      </c>
      <c r="AN440" s="363">
        <v>6</v>
      </c>
      <c r="AQ440" s="118">
        <f>AK440/AJ440</f>
        <v>2.4200034723329471E-3</v>
      </c>
      <c r="AR440" s="118">
        <f>AK440/AI440</f>
        <v>2.414161193861032E-3</v>
      </c>
      <c r="AS440" s="118">
        <f t="shared" ref="AS440:AS445" si="130">AR440*12</f>
        <v>2.8969934326332384E-2</v>
      </c>
    </row>
    <row r="441" spans="31:45">
      <c r="AE441" s="63"/>
      <c r="AF441" s="360"/>
      <c r="AG441" s="1" t="s">
        <v>507</v>
      </c>
      <c r="AI441" s="63"/>
      <c r="AJ441" s="63"/>
      <c r="AK441" s="63"/>
      <c r="AL441" s="120">
        <v>0</v>
      </c>
      <c r="AM441" t="s">
        <v>513</v>
      </c>
      <c r="AN441" s="364"/>
      <c r="AQ441" s="118"/>
      <c r="AR441" s="118"/>
      <c r="AS441" s="118">
        <f t="shared" si="130"/>
        <v>0</v>
      </c>
    </row>
    <row r="442" spans="31:45">
      <c r="AE442" s="63">
        <v>44.51</v>
      </c>
      <c r="AF442" s="360"/>
      <c r="AG442" s="1" t="s">
        <v>509</v>
      </c>
      <c r="AH442" s="333">
        <v>3.4000000000000002E-2</v>
      </c>
      <c r="AI442" s="63">
        <f>AJ442+AK442+AL442</f>
        <v>3639.67</v>
      </c>
      <c r="AJ442" s="63">
        <v>3630.88</v>
      </c>
      <c r="AK442" s="63">
        <v>8.7899999999999991</v>
      </c>
      <c r="AL442" s="120">
        <v>0</v>
      </c>
      <c r="AM442" t="s">
        <v>512</v>
      </c>
      <c r="AN442" s="363">
        <v>7</v>
      </c>
      <c r="AQ442" s="118">
        <f>AK442/AJ442</f>
        <v>2.4209007182831709E-3</v>
      </c>
      <c r="AR442" s="118">
        <f>AK442/AI442</f>
        <v>2.4150541120486193E-3</v>
      </c>
      <c r="AS442" s="118">
        <f t="shared" si="130"/>
        <v>2.8980649344583432E-2</v>
      </c>
    </row>
    <row r="443" spans="31:45">
      <c r="AE443" s="63"/>
      <c r="AF443" s="360"/>
      <c r="AG443" s="1" t="s">
        <v>510</v>
      </c>
      <c r="AI443" s="63"/>
      <c r="AJ443" s="63"/>
      <c r="AK443" s="63"/>
      <c r="AL443" s="120">
        <v>0</v>
      </c>
      <c r="AM443" t="s">
        <v>512</v>
      </c>
      <c r="AN443" s="364"/>
      <c r="AQ443" s="118"/>
      <c r="AR443" s="118"/>
      <c r="AS443" s="118">
        <f t="shared" si="130"/>
        <v>0</v>
      </c>
    </row>
    <row r="444" spans="31:45">
      <c r="AE444" s="63">
        <v>55.6</v>
      </c>
      <c r="AF444" s="360"/>
      <c r="AG444" s="1" t="s">
        <v>511</v>
      </c>
      <c r="AH444" s="333">
        <v>3.8600000000000002E-2</v>
      </c>
      <c r="AI444" s="63">
        <f>AJ444+AK444+AL444</f>
        <v>4472.7700000000004</v>
      </c>
      <c r="AJ444" s="63">
        <v>4460.51</v>
      </c>
      <c r="AK444" s="63">
        <v>12.26</v>
      </c>
      <c r="AL444" s="120">
        <v>0</v>
      </c>
      <c r="AM444" t="s">
        <v>512</v>
      </c>
      <c r="AN444" s="363">
        <v>5</v>
      </c>
      <c r="AQ444" s="118">
        <f>AK444/AJ444</f>
        <v>2.7485646260181009E-3</v>
      </c>
      <c r="AR444" s="118">
        <f>AK444/AI444</f>
        <v>2.7410307259259918E-3</v>
      </c>
      <c r="AS444" s="118">
        <f t="shared" si="130"/>
        <v>3.2892368711111904E-2</v>
      </c>
    </row>
    <row r="445" spans="31:45">
      <c r="AE445" s="63">
        <v>21.59</v>
      </c>
      <c r="AF445" s="360"/>
      <c r="AG445" s="1" t="s">
        <v>514</v>
      </c>
      <c r="AH445" s="333">
        <v>3.8600000000000002E-2</v>
      </c>
      <c r="AI445" s="63">
        <f>AJ445+AK445+AL445</f>
        <v>1722.25</v>
      </c>
      <c r="AJ445" s="63">
        <v>1717.53</v>
      </c>
      <c r="AK445" s="63">
        <v>4.72</v>
      </c>
      <c r="AL445" s="120">
        <v>0</v>
      </c>
      <c r="AM445" t="s">
        <v>513</v>
      </c>
      <c r="AN445" s="363">
        <v>4</v>
      </c>
      <c r="AQ445" s="118">
        <f>AK445/AJ445</f>
        <v>2.7481324925911045E-3</v>
      </c>
      <c r="AR445" s="118">
        <f>AK445/AI445</f>
        <v>2.7406009580490634E-3</v>
      </c>
      <c r="AS445" s="118">
        <f t="shared" si="130"/>
        <v>3.2887211496588763E-2</v>
      </c>
    </row>
    <row r="446" spans="31:45">
      <c r="AE446" s="63">
        <v>29.91</v>
      </c>
      <c r="AF446" s="360"/>
      <c r="AG446" s="1" t="s">
        <v>515</v>
      </c>
      <c r="AH446" s="333">
        <v>4.6600000000000003E-2</v>
      </c>
      <c r="AI446" s="63">
        <f>AJ446+AK446+AL446</f>
        <v>1713.66</v>
      </c>
      <c r="AJ446" s="63">
        <v>1707.99</v>
      </c>
      <c r="AK446" s="63">
        <v>5.67</v>
      </c>
      <c r="AL446" s="120">
        <v>0</v>
      </c>
      <c r="AM446" t="s">
        <v>512</v>
      </c>
      <c r="AN446" s="363">
        <v>1</v>
      </c>
      <c r="AQ446" s="118">
        <f>AK446/AJ446</f>
        <v>3.3196915672808387E-3</v>
      </c>
      <c r="AR446" s="118">
        <f>AK446/AI446</f>
        <v>3.30870767830258E-3</v>
      </c>
      <c r="AS446" s="118">
        <f>AR446*12</f>
        <v>3.9704492139630961E-2</v>
      </c>
    </row>
    <row r="447" spans="31:45">
      <c r="AE447" s="63"/>
      <c r="AF447" s="360"/>
      <c r="AG447" s="1" t="s">
        <v>516</v>
      </c>
      <c r="AH447" s="333"/>
      <c r="AI447" s="63"/>
      <c r="AJ447" s="63"/>
      <c r="AK447" s="63"/>
      <c r="AL447" s="120">
        <v>0</v>
      </c>
      <c r="AM447" t="s">
        <v>513</v>
      </c>
      <c r="AN447" s="364"/>
      <c r="AQ447" s="118"/>
      <c r="AR447" s="118"/>
      <c r="AS447" s="118">
        <f>AR447*12</f>
        <v>0</v>
      </c>
    </row>
    <row r="448" spans="31:45">
      <c r="AE448" s="63">
        <v>28.5</v>
      </c>
      <c r="AF448" s="360"/>
      <c r="AG448" s="1" t="s">
        <v>517</v>
      </c>
      <c r="AH448" s="333">
        <v>4.2900000000000001E-2</v>
      </c>
      <c r="AI448" s="63">
        <f>AJ448+AK448+AL448</f>
        <v>2057.64</v>
      </c>
      <c r="AJ448" s="63">
        <v>2051.37</v>
      </c>
      <c r="AK448" s="63">
        <v>6.27</v>
      </c>
      <c r="AL448" s="120">
        <v>0</v>
      </c>
      <c r="AM448" t="s">
        <v>512</v>
      </c>
      <c r="AN448" s="363">
        <v>2</v>
      </c>
      <c r="AQ448" s="118">
        <f>AK448/AJ448</f>
        <v>3.0564939528217728E-3</v>
      </c>
      <c r="AR448" s="118">
        <f>AK448/AI448</f>
        <v>3.0471802647693475E-3</v>
      </c>
      <c r="AS448" s="118">
        <f>AR448*12</f>
        <v>3.6566163177232172E-2</v>
      </c>
    </row>
    <row r="449" spans="31:45">
      <c r="AE449" s="63">
        <v>70.8</v>
      </c>
      <c r="AF449" s="360"/>
      <c r="AG449" s="1" t="s">
        <v>518</v>
      </c>
      <c r="AH449" s="333">
        <v>4.2999999999999997E-2</v>
      </c>
      <c r="AI449" s="63">
        <f>AJ449+AK449+AL449</f>
        <v>5529.23</v>
      </c>
      <c r="AJ449" s="63">
        <v>5512.36</v>
      </c>
      <c r="AK449" s="63">
        <v>16.87</v>
      </c>
      <c r="AL449" s="120">
        <v>0</v>
      </c>
      <c r="AM449" t="s">
        <v>513</v>
      </c>
      <c r="AN449" s="363">
        <v>3</v>
      </c>
      <c r="AQ449" s="118">
        <f>AK449/AJ449</f>
        <v>3.0603951846396101E-3</v>
      </c>
      <c r="AR449" s="118">
        <f>AK449/AI449</f>
        <v>3.051057742217271E-3</v>
      </c>
      <c r="AS449" s="118">
        <f>AR449*12</f>
        <v>3.661269290660725E-2</v>
      </c>
    </row>
    <row r="450" spans="31:45">
      <c r="AE450" s="63"/>
      <c r="AF450" s="360"/>
      <c r="AK450" s="6">
        <f>SUM(AK440:AK449)</f>
        <v>61.410000000000011</v>
      </c>
    </row>
    <row r="451" spans="31:45">
      <c r="AE451" s="63">
        <f>SUM(AE440:AE449)</f>
        <v>285.51</v>
      </c>
      <c r="AF451" s="360"/>
    </row>
    <row r="453" spans="31:45">
      <c r="AE453" s="6"/>
      <c r="AF453" s="66"/>
      <c r="AN453" t="s">
        <v>694</v>
      </c>
    </row>
    <row r="454" spans="31:45">
      <c r="AE454" s="66"/>
      <c r="AF454" s="102">
        <v>46025</v>
      </c>
      <c r="AH454" s="8" t="s">
        <v>521</v>
      </c>
      <c r="AI454" s="6">
        <f>SUM(AI456:AI466)</f>
        <v>21442.610000000004</v>
      </c>
      <c r="AJ454" s="8" t="s">
        <v>560</v>
      </c>
      <c r="AK454" s="8"/>
      <c r="AL454" s="8"/>
      <c r="AM454" s="338">
        <v>172.47</v>
      </c>
      <c r="AN454">
        <v>285.51</v>
      </c>
    </row>
    <row r="455" spans="31:45">
      <c r="AE455" t="s">
        <v>906</v>
      </c>
      <c r="AG455" t="s">
        <v>508</v>
      </c>
      <c r="AH455" t="s">
        <v>520</v>
      </c>
      <c r="AI455" t="s">
        <v>12</v>
      </c>
      <c r="AJ455" t="s">
        <v>519</v>
      </c>
      <c r="AK455" t="s">
        <v>154</v>
      </c>
      <c r="AL455" t="s">
        <v>332</v>
      </c>
      <c r="AN455" t="s">
        <v>740</v>
      </c>
    </row>
    <row r="456" spans="31:45">
      <c r="AE456" s="63">
        <v>34.6</v>
      </c>
      <c r="AF456" s="360"/>
      <c r="AG456" s="1" t="s">
        <v>506</v>
      </c>
      <c r="AH456" s="333">
        <v>3.4000000000000002E-2</v>
      </c>
      <c r="AI456" s="63">
        <f>AJ456+AK456+AL456</f>
        <v>2801.71</v>
      </c>
      <c r="AJ456" s="63">
        <v>2795.03</v>
      </c>
      <c r="AK456" s="63">
        <v>6.68</v>
      </c>
      <c r="AL456" s="120">
        <v>0</v>
      </c>
      <c r="AM456" t="s">
        <v>512</v>
      </c>
      <c r="AN456" s="363">
        <v>6</v>
      </c>
      <c r="AQ456" s="118">
        <f>AK456/AJ456</f>
        <v>2.3899564584279952E-3</v>
      </c>
      <c r="AR456" s="118">
        <f>AK456/AI456</f>
        <v>2.384258185179765E-3</v>
      </c>
      <c r="AS456" s="118">
        <f t="shared" ref="AS456:AS461" si="131">AR456*12</f>
        <v>2.861109822215718E-2</v>
      </c>
    </row>
    <row r="457" spans="31:45">
      <c r="AE457" s="63"/>
      <c r="AF457" s="360"/>
      <c r="AG457" s="1" t="s">
        <v>507</v>
      </c>
      <c r="AI457" s="63"/>
      <c r="AJ457" s="63"/>
      <c r="AK457" s="63"/>
      <c r="AL457" s="120">
        <v>0</v>
      </c>
      <c r="AM457" t="s">
        <v>513</v>
      </c>
      <c r="AN457" s="364"/>
      <c r="AQ457" s="118"/>
      <c r="AR457" s="118"/>
      <c r="AS457" s="118">
        <f t="shared" si="131"/>
        <v>0</v>
      </c>
    </row>
    <row r="458" spans="31:45">
      <c r="AE458" s="63">
        <v>44.51</v>
      </c>
      <c r="AF458" s="360"/>
      <c r="AG458" s="1" t="s">
        <v>509</v>
      </c>
      <c r="AH458" s="333">
        <v>3.4000000000000002E-2</v>
      </c>
      <c r="AI458" s="63">
        <f>AJ458+AK458+AL458</f>
        <v>3604.39</v>
      </c>
      <c r="AJ458" s="63">
        <v>3595.79</v>
      </c>
      <c r="AK458" s="63">
        <v>8.6</v>
      </c>
      <c r="AL458" s="120">
        <v>0</v>
      </c>
      <c r="AM458" t="s">
        <v>512</v>
      </c>
      <c r="AN458" s="363">
        <v>7</v>
      </c>
      <c r="AQ458" s="118">
        <f>AK458/AJ458</f>
        <v>2.3916858325986777E-3</v>
      </c>
      <c r="AR458" s="118">
        <f>AK458/AI458</f>
        <v>2.3859793196629665E-3</v>
      </c>
      <c r="AS458" s="118">
        <f t="shared" si="131"/>
        <v>2.86317518359556E-2</v>
      </c>
    </row>
    <row r="459" spans="31:45">
      <c r="AE459" s="63"/>
      <c r="AF459" s="360"/>
      <c r="AG459" s="1" t="s">
        <v>510</v>
      </c>
      <c r="AI459" s="63"/>
      <c r="AJ459" s="63"/>
      <c r="AK459" s="63"/>
      <c r="AL459" s="120">
        <v>0</v>
      </c>
      <c r="AM459" t="s">
        <v>512</v>
      </c>
      <c r="AN459" s="364"/>
      <c r="AQ459" s="118"/>
      <c r="AR459" s="118"/>
      <c r="AS459" s="118">
        <f t="shared" si="131"/>
        <v>0</v>
      </c>
    </row>
    <row r="460" spans="31:45">
      <c r="AE460" s="63">
        <v>55.6</v>
      </c>
      <c r="AF460" s="360"/>
      <c r="AG460" s="1" t="s">
        <v>511</v>
      </c>
      <c r="AH460" s="333">
        <v>3.8600000000000002E-2</v>
      </c>
      <c r="AI460" s="63">
        <f>AJ460+AK460+AL460</f>
        <v>4430.0700000000006</v>
      </c>
      <c r="AJ460" s="63">
        <v>4418.05</v>
      </c>
      <c r="AK460" s="63">
        <v>12.02</v>
      </c>
      <c r="AL460" s="120">
        <v>0</v>
      </c>
      <c r="AM460" t="s">
        <v>512</v>
      </c>
      <c r="AN460" s="363">
        <v>5</v>
      </c>
      <c r="AQ460" s="118">
        <f>AK460/AJ460</f>
        <v>2.7206573035615258E-3</v>
      </c>
      <c r="AR460" s="118">
        <f>AK460/AI460</f>
        <v>2.7132754109980197E-3</v>
      </c>
      <c r="AS460" s="118">
        <f t="shared" si="131"/>
        <v>3.2559304931976236E-2</v>
      </c>
    </row>
    <row r="461" spans="31:45">
      <c r="AE461" s="63">
        <v>21.59</v>
      </c>
      <c r="AF461" s="360"/>
      <c r="AG461" s="1" t="s">
        <v>514</v>
      </c>
      <c r="AH461" s="333">
        <v>3.8600000000000002E-2</v>
      </c>
      <c r="AI461" s="63">
        <f>AJ461+AK461+AL461</f>
        <v>1705.63</v>
      </c>
      <c r="AJ461" s="63">
        <v>1701</v>
      </c>
      <c r="AK461" s="63">
        <v>4.63</v>
      </c>
      <c r="AL461" s="120">
        <v>0</v>
      </c>
      <c r="AM461" t="s">
        <v>513</v>
      </c>
      <c r="AN461" s="363">
        <v>4</v>
      </c>
      <c r="AQ461" s="118">
        <f>AK461/AJ461</f>
        <v>2.721928277483833E-3</v>
      </c>
      <c r="AR461" s="118">
        <f>AK461/AI461</f>
        <v>2.7145394956702212E-3</v>
      </c>
      <c r="AS461" s="118">
        <f t="shared" si="131"/>
        <v>3.2574473948042651E-2</v>
      </c>
    </row>
    <row r="462" spans="31:45">
      <c r="AE462" s="63">
        <v>29.91</v>
      </c>
      <c r="AF462" s="360"/>
      <c r="AG462" s="1" t="s">
        <v>515</v>
      </c>
      <c r="AH462" s="333">
        <v>4.6600000000000003E-2</v>
      </c>
      <c r="AI462" s="63">
        <f>AJ462+AK462+AL462</f>
        <v>1537.08</v>
      </c>
      <c r="AJ462" s="63">
        <v>1532.59</v>
      </c>
      <c r="AK462" s="63">
        <v>4.49</v>
      </c>
      <c r="AL462" s="120">
        <v>0</v>
      </c>
      <c r="AM462" t="s">
        <v>512</v>
      </c>
      <c r="AN462" s="363">
        <v>1</v>
      </c>
      <c r="AQ462" s="118">
        <f>AK462/AJ462</f>
        <v>2.9296811280251083E-3</v>
      </c>
      <c r="AR462" s="118">
        <f>AK462/AI462</f>
        <v>2.9211231686054081E-3</v>
      </c>
      <c r="AS462" s="118">
        <f>AR462*12</f>
        <v>3.5053478023264896E-2</v>
      </c>
    </row>
    <row r="463" spans="31:45">
      <c r="AE463" s="63"/>
      <c r="AF463" s="360"/>
      <c r="AG463" s="1" t="s">
        <v>516</v>
      </c>
      <c r="AH463" s="333"/>
      <c r="AI463" s="63"/>
      <c r="AJ463" s="63"/>
      <c r="AK463" s="63"/>
      <c r="AL463" s="120">
        <v>0</v>
      </c>
      <c r="AM463" t="s">
        <v>513</v>
      </c>
      <c r="AN463" s="364"/>
      <c r="AQ463" s="118"/>
      <c r="AR463" s="118"/>
      <c r="AS463" s="118">
        <f>AR463*12</f>
        <v>0</v>
      </c>
    </row>
    <row r="464" spans="31:45">
      <c r="AE464" s="63">
        <v>28.5</v>
      </c>
      <c r="AF464" s="360"/>
      <c r="AG464" s="1" t="s">
        <v>517</v>
      </c>
      <c r="AH464" s="333">
        <v>4.2900000000000001E-2</v>
      </c>
      <c r="AI464" s="63">
        <f>AJ464+AK464+AL464</f>
        <v>1936.51</v>
      </c>
      <c r="AJ464" s="63">
        <v>1931.31</v>
      </c>
      <c r="AK464" s="63">
        <v>5.2</v>
      </c>
      <c r="AL464" s="120">
        <v>0</v>
      </c>
      <c r="AM464" t="s">
        <v>512</v>
      </c>
      <c r="AN464" s="363">
        <v>2</v>
      </c>
      <c r="AQ464" s="118">
        <f>AK464/AJ464</f>
        <v>2.6924729846580821E-3</v>
      </c>
      <c r="AR464" s="118">
        <f>AK464/AI464</f>
        <v>2.6852430403147931E-3</v>
      </c>
      <c r="AS464" s="118">
        <f>AR464*12</f>
        <v>3.2222916483777515E-2</v>
      </c>
    </row>
    <row r="465" spans="31:45">
      <c r="AE465" s="63">
        <v>70.8</v>
      </c>
      <c r="AF465" s="360"/>
      <c r="AG465" s="1" t="s">
        <v>518</v>
      </c>
      <c r="AH465" s="333">
        <v>4.2999999999999997E-2</v>
      </c>
      <c r="AI465" s="63">
        <f>AJ465+AK465+AL465</f>
        <v>5427.22</v>
      </c>
      <c r="AJ465" s="63">
        <v>5412.6</v>
      </c>
      <c r="AK465" s="63">
        <v>14.62</v>
      </c>
      <c r="AL465" s="120">
        <v>0</v>
      </c>
      <c r="AM465" t="s">
        <v>513</v>
      </c>
      <c r="AN465" s="363">
        <v>3</v>
      </c>
      <c r="AQ465" s="118">
        <f>AK465/AJ465</f>
        <v>2.7011048294719726E-3</v>
      </c>
      <c r="AR465" s="118">
        <f>AK465/AI465</f>
        <v>2.6938285162569414E-3</v>
      </c>
      <c r="AS465" s="118">
        <f>AR465*12</f>
        <v>3.2325942195083293E-2</v>
      </c>
    </row>
    <row r="466" spans="31:45">
      <c r="AE466" s="63"/>
      <c r="AF466" s="360"/>
      <c r="AK466" s="6">
        <f>SUM(AK456:AK465)</f>
        <v>56.239999999999995</v>
      </c>
    </row>
    <row r="467" spans="31:45">
      <c r="AE467" s="63">
        <f>SUM(AE456:AE465)</f>
        <v>285.51</v>
      </c>
      <c r="AF467" s="360"/>
    </row>
  </sheetData>
  <mergeCells count="17">
    <mergeCell ref="B16:C16"/>
    <mergeCell ref="B17:C17"/>
    <mergeCell ref="H17:I17"/>
    <mergeCell ref="P17:Q17"/>
    <mergeCell ref="H16:I16"/>
    <mergeCell ref="P16:Q16"/>
    <mergeCell ref="AU3:AZ3"/>
    <mergeCell ref="BA3:BF3"/>
    <mergeCell ref="AJ111:AL111"/>
    <mergeCell ref="AJ126:AL126"/>
    <mergeCell ref="AJ97:AL97"/>
    <mergeCell ref="AJ83:AL83"/>
    <mergeCell ref="AJ69:AL69"/>
    <mergeCell ref="AJ55:AL55"/>
    <mergeCell ref="AJ42:AL42"/>
    <mergeCell ref="AJ29:AL29"/>
    <mergeCell ref="AJ16:AL16"/>
  </mergeCells>
  <conditionalFormatting sqref="AS456:AS465">
    <cfRule type="colorScale" priority="1">
      <colorScale>
        <cfvo type="min"/>
        <cfvo type="percentile" val="50"/>
        <cfvo type="max"/>
        <color rgb="FF63BE7B"/>
        <color rgb="FFFFEB84"/>
        <color rgb="FFF8696B"/>
      </colorScale>
    </cfRule>
  </conditionalFormatting>
  <pageMargins left="0.7" right="0.7" top="0.75" bottom="0.75" header="0.3" footer="0.3"/>
  <pageSetup scale="93" orientation="portrait" r:id="rId1"/>
  <headerFooter>
    <oddHeader>&amp;LEconomic Dashboard Printout&amp;CCREAM_v12&amp;Ras of February 2023</oddHeader>
  </headerFooter>
  <drawing r:id="rId2"/>
  <legacyDrawing r:id="rId3"/>
  <controls>
    <mc:AlternateContent xmlns:mc="http://schemas.openxmlformats.org/markup-compatibility/2006">
      <mc:Choice Requires="x14">
        <control shapeId="54309" r:id="rId4" name="ScrollBar1">
          <controlPr defaultSize="0" autoLine="0" autoPict="0" linkedCell="Y20" r:id="rId5">
            <anchor moveWithCells="1">
              <from>
                <xdr:col>21</xdr:col>
                <xdr:colOff>9525</xdr:colOff>
                <xdr:row>19</xdr:row>
                <xdr:rowOff>0</xdr:rowOff>
              </from>
              <to>
                <xdr:col>24</xdr:col>
                <xdr:colOff>9525</xdr:colOff>
                <xdr:row>20</xdr:row>
                <xdr:rowOff>0</xdr:rowOff>
              </to>
            </anchor>
          </controlPr>
        </control>
      </mc:Choice>
      <mc:Fallback>
        <control shapeId="54309" r:id="rId4" name="ScrollBar1"/>
      </mc:Fallback>
    </mc:AlternateContent>
    <mc:AlternateContent xmlns:mc="http://schemas.openxmlformats.org/markup-compatibility/2006">
      <mc:Choice Requires="x14">
        <control shapeId="54310" r:id="rId6" name="ScrollBar2">
          <controlPr defaultSize="0" autoLine="0" linkedCell="U22" r:id="rId7">
            <anchor moveWithCells="1">
              <from>
                <xdr:col>21</xdr:col>
                <xdr:colOff>9525</xdr:colOff>
                <xdr:row>21</xdr:row>
                <xdr:rowOff>0</xdr:rowOff>
              </from>
              <to>
                <xdr:col>24</xdr:col>
                <xdr:colOff>9525</xdr:colOff>
                <xdr:row>22</xdr:row>
                <xdr:rowOff>0</xdr:rowOff>
              </to>
            </anchor>
          </controlPr>
        </control>
      </mc:Choice>
      <mc:Fallback>
        <control shapeId="54310" r:id="rId6" name="ScrollBar2"/>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8FDB-1120-488B-B491-D0109B2E53B6}">
  <sheetPr codeName="Sheet5">
    <tabColor rgb="FF00B050"/>
  </sheetPr>
  <dimension ref="B1:F12"/>
  <sheetViews>
    <sheetView workbookViewId="0">
      <selection activeCell="C35" sqref="C35"/>
    </sheetView>
  </sheetViews>
  <sheetFormatPr defaultColWidth="8.85546875" defaultRowHeight="15"/>
  <sheetData>
    <row r="1" spans="2:6">
      <c r="C1" t="s">
        <v>181</v>
      </c>
      <c r="D1" t="s">
        <v>182</v>
      </c>
      <c r="E1" t="s">
        <v>183</v>
      </c>
    </row>
    <row r="2" spans="2:6">
      <c r="B2" t="s">
        <v>180</v>
      </c>
      <c r="C2" s="7">
        <v>8000</v>
      </c>
      <c r="D2" s="7">
        <f>C2-E2</f>
        <v>6078.45</v>
      </c>
      <c r="E2" s="7">
        <v>1921.55</v>
      </c>
      <c r="F2" s="106">
        <f>E2/145</f>
        <v>13.252068965517241</v>
      </c>
    </row>
    <row r="12" spans="2:6">
      <c r="B12" t="s">
        <v>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E29F-1409-45A4-BDD2-F91A7FD144DF}">
  <sheetPr codeName="Sheet8">
    <tabColor rgb="FF00B050"/>
  </sheetPr>
  <dimension ref="B2:C28"/>
  <sheetViews>
    <sheetView workbookViewId="0">
      <selection activeCell="C20" sqref="C20"/>
    </sheetView>
  </sheetViews>
  <sheetFormatPr defaultColWidth="8.85546875" defaultRowHeight="15"/>
  <cols>
    <col min="2" max="2" width="12.42578125" bestFit="1" customWidth="1"/>
  </cols>
  <sheetData>
    <row r="2" spans="2:3">
      <c r="B2" t="s">
        <v>28</v>
      </c>
    </row>
    <row r="3" spans="2:3">
      <c r="B3" t="s">
        <v>144</v>
      </c>
    </row>
    <row r="4" spans="2:3">
      <c r="B4" s="63">
        <v>200000</v>
      </c>
      <c r="C4" t="s">
        <v>138</v>
      </c>
    </row>
    <row r="5" spans="2:3">
      <c r="B5" s="63">
        <v>20000</v>
      </c>
      <c r="C5" t="s">
        <v>139</v>
      </c>
    </row>
    <row r="6" spans="2:3">
      <c r="B6" s="63">
        <v>7000</v>
      </c>
      <c r="C6" t="s">
        <v>139</v>
      </c>
    </row>
    <row r="7" spans="2:3">
      <c r="B7" t="s">
        <v>143</v>
      </c>
    </row>
    <row r="8" spans="2:3">
      <c r="B8" s="63">
        <v>24</v>
      </c>
      <c r="C8" t="s">
        <v>29</v>
      </c>
    </row>
    <row r="9" spans="2:3">
      <c r="B9" s="63"/>
      <c r="C9" t="s">
        <v>141</v>
      </c>
    </row>
    <row r="10" spans="2:3">
      <c r="B10" s="63"/>
      <c r="C10" t="s">
        <v>137</v>
      </c>
    </row>
    <row r="11" spans="2:3">
      <c r="B11" s="63"/>
      <c r="C11" t="s">
        <v>136</v>
      </c>
    </row>
    <row r="12" spans="2:3">
      <c r="B12" s="63"/>
    </row>
    <row r="13" spans="2:3">
      <c r="B13" t="s">
        <v>140</v>
      </c>
    </row>
    <row r="14" spans="2:3">
      <c r="B14" s="63">
        <v>55</v>
      </c>
      <c r="C14" t="s">
        <v>20</v>
      </c>
    </row>
    <row r="15" spans="2:3">
      <c r="B15" s="63">
        <v>15</v>
      </c>
      <c r="C15" t="s">
        <v>30</v>
      </c>
    </row>
    <row r="16" spans="2:3">
      <c r="B16" s="63">
        <v>39.99</v>
      </c>
      <c r="C16" t="s">
        <v>77</v>
      </c>
    </row>
    <row r="17" spans="2:3">
      <c r="B17" s="63">
        <v>50</v>
      </c>
      <c r="C17" t="s">
        <v>78</v>
      </c>
    </row>
    <row r="19" spans="2:3">
      <c r="B19" s="63" t="s">
        <v>653</v>
      </c>
    </row>
    <row r="20" spans="2:3">
      <c r="B20" s="63"/>
      <c r="C20" t="s">
        <v>654</v>
      </c>
    </row>
    <row r="21" spans="2:3">
      <c r="B21" s="63"/>
    </row>
    <row r="22" spans="2:3">
      <c r="B22" s="63"/>
    </row>
    <row r="23" spans="2:3">
      <c r="B23" s="63"/>
    </row>
    <row r="24" spans="2:3">
      <c r="B24" t="s">
        <v>142</v>
      </c>
    </row>
    <row r="25" spans="2:3">
      <c r="B25" s="63"/>
      <c r="C25" t="s">
        <v>118</v>
      </c>
    </row>
    <row r="26" spans="2:3">
      <c r="B26" s="63"/>
      <c r="C26" t="s">
        <v>119</v>
      </c>
    </row>
    <row r="27" spans="2:3">
      <c r="B27" t="s">
        <v>145</v>
      </c>
    </row>
    <row r="28" spans="2:3">
      <c r="C28" t="s">
        <v>146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4B0D-59C3-704D-8CED-27AE7CE97C91}">
  <sheetPr codeName="Sheet9">
    <tabColor rgb="FF00B050"/>
  </sheetPr>
  <dimension ref="B2:W450"/>
  <sheetViews>
    <sheetView topLeftCell="A158" zoomScale="80" zoomScaleNormal="80" workbookViewId="0">
      <selection activeCell="B183" sqref="B183"/>
    </sheetView>
  </sheetViews>
  <sheetFormatPr defaultColWidth="11.42578125" defaultRowHeight="15"/>
  <cols>
    <col min="2" max="2" width="32.42578125" bestFit="1" customWidth="1"/>
    <col min="3" max="3" width="8.5703125" customWidth="1"/>
    <col min="4" max="4" width="13.7109375" bestFit="1" customWidth="1"/>
    <col min="5" max="5" width="19.42578125" bestFit="1" customWidth="1"/>
    <col min="6" max="6" width="15.5703125" bestFit="1" customWidth="1"/>
    <col min="7" max="7" width="25.140625" bestFit="1" customWidth="1"/>
    <col min="8" max="11" width="8.42578125" bestFit="1" customWidth="1"/>
    <col min="13" max="13" width="8.7109375" bestFit="1" customWidth="1"/>
  </cols>
  <sheetData>
    <row r="2" spans="2:17">
      <c r="B2" s="1" t="s">
        <v>172</v>
      </c>
      <c r="C2" s="1" t="s">
        <v>173</v>
      </c>
      <c r="D2" s="1" t="s">
        <v>177</v>
      </c>
      <c r="E2" s="1" t="s">
        <v>194</v>
      </c>
      <c r="F2" t="s">
        <v>241</v>
      </c>
      <c r="G2" s="1" t="s">
        <v>191</v>
      </c>
      <c r="H2" s="1" t="s">
        <v>179</v>
      </c>
      <c r="I2" s="1" t="s">
        <v>178</v>
      </c>
      <c r="J2" s="1" t="s">
        <v>189</v>
      </c>
      <c r="K2" s="1" t="s">
        <v>190</v>
      </c>
      <c r="N2" s="1" t="s">
        <v>179</v>
      </c>
      <c r="O2" s="1" t="s">
        <v>178</v>
      </c>
      <c r="P2" s="1" t="s">
        <v>189</v>
      </c>
      <c r="Q2" s="1" t="s">
        <v>190</v>
      </c>
    </row>
    <row r="3" spans="2:17">
      <c r="B3" s="102">
        <v>44523</v>
      </c>
      <c r="C3" s="63">
        <v>39.18</v>
      </c>
      <c r="D3">
        <v>10.314</v>
      </c>
      <c r="G3" s="63" t="s">
        <v>192</v>
      </c>
      <c r="H3" s="6">
        <f>C3/D3</f>
        <v>3.7987201861547413</v>
      </c>
      <c r="M3" t="s">
        <v>186</v>
      </c>
      <c r="N3" s="6">
        <f>AVERAGE(H3:H124)</f>
        <v>4.4404005697793307</v>
      </c>
      <c r="O3" s="108">
        <f>AVERAGE(I4:I267)</f>
        <v>25.4612850058991</v>
      </c>
      <c r="P3" s="108">
        <f>AVERAGE(J4:J267)</f>
        <v>6.0694424415757968</v>
      </c>
      <c r="Q3" s="63">
        <f>AVERAGE(K4:K267)</f>
        <v>0.17521120326652137</v>
      </c>
    </row>
    <row r="4" spans="2:17">
      <c r="B4" s="102">
        <v>44531</v>
      </c>
      <c r="C4" s="63">
        <v>35.25</v>
      </c>
      <c r="D4">
        <v>10.308999999999999</v>
      </c>
      <c r="G4" s="63" t="s">
        <v>192</v>
      </c>
      <c r="H4" s="6">
        <f>C4/D4</f>
        <v>3.4193423222427008</v>
      </c>
      <c r="I4" s="106">
        <f>E5/D4</f>
        <v>28.780677078281116</v>
      </c>
      <c r="J4" s="106">
        <f>E5/C4</f>
        <v>8.4170212765957437</v>
      </c>
      <c r="K4" s="63">
        <f>C4/E5</f>
        <v>0.11880687563195147</v>
      </c>
    </row>
    <row r="5" spans="2:17">
      <c r="B5" s="102">
        <v>44537</v>
      </c>
      <c r="C5" s="63">
        <v>37.54</v>
      </c>
      <c r="D5" s="108">
        <v>10.43</v>
      </c>
      <c r="E5">
        <v>296.7</v>
      </c>
      <c r="G5" s="63" t="s">
        <v>192</v>
      </c>
      <c r="H5" s="6">
        <f t="shared" ref="H5:H12" si="0">C5/D5</f>
        <v>3.5992329817833175</v>
      </c>
      <c r="I5" s="106">
        <f t="shared" ref="I5:I12" si="1">E6/D5</f>
        <v>26.836049856184083</v>
      </c>
      <c r="J5" s="106">
        <f t="shared" ref="J5:J35" si="2">E6/C5</f>
        <v>7.4560468833244533</v>
      </c>
      <c r="K5" s="63">
        <f t="shared" ref="K5:K35" si="3">C5/E6</f>
        <v>0.13411932833154699</v>
      </c>
    </row>
    <row r="6" spans="2:17">
      <c r="B6" s="102">
        <v>44544</v>
      </c>
      <c r="C6" s="63">
        <v>35.57</v>
      </c>
      <c r="D6">
        <v>9.8829999999999991</v>
      </c>
      <c r="E6">
        <v>279.89999999999998</v>
      </c>
      <c r="G6" s="63" t="s">
        <v>192</v>
      </c>
      <c r="H6" s="6">
        <f t="shared" si="0"/>
        <v>3.5991095821106955</v>
      </c>
      <c r="I6" s="106">
        <f t="shared" si="1"/>
        <v>27.714256804613985</v>
      </c>
      <c r="J6" s="106">
        <f t="shared" si="2"/>
        <v>7.7003092493674439</v>
      </c>
      <c r="K6" s="63">
        <f t="shared" si="3"/>
        <v>0.12986491420226362</v>
      </c>
    </row>
    <row r="7" spans="2:17">
      <c r="B7" s="102">
        <v>44550</v>
      </c>
      <c r="C7" s="63">
        <v>35.979999999999997</v>
      </c>
      <c r="D7">
        <v>9.9979999999999993</v>
      </c>
      <c r="E7">
        <v>273.89999999999998</v>
      </c>
      <c r="G7" s="63" t="s">
        <v>192</v>
      </c>
      <c r="H7" s="6">
        <f t="shared" si="0"/>
        <v>3.5987197439487897</v>
      </c>
      <c r="I7" s="106">
        <f t="shared" si="1"/>
        <v>27.405481096219244</v>
      </c>
      <c r="J7" s="106">
        <f>E8/C7</f>
        <v>7.6153418565869933</v>
      </c>
      <c r="K7" s="63">
        <f>C7/E8</f>
        <v>0.13131386861313868</v>
      </c>
    </row>
    <row r="8" spans="2:17">
      <c r="B8" s="102">
        <v>44558</v>
      </c>
      <c r="C8" s="63">
        <v>36.68</v>
      </c>
      <c r="D8">
        <v>9.6549999999999994</v>
      </c>
      <c r="E8" s="109">
        <v>274</v>
      </c>
      <c r="G8" s="63" t="s">
        <v>192</v>
      </c>
      <c r="H8" s="6">
        <f t="shared" si="0"/>
        <v>3.7990678404971518</v>
      </c>
      <c r="I8" s="106">
        <f t="shared" si="1"/>
        <v>29.062661833247027</v>
      </c>
      <c r="J8" s="106">
        <f t="shared" si="2"/>
        <v>7.6499454743729558</v>
      </c>
      <c r="K8" s="63">
        <f t="shared" si="3"/>
        <v>0.13071988595865999</v>
      </c>
    </row>
    <row r="9" spans="2:17">
      <c r="B9" s="102">
        <v>44564</v>
      </c>
      <c r="C9" s="63">
        <v>39.17</v>
      </c>
      <c r="D9">
        <v>10.589</v>
      </c>
      <c r="E9" s="109">
        <f>554.6-E8</f>
        <v>280.60000000000002</v>
      </c>
      <c r="G9" s="63" t="s">
        <v>192</v>
      </c>
      <c r="H9" s="6">
        <f t="shared" si="0"/>
        <v>3.699121730097271</v>
      </c>
      <c r="I9" s="106">
        <f t="shared" si="1"/>
        <v>25.960902823684954</v>
      </c>
      <c r="J9" s="106">
        <f t="shared" si="2"/>
        <v>7.0181261169262186</v>
      </c>
      <c r="K9" s="63">
        <f t="shared" si="3"/>
        <v>0.14248817751909787</v>
      </c>
    </row>
    <row r="10" spans="2:17">
      <c r="B10" s="102">
        <v>44571</v>
      </c>
      <c r="C10" s="63">
        <v>38.450000000000003</v>
      </c>
      <c r="D10">
        <v>10.396000000000001</v>
      </c>
      <c r="E10">
        <v>274.89999999999998</v>
      </c>
      <c r="G10" s="63" t="s">
        <v>192</v>
      </c>
      <c r="H10" s="6">
        <f t="shared" si="0"/>
        <v>3.6985378991919968</v>
      </c>
      <c r="I10" s="106">
        <f t="shared" si="1"/>
        <v>28.232012312427855</v>
      </c>
      <c r="J10" s="106">
        <f t="shared" si="2"/>
        <v>7.6332899869960986</v>
      </c>
      <c r="K10" s="63">
        <f t="shared" si="3"/>
        <v>0.13100511073253834</v>
      </c>
    </row>
    <row r="11" spans="2:17">
      <c r="B11" s="102">
        <v>44579</v>
      </c>
      <c r="C11" s="63">
        <v>41.04</v>
      </c>
      <c r="D11">
        <v>10.526</v>
      </c>
      <c r="E11">
        <v>293.5</v>
      </c>
      <c r="G11" s="63" t="s">
        <v>192</v>
      </c>
      <c r="H11" s="6">
        <f t="shared" si="0"/>
        <v>3.8989169675090252</v>
      </c>
      <c r="I11" s="106">
        <f t="shared" si="1"/>
        <v>27.180315409462288</v>
      </c>
      <c r="J11" s="106">
        <f t="shared" si="2"/>
        <v>6.9712475633528275</v>
      </c>
      <c r="K11" s="63">
        <f t="shared" si="3"/>
        <v>0.14344634743096818</v>
      </c>
    </row>
    <row r="12" spans="2:17">
      <c r="B12" s="102">
        <v>44586</v>
      </c>
      <c r="C12" s="63">
        <v>30</v>
      </c>
      <c r="D12">
        <v>7.6950000000000003</v>
      </c>
      <c r="E12">
        <v>286.10000000000002</v>
      </c>
      <c r="G12" s="63" t="s">
        <v>192</v>
      </c>
      <c r="H12" s="6">
        <f t="shared" si="0"/>
        <v>3.8986354775828458</v>
      </c>
      <c r="I12" s="106">
        <f t="shared" si="1"/>
        <v>29.5906432748538</v>
      </c>
      <c r="J12" s="106">
        <f t="shared" si="2"/>
        <v>7.59</v>
      </c>
      <c r="K12" s="63">
        <f t="shared" si="3"/>
        <v>0.13175230566534915</v>
      </c>
    </row>
    <row r="13" spans="2:17">
      <c r="B13" s="102">
        <v>44589</v>
      </c>
      <c r="C13" s="63">
        <v>10.1</v>
      </c>
      <c r="D13">
        <v>3.0059999999999998</v>
      </c>
      <c r="E13">
        <v>227.7</v>
      </c>
      <c r="G13" s="63" t="s">
        <v>193</v>
      </c>
      <c r="H13" s="6">
        <f>C13/D13</f>
        <v>3.3599467731204258</v>
      </c>
      <c r="I13" s="106">
        <f>E14/D13</f>
        <v>20.924817032601464</v>
      </c>
      <c r="J13" s="106">
        <f t="shared" si="2"/>
        <v>6.2277227722772279</v>
      </c>
      <c r="K13" s="63">
        <f t="shared" si="3"/>
        <v>0.16057233704292528</v>
      </c>
    </row>
    <row r="14" spans="2:17">
      <c r="B14" s="102">
        <v>44592</v>
      </c>
      <c r="C14" s="63">
        <v>42.01</v>
      </c>
      <c r="E14">
        <v>62.9</v>
      </c>
      <c r="G14" s="63" t="s">
        <v>192</v>
      </c>
      <c r="H14" s="6"/>
      <c r="I14" s="106"/>
      <c r="J14" s="106">
        <f t="shared" si="2"/>
        <v>7.9719114496548436</v>
      </c>
      <c r="K14" s="63">
        <f t="shared" si="3"/>
        <v>0.12544042997909824</v>
      </c>
    </row>
    <row r="15" spans="2:17">
      <c r="B15" s="102">
        <v>44593</v>
      </c>
      <c r="C15" s="63">
        <v>37.35</v>
      </c>
      <c r="E15">
        <v>334.9</v>
      </c>
      <c r="G15" s="63" t="s">
        <v>192</v>
      </c>
      <c r="H15" s="6"/>
      <c r="I15" s="106"/>
      <c r="J15" s="106">
        <f t="shared" si="2"/>
        <v>7.7777777777777777</v>
      </c>
      <c r="K15" s="63">
        <f t="shared" si="3"/>
        <v>0.12857142857142859</v>
      </c>
    </row>
    <row r="16" spans="2:17">
      <c r="B16" s="102">
        <v>44597</v>
      </c>
      <c r="C16" s="63">
        <v>40.229999999999997</v>
      </c>
      <c r="D16">
        <v>10.061</v>
      </c>
      <c r="E16">
        <f>625.4-E15</f>
        <v>290.5</v>
      </c>
      <c r="G16" s="63" t="s">
        <v>192</v>
      </c>
      <c r="H16" s="6">
        <f>C16/D16</f>
        <v>3.9986084882218464</v>
      </c>
      <c r="I16" s="106">
        <f>E17/D16</f>
        <v>29.529867806381077</v>
      </c>
      <c r="J16" s="106">
        <f t="shared" si="2"/>
        <v>7.385036042754165</v>
      </c>
      <c r="K16" s="63">
        <f t="shared" si="3"/>
        <v>0.13540895321440591</v>
      </c>
    </row>
    <row r="17" spans="2:11">
      <c r="B17" s="102">
        <v>44603</v>
      </c>
      <c r="C17" s="63">
        <v>42.66</v>
      </c>
      <c r="D17">
        <v>10.407</v>
      </c>
      <c r="E17">
        <v>297.10000000000002</v>
      </c>
      <c r="G17" s="63" t="s">
        <v>192</v>
      </c>
      <c r="H17" s="6">
        <f>C17/D17</f>
        <v>4.0991640242144705</v>
      </c>
      <c r="I17" s="106">
        <f>E18/D17</f>
        <v>28.74027097146152</v>
      </c>
      <c r="J17" s="106">
        <f t="shared" si="2"/>
        <v>7.0112517580872025</v>
      </c>
      <c r="K17" s="63">
        <f t="shared" si="3"/>
        <v>0.14262788365095283</v>
      </c>
    </row>
    <row r="18" spans="2:11">
      <c r="B18" s="102">
        <v>44609</v>
      </c>
      <c r="C18" s="63">
        <v>40.65</v>
      </c>
      <c r="D18">
        <v>9.9169999999999998</v>
      </c>
      <c r="E18">
        <v>299.10000000000002</v>
      </c>
      <c r="G18" s="63" t="s">
        <v>192</v>
      </c>
      <c r="H18" s="6">
        <f>C18/D18</f>
        <v>4.0990218816174249</v>
      </c>
      <c r="I18" s="106">
        <f>E19/D18</f>
        <v>28.0528385600484</v>
      </c>
      <c r="J18" s="106">
        <f t="shared" si="2"/>
        <v>6.8437884378843785</v>
      </c>
      <c r="K18" s="63">
        <f t="shared" si="3"/>
        <v>0.14611790079079798</v>
      </c>
    </row>
    <row r="19" spans="2:11">
      <c r="B19" s="102">
        <v>44617</v>
      </c>
      <c r="C19" s="63">
        <v>30.14</v>
      </c>
      <c r="D19">
        <v>7.3520000000000003</v>
      </c>
      <c r="E19">
        <v>278.2</v>
      </c>
      <c r="G19" s="63" t="s">
        <v>192</v>
      </c>
      <c r="H19" s="6">
        <f>C19/D19</f>
        <v>4.0995647442872682</v>
      </c>
      <c r="I19" s="106">
        <f>E20/D19</f>
        <v>31.161588683351468</v>
      </c>
      <c r="J19" s="106">
        <f t="shared" si="2"/>
        <v>7.6011944260119435</v>
      </c>
      <c r="K19" s="63">
        <f t="shared" si="3"/>
        <v>0.13155827149716282</v>
      </c>
    </row>
    <row r="20" spans="2:11">
      <c r="B20" s="102">
        <v>44621</v>
      </c>
      <c r="C20" s="63">
        <v>45.31</v>
      </c>
      <c r="D20">
        <v>10.539</v>
      </c>
      <c r="E20">
        <v>229.1</v>
      </c>
      <c r="G20" s="63" t="s">
        <v>192</v>
      </c>
      <c r="H20" s="6">
        <f t="shared" ref="H20:H57" si="4">C20/D20</f>
        <v>4.2992693803966224</v>
      </c>
      <c r="I20" s="106">
        <f t="shared" ref="I20:I57" si="5">E21/D20</f>
        <v>29.936426605939843</v>
      </c>
      <c r="J20" s="106">
        <f t="shared" si="2"/>
        <v>6.9631427940851909</v>
      </c>
      <c r="K20" s="63">
        <f t="shared" si="3"/>
        <v>0.14361331220285262</v>
      </c>
    </row>
    <row r="21" spans="2:11">
      <c r="B21" s="102">
        <v>44628</v>
      </c>
      <c r="C21" s="63">
        <v>31.01</v>
      </c>
      <c r="D21">
        <v>6.6</v>
      </c>
      <c r="E21">
        <v>315.5</v>
      </c>
      <c r="G21" s="63" t="s">
        <v>192</v>
      </c>
      <c r="H21" s="6">
        <f t="shared" si="4"/>
        <v>4.6984848484848492</v>
      </c>
      <c r="I21" s="106">
        <f t="shared" si="5"/>
        <v>29.090909090909093</v>
      </c>
      <c r="J21" s="106">
        <f t="shared" si="2"/>
        <v>6.1915511125443405</v>
      </c>
      <c r="K21" s="63">
        <f t="shared" si="3"/>
        <v>0.16151041666666668</v>
      </c>
    </row>
    <row r="22" spans="2:11">
      <c r="B22" s="102">
        <v>44631</v>
      </c>
      <c r="C22" s="63">
        <v>14.7</v>
      </c>
      <c r="D22">
        <v>3.0009999999999999</v>
      </c>
      <c r="E22">
        <v>192</v>
      </c>
      <c r="G22" s="63" t="s">
        <v>192</v>
      </c>
      <c r="H22" s="6">
        <f t="shared" si="4"/>
        <v>4.8983672109296901</v>
      </c>
      <c r="I22" s="106">
        <f t="shared" si="5"/>
        <v>27.890703098967009</v>
      </c>
      <c r="J22" s="106">
        <f t="shared" si="2"/>
        <v>5.6938775510204076</v>
      </c>
      <c r="K22" s="63">
        <f t="shared" si="3"/>
        <v>0.1756272401433692</v>
      </c>
    </row>
    <row r="23" spans="2:11">
      <c r="B23" s="102">
        <v>44637</v>
      </c>
      <c r="C23" s="63">
        <v>30</v>
      </c>
      <c r="D23">
        <v>6.2</v>
      </c>
      <c r="E23">
        <f>275.7-E22</f>
        <v>83.699999999999989</v>
      </c>
      <c r="G23" s="63" t="s">
        <v>192</v>
      </c>
      <c r="H23" s="6">
        <f t="shared" si="4"/>
        <v>4.838709677419355</v>
      </c>
      <c r="I23" s="106">
        <f t="shared" si="5"/>
        <v>26.403225806451609</v>
      </c>
      <c r="J23" s="106">
        <f t="shared" si="2"/>
        <v>5.4566666666666661</v>
      </c>
      <c r="K23" s="63">
        <f t="shared" si="3"/>
        <v>0.18326206475259624</v>
      </c>
    </row>
    <row r="24" spans="2:11">
      <c r="B24" s="102">
        <v>44641</v>
      </c>
      <c r="C24" s="63">
        <v>46.95</v>
      </c>
      <c r="D24">
        <v>9.5830000000000002</v>
      </c>
      <c r="E24">
        <v>163.69999999999999</v>
      </c>
      <c r="G24" s="63" t="s">
        <v>192</v>
      </c>
      <c r="H24" s="6">
        <f t="shared" si="4"/>
        <v>4.899300845246791</v>
      </c>
      <c r="I24" s="106">
        <f t="shared" si="5"/>
        <v>30.001043514557029</v>
      </c>
      <c r="J24" s="106">
        <f t="shared" si="2"/>
        <v>6.1235356762513309</v>
      </c>
      <c r="K24" s="63">
        <f t="shared" si="3"/>
        <v>0.16330434782608697</v>
      </c>
    </row>
    <row r="25" spans="2:11">
      <c r="B25" s="102">
        <v>44647</v>
      </c>
      <c r="C25" s="63">
        <v>50.22</v>
      </c>
      <c r="D25">
        <v>10.250999999999999</v>
      </c>
      <c r="E25">
        <v>287.5</v>
      </c>
      <c r="G25" s="63" t="s">
        <v>192</v>
      </c>
      <c r="H25" s="6">
        <f t="shared" si="4"/>
        <v>4.899034240561897</v>
      </c>
      <c r="I25" s="106">
        <f t="shared" si="5"/>
        <v>31.411569602965567</v>
      </c>
      <c r="J25" s="106">
        <f t="shared" si="2"/>
        <v>6.4117881322182395</v>
      </c>
      <c r="K25" s="63">
        <f t="shared" si="3"/>
        <v>0.15596273291925467</v>
      </c>
    </row>
    <row r="26" spans="2:11">
      <c r="B26" s="102">
        <v>44652</v>
      </c>
      <c r="C26" s="63">
        <v>45.58</v>
      </c>
      <c r="D26">
        <v>9.6989999999999998</v>
      </c>
      <c r="E26">
        <v>322</v>
      </c>
      <c r="G26" s="63" t="s">
        <v>192</v>
      </c>
      <c r="H26" s="6">
        <f t="shared" si="4"/>
        <v>4.6994535519125682</v>
      </c>
      <c r="I26" s="106">
        <f t="shared" si="5"/>
        <v>27.652335292298176</v>
      </c>
      <c r="J26" s="106">
        <f t="shared" si="2"/>
        <v>5.8841597191750772</v>
      </c>
      <c r="K26" s="63">
        <f t="shared" si="3"/>
        <v>0.16994780014914243</v>
      </c>
    </row>
    <row r="27" spans="2:11">
      <c r="B27" s="102">
        <v>44658</v>
      </c>
      <c r="C27" s="63">
        <v>45.09</v>
      </c>
      <c r="D27">
        <v>9.6769999999999996</v>
      </c>
      <c r="E27">
        <v>268.2</v>
      </c>
      <c r="G27" s="63" t="s">
        <v>192</v>
      </c>
      <c r="H27" s="6">
        <f t="shared" si="4"/>
        <v>4.6595019117495093</v>
      </c>
      <c r="I27" s="106">
        <f t="shared" si="5"/>
        <v>30.05063552753953</v>
      </c>
      <c r="J27" s="106">
        <f t="shared" si="2"/>
        <v>6.4493235750720777</v>
      </c>
      <c r="K27" s="63">
        <f t="shared" si="3"/>
        <v>0.15505502063273729</v>
      </c>
    </row>
    <row r="28" spans="2:11">
      <c r="B28" s="102">
        <v>44662</v>
      </c>
      <c r="C28" s="63">
        <v>44.96</v>
      </c>
      <c r="D28">
        <v>9.65</v>
      </c>
      <c r="E28">
        <v>290.8</v>
      </c>
      <c r="G28" s="63" t="s">
        <v>192</v>
      </c>
      <c r="H28" s="6">
        <f t="shared" si="4"/>
        <v>4.6590673575129529</v>
      </c>
      <c r="I28" s="106">
        <f t="shared" si="5"/>
        <v>28.69430051813471</v>
      </c>
      <c r="J28" s="106">
        <f t="shared" si="2"/>
        <v>6.1588078291814936</v>
      </c>
      <c r="K28" s="63">
        <f t="shared" si="3"/>
        <v>0.1623690863127483</v>
      </c>
    </row>
    <row r="29" spans="2:11">
      <c r="B29" s="102">
        <v>44667</v>
      </c>
      <c r="C29" s="63">
        <v>47.04</v>
      </c>
      <c r="D29">
        <v>9.8019999999999996</v>
      </c>
      <c r="E29">
        <v>276.89999999999998</v>
      </c>
      <c r="G29" s="63" t="s">
        <v>192</v>
      </c>
      <c r="H29" s="6">
        <f t="shared" si="4"/>
        <v>4.799020608039176</v>
      </c>
      <c r="I29" s="106">
        <f t="shared" si="5"/>
        <v>31.003876759844928</v>
      </c>
      <c r="J29" s="106">
        <f t="shared" si="2"/>
        <v>6.4604591836734686</v>
      </c>
      <c r="K29" s="63">
        <f t="shared" si="3"/>
        <v>0.1547877591312932</v>
      </c>
    </row>
    <row r="30" spans="2:11">
      <c r="B30" s="102">
        <v>44675</v>
      </c>
      <c r="C30" s="63">
        <v>49.26</v>
      </c>
      <c r="D30">
        <v>10.526999999999999</v>
      </c>
      <c r="E30">
        <v>303.89999999999998</v>
      </c>
      <c r="G30" s="63" t="s">
        <v>192</v>
      </c>
      <c r="H30" s="6">
        <f t="shared" si="4"/>
        <v>4.6793958392704473</v>
      </c>
      <c r="I30" s="106">
        <f t="shared" si="5"/>
        <v>29.419587726797758</v>
      </c>
      <c r="J30" s="106">
        <f t="shared" si="2"/>
        <v>6.2870483150629317</v>
      </c>
      <c r="K30" s="63">
        <f t="shared" si="3"/>
        <v>0.15905715208266064</v>
      </c>
    </row>
    <row r="31" spans="2:11">
      <c r="B31" s="102">
        <v>44680</v>
      </c>
      <c r="C31" s="63">
        <v>49.81</v>
      </c>
      <c r="D31">
        <v>10.38</v>
      </c>
      <c r="E31">
        <v>309.7</v>
      </c>
      <c r="G31" s="63" t="s">
        <v>192</v>
      </c>
      <c r="H31" s="6">
        <f t="shared" si="4"/>
        <v>4.7986512524084777</v>
      </c>
      <c r="I31" s="106">
        <f t="shared" si="5"/>
        <v>27.167630057803468</v>
      </c>
      <c r="J31" s="106">
        <f t="shared" si="2"/>
        <v>5.6615137522585828</v>
      </c>
      <c r="K31" s="63">
        <f t="shared" si="3"/>
        <v>0.17663120567375887</v>
      </c>
    </row>
    <row r="32" spans="2:11">
      <c r="B32" s="102">
        <v>44685</v>
      </c>
      <c r="C32" s="63">
        <v>47.98</v>
      </c>
      <c r="D32">
        <v>9.9979999999999993</v>
      </c>
      <c r="E32">
        <v>282</v>
      </c>
      <c r="G32" s="63" t="s">
        <v>192</v>
      </c>
      <c r="H32" s="6">
        <f t="shared" si="4"/>
        <v>4.7989597919583913</v>
      </c>
      <c r="I32" s="106">
        <f t="shared" si="5"/>
        <v>26.755351070214044</v>
      </c>
      <c r="J32" s="106">
        <f t="shared" si="2"/>
        <v>5.5752396832013345</v>
      </c>
      <c r="K32" s="63">
        <f t="shared" si="3"/>
        <v>0.17936448598130839</v>
      </c>
    </row>
    <row r="33" spans="2:11">
      <c r="B33" s="102">
        <v>44691</v>
      </c>
      <c r="C33" s="63">
        <v>49.14</v>
      </c>
      <c r="D33">
        <v>9.83</v>
      </c>
      <c r="E33">
        <v>267.5</v>
      </c>
      <c r="G33" s="63" t="s">
        <v>192</v>
      </c>
      <c r="H33" s="6">
        <f t="shared" si="4"/>
        <v>4.9989827060020344</v>
      </c>
      <c r="I33" s="106">
        <f t="shared" si="5"/>
        <v>25.198372329603252</v>
      </c>
      <c r="J33" s="106">
        <f t="shared" si="2"/>
        <v>5.0407000407000409</v>
      </c>
      <c r="K33" s="63">
        <f t="shared" si="3"/>
        <v>0.19838514331853049</v>
      </c>
    </row>
    <row r="34" spans="2:11">
      <c r="B34" s="102">
        <v>44697</v>
      </c>
      <c r="C34" s="63">
        <v>50.17</v>
      </c>
      <c r="D34">
        <v>9.8390000000000004</v>
      </c>
      <c r="E34">
        <v>247.7</v>
      </c>
      <c r="G34" s="63" t="s">
        <v>192</v>
      </c>
      <c r="H34" s="6">
        <f t="shared" si="4"/>
        <v>5.0990954365281027</v>
      </c>
      <c r="I34" s="106">
        <f t="shared" si="5"/>
        <v>29.037503811362942</v>
      </c>
      <c r="J34" s="106">
        <f t="shared" si="2"/>
        <v>5.6946382300179383</v>
      </c>
      <c r="K34" s="63">
        <f t="shared" si="3"/>
        <v>0.17560378018900946</v>
      </c>
    </row>
    <row r="35" spans="2:11">
      <c r="B35" s="102">
        <v>44701</v>
      </c>
      <c r="C35" s="63">
        <v>40.06</v>
      </c>
      <c r="D35">
        <v>7.8559999999999999</v>
      </c>
      <c r="E35">
        <v>285.7</v>
      </c>
      <c r="G35" s="63" t="s">
        <v>192</v>
      </c>
      <c r="H35" s="6">
        <f t="shared" si="4"/>
        <v>5.0992871690427704</v>
      </c>
      <c r="I35" s="106">
        <f t="shared" si="5"/>
        <v>24.770875763747455</v>
      </c>
      <c r="J35" s="106">
        <f t="shared" si="2"/>
        <v>4.8577134298552167</v>
      </c>
      <c r="K35" s="63">
        <f t="shared" si="3"/>
        <v>0.20585817060637207</v>
      </c>
    </row>
    <row r="36" spans="2:11">
      <c r="B36" s="102">
        <v>44706</v>
      </c>
      <c r="C36" s="63">
        <v>52.1</v>
      </c>
      <c r="D36">
        <v>10.298999999999999</v>
      </c>
      <c r="E36">
        <v>194.6</v>
      </c>
      <c r="G36" s="63" t="s">
        <v>192</v>
      </c>
      <c r="H36" s="6">
        <f t="shared" si="4"/>
        <v>5.0587435673366352</v>
      </c>
      <c r="I36" s="106">
        <f t="shared" si="5"/>
        <v>23.380910768035733</v>
      </c>
      <c r="J36" s="106">
        <f t="shared" ref="J36:J67" si="6">E37/C36</f>
        <v>4.6218809980806146</v>
      </c>
      <c r="K36" s="63">
        <f t="shared" ref="K36:K67" si="7">C36/E37</f>
        <v>0.21636212624584716</v>
      </c>
    </row>
    <row r="37" spans="2:11">
      <c r="B37" s="102">
        <v>44714</v>
      </c>
      <c r="C37" s="63">
        <v>56.72</v>
      </c>
      <c r="D37">
        <v>10.131</v>
      </c>
      <c r="E37">
        <v>240.8</v>
      </c>
      <c r="G37" s="63" t="s">
        <v>192</v>
      </c>
      <c r="H37" s="6">
        <f t="shared" si="4"/>
        <v>5.5986575856282697</v>
      </c>
      <c r="I37" s="106">
        <f t="shared" si="5"/>
        <v>22.722337380317835</v>
      </c>
      <c r="J37" s="106">
        <f t="shared" si="6"/>
        <v>4.0585331452750353</v>
      </c>
      <c r="K37" s="63">
        <f t="shared" si="7"/>
        <v>0.24639443961772373</v>
      </c>
    </row>
    <row r="38" spans="2:11">
      <c r="B38" s="102">
        <v>44721</v>
      </c>
      <c r="C38" s="63">
        <v>57.82</v>
      </c>
      <c r="D38">
        <v>10.146000000000001</v>
      </c>
      <c r="E38">
        <v>230.2</v>
      </c>
      <c r="G38" s="63" t="s">
        <v>192</v>
      </c>
      <c r="H38" s="6">
        <f t="shared" si="4"/>
        <v>5.6987975556869701</v>
      </c>
      <c r="I38" s="106">
        <f t="shared" si="5"/>
        <v>24.590971811551348</v>
      </c>
      <c r="J38" s="106">
        <f t="shared" si="6"/>
        <v>4.3151158768592186</v>
      </c>
      <c r="K38" s="63">
        <f t="shared" si="7"/>
        <v>0.23174348697394789</v>
      </c>
    </row>
    <row r="39" spans="2:11">
      <c r="B39" s="102">
        <v>44726</v>
      </c>
      <c r="C39" s="63">
        <v>59.9</v>
      </c>
      <c r="D39">
        <v>10.329000000000001</v>
      </c>
      <c r="E39">
        <v>249.5</v>
      </c>
      <c r="G39" s="63" t="s">
        <v>192</v>
      </c>
      <c r="H39" s="6">
        <f t="shared" si="4"/>
        <v>5.7992061186949364</v>
      </c>
      <c r="I39" s="106">
        <f t="shared" si="5"/>
        <v>23.032239326169037</v>
      </c>
      <c r="J39" s="106">
        <f t="shared" si="6"/>
        <v>3.971619365609349</v>
      </c>
      <c r="K39" s="63">
        <f t="shared" si="7"/>
        <v>0.25178646490121898</v>
      </c>
    </row>
    <row r="40" spans="2:11">
      <c r="B40" s="102">
        <v>44733</v>
      </c>
      <c r="C40" s="63">
        <v>58.44</v>
      </c>
      <c r="D40">
        <v>10.438000000000001</v>
      </c>
      <c r="E40">
        <v>237.9</v>
      </c>
      <c r="G40" s="63" t="s">
        <v>192</v>
      </c>
      <c r="H40" s="6">
        <f t="shared" si="4"/>
        <v>5.5987737114389722</v>
      </c>
      <c r="I40" s="106">
        <f t="shared" si="5"/>
        <v>16.784824679057287</v>
      </c>
      <c r="J40" s="106">
        <f t="shared" si="6"/>
        <v>2.9979466119096507</v>
      </c>
      <c r="K40" s="63">
        <f t="shared" si="7"/>
        <v>0.33356164383561643</v>
      </c>
    </row>
    <row r="41" spans="2:11">
      <c r="B41" s="102">
        <v>44738</v>
      </c>
      <c r="C41" s="63">
        <v>60.2</v>
      </c>
      <c r="D41">
        <v>10.563000000000001</v>
      </c>
      <c r="E41">
        <v>175.2</v>
      </c>
      <c r="G41" s="63" t="s">
        <v>192</v>
      </c>
      <c r="H41" s="6">
        <f t="shared" si="4"/>
        <v>5.6991385023194168</v>
      </c>
      <c r="I41" s="106">
        <f t="shared" si="5"/>
        <v>22.001325381047049</v>
      </c>
      <c r="J41" s="106">
        <f t="shared" si="6"/>
        <v>3.8604651162790695</v>
      </c>
      <c r="K41" s="63">
        <f t="shared" si="7"/>
        <v>0.25903614457831325</v>
      </c>
    </row>
    <row r="42" spans="2:11">
      <c r="B42" s="102">
        <v>44747</v>
      </c>
      <c r="C42" s="63">
        <v>62.44</v>
      </c>
      <c r="D42">
        <v>10.994999999999999</v>
      </c>
      <c r="E42">
        <v>232.4</v>
      </c>
      <c r="G42" s="63" t="s">
        <v>192</v>
      </c>
      <c r="H42" s="6">
        <f t="shared" si="4"/>
        <v>5.6789449749886316</v>
      </c>
      <c r="I42" s="106">
        <f t="shared" si="5"/>
        <v>20.891314233742612</v>
      </c>
      <c r="J42" s="106">
        <f t="shared" si="6"/>
        <v>3.6787315823190263</v>
      </c>
      <c r="K42" s="63">
        <f t="shared" si="7"/>
        <v>0.27183282542446668</v>
      </c>
    </row>
    <row r="43" spans="2:11">
      <c r="B43" s="102">
        <v>44755</v>
      </c>
      <c r="C43" s="63">
        <v>57.84</v>
      </c>
      <c r="D43">
        <v>10.753</v>
      </c>
      <c r="E43">
        <v>229.7</v>
      </c>
      <c r="G43" s="63" t="s">
        <v>192</v>
      </c>
      <c r="H43" s="6">
        <f t="shared" si="4"/>
        <v>5.3789640100437088</v>
      </c>
      <c r="I43" s="106">
        <f t="shared" si="5"/>
        <v>20.859295080442667</v>
      </c>
      <c r="J43" s="106">
        <f t="shared" si="6"/>
        <v>3.877939142461964</v>
      </c>
      <c r="K43" s="63">
        <f t="shared" si="7"/>
        <v>0.25786892554614355</v>
      </c>
    </row>
    <row r="44" spans="2:11">
      <c r="B44" s="102">
        <v>44763</v>
      </c>
      <c r="C44" s="63">
        <v>57.16</v>
      </c>
      <c r="D44">
        <v>10.666</v>
      </c>
      <c r="E44">
        <v>224.3</v>
      </c>
      <c r="G44" s="63" t="s">
        <v>192</v>
      </c>
      <c r="H44" s="6">
        <f t="shared" si="4"/>
        <v>5.3590849428089253</v>
      </c>
      <c r="I44" s="106">
        <f t="shared" si="5"/>
        <v>23.185824114007126</v>
      </c>
      <c r="J44" s="106">
        <f t="shared" si="6"/>
        <v>4.3264520643806863</v>
      </c>
      <c r="K44" s="63">
        <f t="shared" si="7"/>
        <v>0.23113627173473511</v>
      </c>
    </row>
    <row r="45" spans="2:11">
      <c r="B45" s="102">
        <v>44768</v>
      </c>
      <c r="C45" s="63">
        <v>51.5</v>
      </c>
      <c r="D45">
        <v>10.427</v>
      </c>
      <c r="E45">
        <v>247.3</v>
      </c>
      <c r="G45" s="63" t="s">
        <v>192</v>
      </c>
      <c r="H45" s="6">
        <f t="shared" si="4"/>
        <v>4.9391004123909088</v>
      </c>
      <c r="I45" s="106">
        <f t="shared" si="5"/>
        <v>20.696269300853555</v>
      </c>
      <c r="J45" s="106">
        <f t="shared" si="6"/>
        <v>4.190291262135923</v>
      </c>
      <c r="K45" s="63">
        <f t="shared" si="7"/>
        <v>0.23864689527340127</v>
      </c>
    </row>
    <row r="46" spans="2:11">
      <c r="B46" s="102">
        <v>44774</v>
      </c>
      <c r="C46" s="63">
        <v>47.24</v>
      </c>
      <c r="D46">
        <v>10.272</v>
      </c>
      <c r="E46">
        <v>215.8</v>
      </c>
      <c r="G46" s="63" t="s">
        <v>192</v>
      </c>
      <c r="H46" s="6">
        <f t="shared" si="4"/>
        <v>4.5989096573208723</v>
      </c>
      <c r="I46" s="106">
        <f t="shared" si="5"/>
        <v>21.44665109034268</v>
      </c>
      <c r="J46" s="106">
        <f t="shared" si="6"/>
        <v>4.6634208298052497</v>
      </c>
      <c r="K46" s="63">
        <f t="shared" si="7"/>
        <v>0.2144348615524285</v>
      </c>
    </row>
    <row r="47" spans="2:11">
      <c r="B47" s="102">
        <v>44781</v>
      </c>
      <c r="C47" s="63">
        <v>44.58</v>
      </c>
      <c r="D47">
        <v>9.6940000000000008</v>
      </c>
      <c r="E47">
        <v>220.3</v>
      </c>
      <c r="G47" s="63" t="s">
        <v>192</v>
      </c>
      <c r="H47" s="6">
        <f t="shared" si="4"/>
        <v>4.5987208582628423</v>
      </c>
      <c r="I47" s="106">
        <f t="shared" si="5"/>
        <v>25.871673199917474</v>
      </c>
      <c r="J47" s="106">
        <f t="shared" si="6"/>
        <v>5.6258411843876184</v>
      </c>
      <c r="K47" s="63">
        <f t="shared" si="7"/>
        <v>0.1777511961722488</v>
      </c>
    </row>
    <row r="48" spans="2:11">
      <c r="B48" s="102">
        <v>44788</v>
      </c>
      <c r="C48" s="63">
        <v>48.55</v>
      </c>
      <c r="D48">
        <v>10.555999999999999</v>
      </c>
      <c r="E48">
        <v>250.8</v>
      </c>
      <c r="G48" s="63" t="s">
        <v>192</v>
      </c>
      <c r="H48" s="6">
        <f t="shared" si="4"/>
        <v>4.5992800303145129</v>
      </c>
      <c r="I48" s="106">
        <f t="shared" si="5"/>
        <v>21.286472148541115</v>
      </c>
      <c r="J48" s="106">
        <f t="shared" si="6"/>
        <v>4.6282183316168899</v>
      </c>
      <c r="K48" s="63">
        <f t="shared" si="7"/>
        <v>0.21606586559857588</v>
      </c>
    </row>
    <row r="49" spans="2:16">
      <c r="B49" s="102">
        <v>44794</v>
      </c>
      <c r="C49" s="63">
        <v>46.8</v>
      </c>
      <c r="D49">
        <v>10.177</v>
      </c>
      <c r="E49">
        <v>224.7</v>
      </c>
      <c r="G49" s="63" t="s">
        <v>192</v>
      </c>
      <c r="H49" s="6">
        <f t="shared" si="4"/>
        <v>4.5986046968654808</v>
      </c>
      <c r="I49" s="106">
        <f t="shared" si="5"/>
        <v>19.111722511545643</v>
      </c>
      <c r="J49" s="106">
        <f t="shared" si="6"/>
        <v>4.1559829059829063</v>
      </c>
      <c r="K49" s="63">
        <f t="shared" si="7"/>
        <v>0.24061696658097684</v>
      </c>
    </row>
    <row r="50" spans="2:16">
      <c r="B50" s="102">
        <v>44801</v>
      </c>
      <c r="C50" s="63">
        <v>29.77</v>
      </c>
      <c r="D50">
        <v>6.7679999999999998</v>
      </c>
      <c r="E50">
        <v>194.5</v>
      </c>
      <c r="G50" s="63" t="s">
        <v>192</v>
      </c>
      <c r="H50" s="6">
        <f t="shared" si="4"/>
        <v>4.3986406619385345</v>
      </c>
      <c r="I50" s="106">
        <f t="shared" si="5"/>
        <v>24.423758865248228</v>
      </c>
      <c r="J50" s="106">
        <f t="shared" si="6"/>
        <v>5.5525697010413175</v>
      </c>
      <c r="K50" s="63">
        <f t="shared" si="7"/>
        <v>0.18009679370840895</v>
      </c>
    </row>
    <row r="51" spans="2:16">
      <c r="B51" s="102">
        <v>44805</v>
      </c>
      <c r="C51" s="63">
        <v>47.78</v>
      </c>
      <c r="D51">
        <v>10.861000000000001</v>
      </c>
      <c r="E51">
        <v>165.3</v>
      </c>
      <c r="G51" s="63" t="s">
        <v>192</v>
      </c>
      <c r="H51" s="6">
        <f t="shared" si="4"/>
        <v>4.3992265905533561</v>
      </c>
      <c r="I51" s="106">
        <f t="shared" si="5"/>
        <v>21.342417825246294</v>
      </c>
      <c r="J51" s="106">
        <f t="shared" si="6"/>
        <v>4.8514022603599836</v>
      </c>
      <c r="K51" s="63">
        <f t="shared" si="7"/>
        <v>0.20612597066436583</v>
      </c>
    </row>
    <row r="52" spans="2:16">
      <c r="B52" s="102">
        <v>44811</v>
      </c>
      <c r="C52" s="63">
        <v>44.93</v>
      </c>
      <c r="D52">
        <v>10.214</v>
      </c>
      <c r="E52">
        <v>231.8</v>
      </c>
      <c r="G52" s="63" t="s">
        <v>192</v>
      </c>
      <c r="H52" s="6">
        <f t="shared" si="4"/>
        <v>4.3988643038966124</v>
      </c>
      <c r="I52" s="106">
        <f t="shared" si="5"/>
        <v>23.565694145290774</v>
      </c>
      <c r="J52" s="106">
        <f t="shared" si="6"/>
        <v>5.3572223458713548</v>
      </c>
      <c r="K52" s="63">
        <f t="shared" si="7"/>
        <v>0.18666389696717905</v>
      </c>
    </row>
    <row r="53" spans="2:16">
      <c r="B53" s="102">
        <v>44818</v>
      </c>
      <c r="C53" s="63">
        <v>44.52</v>
      </c>
      <c r="D53">
        <v>10.121</v>
      </c>
      <c r="E53">
        <v>240.7</v>
      </c>
      <c r="G53" s="63" t="s">
        <v>192</v>
      </c>
      <c r="H53" s="6">
        <f t="shared" si="4"/>
        <v>4.3987748246220733</v>
      </c>
      <c r="I53" s="106">
        <f t="shared" si="5"/>
        <v>23.890919869578106</v>
      </c>
      <c r="J53" s="106">
        <f t="shared" si="6"/>
        <v>5.4312668463611855</v>
      </c>
      <c r="K53" s="63">
        <f t="shared" si="7"/>
        <v>0.18411910669975187</v>
      </c>
    </row>
    <row r="54" spans="2:16">
      <c r="B54" s="102">
        <v>44825</v>
      </c>
      <c r="C54" s="63">
        <v>45.76</v>
      </c>
      <c r="D54">
        <v>9.9510000000000005</v>
      </c>
      <c r="E54">
        <v>241.8</v>
      </c>
      <c r="G54" s="63" t="s">
        <v>192</v>
      </c>
      <c r="H54" s="6">
        <f t="shared" si="4"/>
        <v>4.5985328107727863</v>
      </c>
      <c r="I54" s="106">
        <f t="shared" si="5"/>
        <v>25.143201688272534</v>
      </c>
      <c r="J54" s="106">
        <f t="shared" si="6"/>
        <v>5.4676573426573425</v>
      </c>
      <c r="K54" s="63">
        <f t="shared" si="7"/>
        <v>0.18289368505195844</v>
      </c>
    </row>
    <row r="55" spans="2:16">
      <c r="B55" s="102">
        <v>44830</v>
      </c>
      <c r="C55" s="63">
        <v>46.47</v>
      </c>
      <c r="D55">
        <v>10.375999999999999</v>
      </c>
      <c r="E55">
        <v>250.2</v>
      </c>
      <c r="G55" s="63" t="s">
        <v>192</v>
      </c>
      <c r="H55" s="6">
        <f t="shared" si="4"/>
        <v>4.4786044718581346</v>
      </c>
      <c r="I55" s="106">
        <f t="shared" si="5"/>
        <v>21.887047031611413</v>
      </c>
      <c r="J55" s="106">
        <f t="shared" si="6"/>
        <v>4.8870238863783086</v>
      </c>
      <c r="K55" s="63">
        <f t="shared" si="7"/>
        <v>0.20462351387054162</v>
      </c>
    </row>
    <row r="56" spans="2:16">
      <c r="B56" s="102">
        <v>44836</v>
      </c>
      <c r="C56" s="63">
        <v>41.11</v>
      </c>
      <c r="D56">
        <v>9.3450000000000006</v>
      </c>
      <c r="E56">
        <v>227.1</v>
      </c>
      <c r="G56" s="63" t="s">
        <v>192</v>
      </c>
      <c r="H56" s="6">
        <f t="shared" si="4"/>
        <v>4.3991439272338146</v>
      </c>
      <c r="I56" s="106">
        <f t="shared" si="5"/>
        <v>26.634563937934722</v>
      </c>
      <c r="J56" s="106">
        <f t="shared" si="6"/>
        <v>6.0544879591340308</v>
      </c>
      <c r="K56" s="63">
        <f t="shared" si="7"/>
        <v>0.16516673362796302</v>
      </c>
    </row>
    <row r="57" spans="2:16">
      <c r="B57" s="102">
        <v>44842</v>
      </c>
      <c r="C57" s="63">
        <v>44.28</v>
      </c>
      <c r="D57">
        <v>9.6280000000000001</v>
      </c>
      <c r="E57">
        <v>248.9</v>
      </c>
      <c r="G57" s="63" t="s">
        <v>192</v>
      </c>
      <c r="H57" s="6">
        <f t="shared" si="4"/>
        <v>4.5990859991690902</v>
      </c>
      <c r="I57" s="106">
        <f t="shared" si="5"/>
        <v>26.703365184877441</v>
      </c>
      <c r="J57" s="106">
        <f t="shared" si="6"/>
        <v>5.806233062330624</v>
      </c>
      <c r="K57" s="63">
        <f t="shared" si="7"/>
        <v>0.17222870478413069</v>
      </c>
      <c r="M57" t="s">
        <v>162</v>
      </c>
    </row>
    <row r="58" spans="2:16">
      <c r="B58" s="102">
        <v>44852</v>
      </c>
      <c r="C58" s="63">
        <v>43.98</v>
      </c>
      <c r="E58">
        <v>257.10000000000002</v>
      </c>
      <c r="F58">
        <v>73789</v>
      </c>
      <c r="G58" s="63" t="s">
        <v>192</v>
      </c>
      <c r="H58" s="6"/>
      <c r="I58" s="106"/>
      <c r="J58" s="106">
        <f t="shared" si="6"/>
        <v>5.8412914961346063</v>
      </c>
      <c r="K58" s="63">
        <f t="shared" si="7"/>
        <v>0.1711950175165434</v>
      </c>
    </row>
    <row r="59" spans="2:16">
      <c r="B59" s="102">
        <v>44859</v>
      </c>
      <c r="C59" s="63">
        <v>30.88</v>
      </c>
      <c r="D59">
        <v>7.02</v>
      </c>
      <c r="E59">
        <v>256.89999999999998</v>
      </c>
      <c r="F59">
        <v>74046</v>
      </c>
      <c r="G59" s="63" t="s">
        <v>192</v>
      </c>
      <c r="H59" s="6">
        <f t="shared" ref="H59:H67" si="8">C59/D59</f>
        <v>4.3988603988603989</v>
      </c>
      <c r="I59" s="106">
        <f t="shared" ref="I59:I67" si="9">E60/D59</f>
        <v>21.481481481481485</v>
      </c>
      <c r="J59" s="106">
        <f t="shared" si="6"/>
        <v>4.8834196891191715</v>
      </c>
      <c r="K59" s="63">
        <f t="shared" si="7"/>
        <v>0.20477453580901855</v>
      </c>
      <c r="M59">
        <f t="shared" ref="M59:M102" si="10">F59-F58</f>
        <v>257</v>
      </c>
      <c r="N59" s="118">
        <f t="shared" ref="N59:N102" si="11">ABS((E59-M59)/AVERAGE(E59,M59))</f>
        <v>3.8918077446982972E-4</v>
      </c>
      <c r="P59">
        <f>F84-F59</f>
        <v>5695</v>
      </c>
    </row>
    <row r="60" spans="2:16">
      <c r="C60" s="63">
        <v>44.91</v>
      </c>
      <c r="D60">
        <v>10.209</v>
      </c>
      <c r="E60">
        <v>150.80000000000001</v>
      </c>
      <c r="F60">
        <v>74197</v>
      </c>
      <c r="G60" s="63" t="s">
        <v>192</v>
      </c>
      <c r="H60" s="6">
        <f t="shared" si="8"/>
        <v>4.3990596532471349</v>
      </c>
      <c r="I60" s="106">
        <f t="shared" si="9"/>
        <v>26.417866588304438</v>
      </c>
      <c r="J60" s="106">
        <f t="shared" si="6"/>
        <v>6.0053440213760858</v>
      </c>
      <c r="K60" s="63">
        <f t="shared" si="7"/>
        <v>0.16651835372636262</v>
      </c>
      <c r="M60">
        <f t="shared" si="10"/>
        <v>151</v>
      </c>
      <c r="N60" s="118">
        <f t="shared" si="11"/>
        <v>1.3253810470509517E-3</v>
      </c>
    </row>
    <row r="61" spans="2:16">
      <c r="B61" s="102">
        <v>44870</v>
      </c>
      <c r="C61" s="63">
        <v>48.47</v>
      </c>
      <c r="D61">
        <v>10.773</v>
      </c>
      <c r="E61">
        <v>269.7</v>
      </c>
      <c r="F61">
        <v>74466</v>
      </c>
      <c r="G61" s="63" t="s">
        <v>192</v>
      </c>
      <c r="H61" s="6">
        <f t="shared" si="8"/>
        <v>4.4992109904390603</v>
      </c>
      <c r="I61" s="106">
        <f t="shared" si="9"/>
        <v>26.946997122435722</v>
      </c>
      <c r="J61" s="106">
        <f t="shared" si="6"/>
        <v>5.9892717144625545</v>
      </c>
      <c r="K61" s="63">
        <f t="shared" si="7"/>
        <v>0.16696520840509815</v>
      </c>
      <c r="M61">
        <f t="shared" si="10"/>
        <v>269</v>
      </c>
      <c r="N61" s="118">
        <f t="shared" si="11"/>
        <v>2.5988490811211752E-3</v>
      </c>
    </row>
    <row r="62" spans="2:16">
      <c r="B62" s="102">
        <v>44877</v>
      </c>
      <c r="C62" s="63">
        <v>45.6</v>
      </c>
      <c r="D62">
        <v>10.606</v>
      </c>
      <c r="E62">
        <v>290.3</v>
      </c>
      <c r="F62">
        <v>74757</v>
      </c>
      <c r="G62" s="63" t="s">
        <v>192</v>
      </c>
      <c r="H62" s="6">
        <f t="shared" si="8"/>
        <v>4.2994531397322273</v>
      </c>
      <c r="I62" s="106">
        <f t="shared" si="9"/>
        <v>24.52385442202527</v>
      </c>
      <c r="J62" s="106">
        <f t="shared" si="6"/>
        <v>5.7039473684210531</v>
      </c>
      <c r="K62" s="63">
        <f t="shared" si="7"/>
        <v>0.17531718569780852</v>
      </c>
      <c r="M62">
        <f t="shared" si="10"/>
        <v>291</v>
      </c>
      <c r="N62" s="118">
        <f t="shared" si="11"/>
        <v>2.4083949767761525E-3</v>
      </c>
    </row>
    <row r="63" spans="2:16">
      <c r="B63" s="102">
        <v>44883</v>
      </c>
      <c r="C63" s="63">
        <v>45.29</v>
      </c>
      <c r="D63">
        <v>10.785</v>
      </c>
      <c r="E63">
        <v>260.10000000000002</v>
      </c>
      <c r="F63">
        <v>75017</v>
      </c>
      <c r="G63" s="63" t="s">
        <v>192</v>
      </c>
      <c r="H63" s="6">
        <f t="shared" si="8"/>
        <v>4.1993509503940656</v>
      </c>
      <c r="I63" s="106">
        <f t="shared" si="9"/>
        <v>24.524802967083911</v>
      </c>
      <c r="J63" s="106">
        <f t="shared" si="6"/>
        <v>5.8401413115478036</v>
      </c>
      <c r="K63" s="63">
        <f t="shared" si="7"/>
        <v>0.17122873345935727</v>
      </c>
      <c r="M63">
        <f t="shared" si="10"/>
        <v>260</v>
      </c>
      <c r="N63" s="118">
        <f t="shared" si="11"/>
        <v>3.8454143433963752E-4</v>
      </c>
    </row>
    <row r="64" spans="2:16">
      <c r="B64" s="102">
        <v>44890</v>
      </c>
      <c r="C64" s="63">
        <v>39.590000000000003</v>
      </c>
      <c r="D64">
        <v>9.9009999999999998</v>
      </c>
      <c r="E64">
        <v>264.5</v>
      </c>
      <c r="F64">
        <v>75281</v>
      </c>
      <c r="G64" s="63" t="s">
        <v>192</v>
      </c>
      <c r="H64" s="6">
        <f t="shared" si="8"/>
        <v>3.9985860014139991</v>
      </c>
      <c r="I64" s="106">
        <f t="shared" si="9"/>
        <v>26.411473588526412</v>
      </c>
      <c r="J64" s="106">
        <f t="shared" si="6"/>
        <v>6.6052033341752958</v>
      </c>
      <c r="K64" s="63">
        <f t="shared" si="7"/>
        <v>0.151395793499044</v>
      </c>
      <c r="M64">
        <f t="shared" si="10"/>
        <v>264</v>
      </c>
      <c r="N64" s="118">
        <f t="shared" si="11"/>
        <v>1.8921475875118259E-3</v>
      </c>
    </row>
    <row r="65" spans="2:14">
      <c r="B65" s="102">
        <v>44898</v>
      </c>
      <c r="C65" s="63">
        <v>42.7</v>
      </c>
      <c r="D65">
        <v>10.952</v>
      </c>
      <c r="E65">
        <v>261.5</v>
      </c>
      <c r="F65">
        <v>75543</v>
      </c>
      <c r="G65" s="63" t="s">
        <v>192</v>
      </c>
      <c r="H65" s="6">
        <f t="shared" si="8"/>
        <v>3.8988312636961289</v>
      </c>
      <c r="I65" s="106">
        <f t="shared" si="9"/>
        <v>24.233016800584366</v>
      </c>
      <c r="J65" s="106">
        <f t="shared" si="6"/>
        <v>6.2154566744730673</v>
      </c>
      <c r="K65" s="63">
        <f t="shared" si="7"/>
        <v>0.1608892238131123</v>
      </c>
      <c r="M65">
        <f t="shared" si="10"/>
        <v>262</v>
      </c>
      <c r="N65" s="118">
        <f t="shared" si="11"/>
        <v>1.9102196752626551E-3</v>
      </c>
    </row>
    <row r="66" spans="2:14">
      <c r="B66" s="102">
        <v>44907</v>
      </c>
      <c r="C66" s="63">
        <v>38.770000000000003</v>
      </c>
      <c r="D66">
        <v>10.481</v>
      </c>
      <c r="E66">
        <v>265.39999999999998</v>
      </c>
      <c r="F66">
        <v>75808</v>
      </c>
      <c r="G66" s="63" t="s">
        <v>192</v>
      </c>
      <c r="H66" s="6">
        <f t="shared" si="8"/>
        <v>3.6990745157904783</v>
      </c>
      <c r="I66" s="106">
        <f t="shared" si="9"/>
        <v>23.814521515122603</v>
      </c>
      <c r="J66" s="106">
        <f t="shared" si="6"/>
        <v>6.4379675006448274</v>
      </c>
      <c r="K66" s="63">
        <f t="shared" si="7"/>
        <v>0.15532852564102564</v>
      </c>
      <c r="M66">
        <f t="shared" si="10"/>
        <v>265</v>
      </c>
      <c r="N66" s="118">
        <f t="shared" si="11"/>
        <v>1.5082956259425992E-3</v>
      </c>
    </row>
    <row r="67" spans="2:14">
      <c r="B67" s="102">
        <v>44915</v>
      </c>
      <c r="C67" s="63">
        <v>38.04</v>
      </c>
      <c r="D67">
        <v>10.285</v>
      </c>
      <c r="E67">
        <v>249.6</v>
      </c>
      <c r="F67">
        <v>76058</v>
      </c>
      <c r="G67" s="63" t="s">
        <v>192</v>
      </c>
      <c r="H67" s="6">
        <f t="shared" si="8"/>
        <v>3.6985901798736021</v>
      </c>
      <c r="I67" s="106">
        <f t="shared" si="9"/>
        <v>22.887700534759357</v>
      </c>
      <c r="J67" s="106">
        <f t="shared" si="6"/>
        <v>6.1882229232386967</v>
      </c>
      <c r="K67" s="63">
        <f t="shared" si="7"/>
        <v>0.16159728122344943</v>
      </c>
      <c r="M67">
        <f t="shared" si="10"/>
        <v>250</v>
      </c>
      <c r="N67" s="118">
        <f t="shared" si="11"/>
        <v>1.6012810248198785E-3</v>
      </c>
    </row>
    <row r="68" spans="2:14">
      <c r="B68" s="102">
        <v>44922</v>
      </c>
      <c r="C68" s="63">
        <v>37.49</v>
      </c>
      <c r="E68">
        <v>235.4</v>
      </c>
      <c r="F68">
        <v>76293</v>
      </c>
      <c r="G68" s="63" t="s">
        <v>192</v>
      </c>
      <c r="H68" s="6"/>
      <c r="I68" s="106"/>
      <c r="J68" s="106">
        <f t="shared" ref="J68:J91" si="12">E69/C68</f>
        <v>7.2232595358762337</v>
      </c>
      <c r="K68" s="63">
        <f t="shared" ref="K68:K91" si="13">C68/E69</f>
        <v>0.13844165435745939</v>
      </c>
      <c r="M68">
        <f t="shared" si="10"/>
        <v>235</v>
      </c>
      <c r="N68" s="118">
        <f t="shared" si="11"/>
        <v>1.7006802721088678E-3</v>
      </c>
    </row>
    <row r="69" spans="2:14">
      <c r="B69" s="102">
        <v>44931</v>
      </c>
      <c r="C69" s="63">
        <v>40.94</v>
      </c>
      <c r="D69">
        <v>10.342000000000001</v>
      </c>
      <c r="E69">
        <v>270.8</v>
      </c>
      <c r="F69">
        <v>76564</v>
      </c>
      <c r="G69" s="63" t="s">
        <v>192</v>
      </c>
      <c r="H69" s="6">
        <f t="shared" ref="H69:H81" si="14">C69/D69</f>
        <v>3.9586153548636624</v>
      </c>
      <c r="I69" s="106">
        <f t="shared" ref="I69:I81" si="15">E70/D69</f>
        <v>24.763101914523304</v>
      </c>
      <c r="J69" s="106">
        <f t="shared" si="12"/>
        <v>6.2554958475818276</v>
      </c>
      <c r="K69" s="63">
        <f t="shared" si="13"/>
        <v>0.15985942991019131</v>
      </c>
      <c r="M69">
        <f t="shared" si="10"/>
        <v>271</v>
      </c>
      <c r="N69" s="118">
        <f t="shared" si="11"/>
        <v>7.3827980804720803E-4</v>
      </c>
    </row>
    <row r="70" spans="2:14">
      <c r="B70" s="102">
        <v>44940</v>
      </c>
      <c r="C70" s="63">
        <v>42.37</v>
      </c>
      <c r="D70">
        <v>10.337</v>
      </c>
      <c r="E70">
        <v>256.10000000000002</v>
      </c>
      <c r="F70">
        <v>76820</v>
      </c>
      <c r="G70" s="63" t="s">
        <v>192</v>
      </c>
      <c r="H70" s="6">
        <f t="shared" si="14"/>
        <v>4.0988681435619618</v>
      </c>
      <c r="I70" s="106">
        <f t="shared" si="15"/>
        <v>22.530714907613429</v>
      </c>
      <c r="J70" s="106">
        <f t="shared" si="12"/>
        <v>5.4968137833372674</v>
      </c>
      <c r="K70" s="63">
        <f t="shared" si="13"/>
        <v>0.18192357234864748</v>
      </c>
      <c r="M70">
        <f t="shared" si="10"/>
        <v>256</v>
      </c>
      <c r="N70" s="118">
        <f t="shared" si="11"/>
        <v>3.9054872095302764E-4</v>
      </c>
    </row>
    <row r="71" spans="2:14">
      <c r="B71" s="102">
        <v>44946</v>
      </c>
      <c r="C71" s="63">
        <v>41.7</v>
      </c>
      <c r="D71">
        <v>9.9320000000000004</v>
      </c>
      <c r="E71">
        <v>232.9</v>
      </c>
      <c r="F71">
        <v>77053</v>
      </c>
      <c r="G71" s="63" t="s">
        <v>192</v>
      </c>
      <c r="H71" s="6">
        <f t="shared" si="14"/>
        <v>4.1985501409585178</v>
      </c>
      <c r="I71" s="106">
        <f t="shared" si="15"/>
        <v>25.291985501409584</v>
      </c>
      <c r="J71" s="106">
        <f t="shared" si="12"/>
        <v>6.0239808153477208</v>
      </c>
      <c r="K71" s="63">
        <f t="shared" si="13"/>
        <v>0.16600318471337583</v>
      </c>
      <c r="M71">
        <f t="shared" si="10"/>
        <v>233</v>
      </c>
      <c r="N71" s="118">
        <f t="shared" si="11"/>
        <v>4.2927666881302561E-4</v>
      </c>
    </row>
    <row r="72" spans="2:14">
      <c r="B72" s="102">
        <v>44953</v>
      </c>
      <c r="C72" s="63">
        <v>44</v>
      </c>
      <c r="D72">
        <v>10.234999999999999</v>
      </c>
      <c r="E72">
        <v>251.2</v>
      </c>
      <c r="F72">
        <v>77305</v>
      </c>
      <c r="G72" s="63" t="s">
        <v>192</v>
      </c>
      <c r="H72" s="6">
        <f t="shared" si="14"/>
        <v>4.2989741084513922</v>
      </c>
      <c r="I72" s="106">
        <f t="shared" si="15"/>
        <v>25.021983390327311</v>
      </c>
      <c r="J72" s="106">
        <f t="shared" si="12"/>
        <v>5.8204545454545462</v>
      </c>
      <c r="K72" s="63">
        <f t="shared" si="13"/>
        <v>0.17180788754392814</v>
      </c>
      <c r="M72">
        <f t="shared" si="10"/>
        <v>252</v>
      </c>
      <c r="N72" s="118">
        <f t="shared" si="11"/>
        <v>3.1796502384738132E-3</v>
      </c>
    </row>
    <row r="73" spans="2:14">
      <c r="B73" s="102">
        <v>44960</v>
      </c>
      <c r="C73" s="63">
        <v>44.01</v>
      </c>
      <c r="D73">
        <v>10.481999999999999</v>
      </c>
      <c r="E73">
        <v>256.10000000000002</v>
      </c>
      <c r="F73">
        <v>77561</v>
      </c>
      <c r="G73" s="63" t="s">
        <v>192</v>
      </c>
      <c r="H73" s="6">
        <f t="shared" si="14"/>
        <v>4.198626216370922</v>
      </c>
      <c r="I73" s="106">
        <f t="shared" si="15"/>
        <v>21.312726578897159</v>
      </c>
      <c r="J73" s="106">
        <f t="shared" si="12"/>
        <v>5.0761190638491254</v>
      </c>
      <c r="K73" s="63">
        <f t="shared" si="13"/>
        <v>0.19700089525514769</v>
      </c>
      <c r="M73">
        <f t="shared" si="10"/>
        <v>256</v>
      </c>
      <c r="N73" s="118">
        <f t="shared" si="11"/>
        <v>3.9054872095302764E-4</v>
      </c>
    </row>
    <row r="74" spans="2:14">
      <c r="B74" s="102">
        <v>44967</v>
      </c>
      <c r="C74" s="63">
        <v>29.9</v>
      </c>
      <c r="D74">
        <v>7.1210000000000004</v>
      </c>
      <c r="E74">
        <v>223.4</v>
      </c>
      <c r="F74">
        <v>77784</v>
      </c>
      <c r="G74" s="63" t="s">
        <v>192</v>
      </c>
      <c r="H74" s="6">
        <f t="shared" si="14"/>
        <v>4.1988484763375924</v>
      </c>
      <c r="I74" s="106">
        <f t="shared" si="15"/>
        <v>25.038618171605112</v>
      </c>
      <c r="J74" s="106">
        <f t="shared" si="12"/>
        <v>5.9632107023411374</v>
      </c>
      <c r="K74" s="63">
        <f t="shared" si="13"/>
        <v>0.16769489624228825</v>
      </c>
      <c r="M74">
        <f t="shared" si="10"/>
        <v>223</v>
      </c>
      <c r="N74" s="118">
        <f t="shared" si="11"/>
        <v>1.7921146953405274E-3</v>
      </c>
    </row>
    <row r="75" spans="2:14">
      <c r="B75" s="102">
        <v>44973</v>
      </c>
      <c r="C75" s="63">
        <v>21.27</v>
      </c>
      <c r="D75">
        <v>4.9939999999999998</v>
      </c>
      <c r="E75">
        <v>178.3</v>
      </c>
      <c r="F75">
        <v>77963</v>
      </c>
      <c r="G75" s="63" t="s">
        <v>192</v>
      </c>
      <c r="H75" s="6">
        <f t="shared" si="14"/>
        <v>4.2591109331197439</v>
      </c>
      <c r="I75" s="106">
        <f t="shared" si="15"/>
        <v>25.931117340808971</v>
      </c>
      <c r="J75" s="106">
        <f t="shared" si="12"/>
        <v>6.088387400094029</v>
      </c>
      <c r="K75" s="63">
        <f t="shared" si="13"/>
        <v>0.16424710424710423</v>
      </c>
      <c r="M75">
        <f t="shared" si="10"/>
        <v>179</v>
      </c>
      <c r="N75" s="118">
        <f t="shared" si="11"/>
        <v>3.9182759585781619E-3</v>
      </c>
    </row>
    <row r="76" spans="2:14">
      <c r="B76" s="102">
        <v>44975</v>
      </c>
      <c r="C76" s="63">
        <v>45.24</v>
      </c>
      <c r="D76">
        <v>10.775</v>
      </c>
      <c r="E76">
        <v>129.5</v>
      </c>
      <c r="F76">
        <v>78092</v>
      </c>
      <c r="G76" s="63" t="s">
        <v>192</v>
      </c>
      <c r="H76" s="6">
        <f t="shared" si="14"/>
        <v>4.1986078886310905</v>
      </c>
      <c r="I76" s="106">
        <f t="shared" si="15"/>
        <v>24.946635730858468</v>
      </c>
      <c r="J76" s="106">
        <f t="shared" si="12"/>
        <v>5.9416445623342176</v>
      </c>
      <c r="K76" s="63">
        <f t="shared" si="13"/>
        <v>0.16830357142857144</v>
      </c>
      <c r="M76">
        <f t="shared" si="10"/>
        <v>129</v>
      </c>
      <c r="N76" s="118">
        <f t="shared" si="11"/>
        <v>3.8684719535783366E-3</v>
      </c>
    </row>
    <row r="77" spans="2:14">
      <c r="B77" s="102">
        <v>44982</v>
      </c>
      <c r="C77" s="63">
        <v>20</v>
      </c>
      <c r="D77">
        <v>4.8789999999999996</v>
      </c>
      <c r="E77">
        <v>268.8</v>
      </c>
      <c r="F77">
        <v>78361</v>
      </c>
      <c r="G77" s="63" t="s">
        <v>192</v>
      </c>
      <c r="H77" s="6">
        <f t="shared" si="14"/>
        <v>4.0992006558721057</v>
      </c>
      <c r="I77" s="106">
        <f t="shared" si="15"/>
        <v>23.221971715515476</v>
      </c>
      <c r="J77" s="106">
        <f t="shared" si="12"/>
        <v>5.665</v>
      </c>
      <c r="K77" s="63">
        <f t="shared" si="13"/>
        <v>0.17652250661959401</v>
      </c>
      <c r="M77">
        <f t="shared" si="10"/>
        <v>269</v>
      </c>
      <c r="N77" s="118">
        <f t="shared" si="11"/>
        <v>7.4377091855704221E-4</v>
      </c>
    </row>
    <row r="78" spans="2:14">
      <c r="B78" s="102">
        <v>44984</v>
      </c>
      <c r="C78" s="63">
        <v>9.9600000000000009</v>
      </c>
      <c r="D78">
        <v>2.5150000000000001</v>
      </c>
      <c r="E78">
        <v>113.3</v>
      </c>
      <c r="F78">
        <v>78474</v>
      </c>
      <c r="G78" s="63" t="s">
        <v>192</v>
      </c>
      <c r="H78" s="6">
        <f t="shared" si="14"/>
        <v>3.9602385685884691</v>
      </c>
      <c r="I78" s="106">
        <f t="shared" si="15"/>
        <v>26.08349900596421</v>
      </c>
      <c r="J78" s="106">
        <f t="shared" si="12"/>
        <v>6.5863453815261037</v>
      </c>
      <c r="K78" s="63">
        <f t="shared" si="13"/>
        <v>0.15182926829268295</v>
      </c>
      <c r="M78">
        <f t="shared" si="10"/>
        <v>113</v>
      </c>
      <c r="N78" s="118">
        <f t="shared" si="11"/>
        <v>2.6513477684489365E-3</v>
      </c>
    </row>
    <row r="79" spans="2:14">
      <c r="B79" s="102">
        <v>44986</v>
      </c>
      <c r="C79" s="63">
        <v>42.72</v>
      </c>
      <c r="D79">
        <v>10.420999999999999</v>
      </c>
      <c r="E79">
        <v>65.599999999999994</v>
      </c>
      <c r="F79">
        <v>78540</v>
      </c>
      <c r="G79" s="63" t="s">
        <v>192</v>
      </c>
      <c r="H79" s="6">
        <f t="shared" si="14"/>
        <v>4.0994146435083003</v>
      </c>
      <c r="I79" s="106">
        <f t="shared" si="15"/>
        <v>22.329910757125035</v>
      </c>
      <c r="J79" s="106">
        <f t="shared" si="12"/>
        <v>5.447097378277153</v>
      </c>
      <c r="K79" s="63">
        <f t="shared" si="13"/>
        <v>0.18358401375161151</v>
      </c>
      <c r="M79">
        <f t="shared" si="10"/>
        <v>66</v>
      </c>
      <c r="N79" s="118">
        <f t="shared" si="11"/>
        <v>6.079027355623187E-3</v>
      </c>
    </row>
    <row r="80" spans="2:14">
      <c r="B80" s="102">
        <v>44991</v>
      </c>
      <c r="C80" s="63">
        <v>37.35</v>
      </c>
      <c r="D80">
        <v>9.1129999999999995</v>
      </c>
      <c r="E80">
        <v>232.7</v>
      </c>
      <c r="F80">
        <v>78773</v>
      </c>
      <c r="G80" s="63" t="s">
        <v>192</v>
      </c>
      <c r="H80" s="6">
        <f t="shared" si="14"/>
        <v>4.0985405464720737</v>
      </c>
      <c r="I80" s="106">
        <f t="shared" si="15"/>
        <v>27.938110391748054</v>
      </c>
      <c r="J80" s="106">
        <f t="shared" si="12"/>
        <v>6.8165997322623824</v>
      </c>
      <c r="K80" s="63">
        <f t="shared" si="13"/>
        <v>0.14670070699135901</v>
      </c>
      <c r="M80">
        <f t="shared" si="10"/>
        <v>233</v>
      </c>
      <c r="N80" s="118">
        <f t="shared" si="11"/>
        <v>1.2883830792356082E-3</v>
      </c>
    </row>
    <row r="81" spans="2:14">
      <c r="B81" s="102">
        <v>44997</v>
      </c>
      <c r="C81" s="63">
        <v>45.16</v>
      </c>
      <c r="D81">
        <v>10.755000000000001</v>
      </c>
      <c r="E81">
        <v>254.6</v>
      </c>
      <c r="F81">
        <v>79027</v>
      </c>
      <c r="G81" s="63" t="s">
        <v>192</v>
      </c>
      <c r="H81" s="6">
        <f t="shared" si="14"/>
        <v>4.1989772198977215</v>
      </c>
      <c r="I81" s="106">
        <f t="shared" si="15"/>
        <v>21.850302185030216</v>
      </c>
      <c r="J81" s="106">
        <f t="shared" si="12"/>
        <v>5.2037201062887517</v>
      </c>
      <c r="K81" s="63">
        <f t="shared" si="13"/>
        <v>0.19217021276595744</v>
      </c>
      <c r="M81">
        <f t="shared" si="10"/>
        <v>254</v>
      </c>
      <c r="N81" s="118">
        <f t="shared" si="11"/>
        <v>2.3594180102241222E-3</v>
      </c>
    </row>
    <row r="82" spans="2:14">
      <c r="B82" s="102">
        <v>45002</v>
      </c>
      <c r="C82" s="63">
        <v>39.56</v>
      </c>
      <c r="E82">
        <v>235</v>
      </c>
      <c r="F82">
        <v>79262</v>
      </c>
      <c r="G82" s="63" t="s">
        <v>192</v>
      </c>
      <c r="H82" s="6"/>
      <c r="I82" s="106"/>
      <c r="J82" s="106">
        <f t="shared" si="12"/>
        <v>6.3523761375126391</v>
      </c>
      <c r="K82" s="63">
        <f t="shared" si="13"/>
        <v>0.15742140867489057</v>
      </c>
      <c r="M82">
        <f t="shared" si="10"/>
        <v>235</v>
      </c>
      <c r="N82" s="118">
        <f t="shared" si="11"/>
        <v>0</v>
      </c>
    </row>
    <row r="83" spans="2:14">
      <c r="B83" s="102">
        <v>45008</v>
      </c>
      <c r="C83" s="63">
        <v>41.18</v>
      </c>
      <c r="D83">
        <v>9.8079999999999998</v>
      </c>
      <c r="E83">
        <v>251.3</v>
      </c>
      <c r="F83">
        <v>79514</v>
      </c>
      <c r="G83" s="63" t="s">
        <v>192</v>
      </c>
      <c r="H83" s="6">
        <f t="shared" ref="H83:H91" si="16">C83/D83</f>
        <v>4.1986133768352367</v>
      </c>
      <c r="I83" s="106">
        <f t="shared" ref="I83:I91" si="17">E84/D83</f>
        <v>23.134176182707993</v>
      </c>
      <c r="J83" s="106">
        <f t="shared" si="12"/>
        <v>5.5099562894609031</v>
      </c>
      <c r="K83" s="63">
        <f t="shared" si="13"/>
        <v>0.18148964301454384</v>
      </c>
      <c r="M83">
        <f t="shared" si="10"/>
        <v>252</v>
      </c>
      <c r="N83" s="118">
        <f t="shared" si="11"/>
        <v>2.7816411682892454E-3</v>
      </c>
    </row>
    <row r="84" spans="2:14">
      <c r="B84" s="102">
        <v>45013</v>
      </c>
      <c r="C84" s="63">
        <v>44.63</v>
      </c>
      <c r="D84">
        <v>10.629</v>
      </c>
      <c r="E84">
        <v>226.9</v>
      </c>
      <c r="F84">
        <v>79741</v>
      </c>
      <c r="G84" s="63" t="s">
        <v>192</v>
      </c>
      <c r="H84" s="6">
        <f t="shared" si="16"/>
        <v>4.1988898297111676</v>
      </c>
      <c r="I84" s="106">
        <f t="shared" si="17"/>
        <v>26.390064916737231</v>
      </c>
      <c r="J84" s="106">
        <f t="shared" si="12"/>
        <v>6.2850100829038755</v>
      </c>
      <c r="K84" s="63">
        <f t="shared" si="13"/>
        <v>0.15910873440285206</v>
      </c>
      <c r="M84">
        <f t="shared" si="10"/>
        <v>227</v>
      </c>
      <c r="N84" s="118">
        <f t="shared" si="11"/>
        <v>4.4062568847761323E-4</v>
      </c>
    </row>
    <row r="85" spans="2:14">
      <c r="B85" s="102">
        <v>45018</v>
      </c>
      <c r="C85" s="63">
        <v>44.17</v>
      </c>
      <c r="D85">
        <v>10.518000000000001</v>
      </c>
      <c r="E85">
        <v>280.5</v>
      </c>
      <c r="F85">
        <v>80021</v>
      </c>
      <c r="G85" s="63" t="s">
        <v>192</v>
      </c>
      <c r="H85" s="6">
        <f t="shared" si="16"/>
        <v>4.1994675793877159</v>
      </c>
      <c r="I85" s="106">
        <f t="shared" si="17"/>
        <v>25.82239969575965</v>
      </c>
      <c r="J85" s="106">
        <f t="shared" si="12"/>
        <v>6.1489698890649764</v>
      </c>
      <c r="K85" s="63">
        <f t="shared" si="13"/>
        <v>0.16262886597938145</v>
      </c>
      <c r="M85">
        <f t="shared" si="10"/>
        <v>280</v>
      </c>
      <c r="N85" s="118">
        <f t="shared" si="11"/>
        <v>1.7841213202497771E-3</v>
      </c>
    </row>
    <row r="86" spans="2:14">
      <c r="B86" s="102">
        <v>45025</v>
      </c>
      <c r="C86" s="63">
        <v>47.15</v>
      </c>
      <c r="D86">
        <v>10.718999999999999</v>
      </c>
      <c r="E86">
        <v>271.60000000000002</v>
      </c>
      <c r="F86">
        <v>80293</v>
      </c>
      <c r="G86" s="63" t="s">
        <v>192</v>
      </c>
      <c r="H86" s="6">
        <f t="shared" si="16"/>
        <v>4.3987312249276984</v>
      </c>
      <c r="I86" s="106">
        <f t="shared" si="17"/>
        <v>23.117828155611534</v>
      </c>
      <c r="J86" s="106">
        <f t="shared" si="12"/>
        <v>5.2555673382820789</v>
      </c>
      <c r="K86" s="63">
        <f t="shared" si="13"/>
        <v>0.19027441485068602</v>
      </c>
      <c r="M86">
        <f t="shared" si="10"/>
        <v>272</v>
      </c>
      <c r="N86" s="118">
        <f t="shared" si="11"/>
        <v>1.4716703458424476E-3</v>
      </c>
    </row>
    <row r="87" spans="2:14">
      <c r="B87" s="102">
        <v>45031</v>
      </c>
      <c r="C87" s="63">
        <v>43.3</v>
      </c>
      <c r="D87">
        <v>9.625</v>
      </c>
      <c r="E87">
        <v>247.8</v>
      </c>
      <c r="F87">
        <v>80541</v>
      </c>
      <c r="G87" s="63" t="s">
        <v>192</v>
      </c>
      <c r="H87" s="6">
        <f t="shared" si="16"/>
        <v>4.498701298701298</v>
      </c>
      <c r="I87" s="106">
        <f t="shared" si="17"/>
        <v>24.23896103896104</v>
      </c>
      <c r="J87" s="106">
        <f t="shared" si="12"/>
        <v>5.3879907621247121</v>
      </c>
      <c r="K87" s="63">
        <f t="shared" si="13"/>
        <v>0.18559794256322329</v>
      </c>
      <c r="M87">
        <f t="shared" si="10"/>
        <v>248</v>
      </c>
      <c r="N87" s="118">
        <f t="shared" si="11"/>
        <v>8.0677692617986537E-4</v>
      </c>
    </row>
    <row r="88" spans="2:14">
      <c r="B88" s="102">
        <v>45038</v>
      </c>
      <c r="C88" s="63">
        <v>19.98</v>
      </c>
      <c r="D88">
        <v>4.5419999999999998</v>
      </c>
      <c r="E88">
        <v>233.3</v>
      </c>
      <c r="F88">
        <v>80774</v>
      </c>
      <c r="G88" s="63" t="s">
        <v>192</v>
      </c>
      <c r="H88" s="6">
        <f t="shared" si="16"/>
        <v>4.3989431968295909</v>
      </c>
      <c r="I88" s="106">
        <f t="shared" si="17"/>
        <v>29.964773227653016</v>
      </c>
      <c r="J88" s="106">
        <f t="shared" si="12"/>
        <v>6.8118118118118112</v>
      </c>
      <c r="K88" s="63">
        <f t="shared" si="13"/>
        <v>0.14680382072005879</v>
      </c>
      <c r="M88">
        <f t="shared" si="10"/>
        <v>233</v>
      </c>
      <c r="N88" s="118">
        <f t="shared" si="11"/>
        <v>1.2867252841518822E-3</v>
      </c>
    </row>
    <row r="89" spans="2:14">
      <c r="B89" s="102">
        <v>45040</v>
      </c>
      <c r="C89" s="63">
        <v>45.72</v>
      </c>
      <c r="D89">
        <v>10.393000000000001</v>
      </c>
      <c r="E89">
        <v>136.1</v>
      </c>
      <c r="F89">
        <v>80910</v>
      </c>
      <c r="G89" s="63" t="s">
        <v>192</v>
      </c>
      <c r="H89" s="6">
        <f t="shared" si="16"/>
        <v>4.3991147888001532</v>
      </c>
      <c r="I89" s="106">
        <f t="shared" si="17"/>
        <v>25.199653613008753</v>
      </c>
      <c r="J89" s="106">
        <f t="shared" si="12"/>
        <v>5.728346456692913</v>
      </c>
      <c r="K89" s="63">
        <f t="shared" si="13"/>
        <v>0.17457044673539521</v>
      </c>
      <c r="M89">
        <f t="shared" si="10"/>
        <v>136</v>
      </c>
      <c r="N89" s="118">
        <f t="shared" si="11"/>
        <v>7.3502388827632718E-4</v>
      </c>
    </row>
    <row r="90" spans="2:14">
      <c r="B90" s="102">
        <v>45047</v>
      </c>
      <c r="C90" s="63">
        <v>40</v>
      </c>
      <c r="D90">
        <v>9.0920000000000005</v>
      </c>
      <c r="E90">
        <v>261.89999999999998</v>
      </c>
      <c r="F90">
        <v>81172</v>
      </c>
      <c r="G90" s="63" t="s">
        <v>192</v>
      </c>
      <c r="H90" s="6">
        <f t="shared" si="16"/>
        <v>4.3994720633523974</v>
      </c>
      <c r="I90" s="106">
        <f t="shared" si="17"/>
        <v>18.543774747030355</v>
      </c>
      <c r="J90" s="106">
        <f t="shared" si="12"/>
        <v>4.2149999999999999</v>
      </c>
      <c r="K90" s="63">
        <f t="shared" si="13"/>
        <v>0.23724792408066431</v>
      </c>
      <c r="M90">
        <f t="shared" si="10"/>
        <v>262</v>
      </c>
      <c r="N90" s="118">
        <f t="shared" si="11"/>
        <v>3.8175224279451324E-4</v>
      </c>
    </row>
    <row r="91" spans="2:14">
      <c r="B91" s="102">
        <v>45051</v>
      </c>
      <c r="C91" s="63">
        <v>33.6</v>
      </c>
      <c r="D91">
        <v>7.6379999999999999</v>
      </c>
      <c r="E91">
        <v>168.6</v>
      </c>
      <c r="F91">
        <v>81341</v>
      </c>
      <c r="G91" s="63" t="s">
        <v>192</v>
      </c>
      <c r="H91" s="6">
        <f t="shared" si="16"/>
        <v>4.3990573448546746</v>
      </c>
      <c r="I91" s="106">
        <f t="shared" si="17"/>
        <v>33.791568473422366</v>
      </c>
      <c r="J91" s="106">
        <f t="shared" si="12"/>
        <v>7.6815476190476195</v>
      </c>
      <c r="K91" s="63">
        <f t="shared" si="13"/>
        <v>0.13018209996125532</v>
      </c>
      <c r="M91">
        <f t="shared" si="10"/>
        <v>169</v>
      </c>
      <c r="N91" s="118">
        <f t="shared" si="11"/>
        <v>2.3696682464455312E-3</v>
      </c>
    </row>
    <row r="92" spans="2:14">
      <c r="B92" s="102">
        <v>45054</v>
      </c>
      <c r="C92" s="63">
        <v>42.41</v>
      </c>
      <c r="E92">
        <v>258.10000000000002</v>
      </c>
      <c r="F92">
        <v>81599</v>
      </c>
      <c r="G92" s="63" t="s">
        <v>192</v>
      </c>
      <c r="H92" s="6"/>
      <c r="I92" s="106"/>
      <c r="J92" s="106"/>
      <c r="K92" s="63"/>
      <c r="M92">
        <f t="shared" si="10"/>
        <v>258</v>
      </c>
      <c r="N92" s="118">
        <f t="shared" si="11"/>
        <v>3.8752179810123131E-4</v>
      </c>
    </row>
    <row r="93" spans="2:14">
      <c r="B93" s="102">
        <v>45064</v>
      </c>
      <c r="C93" s="63">
        <v>43.3</v>
      </c>
      <c r="D93">
        <v>9.8439999999999994</v>
      </c>
      <c r="E93">
        <v>253.5</v>
      </c>
      <c r="F93">
        <v>81852</v>
      </c>
      <c r="G93" s="63" t="s">
        <v>192</v>
      </c>
      <c r="H93" s="6">
        <f t="shared" ref="H93:H98" si="18">C93/D93</f>
        <v>4.3986184477854531</v>
      </c>
      <c r="I93" s="106">
        <f>E94/D93</f>
        <v>27.986590816741163</v>
      </c>
      <c r="J93" s="106">
        <f>E94/C93</f>
        <v>6.362586605080832</v>
      </c>
      <c r="K93" s="63">
        <f>C93/E94</f>
        <v>0.15716878402903811</v>
      </c>
      <c r="M93">
        <f t="shared" si="10"/>
        <v>253</v>
      </c>
      <c r="N93" s="118">
        <f t="shared" si="11"/>
        <v>1.9743336623889436E-3</v>
      </c>
    </row>
    <row r="94" spans="2:14">
      <c r="B94" s="102">
        <v>45072</v>
      </c>
      <c r="C94" s="63">
        <v>44.72</v>
      </c>
      <c r="D94">
        <v>10.401999999999999</v>
      </c>
      <c r="E94">
        <v>275.5</v>
      </c>
      <c r="F94">
        <v>82128</v>
      </c>
      <c r="G94" s="63" t="s">
        <v>192</v>
      </c>
      <c r="H94" s="6">
        <f t="shared" si="18"/>
        <v>4.2991732359161698</v>
      </c>
      <c r="I94" s="106">
        <f>E95/D94</f>
        <v>22.860988271486256</v>
      </c>
      <c r="J94" s="106">
        <f>E95/C94</f>
        <v>5.3175313059033993</v>
      </c>
      <c r="K94" s="63">
        <f>C94/E95</f>
        <v>0.18805719091673673</v>
      </c>
      <c r="M94">
        <f t="shared" si="10"/>
        <v>276</v>
      </c>
      <c r="N94" s="118">
        <f t="shared" si="11"/>
        <v>1.8132366273798731E-3</v>
      </c>
    </row>
    <row r="95" spans="2:14">
      <c r="B95" s="102">
        <v>45077</v>
      </c>
      <c r="C95" s="63">
        <v>43.66</v>
      </c>
      <c r="D95">
        <v>9.9250000000000007</v>
      </c>
      <c r="E95">
        <v>237.8</v>
      </c>
      <c r="F95">
        <v>82366</v>
      </c>
      <c r="G95" s="63" t="s">
        <v>192</v>
      </c>
      <c r="H95" s="6">
        <f t="shared" si="18"/>
        <v>4.3989924433249366</v>
      </c>
      <c r="I95" s="106">
        <f>E96/D95</f>
        <v>22.790931989924431</v>
      </c>
      <c r="J95" s="106">
        <f>E96/C95</f>
        <v>5.1809436555199264</v>
      </c>
      <c r="K95" s="63">
        <f>C95/E96</f>
        <v>0.19301503094606542</v>
      </c>
      <c r="M95">
        <f t="shared" si="10"/>
        <v>238</v>
      </c>
      <c r="N95" s="118">
        <f t="shared" si="11"/>
        <v>8.406893652794814E-4</v>
      </c>
    </row>
    <row r="96" spans="2:14">
      <c r="B96" s="102">
        <v>45085</v>
      </c>
      <c r="C96" s="63">
        <v>45.28</v>
      </c>
      <c r="D96">
        <v>10.294</v>
      </c>
      <c r="E96">
        <v>226.2</v>
      </c>
      <c r="F96">
        <v>82592</v>
      </c>
      <c r="G96" s="63" t="s">
        <v>192</v>
      </c>
      <c r="H96" s="6">
        <f t="shared" si="18"/>
        <v>4.3986788420439087</v>
      </c>
      <c r="I96" s="106">
        <f>E97/D96</f>
        <v>22.479114047017681</v>
      </c>
      <c r="J96" s="106">
        <f>E97/C96</f>
        <v>5.1104240282685511</v>
      </c>
      <c r="K96" s="63">
        <f>C96/E97</f>
        <v>0.19567847882454625</v>
      </c>
      <c r="M96">
        <f t="shared" si="10"/>
        <v>226</v>
      </c>
      <c r="N96" s="118">
        <f t="shared" si="11"/>
        <v>8.8456435205656186E-4</v>
      </c>
    </row>
    <row r="97" spans="2:14">
      <c r="B97" s="102">
        <v>45090</v>
      </c>
      <c r="C97" s="63">
        <v>46.12</v>
      </c>
      <c r="D97">
        <v>10.727</v>
      </c>
      <c r="E97">
        <v>231.4</v>
      </c>
      <c r="F97">
        <v>82824</v>
      </c>
      <c r="G97" s="63" t="s">
        <v>192</v>
      </c>
      <c r="H97" s="6">
        <f t="shared" si="18"/>
        <v>4.2994313414747829</v>
      </c>
      <c r="I97" s="106">
        <f>E98/D97</f>
        <v>22.802274634100865</v>
      </c>
      <c r="J97" s="106">
        <f>E98/C97</f>
        <v>5.3035559410234177</v>
      </c>
      <c r="K97" s="63">
        <f>C97/E98</f>
        <v>0.18855273916598528</v>
      </c>
      <c r="M97">
        <f t="shared" si="10"/>
        <v>232</v>
      </c>
      <c r="N97" s="118">
        <f t="shared" si="11"/>
        <v>2.5895554596460698E-3</v>
      </c>
    </row>
    <row r="98" spans="2:14">
      <c r="B98" s="102">
        <v>45096</v>
      </c>
      <c r="C98" s="63">
        <v>45.11</v>
      </c>
      <c r="D98">
        <v>10.743</v>
      </c>
      <c r="E98">
        <v>244.6</v>
      </c>
      <c r="F98">
        <v>83068</v>
      </c>
      <c r="G98" s="63" t="s">
        <v>192</v>
      </c>
      <c r="H98" s="6">
        <f t="shared" si="18"/>
        <v>4.1990133109932044</v>
      </c>
      <c r="I98" s="106">
        <f>E100/D98</f>
        <v>20.897328492972168</v>
      </c>
      <c r="J98" s="106">
        <f>E100/C98</f>
        <v>4.9767235646198182</v>
      </c>
      <c r="K98" s="63">
        <f>C98/E100</f>
        <v>0.20093541202672605</v>
      </c>
      <c r="M98">
        <f t="shared" si="10"/>
        <v>244</v>
      </c>
      <c r="N98" s="118">
        <f t="shared" si="11"/>
        <v>2.455996725337676E-3</v>
      </c>
    </row>
    <row r="99" spans="2:14">
      <c r="B99" s="102">
        <v>45100</v>
      </c>
      <c r="C99" s="63">
        <v>42.16</v>
      </c>
      <c r="E99">
        <v>217.1</v>
      </c>
      <c r="F99">
        <v>83285</v>
      </c>
      <c r="G99" s="63" t="s">
        <v>192</v>
      </c>
      <c r="M99">
        <f t="shared" si="10"/>
        <v>217</v>
      </c>
      <c r="N99" s="118">
        <f t="shared" si="11"/>
        <v>4.6072333563692381E-4</v>
      </c>
    </row>
    <row r="100" spans="2:14">
      <c r="B100" s="102">
        <v>45104</v>
      </c>
      <c r="C100" s="63">
        <v>41.19</v>
      </c>
      <c r="D100">
        <v>9.5820000000000007</v>
      </c>
      <c r="E100">
        <v>224.5</v>
      </c>
      <c r="F100">
        <v>83510</v>
      </c>
      <c r="G100" s="63" t="s">
        <v>192</v>
      </c>
      <c r="H100" s="6">
        <f t="shared" ref="H100:H142" si="19">C100/D100</f>
        <v>4.2986850344395737</v>
      </c>
      <c r="I100" s="106">
        <f t="shared" ref="I100:I142" si="20">E101/D100</f>
        <v>21.488207054894595</v>
      </c>
      <c r="J100" s="106">
        <f t="shared" ref="J100:J142" si="21">E101/C100</f>
        <v>4.9987861131342566</v>
      </c>
      <c r="K100" s="63">
        <f t="shared" ref="K100:K142" si="22">C100/E101</f>
        <v>0.20004856726566292</v>
      </c>
      <c r="M100">
        <f t="shared" si="10"/>
        <v>225</v>
      </c>
      <c r="N100" s="118">
        <f t="shared" si="11"/>
        <v>2.2246941045606229E-3</v>
      </c>
    </row>
    <row r="101" spans="2:14">
      <c r="B101" s="102">
        <v>45108</v>
      </c>
      <c r="C101" s="63">
        <v>42.62</v>
      </c>
      <c r="D101">
        <v>9.9149999999999991</v>
      </c>
      <c r="E101">
        <v>205.9</v>
      </c>
      <c r="F101">
        <v>83716</v>
      </c>
      <c r="G101" s="63" t="s">
        <v>192</v>
      </c>
      <c r="H101" s="6">
        <f t="shared" si="19"/>
        <v>4.298537569339385</v>
      </c>
      <c r="I101" s="106">
        <f t="shared" si="20"/>
        <v>27.866868381240547</v>
      </c>
      <c r="J101" s="106">
        <f t="shared" si="21"/>
        <v>6.4828718911309249</v>
      </c>
      <c r="K101" s="63">
        <f t="shared" si="22"/>
        <v>0.15425262395946435</v>
      </c>
      <c r="M101">
        <f t="shared" si="10"/>
        <v>206</v>
      </c>
      <c r="N101" s="118">
        <f t="shared" si="11"/>
        <v>4.8555474629761747E-4</v>
      </c>
    </row>
    <row r="102" spans="2:14">
      <c r="B102" s="102">
        <v>45110</v>
      </c>
      <c r="C102" s="63">
        <v>35</v>
      </c>
      <c r="D102">
        <v>7.9560000000000004</v>
      </c>
      <c r="E102">
        <v>276.3</v>
      </c>
      <c r="F102">
        <v>83992</v>
      </c>
      <c r="G102" s="63" t="s">
        <v>192</v>
      </c>
      <c r="H102" s="6">
        <f t="shared" si="19"/>
        <v>4.3991955756661634</v>
      </c>
      <c r="I102" s="106">
        <f t="shared" si="20"/>
        <v>17.634489693313224</v>
      </c>
      <c r="J102" s="106">
        <f t="shared" si="21"/>
        <v>4.0085714285714289</v>
      </c>
      <c r="K102" s="63">
        <f t="shared" si="22"/>
        <v>0.24946543121881681</v>
      </c>
      <c r="M102">
        <f t="shared" si="10"/>
        <v>276</v>
      </c>
      <c r="N102" s="118">
        <f t="shared" si="11"/>
        <v>1.0863661053775535E-3</v>
      </c>
    </row>
    <row r="103" spans="2:14">
      <c r="B103" s="102">
        <v>45110</v>
      </c>
      <c r="C103" s="63">
        <v>27.22</v>
      </c>
      <c r="D103">
        <v>7.5620000000000003</v>
      </c>
      <c r="E103">
        <v>140.30000000000001</v>
      </c>
      <c r="G103" s="63" t="s">
        <v>192</v>
      </c>
      <c r="H103" s="6">
        <f t="shared" si="19"/>
        <v>3.599576831526051</v>
      </c>
      <c r="I103" s="106">
        <f t="shared" si="20"/>
        <v>37.397513885215552</v>
      </c>
      <c r="J103" s="106">
        <f t="shared" si="21"/>
        <v>10.389419544452609</v>
      </c>
      <c r="K103" s="63">
        <f t="shared" si="22"/>
        <v>9.625176803394625E-2</v>
      </c>
      <c r="N103" s="118"/>
    </row>
    <row r="104" spans="2:14">
      <c r="B104" s="102">
        <v>45114</v>
      </c>
      <c r="C104" s="63">
        <v>44.03</v>
      </c>
      <c r="D104">
        <v>10.243</v>
      </c>
      <c r="E104">
        <v>282.8</v>
      </c>
      <c r="F104">
        <v>84415</v>
      </c>
      <c r="G104" s="63" t="s">
        <v>192</v>
      </c>
      <c r="H104" s="6">
        <f t="shared" si="19"/>
        <v>4.2985453480425653</v>
      </c>
      <c r="I104" s="106">
        <f t="shared" si="20"/>
        <v>22.425070780044909</v>
      </c>
      <c r="J104" s="106">
        <f t="shared" si="21"/>
        <v>5.2168975698387463</v>
      </c>
      <c r="K104" s="63">
        <f t="shared" si="22"/>
        <v>0.1916848062690466</v>
      </c>
      <c r="N104" s="118"/>
    </row>
    <row r="105" spans="2:14">
      <c r="B105" s="102">
        <v>45120</v>
      </c>
      <c r="C105" s="63">
        <v>44.16</v>
      </c>
      <c r="D105">
        <v>10.516999999999999</v>
      </c>
      <c r="E105">
        <v>229.7</v>
      </c>
      <c r="F105">
        <v>84645</v>
      </c>
      <c r="G105" s="63" t="s">
        <v>192</v>
      </c>
      <c r="H105" s="6">
        <f t="shared" si="19"/>
        <v>4.198916040696016</v>
      </c>
      <c r="I105" s="106">
        <f t="shared" si="20"/>
        <v>19.530284301606923</v>
      </c>
      <c r="J105" s="106">
        <f t="shared" si="21"/>
        <v>4.6512681159420293</v>
      </c>
      <c r="K105" s="63">
        <f t="shared" si="22"/>
        <v>0.21499513145082763</v>
      </c>
      <c r="M105">
        <f t="shared" ref="M105:M142" si="23">F105-F104</f>
        <v>230</v>
      </c>
      <c r="N105" s="118">
        <f t="shared" ref="N105:N142" si="24">ABS((E105-M105)/AVERAGE(E105,M105))</f>
        <v>1.3051990428540848E-3</v>
      </c>
    </row>
    <row r="106" spans="2:14">
      <c r="B106" s="102">
        <v>45124</v>
      </c>
      <c r="C106" s="63">
        <v>41.05</v>
      </c>
      <c r="D106">
        <v>9.7750000000000004</v>
      </c>
      <c r="E106">
        <v>205.4</v>
      </c>
      <c r="F106">
        <v>84851</v>
      </c>
      <c r="G106" s="63" t="s">
        <v>192</v>
      </c>
      <c r="H106" s="6">
        <f t="shared" si="19"/>
        <v>4.1994884910485926</v>
      </c>
      <c r="I106" s="106">
        <f t="shared" si="20"/>
        <v>15.744245524296675</v>
      </c>
      <c r="J106" s="106">
        <f t="shared" si="21"/>
        <v>3.7490864799025583</v>
      </c>
      <c r="K106" s="63">
        <f t="shared" si="22"/>
        <v>0.26673164392462634</v>
      </c>
      <c r="M106">
        <f t="shared" si="23"/>
        <v>206</v>
      </c>
      <c r="N106" s="118">
        <f t="shared" si="24"/>
        <v>2.9168692270296272E-3</v>
      </c>
    </row>
    <row r="107" spans="2:14">
      <c r="B107" s="102">
        <v>45128</v>
      </c>
      <c r="C107" s="63">
        <v>47.63</v>
      </c>
      <c r="D107">
        <v>10.827999999999999</v>
      </c>
      <c r="E107">
        <v>153.9</v>
      </c>
      <c r="F107">
        <v>85005</v>
      </c>
      <c r="G107" s="63" t="s">
        <v>192</v>
      </c>
      <c r="H107" s="6">
        <f t="shared" si="19"/>
        <v>4.3987809383080902</v>
      </c>
      <c r="I107" s="106">
        <f t="shared" si="20"/>
        <v>22.6819357222017</v>
      </c>
      <c r="J107" s="106">
        <f t="shared" si="21"/>
        <v>5.1564140247743016</v>
      </c>
      <c r="K107" s="63">
        <f t="shared" si="22"/>
        <v>0.19393322475570035</v>
      </c>
      <c r="M107">
        <f t="shared" si="23"/>
        <v>154</v>
      </c>
      <c r="N107" s="118">
        <f t="shared" si="24"/>
        <v>6.4956154595644249E-4</v>
      </c>
    </row>
    <row r="108" spans="2:14">
      <c r="B108" s="102">
        <v>45132</v>
      </c>
      <c r="C108" s="63">
        <v>48.58</v>
      </c>
      <c r="D108">
        <v>10.798</v>
      </c>
      <c r="E108">
        <v>245.6</v>
      </c>
      <c r="F108">
        <v>85250</v>
      </c>
      <c r="G108" s="63" t="s">
        <v>192</v>
      </c>
      <c r="H108" s="6">
        <f t="shared" si="19"/>
        <v>4.4989812928320054</v>
      </c>
      <c r="I108" s="106">
        <f t="shared" si="20"/>
        <v>22.041118725689941</v>
      </c>
      <c r="J108" s="106">
        <f t="shared" si="21"/>
        <v>4.8991354466858787</v>
      </c>
      <c r="K108" s="63">
        <f t="shared" si="22"/>
        <v>0.20411764705882351</v>
      </c>
      <c r="M108">
        <f t="shared" si="23"/>
        <v>245</v>
      </c>
      <c r="N108" s="118">
        <f t="shared" si="24"/>
        <v>2.4459845087647547E-3</v>
      </c>
    </row>
    <row r="109" spans="2:14">
      <c r="B109" s="102">
        <v>45137</v>
      </c>
      <c r="C109" s="63">
        <v>50.18</v>
      </c>
      <c r="D109">
        <v>10.912000000000001</v>
      </c>
      <c r="E109">
        <v>238</v>
      </c>
      <c r="F109">
        <v>85488</v>
      </c>
      <c r="G109" s="63" t="s">
        <v>192</v>
      </c>
      <c r="H109" s="6">
        <f t="shared" si="19"/>
        <v>4.5986070381231672</v>
      </c>
      <c r="I109" s="106">
        <f t="shared" si="20"/>
        <v>23.964442815249264</v>
      </c>
      <c r="J109" s="106">
        <f t="shared" si="21"/>
        <v>5.2112395376644081</v>
      </c>
      <c r="K109" s="63">
        <f t="shared" si="22"/>
        <v>0.19189292543021033</v>
      </c>
      <c r="M109">
        <f t="shared" si="23"/>
        <v>238</v>
      </c>
      <c r="N109" s="118">
        <f t="shared" si="24"/>
        <v>0</v>
      </c>
    </row>
    <row r="110" spans="2:14">
      <c r="B110" s="102">
        <v>45141</v>
      </c>
      <c r="C110" s="63">
        <v>45.85</v>
      </c>
      <c r="D110">
        <v>10.423</v>
      </c>
      <c r="E110">
        <v>261.5</v>
      </c>
      <c r="F110">
        <v>85750</v>
      </c>
      <c r="G110" s="63" t="s">
        <v>192</v>
      </c>
      <c r="H110" s="6">
        <f t="shared" si="19"/>
        <v>4.3989254533243791</v>
      </c>
      <c r="I110" s="106">
        <f t="shared" si="20"/>
        <v>21.289456010745468</v>
      </c>
      <c r="J110" s="106">
        <f t="shared" si="21"/>
        <v>4.8396946564885495</v>
      </c>
      <c r="K110" s="63">
        <f t="shared" si="22"/>
        <v>0.20662460567823343</v>
      </c>
      <c r="M110">
        <f t="shared" si="23"/>
        <v>262</v>
      </c>
      <c r="N110" s="118">
        <f t="shared" si="24"/>
        <v>1.9102196752626551E-3</v>
      </c>
    </row>
    <row r="111" spans="2:14">
      <c r="B111" s="102">
        <v>45145</v>
      </c>
      <c r="C111" s="63">
        <v>47.19</v>
      </c>
      <c r="D111">
        <v>10.260999999999999</v>
      </c>
      <c r="E111">
        <v>221.9</v>
      </c>
      <c r="F111">
        <v>85972</v>
      </c>
      <c r="G111" s="63" t="s">
        <v>192</v>
      </c>
      <c r="H111" s="6">
        <f t="shared" si="19"/>
        <v>4.5989669622843783</v>
      </c>
      <c r="I111" s="106">
        <f t="shared" si="20"/>
        <v>21.820485332813568</v>
      </c>
      <c r="J111" s="106">
        <f t="shared" si="21"/>
        <v>4.744649290103836</v>
      </c>
      <c r="K111" s="63">
        <f t="shared" si="22"/>
        <v>0.21076373380973648</v>
      </c>
      <c r="M111">
        <f t="shared" si="23"/>
        <v>222</v>
      </c>
      <c r="N111" s="118">
        <f t="shared" si="24"/>
        <v>4.5055192610945853E-4</v>
      </c>
    </row>
    <row r="112" spans="2:14">
      <c r="B112" s="102">
        <v>45149</v>
      </c>
      <c r="C112" s="63">
        <v>51.37</v>
      </c>
      <c r="D112">
        <v>10.933</v>
      </c>
      <c r="E112">
        <v>223.9</v>
      </c>
      <c r="F112">
        <v>86196</v>
      </c>
      <c r="G112" s="63" t="s">
        <v>192</v>
      </c>
      <c r="H112" s="6">
        <f t="shared" si="19"/>
        <v>4.6986188603311074</v>
      </c>
      <c r="I112" s="106">
        <f t="shared" si="20"/>
        <v>19.592060733558949</v>
      </c>
      <c r="J112" s="106">
        <f t="shared" si="21"/>
        <v>4.1697488806696512</v>
      </c>
      <c r="K112" s="63">
        <f t="shared" si="22"/>
        <v>0.23982259570494865</v>
      </c>
      <c r="M112">
        <f t="shared" si="23"/>
        <v>224</v>
      </c>
      <c r="N112" s="118">
        <f t="shared" si="24"/>
        <v>4.4652824291133879E-4</v>
      </c>
    </row>
    <row r="113" spans="2:23">
      <c r="B113" s="102">
        <v>45151</v>
      </c>
      <c r="C113" s="63">
        <v>48.53</v>
      </c>
      <c r="D113">
        <v>10.786</v>
      </c>
      <c r="E113">
        <v>214.2</v>
      </c>
      <c r="F113">
        <v>86410</v>
      </c>
      <c r="G113" s="63" t="s">
        <v>192</v>
      </c>
      <c r="H113" s="6">
        <f t="shared" si="19"/>
        <v>4.4993510105692565</v>
      </c>
      <c r="I113" s="106">
        <f t="shared" si="20"/>
        <v>8.5944743185610974</v>
      </c>
      <c r="J113" s="106">
        <f t="shared" si="21"/>
        <v>1.9101586647434576</v>
      </c>
      <c r="K113" s="63">
        <f t="shared" si="22"/>
        <v>0.52351672060409926</v>
      </c>
      <c r="M113">
        <f t="shared" si="23"/>
        <v>214</v>
      </c>
      <c r="N113" s="118">
        <f t="shared" si="24"/>
        <v>9.3414292386729864E-4</v>
      </c>
    </row>
    <row r="114" spans="2:23">
      <c r="B114" s="102">
        <v>45153</v>
      </c>
      <c r="C114" s="63">
        <v>15.15</v>
      </c>
      <c r="D114">
        <v>3.2250000000000001</v>
      </c>
      <c r="E114">
        <v>92.7</v>
      </c>
      <c r="F114">
        <v>86503</v>
      </c>
      <c r="G114" s="63" t="s">
        <v>192</v>
      </c>
      <c r="H114" s="6">
        <f t="shared" si="19"/>
        <v>4.6976744186046515</v>
      </c>
      <c r="I114" s="106">
        <f t="shared" si="20"/>
        <v>73.581395348837205</v>
      </c>
      <c r="J114" s="106">
        <f t="shared" si="21"/>
        <v>15.663366336633663</v>
      </c>
      <c r="K114" s="63">
        <f t="shared" si="22"/>
        <v>6.3843236409608095E-2</v>
      </c>
      <c r="M114">
        <f t="shared" si="23"/>
        <v>93</v>
      </c>
      <c r="N114" s="118">
        <f t="shared" si="24"/>
        <v>3.2310177705977077E-3</v>
      </c>
    </row>
    <row r="115" spans="2:23">
      <c r="B115" s="102">
        <v>45158</v>
      </c>
      <c r="C115" s="63">
        <v>51.15</v>
      </c>
      <c r="D115">
        <v>10.878</v>
      </c>
      <c r="E115">
        <v>237.3</v>
      </c>
      <c r="F115">
        <v>86740</v>
      </c>
      <c r="G115" s="63" t="s">
        <v>192</v>
      </c>
      <c r="H115" s="6">
        <f t="shared" si="19"/>
        <v>4.7021511307225587</v>
      </c>
      <c r="I115" s="106">
        <f t="shared" si="20"/>
        <v>20.490899062327635</v>
      </c>
      <c r="J115" s="106">
        <f t="shared" si="21"/>
        <v>4.357771260997068</v>
      </c>
      <c r="K115" s="63">
        <f t="shared" si="22"/>
        <v>0.2294751009421265</v>
      </c>
      <c r="M115">
        <f t="shared" si="23"/>
        <v>237</v>
      </c>
      <c r="N115" s="118">
        <f t="shared" si="24"/>
        <v>1.265022137887461E-3</v>
      </c>
    </row>
    <row r="116" spans="2:23">
      <c r="B116" s="102">
        <v>45163</v>
      </c>
      <c r="C116" s="63">
        <v>47.91</v>
      </c>
      <c r="D116">
        <v>10.417</v>
      </c>
      <c r="E116">
        <f>13.9+(209)</f>
        <v>222.9</v>
      </c>
      <c r="F116">
        <v>86961</v>
      </c>
      <c r="G116" s="63" t="s">
        <v>192</v>
      </c>
      <c r="H116" s="6">
        <f t="shared" si="19"/>
        <v>4.5992128251895936</v>
      </c>
      <c r="I116" s="106">
        <f t="shared" si="20"/>
        <v>20.668138619564175</v>
      </c>
      <c r="J116" s="106">
        <f t="shared" si="21"/>
        <v>4.4938426215821341</v>
      </c>
      <c r="K116" s="63">
        <f t="shared" si="22"/>
        <v>0.22252670692057591</v>
      </c>
      <c r="M116">
        <f t="shared" si="23"/>
        <v>221</v>
      </c>
      <c r="N116" s="118">
        <f t="shared" si="24"/>
        <v>8.5604865960802242E-3</v>
      </c>
    </row>
    <row r="117" spans="2:23">
      <c r="B117" s="102">
        <v>45170</v>
      </c>
      <c r="C117" s="63">
        <v>50.25</v>
      </c>
      <c r="D117">
        <v>10.693</v>
      </c>
      <c r="E117">
        <v>215.3</v>
      </c>
      <c r="F117">
        <v>87177</v>
      </c>
      <c r="G117" s="63" t="s">
        <v>192</v>
      </c>
      <c r="H117" s="6">
        <f t="shared" si="19"/>
        <v>4.6993360142149072</v>
      </c>
      <c r="I117" s="106">
        <f t="shared" si="20"/>
        <v>20.798653324604881</v>
      </c>
      <c r="J117" s="106">
        <f t="shared" si="21"/>
        <v>4.4258706467661693</v>
      </c>
      <c r="K117" s="63">
        <f t="shared" si="22"/>
        <v>0.22594424460431653</v>
      </c>
      <c r="M117">
        <f t="shared" si="23"/>
        <v>216</v>
      </c>
      <c r="N117" s="118">
        <f t="shared" si="24"/>
        <v>3.2460004637142994E-3</v>
      </c>
    </row>
    <row r="118" spans="2:23">
      <c r="B118" s="102">
        <v>45175</v>
      </c>
      <c r="C118" s="63">
        <v>48.72</v>
      </c>
      <c r="D118">
        <v>10.368</v>
      </c>
      <c r="E118">
        <v>222.4</v>
      </c>
      <c r="F118">
        <v>87399</v>
      </c>
      <c r="G118" s="63" t="s">
        <v>192</v>
      </c>
      <c r="H118" s="6">
        <f t="shared" si="19"/>
        <v>4.6990740740740735</v>
      </c>
      <c r="I118" s="106">
        <f t="shared" si="20"/>
        <v>20.611496913580247</v>
      </c>
      <c r="J118" s="106">
        <f t="shared" si="21"/>
        <v>4.3862889983579638</v>
      </c>
      <c r="K118" s="63">
        <f t="shared" si="22"/>
        <v>0.22798315395414132</v>
      </c>
      <c r="M118">
        <f t="shared" si="23"/>
        <v>222</v>
      </c>
      <c r="N118" s="118">
        <f t="shared" si="24"/>
        <v>1.8001800180018259E-3</v>
      </c>
    </row>
    <row r="119" spans="2:23">
      <c r="B119" s="102">
        <v>45180</v>
      </c>
      <c r="C119" s="63">
        <v>48.42</v>
      </c>
      <c r="D119">
        <v>9.8829999999999991</v>
      </c>
      <c r="E119">
        <v>213.7</v>
      </c>
      <c r="F119">
        <v>87613</v>
      </c>
      <c r="G119" s="63" t="s">
        <v>192</v>
      </c>
      <c r="H119" s="6">
        <f t="shared" si="19"/>
        <v>4.8993220681979164</v>
      </c>
      <c r="I119" s="106">
        <f t="shared" si="20"/>
        <v>24.840635434584641</v>
      </c>
      <c r="J119" s="106">
        <f t="shared" si="21"/>
        <v>5.0702189178025607</v>
      </c>
      <c r="K119" s="63">
        <f t="shared" si="22"/>
        <v>0.19723014256619145</v>
      </c>
      <c r="M119">
        <f t="shared" si="23"/>
        <v>214</v>
      </c>
      <c r="N119" s="118">
        <f t="shared" si="24"/>
        <v>1.4028524666823072E-3</v>
      </c>
    </row>
    <row r="120" spans="2:23">
      <c r="B120" s="102">
        <v>45186</v>
      </c>
      <c r="C120" s="63">
        <v>52.37</v>
      </c>
      <c r="D120">
        <v>10.69</v>
      </c>
      <c r="E120">
        <v>245.5</v>
      </c>
      <c r="F120">
        <v>87858</v>
      </c>
      <c r="G120" s="63" t="s">
        <v>192</v>
      </c>
      <c r="H120" s="6">
        <f t="shared" si="19"/>
        <v>4.8989710009354539</v>
      </c>
      <c r="I120" s="106">
        <f t="shared" si="20"/>
        <v>24.424695977549113</v>
      </c>
      <c r="J120" s="106">
        <f t="shared" si="21"/>
        <v>4.9856788237540579</v>
      </c>
      <c r="K120" s="63">
        <f t="shared" si="22"/>
        <v>0.20057449253159707</v>
      </c>
      <c r="M120">
        <f t="shared" si="23"/>
        <v>245</v>
      </c>
      <c r="N120" s="118">
        <f t="shared" si="24"/>
        <v>2.0387359836901123E-3</v>
      </c>
    </row>
    <row r="121" spans="2:23">
      <c r="B121" s="102">
        <v>45193</v>
      </c>
      <c r="C121" s="63">
        <v>51.51</v>
      </c>
      <c r="D121">
        <v>10.733000000000001</v>
      </c>
      <c r="E121">
        <v>261.10000000000002</v>
      </c>
      <c r="F121">
        <v>88119</v>
      </c>
      <c r="G121" s="63" t="s">
        <v>192</v>
      </c>
      <c r="H121" s="6">
        <f t="shared" si="19"/>
        <v>4.7992173669989748</v>
      </c>
      <c r="I121" s="106">
        <f t="shared" si="20"/>
        <v>23.087673530233857</v>
      </c>
      <c r="J121" s="106">
        <f t="shared" si="21"/>
        <v>4.8107163657542227</v>
      </c>
      <c r="K121" s="63">
        <f t="shared" si="22"/>
        <v>0.20786924939467311</v>
      </c>
      <c r="M121">
        <f t="shared" si="23"/>
        <v>261</v>
      </c>
      <c r="N121" s="118">
        <f t="shared" si="24"/>
        <v>3.8306837770550752E-4</v>
      </c>
    </row>
    <row r="122" spans="2:23">
      <c r="B122" s="102">
        <v>45200</v>
      </c>
      <c r="C122" s="63">
        <v>44.65</v>
      </c>
      <c r="D122">
        <v>9.7089999999999996</v>
      </c>
      <c r="E122">
        <v>247.8</v>
      </c>
      <c r="F122">
        <v>88367</v>
      </c>
      <c r="G122" s="63" t="s">
        <v>192</v>
      </c>
      <c r="H122" s="6">
        <f t="shared" si="19"/>
        <v>4.5988258317025439</v>
      </c>
      <c r="I122" s="106">
        <f t="shared" si="20"/>
        <v>27.191265835822435</v>
      </c>
      <c r="J122" s="106">
        <f t="shared" si="21"/>
        <v>5.9126539753639422</v>
      </c>
      <c r="K122" s="63">
        <f t="shared" si="22"/>
        <v>0.16912878787878788</v>
      </c>
      <c r="M122">
        <f t="shared" si="23"/>
        <v>248</v>
      </c>
      <c r="N122" s="118">
        <f t="shared" si="24"/>
        <v>8.0677692617986537E-4</v>
      </c>
    </row>
    <row r="123" spans="2:23">
      <c r="B123" s="102">
        <v>45208</v>
      </c>
      <c r="C123" s="63">
        <v>45.8</v>
      </c>
      <c r="D123">
        <v>10.506</v>
      </c>
      <c r="E123">
        <v>264</v>
      </c>
      <c r="F123">
        <v>88631</v>
      </c>
      <c r="G123" s="63" t="s">
        <v>192</v>
      </c>
      <c r="H123" s="6">
        <f t="shared" si="19"/>
        <v>4.3594136683799727</v>
      </c>
      <c r="I123" s="106">
        <f t="shared" si="20"/>
        <v>26.204073862554733</v>
      </c>
      <c r="J123" s="106">
        <f t="shared" si="21"/>
        <v>6.0109170305676862</v>
      </c>
      <c r="K123" s="63">
        <f t="shared" si="22"/>
        <v>0.16636396658191063</v>
      </c>
      <c r="M123">
        <f t="shared" si="23"/>
        <v>264</v>
      </c>
      <c r="N123" s="118">
        <f t="shared" si="24"/>
        <v>0</v>
      </c>
    </row>
    <row r="124" spans="2:23">
      <c r="B124" s="102">
        <v>45214</v>
      </c>
      <c r="C124" s="63">
        <v>45.39</v>
      </c>
      <c r="D124">
        <v>10.558</v>
      </c>
      <c r="E124">
        <v>275.3</v>
      </c>
      <c r="F124">
        <v>88907</v>
      </c>
      <c r="G124" s="63" t="s">
        <v>192</v>
      </c>
      <c r="H124" s="6">
        <f t="shared" si="19"/>
        <v>4.2991096798636104</v>
      </c>
      <c r="I124" s="106">
        <f t="shared" si="20"/>
        <v>24.947906800530401</v>
      </c>
      <c r="J124" s="106">
        <f t="shared" si="21"/>
        <v>5.8030403172504954</v>
      </c>
      <c r="K124" s="63">
        <f t="shared" si="22"/>
        <v>0.1723234624145786</v>
      </c>
      <c r="M124">
        <f t="shared" si="23"/>
        <v>276</v>
      </c>
      <c r="N124" s="118">
        <f t="shared" si="24"/>
        <v>2.539452203881693E-3</v>
      </c>
    </row>
    <row r="125" spans="2:23">
      <c r="B125" s="102">
        <v>45241</v>
      </c>
      <c r="C125" s="63">
        <v>44.55</v>
      </c>
      <c r="D125">
        <v>10.869</v>
      </c>
      <c r="E125">
        <v>263.39999999999998</v>
      </c>
      <c r="F125">
        <v>89170</v>
      </c>
      <c r="G125" s="63" t="s">
        <v>192</v>
      </c>
      <c r="H125" s="6">
        <f t="shared" si="19"/>
        <v>4.0988131382831909</v>
      </c>
      <c r="I125" s="106">
        <f t="shared" si="20"/>
        <v>25.650933848560125</v>
      </c>
      <c r="J125" s="106">
        <f t="shared" si="21"/>
        <v>6.2581369248035923</v>
      </c>
      <c r="K125" s="63">
        <f t="shared" si="22"/>
        <v>0.15979196556671446</v>
      </c>
      <c r="M125">
        <f t="shared" si="23"/>
        <v>263</v>
      </c>
      <c r="N125" s="118">
        <f t="shared" si="24"/>
        <v>1.5197568389056888E-3</v>
      </c>
      <c r="Q125" t="s">
        <v>627</v>
      </c>
      <c r="R125" s="102">
        <v>45223</v>
      </c>
      <c r="S125" s="63">
        <v>39.369999999999997</v>
      </c>
      <c r="T125" s="63" t="s">
        <v>368</v>
      </c>
      <c r="U125">
        <v>10.938000000000001</v>
      </c>
      <c r="W125" s="6">
        <f>S125/U125</f>
        <v>3.5993783141342104</v>
      </c>
    </row>
    <row r="126" spans="2:23">
      <c r="B126" s="102">
        <v>45247</v>
      </c>
      <c r="C126" s="63">
        <v>38.57</v>
      </c>
      <c r="D126">
        <v>9.8919999999999995</v>
      </c>
      <c r="E126">
        <v>278.8</v>
      </c>
      <c r="F126">
        <v>89449</v>
      </c>
      <c r="G126" s="63" t="s">
        <v>192</v>
      </c>
      <c r="H126" s="6">
        <f t="shared" si="19"/>
        <v>3.8991103922361505</v>
      </c>
      <c r="I126" s="106">
        <f t="shared" si="20"/>
        <v>27.951880307319048</v>
      </c>
      <c r="J126" s="106">
        <f t="shared" si="21"/>
        <v>7.1687840290381128</v>
      </c>
      <c r="K126" s="63">
        <f t="shared" si="22"/>
        <v>0.13949367088607595</v>
      </c>
      <c r="M126">
        <f t="shared" si="23"/>
        <v>279</v>
      </c>
      <c r="N126" s="118">
        <f t="shared" si="24"/>
        <v>7.1710290426672157E-4</v>
      </c>
      <c r="R126" s="102">
        <v>45229</v>
      </c>
      <c r="S126" s="122">
        <v>36.57</v>
      </c>
      <c r="T126" s="63" t="s">
        <v>368</v>
      </c>
      <c r="U126">
        <v>10.571</v>
      </c>
      <c r="W126" s="6">
        <f>S126/U126</f>
        <v>3.4594645728880904</v>
      </c>
    </row>
    <row r="127" spans="2:23">
      <c r="B127" s="102">
        <v>45254</v>
      </c>
      <c r="C127" s="63">
        <v>32.33</v>
      </c>
      <c r="D127" s="108">
        <v>10.5</v>
      </c>
      <c r="E127">
        <v>276.5</v>
      </c>
      <c r="F127">
        <v>89726</v>
      </c>
      <c r="G127" s="63" t="s">
        <v>368</v>
      </c>
      <c r="H127" s="6">
        <f t="shared" si="19"/>
        <v>3.079047619047619</v>
      </c>
      <c r="I127" s="106">
        <f t="shared" si="20"/>
        <v>24.62857142857143</v>
      </c>
      <c r="J127" s="106">
        <f t="shared" si="21"/>
        <v>7.9987627590473256</v>
      </c>
      <c r="K127" s="63">
        <f t="shared" si="22"/>
        <v>0.12501933488012373</v>
      </c>
      <c r="M127">
        <f t="shared" si="23"/>
        <v>277</v>
      </c>
      <c r="N127" s="118">
        <f t="shared" si="24"/>
        <v>1.8066847335140017E-3</v>
      </c>
      <c r="R127" s="102">
        <v>45236</v>
      </c>
      <c r="S127" s="63">
        <v>6.11</v>
      </c>
      <c r="T127" s="63" t="s">
        <v>192</v>
      </c>
      <c r="U127">
        <v>1.7989999999999999</v>
      </c>
      <c r="W127" s="6">
        <f>S127/U127</f>
        <v>3.3963312951639804</v>
      </c>
    </row>
    <row r="128" spans="2:23">
      <c r="B128" s="102">
        <v>45260</v>
      </c>
      <c r="C128" s="63">
        <v>38.01</v>
      </c>
      <c r="D128" s="108">
        <v>10.006</v>
      </c>
      <c r="E128">
        <v>258.60000000000002</v>
      </c>
      <c r="F128">
        <v>89984</v>
      </c>
      <c r="G128" s="63" t="s">
        <v>192</v>
      </c>
      <c r="H128" s="6">
        <f t="shared" si="19"/>
        <v>3.7987207675394759</v>
      </c>
      <c r="I128" s="106">
        <f t="shared" si="20"/>
        <v>26.314211473116131</v>
      </c>
      <c r="J128" s="106">
        <f t="shared" si="21"/>
        <v>6.9271244409365966</v>
      </c>
      <c r="K128" s="63">
        <f t="shared" si="22"/>
        <v>0.14436004557538928</v>
      </c>
      <c r="M128">
        <f t="shared" si="23"/>
        <v>258</v>
      </c>
      <c r="N128" s="118">
        <f t="shared" si="24"/>
        <v>2.3228803716609475E-3</v>
      </c>
      <c r="R128" s="102">
        <v>45237</v>
      </c>
      <c r="S128" s="63">
        <v>36.18</v>
      </c>
      <c r="T128" s="63" t="s">
        <v>368</v>
      </c>
      <c r="U128">
        <v>10.965999999999999</v>
      </c>
      <c r="W128" s="6">
        <f>S128/U128</f>
        <v>3.2992887105599125</v>
      </c>
    </row>
    <row r="129" spans="2:14">
      <c r="B129" s="102">
        <v>45266</v>
      </c>
      <c r="C129" s="63">
        <v>37.51</v>
      </c>
      <c r="D129" s="108">
        <v>10.141</v>
      </c>
      <c r="E129">
        <v>263.3</v>
      </c>
      <c r="F129">
        <v>90248</v>
      </c>
      <c r="G129" s="63" t="s">
        <v>192</v>
      </c>
      <c r="H129" s="6">
        <f t="shared" si="19"/>
        <v>3.6988462676264664</v>
      </c>
      <c r="I129" s="106">
        <f t="shared" si="20"/>
        <v>23.488807809880683</v>
      </c>
      <c r="J129" s="106">
        <f t="shared" si="21"/>
        <v>6.3503065849106903</v>
      </c>
      <c r="K129" s="63">
        <f t="shared" si="22"/>
        <v>0.15747271200671703</v>
      </c>
      <c r="M129">
        <f t="shared" si="23"/>
        <v>264</v>
      </c>
      <c r="N129" s="118">
        <f t="shared" si="24"/>
        <v>2.6550350843921439E-3</v>
      </c>
    </row>
    <row r="130" spans="2:14">
      <c r="B130" s="102">
        <v>45275</v>
      </c>
      <c r="C130" s="63">
        <v>35.700000000000003</v>
      </c>
      <c r="D130" s="108">
        <v>9.6509999999999998</v>
      </c>
      <c r="E130">
        <v>238.2</v>
      </c>
      <c r="F130">
        <v>90486</v>
      </c>
      <c r="G130" s="63" t="s">
        <v>192</v>
      </c>
      <c r="H130" s="6">
        <f t="shared" si="19"/>
        <v>3.6990985390115019</v>
      </c>
      <c r="I130" s="106">
        <f t="shared" si="20"/>
        <v>26.764065899906747</v>
      </c>
      <c r="J130" s="106">
        <f t="shared" si="21"/>
        <v>7.2352941176470589</v>
      </c>
      <c r="K130" s="63">
        <f t="shared" si="22"/>
        <v>0.13821138211382114</v>
      </c>
      <c r="M130">
        <f t="shared" si="23"/>
        <v>238</v>
      </c>
      <c r="N130" s="118">
        <f t="shared" si="24"/>
        <v>8.3998320033594552E-4</v>
      </c>
    </row>
    <row r="131" spans="2:14">
      <c r="B131" s="102">
        <v>45283</v>
      </c>
      <c r="C131" s="63">
        <v>37.549999999999997</v>
      </c>
      <c r="D131" s="108">
        <v>9.9359999999999999</v>
      </c>
      <c r="E131">
        <v>258.3</v>
      </c>
      <c r="F131">
        <v>90744</v>
      </c>
      <c r="G131" s="63" t="s">
        <v>192</v>
      </c>
      <c r="H131" s="6">
        <f t="shared" si="19"/>
        <v>3.7791867954911429</v>
      </c>
      <c r="I131" s="106">
        <f t="shared" si="20"/>
        <v>26.398953301127214</v>
      </c>
      <c r="J131" s="106">
        <f t="shared" si="21"/>
        <v>6.9853528628495347</v>
      </c>
      <c r="K131" s="63">
        <f t="shared" si="22"/>
        <v>0.14315669081204727</v>
      </c>
      <c r="M131">
        <f t="shared" si="23"/>
        <v>258</v>
      </c>
      <c r="N131" s="118">
        <f t="shared" si="24"/>
        <v>1.1621150493899338E-3</v>
      </c>
    </row>
    <row r="132" spans="2:14">
      <c r="B132" s="102">
        <v>45290</v>
      </c>
      <c r="C132" s="63">
        <v>35.85</v>
      </c>
      <c r="D132" s="108">
        <v>9.7970000000000006</v>
      </c>
      <c r="E132">
        <v>262.3</v>
      </c>
      <c r="F132">
        <v>91007</v>
      </c>
      <c r="G132" s="63" t="s">
        <v>192</v>
      </c>
      <c r="H132" s="6">
        <f t="shared" si="19"/>
        <v>3.6592834541186074</v>
      </c>
      <c r="I132" s="106">
        <f t="shared" si="20"/>
        <v>28.457691129937736</v>
      </c>
      <c r="J132" s="106">
        <f t="shared" si="21"/>
        <v>7.7768479776847981</v>
      </c>
      <c r="K132" s="63">
        <f t="shared" si="22"/>
        <v>0.1285868005738881</v>
      </c>
      <c r="M132">
        <f t="shared" si="23"/>
        <v>263</v>
      </c>
      <c r="N132" s="118">
        <f t="shared" si="24"/>
        <v>2.6651437273938271E-3</v>
      </c>
    </row>
    <row r="133" spans="2:14">
      <c r="B133" s="102">
        <v>45299</v>
      </c>
      <c r="C133" s="63">
        <v>38.08</v>
      </c>
      <c r="D133" s="108">
        <v>10.821999999999999</v>
      </c>
      <c r="E133">
        <v>278.8</v>
      </c>
      <c r="F133">
        <v>91285</v>
      </c>
      <c r="G133" s="63" t="s">
        <v>192</v>
      </c>
      <c r="H133" s="6">
        <f t="shared" si="19"/>
        <v>3.5187580853816303</v>
      </c>
      <c r="I133" s="106">
        <f t="shared" si="20"/>
        <v>25.771576418406948</v>
      </c>
      <c r="J133" s="106">
        <f t="shared" si="21"/>
        <v>7.324054621848739</v>
      </c>
      <c r="K133" s="63">
        <f t="shared" si="22"/>
        <v>0.13653639297239153</v>
      </c>
      <c r="M133">
        <f t="shared" si="23"/>
        <v>278</v>
      </c>
      <c r="N133" s="118">
        <f t="shared" si="24"/>
        <v>2.8735632183908458E-3</v>
      </c>
    </row>
    <row r="134" spans="2:14">
      <c r="B134" s="102">
        <v>45306</v>
      </c>
      <c r="C134" s="63">
        <v>38.06</v>
      </c>
      <c r="D134" s="108">
        <v>10.458</v>
      </c>
      <c r="E134">
        <v>278.89999999999998</v>
      </c>
      <c r="F134">
        <v>91564</v>
      </c>
      <c r="G134" s="63" t="s">
        <v>192</v>
      </c>
      <c r="H134" s="6">
        <f t="shared" si="19"/>
        <v>3.6393191814878563</v>
      </c>
      <c r="I134" s="106">
        <f t="shared" si="20"/>
        <v>22.174411933448077</v>
      </c>
      <c r="J134" s="106">
        <f t="shared" si="21"/>
        <v>6.0930110352075664</v>
      </c>
      <c r="K134" s="63">
        <f t="shared" si="22"/>
        <v>0.16412246658042259</v>
      </c>
      <c r="M134">
        <f t="shared" si="23"/>
        <v>279</v>
      </c>
      <c r="N134" s="118">
        <f t="shared" si="24"/>
        <v>3.5848718408325054E-4</v>
      </c>
    </row>
    <row r="135" spans="2:14">
      <c r="B135" s="102">
        <v>45314</v>
      </c>
      <c r="C135" s="63">
        <v>39.26</v>
      </c>
      <c r="D135" s="108">
        <v>10.335000000000001</v>
      </c>
      <c r="E135">
        <v>231.9</v>
      </c>
      <c r="F135">
        <v>91796</v>
      </c>
      <c r="G135" s="63" t="s">
        <v>192</v>
      </c>
      <c r="H135" s="6">
        <f t="shared" si="19"/>
        <v>3.7987421383647795</v>
      </c>
      <c r="I135" s="106">
        <f t="shared" si="20"/>
        <v>26.163522012578611</v>
      </c>
      <c r="J135" s="106">
        <f t="shared" si="21"/>
        <v>6.887417218543046</v>
      </c>
      <c r="K135" s="63">
        <f t="shared" si="22"/>
        <v>0.1451923076923077</v>
      </c>
      <c r="M135">
        <f t="shared" si="23"/>
        <v>232</v>
      </c>
      <c r="N135" s="118">
        <f t="shared" si="24"/>
        <v>4.3112739814612773E-4</v>
      </c>
    </row>
    <row r="136" spans="2:14">
      <c r="B136" s="102">
        <v>45323</v>
      </c>
      <c r="C136" s="63">
        <v>38.78</v>
      </c>
      <c r="D136" s="108">
        <v>10.260999999999999</v>
      </c>
      <c r="E136">
        <v>270.39999999999998</v>
      </c>
      <c r="F136">
        <v>92067</v>
      </c>
      <c r="G136" s="63" t="s">
        <v>192</v>
      </c>
      <c r="H136" s="6">
        <f t="shared" si="19"/>
        <v>3.7793587369652086</v>
      </c>
      <c r="I136" s="106">
        <f t="shared" si="20"/>
        <v>25.15349381151935</v>
      </c>
      <c r="J136" s="106">
        <f t="shared" si="21"/>
        <v>6.6554925219185153</v>
      </c>
      <c r="K136" s="63">
        <f t="shared" si="22"/>
        <v>0.15025184037194886</v>
      </c>
      <c r="M136">
        <f t="shared" si="23"/>
        <v>271</v>
      </c>
      <c r="N136" s="118">
        <f t="shared" si="24"/>
        <v>2.2164758034725627E-3</v>
      </c>
    </row>
    <row r="137" spans="2:14">
      <c r="B137" s="102">
        <v>45334</v>
      </c>
      <c r="C137" s="63">
        <v>41.83</v>
      </c>
      <c r="D137" s="108">
        <v>10.728</v>
      </c>
      <c r="E137">
        <v>258.10000000000002</v>
      </c>
      <c r="F137">
        <v>92325</v>
      </c>
      <c r="G137" s="63" t="s">
        <v>192</v>
      </c>
      <c r="H137" s="6">
        <f t="shared" si="19"/>
        <v>3.8991424310216254</v>
      </c>
      <c r="I137" s="106">
        <f t="shared" si="20"/>
        <v>23.648396718866518</v>
      </c>
      <c r="J137" s="106">
        <f t="shared" si="21"/>
        <v>6.0650251016017211</v>
      </c>
      <c r="K137" s="63">
        <f t="shared" si="22"/>
        <v>0.1648797792668506</v>
      </c>
      <c r="M137">
        <f t="shared" si="23"/>
        <v>258</v>
      </c>
      <c r="N137" s="118">
        <f t="shared" si="24"/>
        <v>3.8752179810123131E-4</v>
      </c>
    </row>
    <row r="138" spans="2:14">
      <c r="B138" s="102">
        <v>45342</v>
      </c>
      <c r="C138" s="63">
        <v>38.9</v>
      </c>
      <c r="D138" s="108">
        <v>9.7279999999999998</v>
      </c>
      <c r="E138">
        <v>253.7</v>
      </c>
      <c r="F138">
        <v>92579</v>
      </c>
      <c r="G138" s="63" t="s">
        <v>192</v>
      </c>
      <c r="H138" s="6">
        <f t="shared" si="19"/>
        <v>3.9987664473684208</v>
      </c>
      <c r="I138" s="106">
        <f t="shared" si="20"/>
        <v>28.947368421052634</v>
      </c>
      <c r="J138" s="106">
        <f t="shared" si="21"/>
        <v>7.2390745501285352</v>
      </c>
      <c r="K138" s="63">
        <f t="shared" si="22"/>
        <v>0.13813920454545453</v>
      </c>
      <c r="M138">
        <f t="shared" si="23"/>
        <v>254</v>
      </c>
      <c r="N138" s="118">
        <f t="shared" si="24"/>
        <v>1.1818002757534424E-3</v>
      </c>
    </row>
    <row r="139" spans="2:14">
      <c r="B139" s="102">
        <v>45352</v>
      </c>
      <c r="C139" s="63">
        <v>36.450000000000003</v>
      </c>
      <c r="D139" s="108">
        <v>10.786</v>
      </c>
      <c r="E139">
        <v>281.60000000000002</v>
      </c>
      <c r="F139">
        <v>92860</v>
      </c>
      <c r="G139" s="63" t="s">
        <v>368</v>
      </c>
      <c r="H139" s="6">
        <f t="shared" si="19"/>
        <v>3.3793806786575193</v>
      </c>
      <c r="I139" s="106">
        <f t="shared" si="20"/>
        <v>23.743741887632119</v>
      </c>
      <c r="J139" s="106">
        <f t="shared" si="21"/>
        <v>7.0260631001371747</v>
      </c>
      <c r="K139" s="63">
        <f t="shared" si="22"/>
        <v>0.14232721593127684</v>
      </c>
      <c r="M139">
        <f t="shared" si="23"/>
        <v>281</v>
      </c>
      <c r="N139" s="118">
        <f t="shared" si="24"/>
        <v>2.1329541414860389E-3</v>
      </c>
    </row>
    <row r="140" spans="2:14">
      <c r="B140" s="102">
        <v>45361</v>
      </c>
      <c r="C140" s="63">
        <v>41.17</v>
      </c>
      <c r="D140" s="108">
        <v>9.8040000000000003</v>
      </c>
      <c r="E140">
        <v>256.10000000000002</v>
      </c>
      <c r="F140">
        <v>93116</v>
      </c>
      <c r="G140" s="63" t="s">
        <v>192</v>
      </c>
      <c r="H140" s="6">
        <f t="shared" si="19"/>
        <v>4.1993064055487554</v>
      </c>
      <c r="I140" s="106">
        <f t="shared" si="20"/>
        <v>30.079559363525089</v>
      </c>
      <c r="J140" s="106">
        <f t="shared" si="21"/>
        <v>7.1629827544328384</v>
      </c>
      <c r="K140" s="63">
        <f t="shared" si="22"/>
        <v>0.13960664632078673</v>
      </c>
      <c r="M140">
        <f t="shared" si="23"/>
        <v>256</v>
      </c>
      <c r="N140" s="118">
        <f t="shared" si="24"/>
        <v>3.9054872095302764E-4</v>
      </c>
    </row>
    <row r="141" spans="2:14">
      <c r="B141" s="102">
        <v>45372</v>
      </c>
      <c r="C141" s="63">
        <v>47.72</v>
      </c>
      <c r="D141" s="108">
        <v>10.847</v>
      </c>
      <c r="E141">
        <v>294.89999999999998</v>
      </c>
      <c r="F141">
        <v>93411</v>
      </c>
      <c r="G141" s="63" t="s">
        <v>192</v>
      </c>
      <c r="H141" s="6">
        <f t="shared" si="19"/>
        <v>4.3993730985525952</v>
      </c>
      <c r="I141" s="106">
        <f t="shared" si="20"/>
        <v>25.454042592421871</v>
      </c>
      <c r="J141" s="106">
        <f t="shared" si="21"/>
        <v>5.785834031852473</v>
      </c>
      <c r="K141" s="63">
        <f t="shared" si="22"/>
        <v>0.1728359290112278</v>
      </c>
      <c r="M141">
        <f t="shared" si="23"/>
        <v>295</v>
      </c>
      <c r="N141" s="118">
        <f t="shared" si="24"/>
        <v>3.3904051534166044E-4</v>
      </c>
    </row>
    <row r="142" spans="2:14">
      <c r="B142" s="102">
        <v>45380</v>
      </c>
      <c r="C142" s="63">
        <v>20.02</v>
      </c>
      <c r="D142" s="108">
        <v>4.7679999999999998</v>
      </c>
      <c r="E142">
        <v>276.10000000000002</v>
      </c>
      <c r="F142">
        <v>93688</v>
      </c>
      <c r="G142" s="63" t="s">
        <v>192</v>
      </c>
      <c r="H142" s="6">
        <f t="shared" si="19"/>
        <v>4.1988255033557049</v>
      </c>
      <c r="I142" s="106">
        <f t="shared" si="20"/>
        <v>31.96308724832215</v>
      </c>
      <c r="J142" s="106">
        <f t="shared" si="21"/>
        <v>7.6123876123876126</v>
      </c>
      <c r="K142" s="63">
        <f t="shared" si="22"/>
        <v>0.13136482939632546</v>
      </c>
      <c r="M142">
        <f t="shared" si="23"/>
        <v>277</v>
      </c>
      <c r="N142" s="118">
        <f t="shared" si="24"/>
        <v>3.2543843789548986E-3</v>
      </c>
    </row>
    <row r="143" spans="2:14">
      <c r="B143" s="102">
        <v>45384</v>
      </c>
      <c r="C143" s="63">
        <v>45.2</v>
      </c>
      <c r="D143" s="108">
        <v>10.613</v>
      </c>
      <c r="E143">
        <v>152.4</v>
      </c>
      <c r="F143">
        <v>93840</v>
      </c>
      <c r="G143" s="63" t="s">
        <v>192</v>
      </c>
      <c r="H143" s="6">
        <f t="shared" ref="H143:H161" si="25">C143/D143</f>
        <v>4.258927730142279</v>
      </c>
      <c r="I143" s="106">
        <f t="shared" ref="I143:I149" si="26">E144/D143</f>
        <v>28.163572976538205</v>
      </c>
      <c r="J143" s="106">
        <f t="shared" ref="J143:J161" si="27">E144/C143</f>
        <v>6.6128318584070787</v>
      </c>
      <c r="K143" s="63">
        <f t="shared" ref="K143:K161" si="28">C143/E144</f>
        <v>0.1512211441953831</v>
      </c>
      <c r="M143">
        <f t="shared" ref="M143:M160" si="29">F143-F142</f>
        <v>152</v>
      </c>
      <c r="N143" s="118">
        <f t="shared" ref="N143:N160" si="30">ABS((E143-M143)/AVERAGE(E143,M143))</f>
        <v>2.6281208935611412E-3</v>
      </c>
    </row>
    <row r="144" spans="2:14">
      <c r="B144" s="102">
        <v>45394</v>
      </c>
      <c r="C144" s="63">
        <v>47.65</v>
      </c>
      <c r="D144" s="108">
        <v>10.782999999999999</v>
      </c>
      <c r="E144">
        <v>298.89999999999998</v>
      </c>
      <c r="F144">
        <v>94139</v>
      </c>
      <c r="G144" s="63" t="s">
        <v>192</v>
      </c>
      <c r="H144" s="6">
        <f t="shared" si="25"/>
        <v>4.4189928591301122</v>
      </c>
      <c r="I144" s="106">
        <f t="shared" si="26"/>
        <v>27.942131132337941</v>
      </c>
      <c r="J144" s="106">
        <f t="shared" si="27"/>
        <v>6.3231899265477445</v>
      </c>
      <c r="K144" s="63">
        <f t="shared" si="28"/>
        <v>0.15814802522402921</v>
      </c>
      <c r="M144">
        <f>F144-F143</f>
        <v>299</v>
      </c>
      <c r="N144" s="118">
        <f>ABS((E144-M144)/AVERAGE(E144,M144))</f>
        <v>3.3450409767527261E-4</v>
      </c>
    </row>
    <row r="145" spans="2:14">
      <c r="B145" s="102">
        <v>45403</v>
      </c>
      <c r="C145" s="63">
        <v>46.05</v>
      </c>
      <c r="D145" s="108">
        <v>10.811999999999999</v>
      </c>
      <c r="E145">
        <v>301.3</v>
      </c>
      <c r="F145">
        <v>94440</v>
      </c>
      <c r="G145" s="63" t="s">
        <v>192</v>
      </c>
      <c r="H145" s="6">
        <f t="shared" si="25"/>
        <v>4.2591564927857934</v>
      </c>
      <c r="I145" s="106">
        <f t="shared" si="26"/>
        <v>26.479837217906034</v>
      </c>
      <c r="J145" s="106">
        <f t="shared" si="27"/>
        <v>6.2171552660152019</v>
      </c>
      <c r="K145" s="63">
        <f t="shared" si="28"/>
        <v>0.16084526720223541</v>
      </c>
      <c r="M145">
        <f t="shared" si="29"/>
        <v>301</v>
      </c>
      <c r="N145" s="118">
        <f>ABS((E145-M145)/AVERAGE(E145,M145))</f>
        <v>9.9618130499754746E-4</v>
      </c>
    </row>
    <row r="146" spans="2:14">
      <c r="B146" s="102">
        <v>45414</v>
      </c>
      <c r="C146" s="63">
        <v>46.6</v>
      </c>
      <c r="D146" s="108">
        <v>10.739000000000001</v>
      </c>
      <c r="E146">
        <v>286.3</v>
      </c>
      <c r="F146">
        <v>94727</v>
      </c>
      <c r="G146" s="63" t="s">
        <v>192</v>
      </c>
      <c r="H146" s="6">
        <f t="shared" si="25"/>
        <v>4.3393239594003168</v>
      </c>
      <c r="I146" s="106">
        <f t="shared" si="26"/>
        <v>24.64847751187261</v>
      </c>
      <c r="J146" s="106">
        <f t="shared" si="27"/>
        <v>5.6802575107296134</v>
      </c>
      <c r="K146" s="63">
        <f t="shared" si="28"/>
        <v>0.17604835663014734</v>
      </c>
      <c r="M146">
        <f t="shared" si="29"/>
        <v>287</v>
      </c>
      <c r="N146" s="118">
        <f t="shared" si="30"/>
        <v>2.4420024420024025E-3</v>
      </c>
    </row>
    <row r="147" spans="2:14">
      <c r="B147" s="102">
        <v>45421</v>
      </c>
      <c r="C147" s="63">
        <v>39.270000000000003</v>
      </c>
      <c r="D147" s="108">
        <v>9.3520000000000003</v>
      </c>
      <c r="E147">
        <v>264.7</v>
      </c>
      <c r="F147">
        <v>94991</v>
      </c>
      <c r="G147" s="63" t="s">
        <v>192</v>
      </c>
      <c r="H147" s="6">
        <f t="shared" si="25"/>
        <v>4.1991017964071862</v>
      </c>
      <c r="I147" s="106">
        <f t="shared" si="26"/>
        <v>29.736954662104363</v>
      </c>
      <c r="J147" s="106">
        <f t="shared" si="27"/>
        <v>7.0817417876241402</v>
      </c>
      <c r="K147" s="63">
        <f t="shared" si="28"/>
        <v>0.14120819848975188</v>
      </c>
      <c r="M147">
        <f t="shared" si="29"/>
        <v>264</v>
      </c>
      <c r="N147" s="118">
        <f t="shared" si="30"/>
        <v>2.6480045394363101E-3</v>
      </c>
    </row>
    <row r="148" spans="2:14">
      <c r="B148" s="102">
        <v>45432</v>
      </c>
      <c r="C148" s="63">
        <v>43.34</v>
      </c>
      <c r="D148" s="371">
        <v>10.522</v>
      </c>
      <c r="E148">
        <v>278.10000000000002</v>
      </c>
      <c r="F148">
        <v>95270</v>
      </c>
      <c r="G148" s="63" t="s">
        <v>192</v>
      </c>
      <c r="H148" s="6">
        <f t="shared" si="25"/>
        <v>4.1189887854020153</v>
      </c>
      <c r="I148" s="106">
        <f t="shared" si="26"/>
        <v>14.464930621554837</v>
      </c>
      <c r="J148" s="106">
        <f t="shared" si="27"/>
        <v>3.5117674203968616</v>
      </c>
      <c r="K148" s="63">
        <f t="shared" si="28"/>
        <v>0.28475689881734562</v>
      </c>
      <c r="M148">
        <f t="shared" si="29"/>
        <v>279</v>
      </c>
      <c r="N148" s="118">
        <f t="shared" si="30"/>
        <v>3.2310177705976565E-3</v>
      </c>
    </row>
    <row r="149" spans="2:14">
      <c r="B149" s="102">
        <v>45437</v>
      </c>
      <c r="C149" s="63">
        <v>26.74</v>
      </c>
      <c r="D149" s="371">
        <v>6.2779999999999996</v>
      </c>
      <c r="E149">
        <v>152.19999999999999</v>
      </c>
      <c r="F149">
        <v>95422</v>
      </c>
      <c r="G149" s="63" t="s">
        <v>192</v>
      </c>
      <c r="H149" s="6">
        <f t="shared" si="25"/>
        <v>4.2593182542210899</v>
      </c>
      <c r="I149" s="106">
        <f t="shared" si="26"/>
        <v>49.092067537432307</v>
      </c>
      <c r="J149" s="106">
        <f t="shared" si="27"/>
        <v>11.525804038893044</v>
      </c>
      <c r="K149" s="63">
        <f t="shared" si="28"/>
        <v>8.6761842959117458E-2</v>
      </c>
      <c r="M149">
        <f t="shared" si="29"/>
        <v>152</v>
      </c>
      <c r="N149" s="118">
        <f t="shared" si="30"/>
        <v>1.314924391847394E-3</v>
      </c>
    </row>
    <row r="150" spans="2:14">
      <c r="B150" s="102">
        <v>45443</v>
      </c>
      <c r="C150" s="63">
        <v>5.05</v>
      </c>
      <c r="D150" s="371">
        <v>1.214</v>
      </c>
      <c r="E150">
        <v>308.2</v>
      </c>
      <c r="F150">
        <v>95730</v>
      </c>
      <c r="G150" s="63" t="s">
        <v>192</v>
      </c>
      <c r="H150" s="6">
        <f t="shared" si="25"/>
        <v>4.1598023064250409</v>
      </c>
      <c r="I150" s="106">
        <f t="shared" ref="I150:I155" si="31">E151/D150</f>
        <v>29.654036243822077</v>
      </c>
      <c r="J150" s="106">
        <f t="shared" ref="J150:J155" si="32">E151/C150</f>
        <v>7.1287128712871288</v>
      </c>
      <c r="K150" s="63">
        <f t="shared" ref="K150:K155" si="33">C150/E151</f>
        <v>0.14027777777777778</v>
      </c>
      <c r="M150">
        <f t="shared" ref="M150:M155" si="34">F150-F149</f>
        <v>308</v>
      </c>
      <c r="N150" s="118">
        <f t="shared" ref="N150:N155" si="35">ABS((E150-M150)/AVERAGE(E150,M150))</f>
        <v>6.4913988964618178E-4</v>
      </c>
    </row>
    <row r="151" spans="2:14">
      <c r="B151" s="102">
        <v>45444</v>
      </c>
      <c r="C151" s="63">
        <v>47.07</v>
      </c>
      <c r="D151" s="371">
        <v>11.103</v>
      </c>
      <c r="E151">
        <v>36</v>
      </c>
      <c r="F151">
        <v>95766</v>
      </c>
      <c r="G151" s="63" t="s">
        <v>192</v>
      </c>
      <c r="H151" s="6">
        <f t="shared" si="25"/>
        <v>4.239394758173467</v>
      </c>
      <c r="I151" s="106">
        <f t="shared" si="31"/>
        <v>28.289651445555258</v>
      </c>
      <c r="J151" s="106">
        <f t="shared" si="32"/>
        <v>6.6730401529636714</v>
      </c>
      <c r="K151" s="63">
        <f t="shared" si="33"/>
        <v>0.1498567335243553</v>
      </c>
      <c r="M151">
        <f t="shared" si="34"/>
        <v>36</v>
      </c>
      <c r="N151" s="118">
        <f t="shared" si="35"/>
        <v>0</v>
      </c>
    </row>
    <row r="152" spans="2:14">
      <c r="B152" s="102">
        <v>45456</v>
      </c>
      <c r="C152" s="63">
        <v>43.09</v>
      </c>
      <c r="D152" s="371">
        <v>10.260999999999999</v>
      </c>
      <c r="E152">
        <v>314.10000000000002</v>
      </c>
      <c r="F152">
        <v>96080</v>
      </c>
      <c r="G152" s="63" t="s">
        <v>192</v>
      </c>
      <c r="H152" s="6">
        <f t="shared" si="25"/>
        <v>4.1993957703927496</v>
      </c>
      <c r="I152" s="106">
        <f t="shared" si="31"/>
        <v>26.868726245005362</v>
      </c>
      <c r="J152" s="106">
        <f t="shared" si="32"/>
        <v>6.3982362497099086</v>
      </c>
      <c r="K152" s="63">
        <f t="shared" si="33"/>
        <v>0.15629307217990571</v>
      </c>
      <c r="M152">
        <f t="shared" si="34"/>
        <v>314</v>
      </c>
      <c r="N152" s="118">
        <f t="shared" si="35"/>
        <v>3.1842063365713336E-4</v>
      </c>
    </row>
    <row r="153" spans="2:14">
      <c r="B153" s="102">
        <v>45467</v>
      </c>
      <c r="C153" s="63">
        <v>41.73</v>
      </c>
      <c r="D153" s="371">
        <v>10.180999999999999</v>
      </c>
      <c r="E153">
        <v>275.7</v>
      </c>
      <c r="F153">
        <v>96356</v>
      </c>
      <c r="G153" s="63" t="s">
        <v>192</v>
      </c>
      <c r="H153" s="6">
        <f t="shared" si="25"/>
        <v>4.0988115116393278</v>
      </c>
      <c r="I153" s="106">
        <f t="shared" si="31"/>
        <v>28.297809645417939</v>
      </c>
      <c r="J153" s="106">
        <f t="shared" si="32"/>
        <v>6.9039060627845688</v>
      </c>
      <c r="K153" s="63">
        <f t="shared" si="33"/>
        <v>0.14484553974314471</v>
      </c>
      <c r="M153">
        <f t="shared" si="34"/>
        <v>276</v>
      </c>
      <c r="N153" s="118">
        <f t="shared" si="35"/>
        <v>1.0875475802066751E-3</v>
      </c>
    </row>
    <row r="154" spans="2:14">
      <c r="B154" s="102">
        <v>45474</v>
      </c>
      <c r="C154" s="63">
        <v>43.11</v>
      </c>
      <c r="D154" s="371">
        <v>10.516999999999999</v>
      </c>
      <c r="E154">
        <v>288.10000000000002</v>
      </c>
      <c r="F154">
        <v>96644</v>
      </c>
      <c r="G154" s="63" t="s">
        <v>192</v>
      </c>
      <c r="H154" s="6">
        <f t="shared" si="25"/>
        <v>4.099077683750119</v>
      </c>
      <c r="I154" s="106">
        <f t="shared" si="31"/>
        <v>28.43016069221261</v>
      </c>
      <c r="J154" s="106">
        <f t="shared" si="32"/>
        <v>6.9357457666434703</v>
      </c>
      <c r="K154" s="63">
        <f t="shared" si="33"/>
        <v>0.14418060200668897</v>
      </c>
      <c r="M154">
        <f t="shared" si="34"/>
        <v>288</v>
      </c>
      <c r="N154" s="118">
        <f t="shared" si="35"/>
        <v>3.4716195105024384E-4</v>
      </c>
    </row>
    <row r="155" spans="2:14">
      <c r="B155" s="102">
        <v>45486</v>
      </c>
      <c r="C155" s="63">
        <v>46.53</v>
      </c>
      <c r="D155" s="371">
        <v>10.824</v>
      </c>
      <c r="E155">
        <v>299</v>
      </c>
      <c r="F155">
        <v>96943</v>
      </c>
      <c r="G155" s="63" t="s">
        <v>192</v>
      </c>
      <c r="H155" s="6">
        <f t="shared" si="25"/>
        <v>4.2987804878048781</v>
      </c>
      <c r="I155" s="106">
        <f t="shared" si="31"/>
        <v>27.475979305247595</v>
      </c>
      <c r="J155" s="106">
        <f t="shared" si="32"/>
        <v>6.3915753277455396</v>
      </c>
      <c r="K155" s="63">
        <f t="shared" si="33"/>
        <v>0.15645595158036316</v>
      </c>
      <c r="M155">
        <f t="shared" si="34"/>
        <v>299</v>
      </c>
      <c r="N155" s="118">
        <f t="shared" si="35"/>
        <v>0</v>
      </c>
    </row>
    <row r="156" spans="2:14">
      <c r="B156" s="102">
        <v>45497</v>
      </c>
      <c r="C156" s="63">
        <v>19.98</v>
      </c>
      <c r="D156" s="371"/>
      <c r="E156">
        <v>297.39999999999998</v>
      </c>
      <c r="F156">
        <v>97241</v>
      </c>
      <c r="G156" s="63" t="s">
        <v>192</v>
      </c>
      <c r="H156" s="6"/>
      <c r="I156" s="106"/>
      <c r="J156" s="106">
        <f t="shared" si="27"/>
        <v>6.4364364364364359</v>
      </c>
      <c r="K156" s="63">
        <f t="shared" si="28"/>
        <v>0.15536547433903578</v>
      </c>
      <c r="M156">
        <f t="shared" si="29"/>
        <v>298</v>
      </c>
      <c r="N156" s="118">
        <f t="shared" si="30"/>
        <v>2.0154517971112621E-3</v>
      </c>
    </row>
    <row r="157" spans="2:14">
      <c r="B157" s="102">
        <v>45500</v>
      </c>
      <c r="C157" s="63">
        <v>9.9</v>
      </c>
      <c r="D157" s="371">
        <v>2.2599999999999998</v>
      </c>
      <c r="E157">
        <v>128.6</v>
      </c>
      <c r="F157">
        <v>97369</v>
      </c>
      <c r="G157" s="63" t="s">
        <v>192</v>
      </c>
      <c r="H157" s="6">
        <f t="shared" si="25"/>
        <v>4.3805309734513278</v>
      </c>
      <c r="I157" s="106">
        <f>E158/D157</f>
        <v>27.212389380530976</v>
      </c>
      <c r="J157" s="106">
        <f t="shared" si="27"/>
        <v>6.2121212121212119</v>
      </c>
      <c r="K157" s="63">
        <f t="shared" si="28"/>
        <v>0.16097560975609757</v>
      </c>
      <c r="M157">
        <f t="shared" si="29"/>
        <v>128</v>
      </c>
      <c r="N157" s="118">
        <f t="shared" si="30"/>
        <v>4.6765393608729092E-3</v>
      </c>
    </row>
    <row r="158" spans="2:14">
      <c r="B158" s="102">
        <v>45503</v>
      </c>
      <c r="C158" s="63">
        <v>44.77</v>
      </c>
      <c r="D158" s="371">
        <v>10.27</v>
      </c>
      <c r="E158">
        <v>61.5</v>
      </c>
      <c r="F158">
        <v>97431</v>
      </c>
      <c r="G158" s="63" t="s">
        <v>192</v>
      </c>
      <c r="H158" s="6">
        <f t="shared" si="25"/>
        <v>4.3592989289191824</v>
      </c>
      <c r="I158" s="106">
        <f>E159/D158</f>
        <v>27.857838364167481</v>
      </c>
      <c r="J158" s="106">
        <f t="shared" si="27"/>
        <v>6.3904400268036632</v>
      </c>
      <c r="K158" s="63">
        <f t="shared" si="28"/>
        <v>0.15648374694162881</v>
      </c>
      <c r="M158">
        <f t="shared" si="29"/>
        <v>62</v>
      </c>
      <c r="N158" s="118">
        <f t="shared" si="30"/>
        <v>8.0971659919028341E-3</v>
      </c>
    </row>
    <row r="159" spans="2:14">
      <c r="B159" s="102">
        <v>45517</v>
      </c>
      <c r="C159" s="63">
        <v>43.36</v>
      </c>
      <c r="D159" s="371"/>
      <c r="E159">
        <v>286.10000000000002</v>
      </c>
      <c r="F159">
        <v>97717</v>
      </c>
      <c r="G159" s="63" t="s">
        <v>192</v>
      </c>
      <c r="H159" s="6"/>
      <c r="I159" s="106"/>
      <c r="J159" s="106">
        <f t="shared" si="27"/>
        <v>6.83809963099631</v>
      </c>
      <c r="K159" s="63">
        <f t="shared" si="28"/>
        <v>0.14623946037099494</v>
      </c>
      <c r="M159">
        <f t="shared" si="29"/>
        <v>286</v>
      </c>
      <c r="N159" s="118">
        <f t="shared" si="30"/>
        <v>3.4958923265171379E-4</v>
      </c>
    </row>
    <row r="160" spans="2:14">
      <c r="B160" s="102">
        <v>45528</v>
      </c>
      <c r="C160" s="63">
        <v>41.5</v>
      </c>
      <c r="D160" s="371">
        <v>10.275</v>
      </c>
      <c r="E160">
        <v>296.5</v>
      </c>
      <c r="F160">
        <v>98014</v>
      </c>
      <c r="G160" s="63" t="s">
        <v>192</v>
      </c>
      <c r="H160" s="6">
        <f t="shared" si="25"/>
        <v>4.0389294403892944</v>
      </c>
      <c r="I160" s="106"/>
      <c r="J160" s="106"/>
      <c r="K160" s="379"/>
      <c r="M160">
        <f t="shared" si="29"/>
        <v>297</v>
      </c>
      <c r="N160" s="118">
        <f t="shared" si="30"/>
        <v>1.6849199663016006E-3</v>
      </c>
    </row>
    <row r="161" spans="2:16">
      <c r="B161" s="102">
        <v>45539</v>
      </c>
      <c r="C161" s="63">
        <v>44.45</v>
      </c>
      <c r="D161" s="371">
        <v>11.116</v>
      </c>
      <c r="F161">
        <v>98299</v>
      </c>
      <c r="G161" s="63" t="s">
        <v>192</v>
      </c>
      <c r="H161" s="6">
        <f t="shared" si="25"/>
        <v>3.9987405541561718</v>
      </c>
      <c r="I161" s="106">
        <f>E162/D161</f>
        <v>26.457358762144658</v>
      </c>
      <c r="J161" s="106">
        <f t="shared" si="27"/>
        <v>6.6164229471316087</v>
      </c>
      <c r="K161" s="63">
        <f t="shared" si="28"/>
        <v>0.15113906834410065</v>
      </c>
      <c r="M161">
        <f>F161-F160</f>
        <v>285</v>
      </c>
      <c r="N161" s="118"/>
    </row>
    <row r="162" spans="2:16">
      <c r="B162" s="102">
        <v>45552</v>
      </c>
      <c r="C162" s="63">
        <v>40.54</v>
      </c>
      <c r="D162" s="371">
        <v>10.728</v>
      </c>
      <c r="E162">
        <v>294.10000000000002</v>
      </c>
      <c r="F162">
        <v>98593</v>
      </c>
      <c r="G162" s="63" t="s">
        <v>192</v>
      </c>
      <c r="H162" s="6">
        <f t="shared" ref="H162:H167" si="36">C162/D162</f>
        <v>3.7788963460104399</v>
      </c>
      <c r="I162" s="106">
        <f t="shared" ref="I162:I169" si="37">E163/D162</f>
        <v>27.572706935123044</v>
      </c>
      <c r="J162" s="106">
        <f t="shared" ref="J162:J169" si="38">E163/C162</f>
        <v>7.2964972866304887</v>
      </c>
      <c r="K162" s="63">
        <f t="shared" ref="K162:K169" si="39">C162/E163</f>
        <v>0.13705206220419203</v>
      </c>
      <c r="M162">
        <f t="shared" ref="M162:M169" si="40">F162-F161</f>
        <v>294</v>
      </c>
      <c r="N162" s="118">
        <f t="shared" ref="N162:N169" si="41">ABS((E162-M162)/AVERAGE(E162,M162))</f>
        <v>3.4007821799021502E-4</v>
      </c>
    </row>
    <row r="163" spans="2:16">
      <c r="B163" s="102">
        <v>45561.811111111114</v>
      </c>
      <c r="C163" s="63">
        <v>43.34</v>
      </c>
      <c r="D163" s="371">
        <v>11.047000000000001</v>
      </c>
      <c r="E163">
        <v>295.8</v>
      </c>
      <c r="F163">
        <v>98889</v>
      </c>
      <c r="G163" s="63" t="s">
        <v>192</v>
      </c>
      <c r="H163" s="6">
        <f t="shared" si="36"/>
        <v>3.9232370779397123</v>
      </c>
      <c r="I163" s="106">
        <f t="shared" si="37"/>
        <v>25.970851814972388</v>
      </c>
      <c r="J163" s="106">
        <f t="shared" si="38"/>
        <v>6.6197508075680656</v>
      </c>
      <c r="K163" s="63">
        <f t="shared" si="39"/>
        <v>0.15106308818403627</v>
      </c>
      <c r="M163">
        <f t="shared" si="40"/>
        <v>296</v>
      </c>
      <c r="N163" s="118">
        <f t="shared" si="41"/>
        <v>6.7590402162889037E-4</v>
      </c>
    </row>
    <row r="164" spans="2:16">
      <c r="B164" s="378">
        <v>45573.413194444445</v>
      </c>
      <c r="C164" s="63">
        <v>42.62</v>
      </c>
      <c r="D164" s="371">
        <v>10.397</v>
      </c>
      <c r="E164">
        <v>286.89999999999998</v>
      </c>
      <c r="F164">
        <v>99176</v>
      </c>
      <c r="G164" s="63" t="s">
        <v>192</v>
      </c>
      <c r="H164" s="6">
        <f t="shared" si="36"/>
        <v>4.0992594017505048</v>
      </c>
      <c r="I164" s="106">
        <f t="shared" si="37"/>
        <v>27.103972299701837</v>
      </c>
      <c r="J164" s="106">
        <f t="shared" si="38"/>
        <v>6.6119192867198509</v>
      </c>
      <c r="K164" s="63">
        <f t="shared" si="39"/>
        <v>0.15124201561391057</v>
      </c>
      <c r="M164">
        <f t="shared" si="40"/>
        <v>287</v>
      </c>
      <c r="N164" s="118">
        <f t="shared" si="41"/>
        <v>3.4849276877512716E-4</v>
      </c>
    </row>
    <row r="165" spans="2:16">
      <c r="B165" s="378">
        <v>45581.800694444442</v>
      </c>
      <c r="C165" s="63">
        <v>45.01</v>
      </c>
      <c r="D165" s="371">
        <v>11.545</v>
      </c>
      <c r="E165">
        <v>281.8</v>
      </c>
      <c r="F165">
        <v>99457</v>
      </c>
      <c r="G165" s="63" t="s">
        <v>192</v>
      </c>
      <c r="H165" s="6">
        <f t="shared" si="36"/>
        <v>3.8986574274577737</v>
      </c>
      <c r="I165" s="106">
        <f t="shared" si="37"/>
        <v>26.201818969250752</v>
      </c>
      <c r="J165" s="106">
        <f t="shared" si="38"/>
        <v>6.7207287269495657</v>
      </c>
      <c r="K165" s="63">
        <f t="shared" si="39"/>
        <v>0.14879338842975209</v>
      </c>
      <c r="M165">
        <f t="shared" si="40"/>
        <v>281</v>
      </c>
      <c r="N165" s="118">
        <f t="shared" si="41"/>
        <v>2.8429282160625851E-3</v>
      </c>
    </row>
    <row r="166" spans="2:16">
      <c r="B166" s="378">
        <v>45591.720138888886</v>
      </c>
      <c r="C166" s="63">
        <v>39.770000000000003</v>
      </c>
      <c r="D166" s="371">
        <v>10.201000000000001</v>
      </c>
      <c r="E166">
        <f>584.3-E165</f>
        <v>302.49999999999994</v>
      </c>
      <c r="F166">
        <v>99760</v>
      </c>
      <c r="G166" s="63" t="s">
        <v>192</v>
      </c>
      <c r="H166" s="6">
        <f t="shared" si="36"/>
        <v>3.8986373884913244</v>
      </c>
      <c r="I166" s="106">
        <f t="shared" si="37"/>
        <v>26.448387412998727</v>
      </c>
      <c r="J166" s="106">
        <f t="shared" si="38"/>
        <v>6.7840080462660293</v>
      </c>
      <c r="K166" s="63">
        <f t="shared" si="39"/>
        <v>0.14740548554484803</v>
      </c>
      <c r="M166">
        <f t="shared" si="40"/>
        <v>303</v>
      </c>
      <c r="N166" s="118">
        <f>ABS((E166-M166)/AVERAGE(E166,M166))</f>
        <v>1.6515276630885444E-3</v>
      </c>
    </row>
    <row r="167" spans="2:16">
      <c r="B167" s="378">
        <v>45597.870833333334</v>
      </c>
      <c r="C167" s="63">
        <v>37.479999999999997</v>
      </c>
      <c r="D167" s="371">
        <v>10.023999999999999</v>
      </c>
      <c r="E167">
        <v>269.8</v>
      </c>
      <c r="F167">
        <v>100030</v>
      </c>
      <c r="G167" s="63" t="s">
        <v>192</v>
      </c>
      <c r="H167" s="6">
        <f t="shared" si="36"/>
        <v>3.7390263367916998</v>
      </c>
      <c r="I167" s="106">
        <f t="shared" si="37"/>
        <v>27.254588986432562</v>
      </c>
      <c r="J167" s="106">
        <f t="shared" si="38"/>
        <v>7.2892209178228393</v>
      </c>
      <c r="K167" s="63">
        <f t="shared" si="39"/>
        <v>0.13718887262079063</v>
      </c>
      <c r="M167">
        <f t="shared" si="40"/>
        <v>270</v>
      </c>
      <c r="N167" s="118">
        <f t="shared" si="41"/>
        <v>7.4101519081136956E-4</v>
      </c>
    </row>
    <row r="168" spans="2:16">
      <c r="B168" s="378">
        <v>45610.369444444441</v>
      </c>
      <c r="C168" s="63">
        <v>38.46</v>
      </c>
      <c r="D168" s="371">
        <v>10.397</v>
      </c>
      <c r="E168">
        <v>273.2</v>
      </c>
      <c r="F168">
        <v>100303</v>
      </c>
      <c r="G168" s="63" t="s">
        <v>192</v>
      </c>
      <c r="H168" s="6">
        <f t="shared" ref="H168:H174" si="42">C168/D168</f>
        <v>3.6991439838414926</v>
      </c>
      <c r="I168" s="106">
        <f t="shared" si="37"/>
        <v>25.507357891699527</v>
      </c>
      <c r="J168" s="106">
        <f t="shared" si="38"/>
        <v>6.895475819032761</v>
      </c>
      <c r="K168" s="63">
        <f t="shared" si="39"/>
        <v>0.14502262443438915</v>
      </c>
      <c r="M168">
        <f t="shared" si="40"/>
        <v>273</v>
      </c>
      <c r="N168" s="118">
        <f t="shared" si="41"/>
        <v>7.3233247894539954E-4</v>
      </c>
    </row>
    <row r="169" spans="2:16">
      <c r="B169" s="378">
        <v>45622.475694444445</v>
      </c>
      <c r="C169" s="63">
        <v>38.03</v>
      </c>
      <c r="D169" s="371">
        <v>10.566000000000001</v>
      </c>
      <c r="E169">
        <v>265.2</v>
      </c>
      <c r="F169">
        <v>100568</v>
      </c>
      <c r="G169" s="63" t="s">
        <v>192</v>
      </c>
      <c r="H169" s="6">
        <f t="shared" si="42"/>
        <v>3.5992807117168275</v>
      </c>
      <c r="I169" s="106">
        <f t="shared" si="37"/>
        <v>26.642059435926555</v>
      </c>
      <c r="J169" s="106">
        <f t="shared" si="38"/>
        <v>7.4020510123586636</v>
      </c>
      <c r="K169" s="63">
        <f t="shared" si="39"/>
        <v>0.13509769094138543</v>
      </c>
      <c r="M169">
        <f t="shared" si="40"/>
        <v>265</v>
      </c>
      <c r="N169" s="118">
        <f t="shared" si="41"/>
        <v>7.544322897019563E-4</v>
      </c>
    </row>
    <row r="170" spans="2:16">
      <c r="B170" s="378">
        <v>45637.683333333334</v>
      </c>
      <c r="C170" s="63">
        <v>38.409999999999997</v>
      </c>
      <c r="D170" s="371">
        <v>10.384</v>
      </c>
      <c r="E170">
        <v>281.5</v>
      </c>
      <c r="F170">
        <v>100850</v>
      </c>
      <c r="G170" s="63" t="s">
        <v>192</v>
      </c>
      <c r="H170" s="6">
        <f t="shared" si="42"/>
        <v>3.6989599383667175</v>
      </c>
      <c r="I170" s="106">
        <f>E171/D170</f>
        <v>26.242295839753467</v>
      </c>
      <c r="J170" s="106">
        <f>E171/C170</f>
        <v>7.0945066388961218</v>
      </c>
      <c r="K170" s="63">
        <f>C170/E171</f>
        <v>0.14095412844036695</v>
      </c>
      <c r="M170">
        <f>F170-F169</f>
        <v>282</v>
      </c>
      <c r="N170" s="118">
        <f>ABS((E170-M170)/AVERAGE(E170,M170))</f>
        <v>1.7746228926353151E-3</v>
      </c>
    </row>
    <row r="171" spans="2:16">
      <c r="B171" s="378">
        <v>45648.793749999997</v>
      </c>
      <c r="C171" s="63">
        <v>37.700000000000003</v>
      </c>
      <c r="D171" s="371">
        <v>10.474</v>
      </c>
      <c r="E171">
        <v>272.5</v>
      </c>
      <c r="F171">
        <v>101122</v>
      </c>
      <c r="G171" s="63" t="s">
        <v>192</v>
      </c>
      <c r="H171" s="6">
        <f t="shared" si="42"/>
        <v>3.5993889631468399</v>
      </c>
      <c r="I171" s="106">
        <f>E172/D171</f>
        <v>27.697154859652475</v>
      </c>
      <c r="J171" s="106">
        <f>E172/C171</f>
        <v>7.6949602122015914</v>
      </c>
      <c r="K171" s="63">
        <f>C171/E172</f>
        <v>0.12995518786625301</v>
      </c>
      <c r="M171">
        <f>F171-F170</f>
        <v>272</v>
      </c>
      <c r="N171" s="118">
        <f>ABS((E171-M171)/AVERAGE(E171,M171))</f>
        <v>1.8365472910927456E-3</v>
      </c>
    </row>
    <row r="172" spans="2:16">
      <c r="B172" s="378">
        <v>45658.743055555555</v>
      </c>
      <c r="C172" s="63">
        <v>38.86</v>
      </c>
      <c r="D172" s="371">
        <v>10.856999999999999</v>
      </c>
      <c r="E172">
        <v>290.10000000000002</v>
      </c>
      <c r="F172">
        <v>101413</v>
      </c>
      <c r="G172" s="63" t="s">
        <v>192</v>
      </c>
      <c r="H172" s="6">
        <f t="shared" si="42"/>
        <v>3.5792576218108136</v>
      </c>
      <c r="I172" s="106">
        <f>E173/D172</f>
        <v>25.504282951091461</v>
      </c>
      <c r="J172" s="106">
        <f>E173/C172</f>
        <v>7.1255790015440033</v>
      </c>
      <c r="K172" s="63">
        <f>C172/E173</f>
        <v>0.14033947273383893</v>
      </c>
      <c r="M172">
        <f>F172-F171</f>
        <v>291</v>
      </c>
      <c r="N172" s="118">
        <f>ABS((E172-M172)/AVERAGE(E172,M172))</f>
        <v>3.0975735673721468E-3</v>
      </c>
    </row>
    <row r="173" spans="2:16">
      <c r="B173" s="378">
        <v>45672.484027777777</v>
      </c>
      <c r="C173" s="63">
        <v>41.47</v>
      </c>
      <c r="D173" s="371">
        <v>10.635</v>
      </c>
      <c r="E173">
        <v>276.89999999999998</v>
      </c>
      <c r="F173">
        <v>101690</v>
      </c>
      <c r="G173" s="63" t="s">
        <v>192</v>
      </c>
      <c r="H173" s="6">
        <f t="shared" si="42"/>
        <v>3.8993888105312648</v>
      </c>
      <c r="I173" s="106">
        <f>E174/D173</f>
        <v>24.6262341325811</v>
      </c>
      <c r="J173" s="106">
        <f>E174/C173</f>
        <v>6.3154087292018319</v>
      </c>
      <c r="K173" s="63">
        <f>C173/E174</f>
        <v>0.15834287896143567</v>
      </c>
      <c r="M173">
        <f>F173-F172</f>
        <v>277</v>
      </c>
      <c r="N173" s="118">
        <f>ABS((E173-M173)/AVERAGE(E173,M173))</f>
        <v>3.6107600649945023E-4</v>
      </c>
    </row>
    <row r="174" spans="2:16">
      <c r="B174" s="378">
        <v>45681.845138888886</v>
      </c>
      <c r="C174" s="63">
        <v>39.049999999999997</v>
      </c>
      <c r="D174" s="371">
        <v>10.388</v>
      </c>
      <c r="E174">
        <v>261.89999999999998</v>
      </c>
      <c r="F174">
        <v>101952</v>
      </c>
      <c r="G174" s="63" t="s">
        <v>192</v>
      </c>
      <c r="H174" s="6">
        <f t="shared" si="42"/>
        <v>3.7591451675009626</v>
      </c>
      <c r="I174" s="106">
        <f>E175/D174</f>
        <v>7.2294955718136302</v>
      </c>
      <c r="J174" s="106">
        <f>E175/C174</f>
        <v>1.9231754161331627</v>
      </c>
      <c r="K174" s="63">
        <f>C174/E175</f>
        <v>0.51997336884154466</v>
      </c>
      <c r="M174">
        <f t="shared" ref="M174:M181" si="43">F174-F173</f>
        <v>262</v>
      </c>
      <c r="N174" s="118">
        <f t="shared" ref="N174:N181" si="44">ABS((E174-M174)/AVERAGE(E174,M174))</f>
        <v>3.8175224279451324E-4</v>
      </c>
      <c r="P174" s="108">
        <f>(E174+E175)/(D174+D175)</f>
        <v>24.998145538164824</v>
      </c>
    </row>
    <row r="175" spans="2:16">
      <c r="B175" s="378">
        <v>45686.462500000001</v>
      </c>
      <c r="C175" s="63">
        <v>12.06</v>
      </c>
      <c r="D175" s="371">
        <v>3.093</v>
      </c>
      <c r="E175">
        <v>75.099999999999994</v>
      </c>
      <c r="F175">
        <v>102027</v>
      </c>
      <c r="G175" s="63" t="s">
        <v>192</v>
      </c>
      <c r="H175" s="6">
        <f>C175/D175</f>
        <v>3.8991270611057227</v>
      </c>
      <c r="I175" s="106">
        <f>E175/D175</f>
        <v>24.280633688975104</v>
      </c>
      <c r="J175" s="106">
        <f>E175/C175</f>
        <v>6.227197346600331</v>
      </c>
      <c r="K175" s="63">
        <f>C175/E175</f>
        <v>0.16058588548601865</v>
      </c>
      <c r="M175">
        <f t="shared" si="43"/>
        <v>75</v>
      </c>
      <c r="N175" s="118">
        <f t="shared" si="44"/>
        <v>1.3324450366421629E-3</v>
      </c>
    </row>
    <row r="176" spans="2:16">
      <c r="B176" s="378">
        <v>45695.855555555558</v>
      </c>
      <c r="C176" s="63">
        <v>39.619999999999997</v>
      </c>
      <c r="D176" s="371">
        <v>10.162000000000001</v>
      </c>
      <c r="E176">
        <v>239.7</v>
      </c>
      <c r="F176">
        <v>102266</v>
      </c>
      <c r="G176" s="63" t="s">
        <v>192</v>
      </c>
      <c r="H176" s="6">
        <f t="shared" ref="H176:H182" si="45">C176/D176</f>
        <v>3.898838811257626</v>
      </c>
      <c r="I176" s="106">
        <f t="shared" ref="I176:I182" si="46">E176/D176</f>
        <v>23.587876402283012</v>
      </c>
      <c r="J176" s="106">
        <f t="shared" ref="J176:J182" si="47">E176/C176</f>
        <v>6.0499747602221099</v>
      </c>
      <c r="K176" s="63">
        <f t="shared" ref="K176:K182" si="48">C176/E176</f>
        <v>0.16528994576554026</v>
      </c>
      <c r="M176">
        <f t="shared" si="43"/>
        <v>239</v>
      </c>
      <c r="N176" s="118">
        <f t="shared" si="44"/>
        <v>2.924587424274028E-3</v>
      </c>
    </row>
    <row r="177" spans="2:14">
      <c r="B177" s="378">
        <v>45707.629861111112</v>
      </c>
      <c r="C177" s="63">
        <v>39.54</v>
      </c>
      <c r="D177" s="371">
        <v>9.9359999999999999</v>
      </c>
      <c r="E177">
        <v>223.3</v>
      </c>
      <c r="F177">
        <v>102490</v>
      </c>
      <c r="G177" s="63" t="s">
        <v>192</v>
      </c>
      <c r="H177" s="6">
        <f t="shared" si="45"/>
        <v>3.9794685990338166</v>
      </c>
      <c r="I177" s="106">
        <f t="shared" si="46"/>
        <v>22.473832528180356</v>
      </c>
      <c r="J177" s="106">
        <f t="shared" si="47"/>
        <v>5.6474456246838649</v>
      </c>
      <c r="K177" s="63">
        <f t="shared" si="48"/>
        <v>0.17707120465741155</v>
      </c>
      <c r="M177">
        <f t="shared" si="43"/>
        <v>224</v>
      </c>
      <c r="N177" s="118">
        <f t="shared" si="44"/>
        <v>3.1298904538340647E-3</v>
      </c>
    </row>
    <row r="178" spans="2:14">
      <c r="B178" s="378">
        <v>45722.322916666664</v>
      </c>
      <c r="C178" s="63">
        <v>41.15</v>
      </c>
      <c r="D178" s="371">
        <v>10.29</v>
      </c>
      <c r="E178">
        <v>257.89999999999998</v>
      </c>
      <c r="F178">
        <v>102748</v>
      </c>
      <c r="G178" s="63" t="s">
        <v>192</v>
      </c>
      <c r="H178" s="6">
        <f t="shared" si="45"/>
        <v>3.9990281827016525</v>
      </c>
      <c r="I178" s="106">
        <f t="shared" si="46"/>
        <v>25.063168124392615</v>
      </c>
      <c r="J178" s="106">
        <f t="shared" si="47"/>
        <v>6.2673147023086262</v>
      </c>
      <c r="K178" s="63">
        <f t="shared" si="48"/>
        <v>0.15955796820473053</v>
      </c>
      <c r="M178">
        <f t="shared" si="43"/>
        <v>258</v>
      </c>
      <c r="N178" s="118">
        <f t="shared" si="44"/>
        <v>3.8767202946316242E-4</v>
      </c>
    </row>
    <row r="179" spans="2:14">
      <c r="B179" s="378">
        <v>45739.918749999997</v>
      </c>
      <c r="C179" s="63">
        <v>38.049999999999997</v>
      </c>
      <c r="D179" s="371">
        <v>10.015000000000001</v>
      </c>
      <c r="E179">
        <f>265.2+10.4</f>
        <v>275.59999999999997</v>
      </c>
      <c r="F179">
        <v>103023</v>
      </c>
      <c r="G179" s="63" t="s">
        <v>192</v>
      </c>
      <c r="H179" s="6">
        <f t="shared" si="45"/>
        <v>3.7993010484273584</v>
      </c>
      <c r="I179" s="106">
        <f t="shared" si="46"/>
        <v>27.51872191712431</v>
      </c>
      <c r="J179" s="106">
        <f t="shared" si="47"/>
        <v>7.2431011826544021</v>
      </c>
      <c r="K179" s="63">
        <f t="shared" si="48"/>
        <v>0.13806240928882438</v>
      </c>
      <c r="M179">
        <f t="shared" si="43"/>
        <v>275</v>
      </c>
      <c r="N179" s="118">
        <f t="shared" si="44"/>
        <v>2.1794406102432474E-3</v>
      </c>
    </row>
    <row r="180" spans="2:14">
      <c r="B180" s="102">
        <v>45750.731249999997</v>
      </c>
      <c r="C180" s="63">
        <v>40.21</v>
      </c>
      <c r="D180" s="371">
        <v>10.313000000000001</v>
      </c>
      <c r="E180">
        <v>259.10000000000002</v>
      </c>
      <c r="F180">
        <v>103283</v>
      </c>
      <c r="G180" s="63" t="s">
        <v>192</v>
      </c>
      <c r="H180" s="6">
        <f t="shared" si="45"/>
        <v>3.8989624745466887</v>
      </c>
      <c r="I180" s="106">
        <f t="shared" si="46"/>
        <v>25.123630369436633</v>
      </c>
      <c r="J180" s="106">
        <f t="shared" si="47"/>
        <v>6.4436707286744594</v>
      </c>
      <c r="K180" s="63">
        <f t="shared" si="48"/>
        <v>0.15519104592821303</v>
      </c>
      <c r="M180">
        <f t="shared" si="43"/>
        <v>260</v>
      </c>
      <c r="N180" s="118">
        <f t="shared" si="44"/>
        <v>3.4675399730301568E-3</v>
      </c>
    </row>
    <row r="181" spans="2:14">
      <c r="B181" s="102">
        <v>45762.741666666669</v>
      </c>
      <c r="C181" s="63">
        <v>41.69</v>
      </c>
      <c r="D181" s="371">
        <v>10.973000000000001</v>
      </c>
      <c r="E181">
        <v>254</v>
      </c>
      <c r="F181">
        <v>103537</v>
      </c>
      <c r="G181" s="63" t="s">
        <v>192</v>
      </c>
      <c r="H181" s="6">
        <f t="shared" si="45"/>
        <v>3.7993256174245871</v>
      </c>
      <c r="I181" s="106">
        <f t="shared" si="46"/>
        <v>23.147726237127493</v>
      </c>
      <c r="J181" s="106">
        <f t="shared" si="47"/>
        <v>6.0925881506356445</v>
      </c>
      <c r="K181" s="63">
        <f t="shared" si="48"/>
        <v>0.16413385826771654</v>
      </c>
      <c r="M181">
        <f t="shared" si="43"/>
        <v>254</v>
      </c>
      <c r="N181" s="118">
        <f t="shared" si="44"/>
        <v>0</v>
      </c>
    </row>
    <row r="182" spans="2:14">
      <c r="B182" s="102">
        <v>45773.627083333333</v>
      </c>
      <c r="C182" s="63">
        <v>31.84</v>
      </c>
      <c r="D182" s="371">
        <v>8.6080000000000005</v>
      </c>
      <c r="E182">
        <v>209.9</v>
      </c>
      <c r="F182">
        <v>103747</v>
      </c>
      <c r="G182" s="63" t="s">
        <v>192</v>
      </c>
      <c r="H182" s="6">
        <f t="shared" si="45"/>
        <v>3.6988847583643119</v>
      </c>
      <c r="I182" s="106">
        <f t="shared" si="46"/>
        <v>24.384293680297397</v>
      </c>
      <c r="J182" s="106">
        <f t="shared" si="47"/>
        <v>6.592336683417086</v>
      </c>
      <c r="K182" s="63">
        <f t="shared" si="48"/>
        <v>0.15169128156264888</v>
      </c>
    </row>
    <row r="183" spans="2:14">
      <c r="B183" s="102"/>
      <c r="C183" s="63"/>
      <c r="D183" s="371"/>
    </row>
    <row r="184" spans="2:14">
      <c r="B184" s="102"/>
      <c r="C184" s="63"/>
      <c r="D184" s="371"/>
    </row>
    <row r="185" spans="2:14">
      <c r="B185" s="102"/>
      <c r="C185" s="63"/>
      <c r="D185" s="371"/>
    </row>
    <row r="186" spans="2:14">
      <c r="B186" s="102"/>
      <c r="C186" s="63"/>
      <c r="D186" s="371"/>
    </row>
    <row r="187" spans="2:14">
      <c r="B187" s="102"/>
      <c r="C187" s="63"/>
      <c r="D187" s="371"/>
    </row>
    <row r="188" spans="2:14">
      <c r="B188" s="102"/>
      <c r="C188" s="63"/>
      <c r="D188" s="371"/>
    </row>
    <row r="189" spans="2:14">
      <c r="B189" s="102"/>
      <c r="C189" s="63"/>
      <c r="D189" s="371"/>
    </row>
    <row r="190" spans="2:14">
      <c r="B190" s="102"/>
      <c r="C190" s="63"/>
      <c r="D190" s="371"/>
    </row>
    <row r="191" spans="2:14">
      <c r="B191" s="102"/>
      <c r="C191" s="63"/>
      <c r="D191" s="371"/>
    </row>
    <row r="192" spans="2:14">
      <c r="B192" s="102"/>
      <c r="C192" s="63"/>
      <c r="D192" s="371"/>
    </row>
    <row r="193" spans="2:4">
      <c r="B193" s="102"/>
      <c r="C193" s="63"/>
      <c r="D193" s="371"/>
    </row>
    <row r="194" spans="2:4">
      <c r="B194" s="102"/>
      <c r="C194" s="63"/>
      <c r="D194" s="371"/>
    </row>
    <row r="195" spans="2:4">
      <c r="B195" s="102"/>
      <c r="C195" s="63"/>
      <c r="D195" s="371"/>
    </row>
    <row r="196" spans="2:4">
      <c r="B196" s="102"/>
      <c r="C196" s="63"/>
      <c r="D196" s="371"/>
    </row>
    <row r="197" spans="2:4">
      <c r="B197" s="102"/>
      <c r="C197" s="63"/>
      <c r="D197" s="371"/>
    </row>
    <row r="198" spans="2:4">
      <c r="B198" s="102"/>
      <c r="C198" s="63"/>
      <c r="D198" s="371"/>
    </row>
    <row r="199" spans="2:4">
      <c r="B199" s="102"/>
      <c r="C199" s="63"/>
      <c r="D199" s="371"/>
    </row>
    <row r="200" spans="2:4">
      <c r="B200" s="102"/>
      <c r="C200" s="63"/>
      <c r="D200" s="371"/>
    </row>
    <row r="201" spans="2:4">
      <c r="B201" s="102"/>
      <c r="C201" s="63"/>
      <c r="D201" s="371"/>
    </row>
    <row r="202" spans="2:4">
      <c r="B202" s="102"/>
      <c r="C202" s="63"/>
      <c r="D202" s="371"/>
    </row>
    <row r="203" spans="2:4">
      <c r="B203" s="102"/>
      <c r="C203" s="63"/>
      <c r="D203" s="371"/>
    </row>
    <row r="204" spans="2:4">
      <c r="B204" s="102"/>
      <c r="C204" s="63"/>
      <c r="D204" s="371"/>
    </row>
    <row r="205" spans="2:4">
      <c r="B205" s="102"/>
      <c r="C205" s="63"/>
      <c r="D205" s="371"/>
    </row>
    <row r="206" spans="2:4">
      <c r="B206" s="102"/>
      <c r="C206" s="63"/>
      <c r="D206" s="371"/>
    </row>
    <row r="207" spans="2:4">
      <c r="B207" s="102"/>
      <c r="C207" s="63"/>
      <c r="D207" s="371"/>
    </row>
    <row r="208" spans="2:4">
      <c r="B208" s="102"/>
      <c r="C208" s="63"/>
      <c r="D208" s="371"/>
    </row>
    <row r="209" spans="2:4">
      <c r="B209" s="102"/>
      <c r="C209" s="63"/>
      <c r="D209" s="371"/>
    </row>
    <row r="210" spans="2:4">
      <c r="B210" s="102"/>
      <c r="C210" s="63"/>
      <c r="D210" s="371"/>
    </row>
    <row r="211" spans="2:4">
      <c r="B211" s="102"/>
      <c r="C211" s="63"/>
      <c r="D211" s="371"/>
    </row>
    <row r="212" spans="2:4">
      <c r="B212" s="102"/>
      <c r="C212" s="63"/>
      <c r="D212" s="371"/>
    </row>
    <row r="213" spans="2:4">
      <c r="B213" s="102"/>
      <c r="C213" s="63"/>
      <c r="D213" s="371"/>
    </row>
    <row r="214" spans="2:4">
      <c r="B214" s="102"/>
      <c r="C214" s="63"/>
      <c r="D214" s="371"/>
    </row>
    <row r="215" spans="2:4">
      <c r="B215" s="102"/>
      <c r="C215" s="63"/>
      <c r="D215" s="371"/>
    </row>
    <row r="216" spans="2:4">
      <c r="B216" s="102"/>
      <c r="C216" s="63"/>
      <c r="D216" s="371"/>
    </row>
    <row r="217" spans="2:4">
      <c r="B217" s="102"/>
      <c r="C217" s="63"/>
      <c r="D217" s="63"/>
    </row>
    <row r="218" spans="2:4">
      <c r="B218" s="102"/>
      <c r="C218" s="63"/>
      <c r="D218" s="63"/>
    </row>
    <row r="219" spans="2:4">
      <c r="B219" s="102"/>
      <c r="C219" s="63"/>
      <c r="D219" s="63"/>
    </row>
    <row r="220" spans="2:4">
      <c r="B220" s="102"/>
      <c r="C220" s="63"/>
      <c r="D220" s="63"/>
    </row>
    <row r="221" spans="2:4">
      <c r="B221" s="102"/>
      <c r="C221" s="63"/>
      <c r="D221" s="63"/>
    </row>
    <row r="222" spans="2:4">
      <c r="B222" s="102"/>
      <c r="C222" s="63"/>
      <c r="D222" s="63"/>
    </row>
    <row r="223" spans="2:4">
      <c r="B223" s="102"/>
      <c r="C223" s="63"/>
      <c r="D223" s="63"/>
    </row>
    <row r="224" spans="2:4">
      <c r="B224" s="102"/>
      <c r="C224" s="63"/>
      <c r="D224" s="63"/>
    </row>
    <row r="225" spans="2:4">
      <c r="B225" s="102"/>
      <c r="C225" s="63"/>
      <c r="D225" s="63"/>
    </row>
    <row r="226" spans="2:4">
      <c r="B226" s="102"/>
      <c r="C226" s="63"/>
      <c r="D226" s="63"/>
    </row>
    <row r="227" spans="2:4">
      <c r="B227" s="102"/>
      <c r="C227" s="63"/>
      <c r="D227" s="63"/>
    </row>
    <row r="228" spans="2:4">
      <c r="B228" s="102"/>
      <c r="C228" s="63"/>
      <c r="D228" s="63"/>
    </row>
    <row r="229" spans="2:4">
      <c r="B229" s="102"/>
      <c r="C229" s="63"/>
      <c r="D229" s="63"/>
    </row>
    <row r="230" spans="2:4">
      <c r="B230" s="102"/>
      <c r="C230" s="63"/>
      <c r="D230" s="63"/>
    </row>
    <row r="231" spans="2:4">
      <c r="B231" s="102"/>
      <c r="C231" s="63"/>
      <c r="D231" s="63"/>
    </row>
    <row r="232" spans="2:4">
      <c r="B232" s="102"/>
      <c r="C232" s="63"/>
      <c r="D232" s="63"/>
    </row>
    <row r="233" spans="2:4">
      <c r="B233" s="102"/>
      <c r="C233" s="63"/>
      <c r="D233" s="63"/>
    </row>
    <row r="234" spans="2:4">
      <c r="B234" s="102"/>
      <c r="C234" s="63"/>
      <c r="D234" s="63"/>
    </row>
    <row r="235" spans="2:4">
      <c r="B235" s="102"/>
      <c r="C235" s="63"/>
      <c r="D235" s="63"/>
    </row>
    <row r="236" spans="2:4">
      <c r="B236" s="102"/>
      <c r="C236" s="63"/>
      <c r="D236" s="63"/>
    </row>
    <row r="237" spans="2:4">
      <c r="B237" s="102"/>
      <c r="C237" s="63"/>
      <c r="D237" s="63"/>
    </row>
    <row r="238" spans="2:4">
      <c r="B238" s="102"/>
      <c r="C238" s="63"/>
      <c r="D238" s="63"/>
    </row>
    <row r="239" spans="2:4">
      <c r="B239" s="102"/>
      <c r="C239" s="63"/>
      <c r="D239" s="63"/>
    </row>
    <row r="240" spans="2:4">
      <c r="B240" s="102"/>
      <c r="C240" s="63"/>
      <c r="D240" s="63"/>
    </row>
    <row r="241" spans="2:4">
      <c r="B241" s="102"/>
      <c r="C241" s="63"/>
      <c r="D241" s="63"/>
    </row>
    <row r="242" spans="2:4">
      <c r="B242" s="102"/>
      <c r="C242" s="63"/>
      <c r="D242" s="63"/>
    </row>
    <row r="243" spans="2:4">
      <c r="B243" s="102"/>
      <c r="C243" s="63"/>
      <c r="D243" s="63"/>
    </row>
    <row r="244" spans="2:4">
      <c r="B244" s="102"/>
      <c r="C244" s="63"/>
      <c r="D244" s="63"/>
    </row>
    <row r="245" spans="2:4">
      <c r="B245" s="102"/>
      <c r="C245" s="63"/>
      <c r="D245" s="63"/>
    </row>
    <row r="246" spans="2:4">
      <c r="B246" s="102"/>
      <c r="C246" s="63"/>
      <c r="D246" s="63"/>
    </row>
    <row r="247" spans="2:4">
      <c r="B247" s="102"/>
      <c r="C247" s="63"/>
      <c r="D247" s="63"/>
    </row>
    <row r="248" spans="2:4">
      <c r="B248" s="102"/>
      <c r="C248" s="63"/>
      <c r="D248" s="63"/>
    </row>
    <row r="249" spans="2:4">
      <c r="B249" s="102"/>
      <c r="C249" s="63"/>
      <c r="D249" s="63"/>
    </row>
    <row r="250" spans="2:4">
      <c r="B250" s="102"/>
      <c r="C250" s="63"/>
      <c r="D250" s="63"/>
    </row>
    <row r="251" spans="2:4">
      <c r="B251" s="102"/>
      <c r="C251" s="63"/>
      <c r="D251" s="63"/>
    </row>
    <row r="252" spans="2:4">
      <c r="B252" s="102"/>
      <c r="C252" s="63"/>
      <c r="D252" s="63"/>
    </row>
    <row r="253" spans="2:4">
      <c r="B253" s="102"/>
      <c r="C253" s="63"/>
      <c r="D253" s="63"/>
    </row>
    <row r="254" spans="2:4">
      <c r="B254" s="102"/>
      <c r="C254" s="63"/>
      <c r="D254" s="63"/>
    </row>
    <row r="255" spans="2:4">
      <c r="B255" s="102"/>
      <c r="C255" s="63"/>
      <c r="D255" s="63"/>
    </row>
    <row r="256" spans="2:4">
      <c r="B256" s="102"/>
      <c r="C256" s="63"/>
      <c r="D256" s="63"/>
    </row>
    <row r="257" spans="2:4">
      <c r="B257" s="102"/>
      <c r="C257" s="63"/>
      <c r="D257" s="63"/>
    </row>
    <row r="258" spans="2:4">
      <c r="B258" s="102"/>
      <c r="C258" s="63"/>
      <c r="D258" s="63"/>
    </row>
    <row r="259" spans="2:4">
      <c r="B259" s="102"/>
      <c r="C259" s="63"/>
      <c r="D259" s="63"/>
    </row>
    <row r="260" spans="2:4">
      <c r="B260" s="102"/>
      <c r="C260" s="63"/>
      <c r="D260" s="63"/>
    </row>
    <row r="261" spans="2:4">
      <c r="B261" s="102"/>
      <c r="C261" s="63"/>
      <c r="D261" s="63"/>
    </row>
    <row r="262" spans="2:4">
      <c r="B262" s="102"/>
      <c r="C262" s="63"/>
      <c r="D262" s="63"/>
    </row>
    <row r="263" spans="2:4">
      <c r="B263" s="102"/>
      <c r="C263" s="63"/>
      <c r="D263" s="63"/>
    </row>
    <row r="264" spans="2:4">
      <c r="B264" s="102"/>
      <c r="C264" s="63"/>
      <c r="D264" s="63"/>
    </row>
    <row r="265" spans="2:4">
      <c r="B265" s="102"/>
      <c r="C265" s="63"/>
      <c r="D265" s="63"/>
    </row>
    <row r="266" spans="2:4">
      <c r="B266" s="102"/>
      <c r="C266" s="63"/>
      <c r="D266" s="63"/>
    </row>
    <row r="267" spans="2:4">
      <c r="B267" s="102"/>
      <c r="C267" s="63"/>
      <c r="D267" s="63"/>
    </row>
    <row r="268" spans="2:4">
      <c r="B268" s="102"/>
      <c r="C268" s="63"/>
      <c r="D268" s="63"/>
    </row>
    <row r="269" spans="2:4">
      <c r="B269" s="102"/>
      <c r="C269" s="63"/>
      <c r="D269" s="63"/>
    </row>
    <row r="270" spans="2:4">
      <c r="B270" s="102"/>
      <c r="C270" s="63"/>
      <c r="D270" s="63"/>
    </row>
    <row r="271" spans="2:4">
      <c r="B271" s="102"/>
      <c r="C271" s="63"/>
      <c r="D271" s="63"/>
    </row>
    <row r="272" spans="2:4">
      <c r="B272" s="102"/>
      <c r="C272" s="63"/>
      <c r="D272" s="63"/>
    </row>
    <row r="273" spans="2:4">
      <c r="B273" s="102"/>
      <c r="C273" s="63"/>
      <c r="D273" s="63"/>
    </row>
    <row r="274" spans="2:4">
      <c r="B274" s="102"/>
      <c r="C274" s="63"/>
      <c r="D274" s="63"/>
    </row>
    <row r="275" spans="2:4">
      <c r="B275" s="102"/>
      <c r="C275" s="63"/>
      <c r="D275" s="63"/>
    </row>
    <row r="276" spans="2:4">
      <c r="B276" s="102"/>
      <c r="C276" s="63"/>
      <c r="D276" s="63"/>
    </row>
    <row r="277" spans="2:4">
      <c r="B277" s="102"/>
      <c r="C277" s="63"/>
      <c r="D277" s="63"/>
    </row>
    <row r="278" spans="2:4">
      <c r="B278" s="102"/>
      <c r="C278" s="63"/>
      <c r="D278" s="63"/>
    </row>
    <row r="279" spans="2:4">
      <c r="B279" s="102"/>
      <c r="C279" s="63"/>
      <c r="D279" s="63"/>
    </row>
    <row r="280" spans="2:4">
      <c r="B280" s="102"/>
      <c r="C280" s="63"/>
      <c r="D280" s="63"/>
    </row>
    <row r="281" spans="2:4">
      <c r="B281" s="102"/>
      <c r="C281" s="63"/>
      <c r="D281" s="63"/>
    </row>
    <row r="282" spans="2:4">
      <c r="B282" s="102"/>
      <c r="C282" s="63"/>
      <c r="D282" s="63"/>
    </row>
    <row r="283" spans="2:4">
      <c r="B283" s="102"/>
      <c r="C283" s="63"/>
      <c r="D283" s="63"/>
    </row>
    <row r="284" spans="2:4">
      <c r="B284" s="102"/>
      <c r="C284" s="63"/>
      <c r="D284" s="63"/>
    </row>
    <row r="285" spans="2:4">
      <c r="B285" s="102"/>
      <c r="C285" s="63"/>
      <c r="D285" s="63"/>
    </row>
    <row r="286" spans="2:4">
      <c r="B286" s="102"/>
      <c r="C286" s="63"/>
      <c r="D286" s="63"/>
    </row>
    <row r="287" spans="2:4">
      <c r="B287" s="102"/>
      <c r="C287" s="63"/>
      <c r="D287" s="63"/>
    </row>
    <row r="288" spans="2:4">
      <c r="B288" s="102"/>
      <c r="C288" s="63"/>
      <c r="D288" s="63"/>
    </row>
    <row r="289" spans="2:4">
      <c r="B289" s="102"/>
      <c r="C289" s="63"/>
      <c r="D289" s="63"/>
    </row>
    <row r="290" spans="2:4">
      <c r="B290" s="102"/>
      <c r="C290" s="63"/>
      <c r="D290" s="63"/>
    </row>
    <row r="291" spans="2:4">
      <c r="B291" s="102"/>
      <c r="C291" s="63"/>
      <c r="D291" s="63"/>
    </row>
    <row r="292" spans="2:4">
      <c r="B292" s="102"/>
      <c r="C292" s="63"/>
      <c r="D292" s="63"/>
    </row>
    <row r="293" spans="2:4">
      <c r="B293" s="102"/>
      <c r="C293" s="63"/>
      <c r="D293" s="63"/>
    </row>
    <row r="294" spans="2:4">
      <c r="B294" s="102"/>
      <c r="C294" s="63"/>
      <c r="D294" s="63"/>
    </row>
    <row r="295" spans="2:4">
      <c r="B295" s="102"/>
      <c r="C295" s="63"/>
      <c r="D295" s="63"/>
    </row>
    <row r="296" spans="2:4">
      <c r="B296" s="102"/>
      <c r="C296" s="63"/>
      <c r="D296" s="63"/>
    </row>
    <row r="297" spans="2:4">
      <c r="B297" s="102"/>
      <c r="C297" s="63"/>
      <c r="D297" s="63"/>
    </row>
    <row r="298" spans="2:4">
      <c r="B298" s="102"/>
      <c r="C298" s="63"/>
      <c r="D298" s="63"/>
    </row>
    <row r="299" spans="2:4">
      <c r="B299" s="102"/>
      <c r="C299" s="63"/>
      <c r="D299" s="63"/>
    </row>
    <row r="300" spans="2:4">
      <c r="B300" s="102"/>
      <c r="C300" s="63"/>
      <c r="D300" s="63"/>
    </row>
    <row r="301" spans="2:4">
      <c r="B301" s="102"/>
      <c r="C301" s="63"/>
      <c r="D301" s="63"/>
    </row>
    <row r="302" spans="2:4">
      <c r="B302" s="102"/>
      <c r="C302" s="63"/>
      <c r="D302" s="63"/>
    </row>
    <row r="303" spans="2:4">
      <c r="B303" s="102"/>
      <c r="C303" s="63"/>
      <c r="D303" s="63"/>
    </row>
    <row r="304" spans="2:4">
      <c r="B304" s="102"/>
      <c r="C304" s="63"/>
      <c r="D304" s="63"/>
    </row>
    <row r="305" spans="2:4">
      <c r="B305" s="102"/>
      <c r="C305" s="63"/>
      <c r="D305" s="63"/>
    </row>
    <row r="306" spans="2:4">
      <c r="B306" s="102"/>
      <c r="C306" s="63"/>
      <c r="D306" s="63"/>
    </row>
    <row r="307" spans="2:4">
      <c r="B307" s="102"/>
      <c r="C307" s="63"/>
      <c r="D307" s="63"/>
    </row>
    <row r="308" spans="2:4">
      <c r="B308" s="102"/>
      <c r="C308" s="63"/>
      <c r="D308" s="63"/>
    </row>
    <row r="309" spans="2:4">
      <c r="B309" s="102"/>
      <c r="C309" s="63"/>
      <c r="D309" s="63"/>
    </row>
    <row r="310" spans="2:4">
      <c r="B310" s="102"/>
      <c r="C310" s="63"/>
      <c r="D310" s="63"/>
    </row>
    <row r="311" spans="2:4">
      <c r="B311" s="102"/>
      <c r="C311" s="63"/>
      <c r="D311" s="63"/>
    </row>
    <row r="312" spans="2:4">
      <c r="B312" s="102"/>
      <c r="C312" s="63"/>
      <c r="D312" s="63"/>
    </row>
    <row r="313" spans="2:4">
      <c r="B313" s="102"/>
      <c r="C313" s="63"/>
      <c r="D313" s="63"/>
    </row>
    <row r="314" spans="2:4">
      <c r="B314" s="102"/>
      <c r="C314" s="63"/>
      <c r="D314" s="63"/>
    </row>
    <row r="315" spans="2:4">
      <c r="B315" s="102"/>
      <c r="C315" s="63"/>
      <c r="D315" s="63"/>
    </row>
    <row r="316" spans="2:4">
      <c r="B316" s="102"/>
      <c r="C316" s="63"/>
      <c r="D316" s="63"/>
    </row>
    <row r="317" spans="2:4">
      <c r="B317" s="102"/>
      <c r="C317" s="63"/>
      <c r="D317" s="63"/>
    </row>
    <row r="318" spans="2:4">
      <c r="B318" s="102"/>
      <c r="C318" s="63"/>
      <c r="D318" s="63"/>
    </row>
    <row r="319" spans="2:4">
      <c r="B319" s="102"/>
      <c r="C319" s="63"/>
      <c r="D319" s="63"/>
    </row>
    <row r="320" spans="2:4">
      <c r="B320" s="102"/>
      <c r="C320" s="63"/>
      <c r="D320" s="63"/>
    </row>
    <row r="321" spans="2:4">
      <c r="B321" s="102"/>
      <c r="C321" s="63"/>
      <c r="D321" s="63"/>
    </row>
    <row r="322" spans="2:4">
      <c r="B322" s="102"/>
      <c r="C322" s="63"/>
      <c r="D322" s="63"/>
    </row>
    <row r="323" spans="2:4">
      <c r="B323" s="102"/>
      <c r="C323" s="63"/>
      <c r="D323" s="63"/>
    </row>
    <row r="324" spans="2:4">
      <c r="B324" s="102"/>
      <c r="C324" s="63"/>
      <c r="D324" s="63"/>
    </row>
    <row r="325" spans="2:4">
      <c r="B325" s="102"/>
      <c r="C325" s="63"/>
      <c r="D325" s="63"/>
    </row>
    <row r="326" spans="2:4">
      <c r="B326" s="102"/>
      <c r="C326" s="63"/>
      <c r="D326" s="63"/>
    </row>
    <row r="327" spans="2:4">
      <c r="B327" s="102"/>
      <c r="C327" s="63"/>
      <c r="D327" s="63"/>
    </row>
    <row r="328" spans="2:4">
      <c r="B328" s="102"/>
      <c r="C328" s="102"/>
    </row>
    <row r="329" spans="2:4">
      <c r="B329" s="102"/>
      <c r="C329" s="102"/>
    </row>
    <row r="330" spans="2:4">
      <c r="B330" s="102"/>
      <c r="C330" s="102"/>
    </row>
    <row r="331" spans="2:4">
      <c r="B331" s="102"/>
      <c r="C331" s="102"/>
    </row>
    <row r="332" spans="2:4">
      <c r="B332" s="102"/>
      <c r="C332" s="102"/>
    </row>
    <row r="333" spans="2:4">
      <c r="B333" s="102"/>
      <c r="C333" s="102"/>
    </row>
    <row r="334" spans="2:4">
      <c r="B334" s="102"/>
      <c r="C334" s="102"/>
    </row>
    <row r="335" spans="2:4">
      <c r="B335" s="102"/>
      <c r="C335" s="102"/>
    </row>
    <row r="336" spans="2:4">
      <c r="B336" s="102"/>
      <c r="C336" s="102"/>
    </row>
    <row r="337" spans="2:3">
      <c r="B337" s="102"/>
      <c r="C337" s="102"/>
    </row>
    <row r="338" spans="2:3">
      <c r="B338" s="102"/>
      <c r="C338" s="102"/>
    </row>
    <row r="339" spans="2:3">
      <c r="B339" s="102"/>
      <c r="C339" s="102"/>
    </row>
    <row r="340" spans="2:3">
      <c r="B340" s="102"/>
      <c r="C340" s="102"/>
    </row>
    <row r="341" spans="2:3">
      <c r="B341" s="102"/>
      <c r="C341" s="102"/>
    </row>
    <row r="342" spans="2:3">
      <c r="B342" s="102"/>
      <c r="C342" s="102"/>
    </row>
    <row r="343" spans="2:3">
      <c r="B343" s="102"/>
      <c r="C343" s="102"/>
    </row>
    <row r="344" spans="2:3">
      <c r="B344" s="102"/>
      <c r="C344" s="102"/>
    </row>
    <row r="345" spans="2:3">
      <c r="B345" s="102"/>
      <c r="C345" s="102"/>
    </row>
    <row r="346" spans="2:3">
      <c r="B346" s="102"/>
      <c r="C346" s="102"/>
    </row>
    <row r="347" spans="2:3">
      <c r="B347" s="102"/>
      <c r="C347" s="102"/>
    </row>
    <row r="348" spans="2:3">
      <c r="B348" s="102"/>
      <c r="C348" s="102"/>
    </row>
    <row r="349" spans="2:3">
      <c r="B349" s="102"/>
      <c r="C349" s="102"/>
    </row>
    <row r="350" spans="2:3">
      <c r="B350" s="102"/>
      <c r="C350" s="102"/>
    </row>
    <row r="351" spans="2:3">
      <c r="B351" s="102"/>
      <c r="C351" s="102"/>
    </row>
    <row r="352" spans="2:3">
      <c r="B352" s="102"/>
      <c r="C352" s="102"/>
    </row>
    <row r="353" spans="2:3">
      <c r="B353" s="102"/>
      <c r="C353" s="102"/>
    </row>
    <row r="354" spans="2:3">
      <c r="B354" s="102"/>
      <c r="C354" s="102"/>
    </row>
    <row r="355" spans="2:3">
      <c r="B355" s="102"/>
      <c r="C355" s="102"/>
    </row>
    <row r="356" spans="2:3">
      <c r="B356" s="102"/>
      <c r="C356" s="102"/>
    </row>
    <row r="357" spans="2:3">
      <c r="B357" s="102"/>
      <c r="C357" s="102"/>
    </row>
    <row r="358" spans="2:3">
      <c r="B358" s="102"/>
      <c r="C358" s="102"/>
    </row>
    <row r="359" spans="2:3">
      <c r="B359" s="102"/>
      <c r="C359" s="102"/>
    </row>
    <row r="360" spans="2:3">
      <c r="B360" s="102"/>
      <c r="C360" s="102"/>
    </row>
    <row r="361" spans="2:3">
      <c r="B361" s="102"/>
      <c r="C361" s="102"/>
    </row>
    <row r="362" spans="2:3">
      <c r="B362" s="102"/>
      <c r="C362" s="102"/>
    </row>
    <row r="363" spans="2:3">
      <c r="B363" s="102"/>
      <c r="C363" s="102"/>
    </row>
    <row r="364" spans="2:3">
      <c r="B364" s="102"/>
      <c r="C364" s="102"/>
    </row>
    <row r="365" spans="2:3">
      <c r="B365" s="102"/>
      <c r="C365" s="102"/>
    </row>
    <row r="366" spans="2:3">
      <c r="B366" s="102"/>
      <c r="C366" s="102"/>
    </row>
    <row r="367" spans="2:3">
      <c r="B367" s="102"/>
      <c r="C367" s="102"/>
    </row>
    <row r="368" spans="2:3">
      <c r="B368" s="102"/>
      <c r="C368" s="102"/>
    </row>
    <row r="369" spans="2:3">
      <c r="B369" s="102"/>
      <c r="C369" s="102"/>
    </row>
    <row r="370" spans="2:3">
      <c r="B370" s="102"/>
      <c r="C370" s="102"/>
    </row>
    <row r="371" spans="2:3">
      <c r="B371" s="102"/>
      <c r="C371" s="102"/>
    </row>
    <row r="372" spans="2:3">
      <c r="B372" s="102"/>
      <c r="C372" s="102"/>
    </row>
    <row r="373" spans="2:3">
      <c r="B373" s="102"/>
      <c r="C373" s="102"/>
    </row>
    <row r="374" spans="2:3">
      <c r="B374" s="102"/>
      <c r="C374" s="102"/>
    </row>
    <row r="375" spans="2:3">
      <c r="B375" s="102"/>
      <c r="C375" s="102"/>
    </row>
    <row r="376" spans="2:3">
      <c r="B376" s="102"/>
      <c r="C376" s="102"/>
    </row>
    <row r="377" spans="2:3">
      <c r="B377" s="102"/>
      <c r="C377" s="102"/>
    </row>
    <row r="378" spans="2:3">
      <c r="B378" s="102"/>
      <c r="C378" s="102"/>
    </row>
    <row r="379" spans="2:3">
      <c r="B379" s="102"/>
      <c r="C379" s="102"/>
    </row>
    <row r="380" spans="2:3">
      <c r="B380" s="102"/>
      <c r="C380" s="102"/>
    </row>
    <row r="381" spans="2:3">
      <c r="B381" s="102"/>
      <c r="C381" s="102"/>
    </row>
    <row r="382" spans="2:3">
      <c r="B382" s="102"/>
      <c r="C382" s="102"/>
    </row>
    <row r="383" spans="2:3">
      <c r="B383" s="102"/>
      <c r="C383" s="102"/>
    </row>
    <row r="384" spans="2:3">
      <c r="B384" s="102"/>
      <c r="C384" s="102"/>
    </row>
    <row r="385" spans="2:3">
      <c r="B385" s="102"/>
      <c r="C385" s="102"/>
    </row>
    <row r="386" spans="2:3">
      <c r="B386" s="102"/>
      <c r="C386" s="102"/>
    </row>
    <row r="387" spans="2:3">
      <c r="B387" s="102"/>
      <c r="C387" s="102"/>
    </row>
    <row r="388" spans="2:3">
      <c r="B388" s="102"/>
      <c r="C388" s="102"/>
    </row>
    <row r="389" spans="2:3">
      <c r="B389" s="102"/>
      <c r="C389" s="102"/>
    </row>
    <row r="390" spans="2:3">
      <c r="B390" s="102"/>
      <c r="C390" s="102"/>
    </row>
    <row r="391" spans="2:3">
      <c r="B391" s="102"/>
      <c r="C391" s="102"/>
    </row>
    <row r="392" spans="2:3">
      <c r="B392" s="102"/>
      <c r="C392" s="102"/>
    </row>
    <row r="393" spans="2:3">
      <c r="B393" s="102"/>
      <c r="C393" s="102"/>
    </row>
    <row r="394" spans="2:3">
      <c r="B394" s="102"/>
      <c r="C394" s="102"/>
    </row>
    <row r="395" spans="2:3">
      <c r="B395" s="102"/>
      <c r="C395" s="102"/>
    </row>
    <row r="396" spans="2:3">
      <c r="B396" s="102"/>
      <c r="C396" s="102"/>
    </row>
    <row r="397" spans="2:3">
      <c r="B397" s="102"/>
      <c r="C397" s="102"/>
    </row>
    <row r="398" spans="2:3">
      <c r="B398" s="102"/>
      <c r="C398" s="102"/>
    </row>
    <row r="399" spans="2:3">
      <c r="B399" s="102"/>
      <c r="C399" s="102"/>
    </row>
    <row r="400" spans="2:3">
      <c r="B400" s="102"/>
      <c r="C400" s="102"/>
    </row>
    <row r="401" spans="2:3">
      <c r="B401" s="102"/>
      <c r="C401" s="102"/>
    </row>
    <row r="402" spans="2:3">
      <c r="B402" s="102"/>
      <c r="C402" s="102"/>
    </row>
    <row r="403" spans="2:3">
      <c r="B403" s="102"/>
      <c r="C403" s="102"/>
    </row>
    <row r="404" spans="2:3">
      <c r="B404" s="102"/>
      <c r="C404" s="102"/>
    </row>
    <row r="405" spans="2:3">
      <c r="B405" s="102"/>
      <c r="C405" s="102"/>
    </row>
    <row r="406" spans="2:3">
      <c r="B406" s="102"/>
      <c r="C406" s="102"/>
    </row>
    <row r="407" spans="2:3">
      <c r="B407" s="102"/>
      <c r="C407" s="102"/>
    </row>
    <row r="408" spans="2:3">
      <c r="B408" s="102"/>
      <c r="C408" s="102"/>
    </row>
    <row r="409" spans="2:3">
      <c r="B409" s="102"/>
      <c r="C409" s="102"/>
    </row>
    <row r="410" spans="2:3">
      <c r="B410" s="102"/>
      <c r="C410" s="102"/>
    </row>
    <row r="411" spans="2:3">
      <c r="B411" s="102"/>
      <c r="C411" s="102"/>
    </row>
    <row r="412" spans="2:3">
      <c r="B412" s="102"/>
      <c r="C412" s="102"/>
    </row>
    <row r="413" spans="2:3">
      <c r="B413" s="102"/>
      <c r="C413" s="102"/>
    </row>
    <row r="414" spans="2:3">
      <c r="B414" s="102"/>
      <c r="C414" s="102"/>
    </row>
    <row r="415" spans="2:3">
      <c r="B415" s="102"/>
      <c r="C415" s="102"/>
    </row>
    <row r="416" spans="2:3">
      <c r="B416" s="102"/>
      <c r="C416" s="102"/>
    </row>
    <row r="417" spans="2:3">
      <c r="B417" s="102"/>
      <c r="C417" s="102"/>
    </row>
    <row r="418" spans="2:3">
      <c r="B418" s="102"/>
      <c r="C418" s="102"/>
    </row>
    <row r="419" spans="2:3">
      <c r="B419" s="102"/>
      <c r="C419" s="102"/>
    </row>
    <row r="420" spans="2:3">
      <c r="B420" s="102"/>
      <c r="C420" s="102"/>
    </row>
    <row r="421" spans="2:3">
      <c r="B421" s="102"/>
      <c r="C421" s="102"/>
    </row>
    <row r="422" spans="2:3">
      <c r="B422" s="102"/>
      <c r="C422" s="102"/>
    </row>
    <row r="423" spans="2:3">
      <c r="B423" s="102"/>
      <c r="C423" s="102"/>
    </row>
    <row r="424" spans="2:3">
      <c r="B424" s="102"/>
      <c r="C424" s="102"/>
    </row>
    <row r="425" spans="2:3">
      <c r="B425" s="102"/>
      <c r="C425" s="102"/>
    </row>
    <row r="426" spans="2:3">
      <c r="B426" s="102"/>
      <c r="C426" s="102"/>
    </row>
    <row r="427" spans="2:3">
      <c r="B427" s="102"/>
      <c r="C427" s="102"/>
    </row>
    <row r="428" spans="2:3">
      <c r="B428" s="102"/>
      <c r="C428" s="102"/>
    </row>
    <row r="429" spans="2:3">
      <c r="B429" s="102"/>
      <c r="C429" s="102"/>
    </row>
    <row r="430" spans="2:3">
      <c r="B430" s="102"/>
      <c r="C430" s="102"/>
    </row>
    <row r="431" spans="2:3">
      <c r="B431" s="102"/>
      <c r="C431" s="102"/>
    </row>
    <row r="432" spans="2:3">
      <c r="B432" s="102"/>
      <c r="C432" s="102"/>
    </row>
    <row r="433" spans="2:3">
      <c r="B433" s="102"/>
      <c r="C433" s="102"/>
    </row>
    <row r="434" spans="2:3">
      <c r="B434" s="102"/>
      <c r="C434" s="102"/>
    </row>
    <row r="435" spans="2:3">
      <c r="B435" s="102"/>
      <c r="C435" s="102"/>
    </row>
    <row r="436" spans="2:3">
      <c r="B436" s="102"/>
      <c r="C436" s="102"/>
    </row>
    <row r="437" spans="2:3">
      <c r="B437" s="102"/>
      <c r="C437" s="102"/>
    </row>
    <row r="438" spans="2:3">
      <c r="B438" s="102"/>
      <c r="C438" s="102"/>
    </row>
    <row r="439" spans="2:3">
      <c r="B439" s="102"/>
      <c r="C439" s="102"/>
    </row>
    <row r="440" spans="2:3">
      <c r="B440" s="102"/>
      <c r="C440" s="102"/>
    </row>
    <row r="441" spans="2:3">
      <c r="B441" s="102"/>
      <c r="C441" s="102"/>
    </row>
    <row r="442" spans="2:3">
      <c r="B442" s="102"/>
      <c r="C442" s="102"/>
    </row>
    <row r="443" spans="2:3">
      <c r="B443" s="102"/>
      <c r="C443" s="102"/>
    </row>
    <row r="444" spans="2:3">
      <c r="B444" s="102"/>
      <c r="C444" s="102"/>
    </row>
    <row r="445" spans="2:3">
      <c r="B445" s="102"/>
      <c r="C445" s="102"/>
    </row>
    <row r="446" spans="2:3">
      <c r="B446" s="102"/>
      <c r="C446" s="102"/>
    </row>
    <row r="447" spans="2:3">
      <c r="B447" s="102"/>
      <c r="C447" s="102"/>
    </row>
    <row r="448" spans="2:3">
      <c r="B448" s="102"/>
      <c r="C448" s="102"/>
    </row>
    <row r="449" spans="2:3">
      <c r="B449" s="102"/>
      <c r="C449" s="102"/>
    </row>
    <row r="450" spans="2:3">
      <c r="B450" s="102"/>
      <c r="C450" s="102"/>
    </row>
  </sheetData>
  <phoneticPr fontId="2" type="noConversion"/>
  <conditionalFormatting sqref="N59:N302">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1042-54FF-4483-8FF4-5E8338EE875E}">
  <sheetPr codeName="Sheet10">
    <tabColor rgb="FF00B050"/>
  </sheetPr>
  <dimension ref="B1:X3436"/>
  <sheetViews>
    <sheetView topLeftCell="A1580" zoomScale="80" zoomScaleNormal="80" workbookViewId="0">
      <selection activeCell="K1615" sqref="K1615"/>
    </sheetView>
  </sheetViews>
  <sheetFormatPr defaultColWidth="8.85546875" defaultRowHeight="15"/>
  <cols>
    <col min="2" max="2" width="11.5703125" bestFit="1" customWidth="1"/>
    <col min="6" max="6" width="11.7109375" bestFit="1" customWidth="1"/>
    <col min="7" max="7" width="11.7109375" customWidth="1"/>
    <col min="23" max="23" width="20.42578125" bestFit="1" customWidth="1"/>
    <col min="24" max="24" width="9.5703125" bestFit="1" customWidth="1"/>
  </cols>
  <sheetData>
    <row r="1" spans="2:24">
      <c r="C1" s="1"/>
      <c r="D1" s="1"/>
      <c r="E1" s="1"/>
      <c r="F1" s="1"/>
      <c r="G1" s="1"/>
      <c r="H1" s="1"/>
      <c r="S1">
        <f>SUM(S3:S911)</f>
        <v>60</v>
      </c>
      <c r="T1">
        <f>SUM(T3:T911)</f>
        <v>22</v>
      </c>
      <c r="W1">
        <f>COUNT(B3:B911)</f>
        <v>909</v>
      </c>
    </row>
    <row r="2" spans="2:24">
      <c r="C2" s="1" t="s">
        <v>125</v>
      </c>
      <c r="D2" s="1" t="s">
        <v>124</v>
      </c>
      <c r="E2" s="1" t="s">
        <v>127</v>
      </c>
      <c r="F2" s="1" t="s">
        <v>33</v>
      </c>
      <c r="G2" s="1" t="s">
        <v>128</v>
      </c>
      <c r="H2" s="1" t="s">
        <v>129</v>
      </c>
      <c r="I2" s="1" t="s">
        <v>130</v>
      </c>
      <c r="J2" s="1" t="s">
        <v>751</v>
      </c>
      <c r="K2" s="1" t="s">
        <v>131</v>
      </c>
      <c r="M2" s="1" t="s">
        <v>793</v>
      </c>
      <c r="P2" s="1" t="s">
        <v>124</v>
      </c>
      <c r="Q2" s="1" t="s">
        <v>127</v>
      </c>
      <c r="R2" s="1" t="s">
        <v>33</v>
      </c>
      <c r="S2" s="1" t="s">
        <v>128</v>
      </c>
      <c r="T2" s="1" t="s">
        <v>129</v>
      </c>
      <c r="U2" s="1" t="s">
        <v>130</v>
      </c>
    </row>
    <row r="3" spans="2:24">
      <c r="B3" s="102">
        <v>44415</v>
      </c>
      <c r="C3">
        <v>1</v>
      </c>
      <c r="D3" t="s">
        <v>121</v>
      </c>
      <c r="E3" t="s">
        <v>121</v>
      </c>
      <c r="F3" t="s">
        <v>121</v>
      </c>
      <c r="G3" t="s">
        <v>121</v>
      </c>
      <c r="H3" t="s">
        <v>121</v>
      </c>
      <c r="I3" t="s">
        <v>120</v>
      </c>
      <c r="P3">
        <f t="shared" ref="P3:P66" si="0">IF(D3="YES", 1, 0)</f>
        <v>0</v>
      </c>
      <c r="Q3">
        <f t="shared" ref="Q3:Q66" si="1">IF(E3="YES", 1, 0)</f>
        <v>0</v>
      </c>
      <c r="R3">
        <f t="shared" ref="R3:R66" si="2">IF(F3="YES", 1, 0)</f>
        <v>0</v>
      </c>
      <c r="S3">
        <f t="shared" ref="S3:S66" si="3">IF(G3="YES", 1, 0)</f>
        <v>0</v>
      </c>
      <c r="T3">
        <f t="shared" ref="T3:T66" si="4">IF(H3="YES", 1, 0)</f>
        <v>0</v>
      </c>
      <c r="U3">
        <f t="shared" ref="U3:U66" si="5">IF(I3="YES", 1, 0)</f>
        <v>1</v>
      </c>
    </row>
    <row r="4" spans="2:24">
      <c r="B4" s="102">
        <v>44416</v>
      </c>
      <c r="C4">
        <v>1.5</v>
      </c>
      <c r="D4" t="s">
        <v>120</v>
      </c>
      <c r="E4" t="s">
        <v>121</v>
      </c>
      <c r="F4" t="s">
        <v>121</v>
      </c>
      <c r="G4" t="s">
        <v>121</v>
      </c>
      <c r="H4" t="s">
        <v>121</v>
      </c>
      <c r="I4" t="s">
        <v>121</v>
      </c>
      <c r="P4">
        <f t="shared" si="0"/>
        <v>1</v>
      </c>
      <c r="Q4">
        <f t="shared" si="1"/>
        <v>0</v>
      </c>
      <c r="R4">
        <f t="shared" si="2"/>
        <v>0</v>
      </c>
      <c r="S4">
        <f t="shared" si="3"/>
        <v>0</v>
      </c>
      <c r="T4">
        <f t="shared" si="4"/>
        <v>0</v>
      </c>
      <c r="U4">
        <f t="shared" si="5"/>
        <v>0</v>
      </c>
    </row>
    <row r="5" spans="2:24">
      <c r="B5" s="102">
        <v>44417</v>
      </c>
      <c r="C5">
        <v>1.5</v>
      </c>
      <c r="D5" t="s">
        <v>121</v>
      </c>
      <c r="E5" t="s">
        <v>121</v>
      </c>
      <c r="F5" t="s">
        <v>121</v>
      </c>
      <c r="G5" t="s">
        <v>121</v>
      </c>
      <c r="H5" t="s">
        <v>121</v>
      </c>
      <c r="I5" t="s">
        <v>121</v>
      </c>
      <c r="P5">
        <f t="shared" si="0"/>
        <v>0</v>
      </c>
      <c r="Q5">
        <f t="shared" si="1"/>
        <v>0</v>
      </c>
      <c r="R5">
        <f t="shared" si="2"/>
        <v>0</v>
      </c>
      <c r="S5">
        <f t="shared" si="3"/>
        <v>0</v>
      </c>
      <c r="T5">
        <f t="shared" si="4"/>
        <v>0</v>
      </c>
      <c r="U5">
        <f t="shared" si="5"/>
        <v>0</v>
      </c>
      <c r="W5" s="118">
        <f>S1/W1</f>
        <v>6.6006600660066E-2</v>
      </c>
      <c r="X5" s="118">
        <f>T1/W1</f>
        <v>2.4202420242024202E-2</v>
      </c>
    </row>
    <row r="6" spans="2:24">
      <c r="B6" s="102">
        <v>44418</v>
      </c>
      <c r="C6">
        <v>1.5</v>
      </c>
      <c r="D6" t="s">
        <v>121</v>
      </c>
      <c r="E6" t="s">
        <v>121</v>
      </c>
      <c r="F6" t="s">
        <v>121</v>
      </c>
      <c r="G6" t="s">
        <v>121</v>
      </c>
      <c r="H6" t="s">
        <v>121</v>
      </c>
      <c r="I6" t="s">
        <v>121</v>
      </c>
      <c r="P6">
        <f t="shared" si="0"/>
        <v>0</v>
      </c>
      <c r="Q6">
        <f t="shared" si="1"/>
        <v>0</v>
      </c>
      <c r="R6">
        <f t="shared" si="2"/>
        <v>0</v>
      </c>
      <c r="S6">
        <f t="shared" si="3"/>
        <v>0</v>
      </c>
      <c r="T6">
        <f t="shared" si="4"/>
        <v>0</v>
      </c>
      <c r="U6">
        <f t="shared" si="5"/>
        <v>0</v>
      </c>
    </row>
    <row r="7" spans="2:24">
      <c r="B7" s="102">
        <v>44419</v>
      </c>
      <c r="C7">
        <v>1.5</v>
      </c>
      <c r="D7" t="s">
        <v>121</v>
      </c>
      <c r="E7" t="s">
        <v>121</v>
      </c>
      <c r="F7" t="s">
        <v>121</v>
      </c>
      <c r="G7" t="s">
        <v>121</v>
      </c>
      <c r="H7" t="s">
        <v>121</v>
      </c>
      <c r="I7" t="s">
        <v>121</v>
      </c>
      <c r="P7">
        <f t="shared" si="0"/>
        <v>0</v>
      </c>
      <c r="Q7">
        <f t="shared" si="1"/>
        <v>0</v>
      </c>
      <c r="R7">
        <f t="shared" si="2"/>
        <v>0</v>
      </c>
      <c r="S7">
        <f t="shared" si="3"/>
        <v>0</v>
      </c>
      <c r="T7">
        <f t="shared" si="4"/>
        <v>0</v>
      </c>
      <c r="U7">
        <f t="shared" si="5"/>
        <v>0</v>
      </c>
      <c r="W7" s="332">
        <f>X5/W5</f>
        <v>0.3666666666666667</v>
      </c>
    </row>
    <row r="8" spans="2:24">
      <c r="B8" s="102">
        <v>44420</v>
      </c>
      <c r="C8">
        <v>1.5</v>
      </c>
      <c r="D8" t="s">
        <v>121</v>
      </c>
      <c r="E8" t="s">
        <v>121</v>
      </c>
      <c r="F8" t="s">
        <v>121</v>
      </c>
      <c r="G8" t="s">
        <v>121</v>
      </c>
      <c r="H8" t="s">
        <v>121</v>
      </c>
      <c r="I8" t="s">
        <v>120</v>
      </c>
      <c r="P8">
        <f t="shared" si="0"/>
        <v>0</v>
      </c>
      <c r="Q8">
        <f t="shared" si="1"/>
        <v>0</v>
      </c>
      <c r="R8">
        <f t="shared" si="2"/>
        <v>0</v>
      </c>
      <c r="S8">
        <f t="shared" si="3"/>
        <v>0</v>
      </c>
      <c r="T8">
        <f t="shared" si="4"/>
        <v>0</v>
      </c>
      <c r="U8">
        <f t="shared" si="5"/>
        <v>1</v>
      </c>
    </row>
    <row r="9" spans="2:24">
      <c r="B9" s="102">
        <v>44421</v>
      </c>
      <c r="C9">
        <v>2.5</v>
      </c>
      <c r="D9" t="s">
        <v>120</v>
      </c>
      <c r="E9" t="s">
        <v>121</v>
      </c>
      <c r="F9" t="s">
        <v>121</v>
      </c>
      <c r="G9" t="s">
        <v>120</v>
      </c>
      <c r="H9" t="s">
        <v>121</v>
      </c>
      <c r="I9" t="s">
        <v>121</v>
      </c>
      <c r="P9">
        <f t="shared" si="0"/>
        <v>1</v>
      </c>
      <c r="Q9">
        <f t="shared" si="1"/>
        <v>0</v>
      </c>
      <c r="R9">
        <f t="shared" si="2"/>
        <v>0</v>
      </c>
      <c r="S9">
        <f t="shared" si="3"/>
        <v>1</v>
      </c>
      <c r="T9">
        <f t="shared" si="4"/>
        <v>0</v>
      </c>
      <c r="U9">
        <f t="shared" si="5"/>
        <v>0</v>
      </c>
    </row>
    <row r="10" spans="2:24">
      <c r="B10" s="102">
        <v>44422</v>
      </c>
      <c r="C10">
        <v>2</v>
      </c>
      <c r="D10" t="s">
        <v>121</v>
      </c>
      <c r="E10" t="s">
        <v>120</v>
      </c>
      <c r="F10" t="s">
        <v>121</v>
      </c>
      <c r="G10" t="s">
        <v>121</v>
      </c>
      <c r="H10" t="s">
        <v>121</v>
      </c>
      <c r="I10" t="s">
        <v>120</v>
      </c>
      <c r="P10">
        <f t="shared" si="0"/>
        <v>0</v>
      </c>
      <c r="Q10">
        <f t="shared" si="1"/>
        <v>1</v>
      </c>
      <c r="R10">
        <f t="shared" si="2"/>
        <v>0</v>
      </c>
      <c r="S10">
        <f t="shared" si="3"/>
        <v>0</v>
      </c>
      <c r="T10">
        <f t="shared" si="4"/>
        <v>0</v>
      </c>
      <c r="U10">
        <f t="shared" si="5"/>
        <v>1</v>
      </c>
    </row>
    <row r="11" spans="2:24">
      <c r="B11" s="102">
        <v>44423</v>
      </c>
      <c r="C11">
        <v>1</v>
      </c>
      <c r="D11" t="s">
        <v>121</v>
      </c>
      <c r="E11" t="s">
        <v>121</v>
      </c>
      <c r="F11" t="s">
        <v>121</v>
      </c>
      <c r="G11" t="s">
        <v>121</v>
      </c>
      <c r="H11" t="s">
        <v>121</v>
      </c>
      <c r="I11" t="s">
        <v>121</v>
      </c>
      <c r="P11">
        <f t="shared" si="0"/>
        <v>0</v>
      </c>
      <c r="Q11">
        <f t="shared" si="1"/>
        <v>0</v>
      </c>
      <c r="R11">
        <f t="shared" si="2"/>
        <v>0</v>
      </c>
      <c r="S11">
        <f t="shared" si="3"/>
        <v>0</v>
      </c>
      <c r="T11">
        <f t="shared" si="4"/>
        <v>0</v>
      </c>
      <c r="U11">
        <f t="shared" si="5"/>
        <v>0</v>
      </c>
    </row>
    <row r="12" spans="2:24">
      <c r="B12" s="102">
        <v>44424</v>
      </c>
      <c r="C12">
        <v>1.5</v>
      </c>
      <c r="D12" t="s">
        <v>121</v>
      </c>
      <c r="E12" t="s">
        <v>121</v>
      </c>
      <c r="F12" t="s">
        <v>121</v>
      </c>
      <c r="G12" t="s">
        <v>121</v>
      </c>
      <c r="H12" t="s">
        <v>121</v>
      </c>
      <c r="I12" t="s">
        <v>121</v>
      </c>
      <c r="P12">
        <f t="shared" si="0"/>
        <v>0</v>
      </c>
      <c r="Q12">
        <f t="shared" si="1"/>
        <v>0</v>
      </c>
      <c r="R12">
        <f t="shared" si="2"/>
        <v>0</v>
      </c>
      <c r="S12">
        <f t="shared" si="3"/>
        <v>0</v>
      </c>
      <c r="T12">
        <f t="shared" si="4"/>
        <v>0</v>
      </c>
      <c r="U12">
        <f t="shared" si="5"/>
        <v>0</v>
      </c>
    </row>
    <row r="13" spans="2:24">
      <c r="B13" s="102">
        <v>44425</v>
      </c>
      <c r="C13">
        <v>1.5</v>
      </c>
      <c r="D13" t="s">
        <v>121</v>
      </c>
      <c r="E13" t="s">
        <v>121</v>
      </c>
      <c r="F13" t="s">
        <v>121</v>
      </c>
      <c r="G13" t="s">
        <v>121</v>
      </c>
      <c r="H13" t="s">
        <v>121</v>
      </c>
      <c r="I13" t="s">
        <v>121</v>
      </c>
      <c r="P13">
        <f t="shared" si="0"/>
        <v>0</v>
      </c>
      <c r="Q13">
        <f t="shared" si="1"/>
        <v>0</v>
      </c>
      <c r="R13">
        <f t="shared" si="2"/>
        <v>0</v>
      </c>
      <c r="S13">
        <f t="shared" si="3"/>
        <v>0</v>
      </c>
      <c r="T13">
        <f t="shared" si="4"/>
        <v>0</v>
      </c>
      <c r="U13">
        <f t="shared" si="5"/>
        <v>0</v>
      </c>
    </row>
    <row r="14" spans="2:24">
      <c r="B14" s="102">
        <v>44426</v>
      </c>
      <c r="C14">
        <v>1.5</v>
      </c>
      <c r="D14" t="s">
        <v>121</v>
      </c>
      <c r="E14" t="s">
        <v>121</v>
      </c>
      <c r="F14" t="s">
        <v>121</v>
      </c>
      <c r="G14" t="s">
        <v>121</v>
      </c>
      <c r="H14" t="s">
        <v>121</v>
      </c>
      <c r="I14" t="s">
        <v>121</v>
      </c>
      <c r="P14">
        <f t="shared" si="0"/>
        <v>0</v>
      </c>
      <c r="Q14">
        <f t="shared" si="1"/>
        <v>0</v>
      </c>
      <c r="R14">
        <f t="shared" si="2"/>
        <v>0</v>
      </c>
      <c r="S14">
        <f t="shared" si="3"/>
        <v>0</v>
      </c>
      <c r="T14">
        <f t="shared" si="4"/>
        <v>0</v>
      </c>
      <c r="U14">
        <f t="shared" si="5"/>
        <v>0</v>
      </c>
    </row>
    <row r="15" spans="2:24">
      <c r="B15" s="102">
        <v>44427</v>
      </c>
      <c r="C15">
        <v>1</v>
      </c>
      <c r="D15" t="s">
        <v>121</v>
      </c>
      <c r="E15" t="s">
        <v>121</v>
      </c>
      <c r="F15" t="s">
        <v>121</v>
      </c>
      <c r="G15" t="s">
        <v>121</v>
      </c>
      <c r="H15" t="s">
        <v>121</v>
      </c>
      <c r="I15" t="s">
        <v>120</v>
      </c>
      <c r="P15">
        <f t="shared" si="0"/>
        <v>0</v>
      </c>
      <c r="Q15">
        <f t="shared" si="1"/>
        <v>0</v>
      </c>
      <c r="R15">
        <f t="shared" si="2"/>
        <v>0</v>
      </c>
      <c r="S15">
        <f t="shared" si="3"/>
        <v>0</v>
      </c>
      <c r="T15">
        <f t="shared" si="4"/>
        <v>0</v>
      </c>
      <c r="U15">
        <f t="shared" si="5"/>
        <v>1</v>
      </c>
    </row>
    <row r="16" spans="2:24">
      <c r="B16" s="102">
        <v>44428</v>
      </c>
      <c r="C16">
        <v>1.5</v>
      </c>
      <c r="D16" t="s">
        <v>121</v>
      </c>
      <c r="E16" t="s">
        <v>121</v>
      </c>
      <c r="F16" t="s">
        <v>121</v>
      </c>
      <c r="G16" t="s">
        <v>121</v>
      </c>
      <c r="H16" t="s">
        <v>121</v>
      </c>
      <c r="I16" t="s">
        <v>121</v>
      </c>
      <c r="P16">
        <f t="shared" si="0"/>
        <v>0</v>
      </c>
      <c r="Q16">
        <f t="shared" si="1"/>
        <v>0</v>
      </c>
      <c r="R16">
        <f t="shared" si="2"/>
        <v>0</v>
      </c>
      <c r="S16">
        <f t="shared" si="3"/>
        <v>0</v>
      </c>
      <c r="T16">
        <f t="shared" si="4"/>
        <v>0</v>
      </c>
      <c r="U16">
        <f t="shared" si="5"/>
        <v>0</v>
      </c>
    </row>
    <row r="17" spans="2:21">
      <c r="B17" s="102">
        <v>44429</v>
      </c>
      <c r="C17">
        <v>1</v>
      </c>
      <c r="D17" t="s">
        <v>121</v>
      </c>
      <c r="E17" t="s">
        <v>120</v>
      </c>
      <c r="F17" t="s">
        <v>121</v>
      </c>
      <c r="G17" t="s">
        <v>121</v>
      </c>
      <c r="H17" t="s">
        <v>121</v>
      </c>
      <c r="I17" t="s">
        <v>121</v>
      </c>
      <c r="P17">
        <f t="shared" si="0"/>
        <v>0</v>
      </c>
      <c r="Q17">
        <f t="shared" si="1"/>
        <v>1</v>
      </c>
      <c r="R17">
        <f t="shared" si="2"/>
        <v>0</v>
      </c>
      <c r="S17">
        <f t="shared" si="3"/>
        <v>0</v>
      </c>
      <c r="T17">
        <f t="shared" si="4"/>
        <v>0</v>
      </c>
      <c r="U17">
        <f t="shared" si="5"/>
        <v>0</v>
      </c>
    </row>
    <row r="18" spans="2:21">
      <c r="B18" s="102">
        <v>44430</v>
      </c>
      <c r="C18">
        <v>2</v>
      </c>
      <c r="D18" t="s">
        <v>121</v>
      </c>
      <c r="E18" t="s">
        <v>121</v>
      </c>
      <c r="F18" t="s">
        <v>121</v>
      </c>
      <c r="G18" t="s">
        <v>121</v>
      </c>
      <c r="H18" t="s">
        <v>121</v>
      </c>
      <c r="I18" t="s">
        <v>121</v>
      </c>
      <c r="P18">
        <f t="shared" si="0"/>
        <v>0</v>
      </c>
      <c r="Q18">
        <f t="shared" si="1"/>
        <v>0</v>
      </c>
      <c r="R18">
        <f t="shared" si="2"/>
        <v>0</v>
      </c>
      <c r="S18">
        <f t="shared" si="3"/>
        <v>0</v>
      </c>
      <c r="T18">
        <f t="shared" si="4"/>
        <v>0</v>
      </c>
      <c r="U18">
        <f t="shared" si="5"/>
        <v>0</v>
      </c>
    </row>
    <row r="19" spans="2:21">
      <c r="B19" s="102">
        <v>44431</v>
      </c>
      <c r="C19">
        <v>1.5</v>
      </c>
      <c r="D19" t="s">
        <v>120</v>
      </c>
      <c r="E19" t="s">
        <v>121</v>
      </c>
      <c r="F19" t="s">
        <v>121</v>
      </c>
      <c r="G19" t="s">
        <v>120</v>
      </c>
      <c r="H19" t="s">
        <v>121</v>
      </c>
      <c r="I19" t="s">
        <v>121</v>
      </c>
      <c r="P19">
        <f t="shared" si="0"/>
        <v>1</v>
      </c>
      <c r="Q19">
        <f t="shared" si="1"/>
        <v>0</v>
      </c>
      <c r="R19">
        <f t="shared" si="2"/>
        <v>0</v>
      </c>
      <c r="S19">
        <f t="shared" si="3"/>
        <v>1</v>
      </c>
      <c r="T19">
        <f t="shared" si="4"/>
        <v>0</v>
      </c>
      <c r="U19">
        <f t="shared" si="5"/>
        <v>0</v>
      </c>
    </row>
    <row r="20" spans="2:21">
      <c r="B20" s="102">
        <v>44432</v>
      </c>
      <c r="C20">
        <v>1.5</v>
      </c>
      <c r="D20" t="s">
        <v>120</v>
      </c>
      <c r="E20" t="s">
        <v>121</v>
      </c>
      <c r="F20" t="s">
        <v>120</v>
      </c>
      <c r="G20" t="s">
        <v>121</v>
      </c>
      <c r="H20" t="s">
        <v>121</v>
      </c>
      <c r="I20" t="s">
        <v>121</v>
      </c>
      <c r="P20">
        <f t="shared" si="0"/>
        <v>1</v>
      </c>
      <c r="Q20">
        <f t="shared" si="1"/>
        <v>0</v>
      </c>
      <c r="R20">
        <f t="shared" si="2"/>
        <v>1</v>
      </c>
      <c r="S20">
        <f t="shared" si="3"/>
        <v>0</v>
      </c>
      <c r="T20">
        <f t="shared" si="4"/>
        <v>0</v>
      </c>
      <c r="U20">
        <f t="shared" si="5"/>
        <v>0</v>
      </c>
    </row>
    <row r="21" spans="2:21">
      <c r="B21" s="102">
        <v>44433</v>
      </c>
      <c r="C21">
        <v>1.5</v>
      </c>
      <c r="D21" t="s">
        <v>121</v>
      </c>
      <c r="E21" t="s">
        <v>121</v>
      </c>
      <c r="F21" t="s">
        <v>121</v>
      </c>
      <c r="G21" t="s">
        <v>121</v>
      </c>
      <c r="H21" t="s">
        <v>121</v>
      </c>
      <c r="I21" t="s">
        <v>121</v>
      </c>
      <c r="P21">
        <f t="shared" si="0"/>
        <v>0</v>
      </c>
      <c r="Q21">
        <f t="shared" si="1"/>
        <v>0</v>
      </c>
      <c r="R21">
        <f t="shared" si="2"/>
        <v>0</v>
      </c>
      <c r="S21">
        <f t="shared" si="3"/>
        <v>0</v>
      </c>
      <c r="T21">
        <f t="shared" si="4"/>
        <v>0</v>
      </c>
      <c r="U21">
        <f t="shared" si="5"/>
        <v>0</v>
      </c>
    </row>
    <row r="22" spans="2:21">
      <c r="B22" s="102">
        <v>44434</v>
      </c>
      <c r="C22">
        <v>2</v>
      </c>
      <c r="D22" t="s">
        <v>121</v>
      </c>
      <c r="E22" t="s">
        <v>121</v>
      </c>
      <c r="F22" t="s">
        <v>121</v>
      </c>
      <c r="G22" t="s">
        <v>121</v>
      </c>
      <c r="H22" t="s">
        <v>121</v>
      </c>
      <c r="I22" t="s">
        <v>121</v>
      </c>
      <c r="P22">
        <f t="shared" si="0"/>
        <v>0</v>
      </c>
      <c r="Q22">
        <f t="shared" si="1"/>
        <v>0</v>
      </c>
      <c r="R22">
        <f t="shared" si="2"/>
        <v>0</v>
      </c>
      <c r="S22">
        <f t="shared" si="3"/>
        <v>0</v>
      </c>
      <c r="T22">
        <f t="shared" si="4"/>
        <v>0</v>
      </c>
      <c r="U22">
        <f t="shared" si="5"/>
        <v>0</v>
      </c>
    </row>
    <row r="23" spans="2:21">
      <c r="B23" s="102">
        <v>44435</v>
      </c>
      <c r="C23">
        <v>1.5</v>
      </c>
      <c r="D23" t="s">
        <v>121</v>
      </c>
      <c r="E23" t="s">
        <v>121</v>
      </c>
      <c r="F23" t="s">
        <v>121</v>
      </c>
      <c r="G23" t="s">
        <v>121</v>
      </c>
      <c r="H23" t="s">
        <v>121</v>
      </c>
      <c r="I23" t="s">
        <v>121</v>
      </c>
      <c r="P23">
        <f t="shared" si="0"/>
        <v>0</v>
      </c>
      <c r="Q23">
        <f t="shared" si="1"/>
        <v>0</v>
      </c>
      <c r="R23">
        <f t="shared" si="2"/>
        <v>0</v>
      </c>
      <c r="S23">
        <f t="shared" si="3"/>
        <v>0</v>
      </c>
      <c r="T23">
        <f t="shared" si="4"/>
        <v>0</v>
      </c>
      <c r="U23">
        <f t="shared" si="5"/>
        <v>0</v>
      </c>
    </row>
    <row r="24" spans="2:21">
      <c r="B24" s="102">
        <v>44436</v>
      </c>
      <c r="C24">
        <v>1</v>
      </c>
      <c r="D24" t="s">
        <v>121</v>
      </c>
      <c r="E24" t="s">
        <v>121</v>
      </c>
      <c r="F24" t="s">
        <v>121</v>
      </c>
      <c r="G24" t="s">
        <v>121</v>
      </c>
      <c r="H24" t="s">
        <v>121</v>
      </c>
      <c r="I24" t="s">
        <v>120</v>
      </c>
      <c r="P24">
        <f t="shared" si="0"/>
        <v>0</v>
      </c>
      <c r="Q24">
        <f t="shared" si="1"/>
        <v>0</v>
      </c>
      <c r="R24">
        <f t="shared" si="2"/>
        <v>0</v>
      </c>
      <c r="S24">
        <f t="shared" si="3"/>
        <v>0</v>
      </c>
      <c r="T24">
        <f t="shared" si="4"/>
        <v>0</v>
      </c>
      <c r="U24">
        <f t="shared" si="5"/>
        <v>1</v>
      </c>
    </row>
    <row r="25" spans="2:21">
      <c r="B25" s="102">
        <v>44437</v>
      </c>
      <c r="C25">
        <v>1.5</v>
      </c>
      <c r="D25" t="s">
        <v>121</v>
      </c>
      <c r="E25" t="s">
        <v>121</v>
      </c>
      <c r="F25" t="s">
        <v>121</v>
      </c>
      <c r="G25" t="s">
        <v>121</v>
      </c>
      <c r="H25" t="s">
        <v>121</v>
      </c>
      <c r="I25" t="s">
        <v>121</v>
      </c>
      <c r="P25">
        <f t="shared" si="0"/>
        <v>0</v>
      </c>
      <c r="Q25">
        <f t="shared" si="1"/>
        <v>0</v>
      </c>
      <c r="R25">
        <f t="shared" si="2"/>
        <v>0</v>
      </c>
      <c r="S25">
        <f t="shared" si="3"/>
        <v>0</v>
      </c>
      <c r="T25">
        <f t="shared" si="4"/>
        <v>0</v>
      </c>
      <c r="U25">
        <f t="shared" si="5"/>
        <v>0</v>
      </c>
    </row>
    <row r="26" spans="2:21">
      <c r="B26" s="102">
        <v>44438</v>
      </c>
      <c r="C26">
        <v>1</v>
      </c>
      <c r="D26" t="s">
        <v>121</v>
      </c>
      <c r="E26" t="s">
        <v>121</v>
      </c>
      <c r="F26" t="s">
        <v>121</v>
      </c>
      <c r="G26" t="s">
        <v>121</v>
      </c>
      <c r="H26" t="s">
        <v>121</v>
      </c>
      <c r="I26" t="s">
        <v>121</v>
      </c>
      <c r="P26">
        <f t="shared" si="0"/>
        <v>0</v>
      </c>
      <c r="Q26">
        <f t="shared" si="1"/>
        <v>0</v>
      </c>
      <c r="R26">
        <f t="shared" si="2"/>
        <v>0</v>
      </c>
      <c r="S26">
        <f t="shared" si="3"/>
        <v>0</v>
      </c>
      <c r="T26">
        <f t="shared" si="4"/>
        <v>0</v>
      </c>
      <c r="U26">
        <f t="shared" si="5"/>
        <v>0</v>
      </c>
    </row>
    <row r="27" spans="2:21">
      <c r="B27" s="102">
        <v>44439</v>
      </c>
      <c r="C27">
        <v>1</v>
      </c>
      <c r="D27" t="s">
        <v>121</v>
      </c>
      <c r="E27" t="s">
        <v>121</v>
      </c>
      <c r="F27" t="s">
        <v>121</v>
      </c>
      <c r="G27" t="s">
        <v>121</v>
      </c>
      <c r="H27" t="s">
        <v>121</v>
      </c>
      <c r="I27" t="s">
        <v>121</v>
      </c>
      <c r="P27">
        <f t="shared" si="0"/>
        <v>0</v>
      </c>
      <c r="Q27">
        <f t="shared" si="1"/>
        <v>0</v>
      </c>
      <c r="R27">
        <f t="shared" si="2"/>
        <v>0</v>
      </c>
      <c r="S27">
        <f t="shared" si="3"/>
        <v>0</v>
      </c>
      <c r="T27">
        <f t="shared" si="4"/>
        <v>0</v>
      </c>
      <c r="U27">
        <f t="shared" si="5"/>
        <v>0</v>
      </c>
    </row>
    <row r="28" spans="2:21">
      <c r="B28" s="102">
        <v>44440</v>
      </c>
      <c r="C28">
        <v>1</v>
      </c>
      <c r="D28" t="s">
        <v>121</v>
      </c>
      <c r="E28" t="s">
        <v>121</v>
      </c>
      <c r="F28" t="s">
        <v>121</v>
      </c>
      <c r="G28" t="s">
        <v>121</v>
      </c>
      <c r="H28" t="s">
        <v>121</v>
      </c>
      <c r="I28" t="s">
        <v>121</v>
      </c>
      <c r="P28">
        <f t="shared" si="0"/>
        <v>0</v>
      </c>
      <c r="Q28">
        <f t="shared" si="1"/>
        <v>0</v>
      </c>
      <c r="R28">
        <f t="shared" si="2"/>
        <v>0</v>
      </c>
      <c r="S28">
        <f t="shared" si="3"/>
        <v>0</v>
      </c>
      <c r="T28">
        <f t="shared" si="4"/>
        <v>0</v>
      </c>
      <c r="U28">
        <f t="shared" si="5"/>
        <v>0</v>
      </c>
    </row>
    <row r="29" spans="2:21">
      <c r="B29" s="102">
        <v>44441</v>
      </c>
      <c r="C29">
        <v>2</v>
      </c>
      <c r="D29" t="s">
        <v>121</v>
      </c>
      <c r="E29" t="s">
        <v>121</v>
      </c>
      <c r="F29" t="s">
        <v>121</v>
      </c>
      <c r="G29" t="s">
        <v>121</v>
      </c>
      <c r="H29" t="s">
        <v>121</v>
      </c>
      <c r="I29" t="s">
        <v>121</v>
      </c>
      <c r="P29">
        <f t="shared" si="0"/>
        <v>0</v>
      </c>
      <c r="Q29">
        <f t="shared" si="1"/>
        <v>0</v>
      </c>
      <c r="R29">
        <f t="shared" si="2"/>
        <v>0</v>
      </c>
      <c r="S29">
        <f t="shared" si="3"/>
        <v>0</v>
      </c>
      <c r="T29">
        <f t="shared" si="4"/>
        <v>0</v>
      </c>
      <c r="U29">
        <f t="shared" si="5"/>
        <v>0</v>
      </c>
    </row>
    <row r="30" spans="2:21">
      <c r="B30" s="102">
        <v>44442</v>
      </c>
      <c r="C30">
        <v>2</v>
      </c>
      <c r="D30" t="s">
        <v>121</v>
      </c>
      <c r="E30" t="s">
        <v>121</v>
      </c>
      <c r="F30" t="s">
        <v>121</v>
      </c>
      <c r="G30" t="s">
        <v>121</v>
      </c>
      <c r="H30" t="s">
        <v>121</v>
      </c>
      <c r="I30" t="s">
        <v>121</v>
      </c>
      <c r="P30">
        <f t="shared" si="0"/>
        <v>0</v>
      </c>
      <c r="Q30">
        <f t="shared" si="1"/>
        <v>0</v>
      </c>
      <c r="R30">
        <f t="shared" si="2"/>
        <v>0</v>
      </c>
      <c r="S30">
        <f t="shared" si="3"/>
        <v>0</v>
      </c>
      <c r="T30">
        <f t="shared" si="4"/>
        <v>0</v>
      </c>
      <c r="U30">
        <f t="shared" si="5"/>
        <v>0</v>
      </c>
    </row>
    <row r="31" spans="2:21">
      <c r="B31" s="102">
        <v>44443</v>
      </c>
      <c r="C31">
        <v>2</v>
      </c>
      <c r="D31" t="s">
        <v>121</v>
      </c>
      <c r="E31" t="s">
        <v>120</v>
      </c>
      <c r="F31" t="s">
        <v>121</v>
      </c>
      <c r="G31" t="s">
        <v>120</v>
      </c>
      <c r="H31" t="s">
        <v>120</v>
      </c>
      <c r="I31" t="s">
        <v>121</v>
      </c>
      <c r="P31">
        <f t="shared" si="0"/>
        <v>0</v>
      </c>
      <c r="Q31">
        <f t="shared" si="1"/>
        <v>1</v>
      </c>
      <c r="R31">
        <f t="shared" si="2"/>
        <v>0</v>
      </c>
      <c r="S31">
        <f t="shared" si="3"/>
        <v>1</v>
      </c>
      <c r="T31">
        <f t="shared" si="4"/>
        <v>1</v>
      </c>
      <c r="U31">
        <f t="shared" si="5"/>
        <v>0</v>
      </c>
    </row>
    <row r="32" spans="2:21">
      <c r="B32" s="102">
        <v>44444</v>
      </c>
      <c r="C32">
        <v>1</v>
      </c>
      <c r="D32" t="s">
        <v>121</v>
      </c>
      <c r="E32" t="s">
        <v>121</v>
      </c>
      <c r="F32" t="s">
        <v>121</v>
      </c>
      <c r="G32" t="s">
        <v>121</v>
      </c>
      <c r="H32" t="s">
        <v>121</v>
      </c>
      <c r="I32" t="s">
        <v>121</v>
      </c>
      <c r="K32">
        <v>147.4</v>
      </c>
      <c r="M32">
        <f>AVERAGE(K32:K53)</f>
        <v>147.65</v>
      </c>
      <c r="N32">
        <f ca="1">AVERAGE(OFFSET($K$28, (ROW()-ROW($N$32))*30, 0, 30, 1))</f>
        <v>147.65</v>
      </c>
      <c r="P32">
        <f t="shared" si="0"/>
        <v>0</v>
      </c>
      <c r="Q32">
        <f t="shared" si="1"/>
        <v>0</v>
      </c>
      <c r="R32">
        <f t="shared" si="2"/>
        <v>0</v>
      </c>
      <c r="S32">
        <f t="shared" si="3"/>
        <v>0</v>
      </c>
      <c r="T32">
        <f t="shared" si="4"/>
        <v>0</v>
      </c>
      <c r="U32">
        <f t="shared" si="5"/>
        <v>0</v>
      </c>
    </row>
    <row r="33" spans="2:21">
      <c r="B33" s="102">
        <v>44445</v>
      </c>
      <c r="C33">
        <v>2</v>
      </c>
      <c r="D33" t="s">
        <v>121</v>
      </c>
      <c r="E33" t="s">
        <v>121</v>
      </c>
      <c r="F33" t="s">
        <v>121</v>
      </c>
      <c r="G33" t="s">
        <v>121</v>
      </c>
      <c r="H33" t="s">
        <v>121</v>
      </c>
      <c r="I33" t="s">
        <v>121</v>
      </c>
      <c r="M33">
        <f>AVERAGE(K60:K88)</f>
        <v>149.72</v>
      </c>
      <c r="N33">
        <f ca="1">AVERAGE(OFFSET($K$28, (ROW()-ROW($N$32))*30, 0, 30, 1))</f>
        <v>148.9</v>
      </c>
      <c r="P33">
        <f t="shared" si="0"/>
        <v>0</v>
      </c>
      <c r="Q33">
        <f t="shared" si="1"/>
        <v>0</v>
      </c>
      <c r="R33">
        <f t="shared" si="2"/>
        <v>0</v>
      </c>
      <c r="S33">
        <f t="shared" si="3"/>
        <v>0</v>
      </c>
      <c r="T33">
        <f t="shared" si="4"/>
        <v>0</v>
      </c>
      <c r="U33">
        <f t="shared" si="5"/>
        <v>0</v>
      </c>
    </row>
    <row r="34" spans="2:21">
      <c r="B34" s="102">
        <v>44446</v>
      </c>
      <c r="C34">
        <v>1</v>
      </c>
      <c r="D34" t="s">
        <v>121</v>
      </c>
      <c r="E34" t="s">
        <v>121</v>
      </c>
      <c r="F34" t="s">
        <v>121</v>
      </c>
      <c r="G34" t="s">
        <v>121</v>
      </c>
      <c r="H34" t="s">
        <v>121</v>
      </c>
      <c r="I34" t="s">
        <v>121</v>
      </c>
      <c r="M34">
        <f>AVERAGE(K89:K118)</f>
        <v>152.94999999999999</v>
      </c>
      <c r="N34">
        <f t="shared" ref="N34:N72" ca="1" si="6">AVERAGE(OFFSET($K$28, (ROW()-ROW($N$32))*30, 0, 30, 1))</f>
        <v>152.96</v>
      </c>
      <c r="P34">
        <f t="shared" si="0"/>
        <v>0</v>
      </c>
      <c r="Q34">
        <f t="shared" si="1"/>
        <v>0</v>
      </c>
      <c r="R34">
        <f t="shared" si="2"/>
        <v>0</v>
      </c>
      <c r="S34">
        <f t="shared" si="3"/>
        <v>0</v>
      </c>
      <c r="T34">
        <f t="shared" si="4"/>
        <v>0</v>
      </c>
      <c r="U34">
        <f t="shared" si="5"/>
        <v>0</v>
      </c>
    </row>
    <row r="35" spans="2:21">
      <c r="B35" s="102">
        <v>44447</v>
      </c>
      <c r="C35">
        <v>1</v>
      </c>
      <c r="D35" t="s">
        <v>121</v>
      </c>
      <c r="E35" t="s">
        <v>121</v>
      </c>
      <c r="F35" t="s">
        <v>121</v>
      </c>
      <c r="G35" t="s">
        <v>121</v>
      </c>
      <c r="H35" t="s">
        <v>121</v>
      </c>
      <c r="I35" t="s">
        <v>121</v>
      </c>
      <c r="M35">
        <f>AVERAGE(L119:L149)</f>
        <v>154.64999999999998</v>
      </c>
      <c r="N35">
        <f t="shared" ca="1" si="6"/>
        <v>157.44999999999999</v>
      </c>
      <c r="P35">
        <f t="shared" si="0"/>
        <v>0</v>
      </c>
      <c r="Q35">
        <f t="shared" si="1"/>
        <v>0</v>
      </c>
      <c r="R35">
        <f t="shared" si="2"/>
        <v>0</v>
      </c>
      <c r="S35">
        <f t="shared" si="3"/>
        <v>0</v>
      </c>
      <c r="T35">
        <f t="shared" si="4"/>
        <v>0</v>
      </c>
      <c r="U35">
        <f t="shared" si="5"/>
        <v>0</v>
      </c>
    </row>
    <row r="36" spans="2:21">
      <c r="B36" s="102">
        <v>44448</v>
      </c>
      <c r="C36">
        <v>1</v>
      </c>
      <c r="D36" t="s">
        <v>121</v>
      </c>
      <c r="E36" t="s">
        <v>121</v>
      </c>
      <c r="F36" t="s">
        <v>121</v>
      </c>
      <c r="G36" t="s">
        <v>121</v>
      </c>
      <c r="H36" t="s">
        <v>121</v>
      </c>
      <c r="I36" t="s">
        <v>121</v>
      </c>
      <c r="N36">
        <f t="shared" ca="1" si="6"/>
        <v>160.6</v>
      </c>
      <c r="P36">
        <f t="shared" si="0"/>
        <v>0</v>
      </c>
      <c r="Q36">
        <f t="shared" si="1"/>
        <v>0</v>
      </c>
      <c r="R36">
        <f t="shared" si="2"/>
        <v>0</v>
      </c>
      <c r="S36">
        <f t="shared" si="3"/>
        <v>0</v>
      </c>
      <c r="T36">
        <f t="shared" si="4"/>
        <v>0</v>
      </c>
      <c r="U36">
        <f t="shared" si="5"/>
        <v>0</v>
      </c>
    </row>
    <row r="37" spans="2:21">
      <c r="B37" s="102">
        <v>44449</v>
      </c>
      <c r="C37">
        <v>1</v>
      </c>
      <c r="D37" t="s">
        <v>121</v>
      </c>
      <c r="E37" t="s">
        <v>121</v>
      </c>
      <c r="F37" t="s">
        <v>121</v>
      </c>
      <c r="G37" t="s">
        <v>121</v>
      </c>
      <c r="H37" t="s">
        <v>121</v>
      </c>
      <c r="I37" t="s">
        <v>120</v>
      </c>
      <c r="N37">
        <f t="shared" ca="1" si="6"/>
        <v>160.51999999999998</v>
      </c>
      <c r="P37">
        <f t="shared" si="0"/>
        <v>0</v>
      </c>
      <c r="Q37">
        <f t="shared" si="1"/>
        <v>0</v>
      </c>
      <c r="R37">
        <f t="shared" si="2"/>
        <v>0</v>
      </c>
      <c r="S37">
        <f t="shared" si="3"/>
        <v>0</v>
      </c>
      <c r="T37">
        <f t="shared" si="4"/>
        <v>0</v>
      </c>
      <c r="U37">
        <f t="shared" si="5"/>
        <v>1</v>
      </c>
    </row>
    <row r="38" spans="2:21">
      <c r="B38" s="102">
        <v>44450</v>
      </c>
      <c r="C38">
        <v>2</v>
      </c>
      <c r="D38" t="s">
        <v>121</v>
      </c>
      <c r="E38" t="s">
        <v>120</v>
      </c>
      <c r="F38" t="s">
        <v>121</v>
      </c>
      <c r="G38" t="s">
        <v>121</v>
      </c>
      <c r="H38" t="s">
        <v>121</v>
      </c>
      <c r="I38" t="s">
        <v>121</v>
      </c>
      <c r="N38">
        <f t="shared" ca="1" si="6"/>
        <v>162.4</v>
      </c>
      <c r="P38">
        <f t="shared" si="0"/>
        <v>0</v>
      </c>
      <c r="Q38">
        <f t="shared" si="1"/>
        <v>1</v>
      </c>
      <c r="R38">
        <f t="shared" si="2"/>
        <v>0</v>
      </c>
      <c r="S38">
        <f t="shared" si="3"/>
        <v>0</v>
      </c>
      <c r="T38">
        <f t="shared" si="4"/>
        <v>0</v>
      </c>
      <c r="U38">
        <f t="shared" si="5"/>
        <v>0</v>
      </c>
    </row>
    <row r="39" spans="2:21">
      <c r="B39" s="102">
        <v>44451</v>
      </c>
      <c r="C39">
        <v>2</v>
      </c>
      <c r="D39" t="s">
        <v>121</v>
      </c>
      <c r="E39" t="s">
        <v>121</v>
      </c>
      <c r="F39" t="s">
        <v>121</v>
      </c>
      <c r="G39" t="s">
        <v>121</v>
      </c>
      <c r="H39" t="s">
        <v>121</v>
      </c>
      <c r="I39" t="s">
        <v>121</v>
      </c>
      <c r="K39">
        <v>147.80000000000001</v>
      </c>
      <c r="N39">
        <f t="shared" ca="1" si="6"/>
        <v>162.55000000000001</v>
      </c>
      <c r="P39">
        <f t="shared" si="0"/>
        <v>0</v>
      </c>
      <c r="Q39">
        <f t="shared" si="1"/>
        <v>0</v>
      </c>
      <c r="R39">
        <f t="shared" si="2"/>
        <v>0</v>
      </c>
      <c r="S39">
        <f t="shared" si="3"/>
        <v>0</v>
      </c>
      <c r="T39">
        <f t="shared" si="4"/>
        <v>0</v>
      </c>
      <c r="U39">
        <f t="shared" si="5"/>
        <v>0</v>
      </c>
    </row>
    <row r="40" spans="2:21">
      <c r="B40" s="102">
        <v>44452</v>
      </c>
      <c r="C40">
        <v>1</v>
      </c>
      <c r="D40" t="s">
        <v>121</v>
      </c>
      <c r="E40" t="s">
        <v>121</v>
      </c>
      <c r="F40" t="s">
        <v>121</v>
      </c>
      <c r="G40" t="s">
        <v>121</v>
      </c>
      <c r="H40" t="s">
        <v>121</v>
      </c>
      <c r="I40" t="s">
        <v>121</v>
      </c>
      <c r="N40">
        <f t="shared" ca="1" si="6"/>
        <v>164.5</v>
      </c>
      <c r="P40">
        <f t="shared" si="0"/>
        <v>0</v>
      </c>
      <c r="Q40">
        <f t="shared" si="1"/>
        <v>0</v>
      </c>
      <c r="R40">
        <f t="shared" si="2"/>
        <v>0</v>
      </c>
      <c r="S40">
        <f t="shared" si="3"/>
        <v>0</v>
      </c>
      <c r="T40">
        <f t="shared" si="4"/>
        <v>0</v>
      </c>
      <c r="U40">
        <f t="shared" si="5"/>
        <v>0</v>
      </c>
    </row>
    <row r="41" spans="2:21">
      <c r="B41" s="102">
        <v>44453</v>
      </c>
      <c r="C41">
        <v>1.5</v>
      </c>
      <c r="D41" t="s">
        <v>121</v>
      </c>
      <c r="E41" t="s">
        <v>121</v>
      </c>
      <c r="F41" t="s">
        <v>121</v>
      </c>
      <c r="G41" t="s">
        <v>121</v>
      </c>
      <c r="H41" t="s">
        <v>121</v>
      </c>
      <c r="I41" t="s">
        <v>121</v>
      </c>
      <c r="N41">
        <f t="shared" ca="1" si="6"/>
        <v>166.28</v>
      </c>
      <c r="P41">
        <f t="shared" si="0"/>
        <v>0</v>
      </c>
      <c r="Q41">
        <f t="shared" si="1"/>
        <v>0</v>
      </c>
      <c r="R41">
        <f t="shared" si="2"/>
        <v>0</v>
      </c>
      <c r="S41">
        <f t="shared" si="3"/>
        <v>0</v>
      </c>
      <c r="T41">
        <f t="shared" si="4"/>
        <v>0</v>
      </c>
      <c r="U41">
        <f t="shared" si="5"/>
        <v>0</v>
      </c>
    </row>
    <row r="42" spans="2:21">
      <c r="B42" s="102">
        <v>44454</v>
      </c>
      <c r="C42">
        <v>2</v>
      </c>
      <c r="D42" t="s">
        <v>121</v>
      </c>
      <c r="E42" t="s">
        <v>121</v>
      </c>
      <c r="F42" t="s">
        <v>121</v>
      </c>
      <c r="G42" t="s">
        <v>120</v>
      </c>
      <c r="H42" t="s">
        <v>121</v>
      </c>
      <c r="I42" t="s">
        <v>121</v>
      </c>
      <c r="N42">
        <f t="shared" ca="1" si="6"/>
        <v>168.55</v>
      </c>
      <c r="P42">
        <f t="shared" si="0"/>
        <v>0</v>
      </c>
      <c r="Q42">
        <f t="shared" si="1"/>
        <v>0</v>
      </c>
      <c r="R42">
        <f t="shared" si="2"/>
        <v>0</v>
      </c>
      <c r="S42">
        <f t="shared" si="3"/>
        <v>1</v>
      </c>
      <c r="T42">
        <f t="shared" si="4"/>
        <v>0</v>
      </c>
      <c r="U42">
        <f t="shared" si="5"/>
        <v>0</v>
      </c>
    </row>
    <row r="43" spans="2:21">
      <c r="B43" s="102">
        <v>44455</v>
      </c>
      <c r="C43">
        <v>1</v>
      </c>
      <c r="D43" t="s">
        <v>121</v>
      </c>
      <c r="E43" t="s">
        <v>121</v>
      </c>
      <c r="F43" t="s">
        <v>120</v>
      </c>
      <c r="G43" t="s">
        <v>121</v>
      </c>
      <c r="H43" t="s">
        <v>121</v>
      </c>
      <c r="I43" t="s">
        <v>121</v>
      </c>
      <c r="N43">
        <f t="shared" ca="1" si="6"/>
        <v>169.95</v>
      </c>
      <c r="P43">
        <f t="shared" si="0"/>
        <v>0</v>
      </c>
      <c r="Q43">
        <f t="shared" si="1"/>
        <v>0</v>
      </c>
      <c r="R43">
        <f t="shared" si="2"/>
        <v>1</v>
      </c>
      <c r="S43">
        <f t="shared" si="3"/>
        <v>0</v>
      </c>
      <c r="T43">
        <f t="shared" si="4"/>
        <v>0</v>
      </c>
      <c r="U43">
        <f t="shared" si="5"/>
        <v>0</v>
      </c>
    </row>
    <row r="44" spans="2:21">
      <c r="B44" s="102">
        <v>44456</v>
      </c>
      <c r="C44">
        <v>1.5</v>
      </c>
      <c r="D44" t="s">
        <v>121</v>
      </c>
      <c r="E44" t="s">
        <v>121</v>
      </c>
      <c r="F44" t="s">
        <v>121</v>
      </c>
      <c r="G44" t="s">
        <v>121</v>
      </c>
      <c r="H44" t="s">
        <v>121</v>
      </c>
      <c r="I44" t="s">
        <v>121</v>
      </c>
      <c r="N44">
        <f t="shared" ca="1" si="6"/>
        <v>171.68</v>
      </c>
      <c r="P44">
        <f t="shared" si="0"/>
        <v>0</v>
      </c>
      <c r="Q44">
        <f t="shared" si="1"/>
        <v>0</v>
      </c>
      <c r="R44">
        <f t="shared" si="2"/>
        <v>0</v>
      </c>
      <c r="S44">
        <f t="shared" si="3"/>
        <v>0</v>
      </c>
      <c r="T44">
        <f t="shared" si="4"/>
        <v>0</v>
      </c>
      <c r="U44">
        <f t="shared" si="5"/>
        <v>0</v>
      </c>
    </row>
    <row r="45" spans="2:21">
      <c r="B45" s="102">
        <v>44457</v>
      </c>
      <c r="C45">
        <v>1.5</v>
      </c>
      <c r="D45" t="s">
        <v>121</v>
      </c>
      <c r="E45" t="s">
        <v>121</v>
      </c>
      <c r="F45" t="s">
        <v>121</v>
      </c>
      <c r="G45" t="s">
        <v>121</v>
      </c>
      <c r="H45" t="s">
        <v>121</v>
      </c>
      <c r="I45" t="s">
        <v>121</v>
      </c>
      <c r="N45">
        <f t="shared" ca="1" si="6"/>
        <v>178.06666666666669</v>
      </c>
      <c r="P45">
        <f t="shared" si="0"/>
        <v>0</v>
      </c>
      <c r="Q45">
        <f t="shared" si="1"/>
        <v>0</v>
      </c>
      <c r="R45">
        <f t="shared" si="2"/>
        <v>0</v>
      </c>
      <c r="S45">
        <f t="shared" si="3"/>
        <v>0</v>
      </c>
      <c r="T45">
        <f t="shared" si="4"/>
        <v>0</v>
      </c>
      <c r="U45">
        <f t="shared" si="5"/>
        <v>0</v>
      </c>
    </row>
    <row r="46" spans="2:21">
      <c r="B46" s="102">
        <v>44458</v>
      </c>
      <c r="C46">
        <v>1.5</v>
      </c>
      <c r="D46" t="s">
        <v>120</v>
      </c>
      <c r="E46" t="s">
        <v>121</v>
      </c>
      <c r="F46" t="s">
        <v>121</v>
      </c>
      <c r="G46" t="s">
        <v>121</v>
      </c>
      <c r="H46" t="s">
        <v>121</v>
      </c>
      <c r="I46" t="s">
        <v>121</v>
      </c>
      <c r="K46">
        <v>146.80000000000001</v>
      </c>
      <c r="N46">
        <f t="shared" ca="1" si="6"/>
        <v>180.75</v>
      </c>
      <c r="P46">
        <f t="shared" si="0"/>
        <v>1</v>
      </c>
      <c r="Q46">
        <f t="shared" si="1"/>
        <v>0</v>
      </c>
      <c r="R46">
        <f t="shared" si="2"/>
        <v>0</v>
      </c>
      <c r="S46">
        <f t="shared" si="3"/>
        <v>0</v>
      </c>
      <c r="T46">
        <f t="shared" si="4"/>
        <v>0</v>
      </c>
      <c r="U46">
        <f t="shared" si="5"/>
        <v>0</v>
      </c>
    </row>
    <row r="47" spans="2:21">
      <c r="B47" s="102">
        <v>44459</v>
      </c>
      <c r="C47">
        <v>2.5</v>
      </c>
      <c r="D47" t="s">
        <v>120</v>
      </c>
      <c r="E47" t="s">
        <v>121</v>
      </c>
      <c r="F47" t="s">
        <v>121</v>
      </c>
      <c r="G47" t="s">
        <v>121</v>
      </c>
      <c r="H47" t="s">
        <v>121</v>
      </c>
      <c r="I47" t="s">
        <v>121</v>
      </c>
      <c r="N47">
        <f t="shared" ca="1" si="6"/>
        <v>180.05</v>
      </c>
      <c r="P47">
        <f t="shared" si="0"/>
        <v>1</v>
      </c>
      <c r="Q47">
        <f t="shared" si="1"/>
        <v>0</v>
      </c>
      <c r="R47">
        <f t="shared" si="2"/>
        <v>0</v>
      </c>
      <c r="S47">
        <f t="shared" si="3"/>
        <v>0</v>
      </c>
      <c r="T47">
        <f t="shared" si="4"/>
        <v>0</v>
      </c>
      <c r="U47">
        <f t="shared" si="5"/>
        <v>0</v>
      </c>
    </row>
    <row r="48" spans="2:21">
      <c r="B48" s="102">
        <v>44460</v>
      </c>
      <c r="C48">
        <v>1.5</v>
      </c>
      <c r="D48" t="s">
        <v>120</v>
      </c>
      <c r="E48" t="s">
        <v>121</v>
      </c>
      <c r="F48" t="s">
        <v>121</v>
      </c>
      <c r="G48" t="s">
        <v>121</v>
      </c>
      <c r="H48" t="s">
        <v>121</v>
      </c>
      <c r="I48" t="s">
        <v>121</v>
      </c>
      <c r="N48">
        <f t="shared" ca="1" si="6"/>
        <v>178.2</v>
      </c>
      <c r="P48">
        <f t="shared" si="0"/>
        <v>1</v>
      </c>
      <c r="Q48">
        <f t="shared" si="1"/>
        <v>0</v>
      </c>
      <c r="R48">
        <f t="shared" si="2"/>
        <v>0</v>
      </c>
      <c r="S48">
        <f t="shared" si="3"/>
        <v>0</v>
      </c>
      <c r="T48">
        <f t="shared" si="4"/>
        <v>0</v>
      </c>
      <c r="U48">
        <f t="shared" si="5"/>
        <v>0</v>
      </c>
    </row>
    <row r="49" spans="2:21">
      <c r="B49" s="102">
        <v>44461</v>
      </c>
      <c r="C49">
        <v>2.5</v>
      </c>
      <c r="D49" t="s">
        <v>120</v>
      </c>
      <c r="E49" t="s">
        <v>120</v>
      </c>
      <c r="F49" t="s">
        <v>121</v>
      </c>
      <c r="G49" t="s">
        <v>121</v>
      </c>
      <c r="H49" t="s">
        <v>121</v>
      </c>
      <c r="I49" t="s">
        <v>121</v>
      </c>
      <c r="N49">
        <f t="shared" ca="1" si="6"/>
        <v>175.8</v>
      </c>
      <c r="P49">
        <f t="shared" si="0"/>
        <v>1</v>
      </c>
      <c r="Q49">
        <f t="shared" si="1"/>
        <v>1</v>
      </c>
      <c r="R49">
        <f t="shared" si="2"/>
        <v>0</v>
      </c>
      <c r="S49">
        <f t="shared" si="3"/>
        <v>0</v>
      </c>
      <c r="T49">
        <f t="shared" si="4"/>
        <v>0</v>
      </c>
      <c r="U49">
        <f t="shared" si="5"/>
        <v>0</v>
      </c>
    </row>
    <row r="50" spans="2:21">
      <c r="B50" s="102">
        <v>44462</v>
      </c>
      <c r="C50">
        <v>1.5</v>
      </c>
      <c r="D50" t="s">
        <v>120</v>
      </c>
      <c r="E50" t="s">
        <v>121</v>
      </c>
      <c r="F50" t="s">
        <v>121</v>
      </c>
      <c r="G50" t="s">
        <v>121</v>
      </c>
      <c r="H50" t="s">
        <v>121</v>
      </c>
      <c r="I50" t="s">
        <v>121</v>
      </c>
      <c r="N50">
        <f t="shared" ca="1" si="6"/>
        <v>177.25</v>
      </c>
      <c r="P50">
        <f t="shared" si="0"/>
        <v>1</v>
      </c>
      <c r="Q50">
        <f t="shared" si="1"/>
        <v>0</v>
      </c>
      <c r="R50">
        <f t="shared" si="2"/>
        <v>0</v>
      </c>
      <c r="S50">
        <f t="shared" si="3"/>
        <v>0</v>
      </c>
      <c r="T50">
        <f t="shared" si="4"/>
        <v>0</v>
      </c>
      <c r="U50">
        <f t="shared" si="5"/>
        <v>0</v>
      </c>
    </row>
    <row r="51" spans="2:21">
      <c r="B51" s="102">
        <v>44463</v>
      </c>
      <c r="C51">
        <v>2</v>
      </c>
      <c r="D51" t="s">
        <v>121</v>
      </c>
      <c r="E51" t="s">
        <v>121</v>
      </c>
      <c r="F51" t="s">
        <v>121</v>
      </c>
      <c r="G51" t="s">
        <v>121</v>
      </c>
      <c r="H51" t="s">
        <v>121</v>
      </c>
      <c r="I51" t="s">
        <v>121</v>
      </c>
      <c r="N51">
        <f t="shared" ca="1" si="6"/>
        <v>177.32</v>
      </c>
      <c r="P51">
        <f t="shared" si="0"/>
        <v>0</v>
      </c>
      <c r="Q51">
        <f t="shared" si="1"/>
        <v>0</v>
      </c>
      <c r="R51">
        <f t="shared" si="2"/>
        <v>0</v>
      </c>
      <c r="S51">
        <f t="shared" si="3"/>
        <v>0</v>
      </c>
      <c r="T51">
        <f t="shared" si="4"/>
        <v>0</v>
      </c>
      <c r="U51">
        <f t="shared" si="5"/>
        <v>0</v>
      </c>
    </row>
    <row r="52" spans="2:21">
      <c r="B52" s="102">
        <v>44464</v>
      </c>
      <c r="C52">
        <v>2</v>
      </c>
      <c r="D52" t="s">
        <v>121</v>
      </c>
      <c r="E52" t="s">
        <v>121</v>
      </c>
      <c r="F52" t="s">
        <v>121</v>
      </c>
      <c r="G52" t="s">
        <v>121</v>
      </c>
      <c r="H52" t="s">
        <v>121</v>
      </c>
      <c r="I52" t="s">
        <v>121</v>
      </c>
      <c r="N52">
        <f t="shared" ca="1" si="6"/>
        <v>178</v>
      </c>
      <c r="P52">
        <f t="shared" si="0"/>
        <v>0</v>
      </c>
      <c r="Q52">
        <f t="shared" si="1"/>
        <v>0</v>
      </c>
      <c r="R52">
        <f t="shared" si="2"/>
        <v>0</v>
      </c>
      <c r="S52">
        <f t="shared" si="3"/>
        <v>0</v>
      </c>
      <c r="T52">
        <f t="shared" si="4"/>
        <v>0</v>
      </c>
      <c r="U52">
        <f t="shared" si="5"/>
        <v>0</v>
      </c>
    </row>
    <row r="53" spans="2:21">
      <c r="B53" s="102">
        <v>44465</v>
      </c>
      <c r="C53">
        <v>3</v>
      </c>
      <c r="D53" t="s">
        <v>121</v>
      </c>
      <c r="E53" t="s">
        <v>121</v>
      </c>
      <c r="F53" t="s">
        <v>121</v>
      </c>
      <c r="G53" t="s">
        <v>120</v>
      </c>
      <c r="H53" t="s">
        <v>121</v>
      </c>
      <c r="I53" t="s">
        <v>121</v>
      </c>
      <c r="K53">
        <v>148.6</v>
      </c>
      <c r="N53">
        <f t="shared" ca="1" si="6"/>
        <v>175.53333333333333</v>
      </c>
      <c r="P53">
        <f t="shared" si="0"/>
        <v>0</v>
      </c>
      <c r="Q53">
        <f t="shared" si="1"/>
        <v>0</v>
      </c>
      <c r="R53">
        <f t="shared" si="2"/>
        <v>0</v>
      </c>
      <c r="S53">
        <f t="shared" si="3"/>
        <v>1</v>
      </c>
      <c r="T53">
        <f t="shared" si="4"/>
        <v>0</v>
      </c>
      <c r="U53">
        <f t="shared" si="5"/>
        <v>0</v>
      </c>
    </row>
    <row r="54" spans="2:21">
      <c r="B54" s="102">
        <v>44466</v>
      </c>
      <c r="C54">
        <v>2.5</v>
      </c>
      <c r="D54" t="s">
        <v>120</v>
      </c>
      <c r="E54" t="s">
        <v>121</v>
      </c>
      <c r="F54" t="s">
        <v>121</v>
      </c>
      <c r="G54" t="s">
        <v>121</v>
      </c>
      <c r="H54" t="s">
        <v>121</v>
      </c>
      <c r="I54" t="s">
        <v>121</v>
      </c>
      <c r="N54">
        <f t="shared" ca="1" si="6"/>
        <v>171.7</v>
      </c>
      <c r="P54">
        <f t="shared" si="0"/>
        <v>1</v>
      </c>
      <c r="Q54">
        <f t="shared" si="1"/>
        <v>0</v>
      </c>
      <c r="R54">
        <f t="shared" si="2"/>
        <v>0</v>
      </c>
      <c r="S54">
        <f t="shared" si="3"/>
        <v>0</v>
      </c>
      <c r="T54">
        <f t="shared" si="4"/>
        <v>0</v>
      </c>
      <c r="U54">
        <f t="shared" si="5"/>
        <v>0</v>
      </c>
    </row>
    <row r="55" spans="2:21">
      <c r="B55" s="102">
        <v>44467</v>
      </c>
      <c r="C55">
        <v>2</v>
      </c>
      <c r="D55" t="s">
        <v>120</v>
      </c>
      <c r="E55" t="s">
        <v>121</v>
      </c>
      <c r="F55" t="s">
        <v>121</v>
      </c>
      <c r="G55" t="s">
        <v>121</v>
      </c>
      <c r="H55" t="s">
        <v>121</v>
      </c>
      <c r="I55" t="s">
        <v>121</v>
      </c>
      <c r="N55">
        <f t="shared" ca="1" si="6"/>
        <v>172.72</v>
      </c>
      <c r="P55">
        <f t="shared" si="0"/>
        <v>1</v>
      </c>
      <c r="Q55">
        <f t="shared" si="1"/>
        <v>0</v>
      </c>
      <c r="R55">
        <f t="shared" si="2"/>
        <v>0</v>
      </c>
      <c r="S55">
        <f t="shared" si="3"/>
        <v>0</v>
      </c>
      <c r="T55">
        <f t="shared" si="4"/>
        <v>0</v>
      </c>
      <c r="U55">
        <f t="shared" si="5"/>
        <v>0</v>
      </c>
    </row>
    <row r="56" spans="2:21">
      <c r="B56" s="102">
        <v>44468</v>
      </c>
      <c r="C56">
        <v>2</v>
      </c>
      <c r="D56" t="s">
        <v>120</v>
      </c>
      <c r="E56" t="s">
        <v>121</v>
      </c>
      <c r="F56" t="s">
        <v>121</v>
      </c>
      <c r="G56" t="s">
        <v>121</v>
      </c>
      <c r="H56" t="s">
        <v>121</v>
      </c>
      <c r="I56" t="s">
        <v>121</v>
      </c>
      <c r="N56">
        <f t="shared" ca="1" si="6"/>
        <v>175.95</v>
      </c>
      <c r="P56">
        <f t="shared" si="0"/>
        <v>1</v>
      </c>
      <c r="Q56">
        <f t="shared" si="1"/>
        <v>0</v>
      </c>
      <c r="R56">
        <f t="shared" si="2"/>
        <v>0</v>
      </c>
      <c r="S56">
        <f t="shared" si="3"/>
        <v>0</v>
      </c>
      <c r="T56">
        <f t="shared" si="4"/>
        <v>0</v>
      </c>
      <c r="U56">
        <f t="shared" si="5"/>
        <v>0</v>
      </c>
    </row>
    <row r="57" spans="2:21">
      <c r="B57" s="102">
        <v>44469</v>
      </c>
      <c r="C57">
        <v>2</v>
      </c>
      <c r="D57" t="s">
        <v>120</v>
      </c>
      <c r="E57" t="s">
        <v>121</v>
      </c>
      <c r="F57" t="s">
        <v>121</v>
      </c>
      <c r="G57" t="s">
        <v>121</v>
      </c>
      <c r="H57" t="s">
        <v>121</v>
      </c>
      <c r="I57" t="s">
        <v>121</v>
      </c>
      <c r="N57">
        <f t="shared" ca="1" si="6"/>
        <v>179.73333333333335</v>
      </c>
      <c r="P57">
        <f t="shared" si="0"/>
        <v>1</v>
      </c>
      <c r="Q57">
        <f t="shared" si="1"/>
        <v>0</v>
      </c>
      <c r="R57">
        <f t="shared" si="2"/>
        <v>0</v>
      </c>
      <c r="S57">
        <f t="shared" si="3"/>
        <v>0</v>
      </c>
      <c r="T57">
        <f t="shared" si="4"/>
        <v>0</v>
      </c>
      <c r="U57">
        <f t="shared" si="5"/>
        <v>0</v>
      </c>
    </row>
    <row r="58" spans="2:21">
      <c r="B58" s="102">
        <v>44470</v>
      </c>
      <c r="C58">
        <v>2</v>
      </c>
      <c r="D58" t="s">
        <v>120</v>
      </c>
      <c r="E58" t="s">
        <v>121</v>
      </c>
      <c r="F58" t="s">
        <v>121</v>
      </c>
      <c r="G58" t="s">
        <v>121</v>
      </c>
      <c r="H58" t="s">
        <v>121</v>
      </c>
      <c r="I58" t="s">
        <v>121</v>
      </c>
      <c r="N58">
        <f t="shared" ca="1" si="6"/>
        <v>183.83999999999997</v>
      </c>
      <c r="P58">
        <f t="shared" si="0"/>
        <v>1</v>
      </c>
      <c r="Q58">
        <f t="shared" si="1"/>
        <v>0</v>
      </c>
      <c r="R58">
        <f t="shared" si="2"/>
        <v>0</v>
      </c>
      <c r="S58">
        <f t="shared" si="3"/>
        <v>0</v>
      </c>
      <c r="T58">
        <f t="shared" si="4"/>
        <v>0</v>
      </c>
      <c r="U58">
        <f t="shared" si="5"/>
        <v>0</v>
      </c>
    </row>
    <row r="59" spans="2:21">
      <c r="B59" s="102">
        <v>44471</v>
      </c>
      <c r="C59">
        <v>2</v>
      </c>
      <c r="D59" t="s">
        <v>121</v>
      </c>
      <c r="E59" t="s">
        <v>120</v>
      </c>
      <c r="F59" t="s">
        <v>121</v>
      </c>
      <c r="G59" t="s">
        <v>121</v>
      </c>
      <c r="H59" t="s">
        <v>121</v>
      </c>
      <c r="I59" t="s">
        <v>120</v>
      </c>
      <c r="N59">
        <f t="shared" ca="1" si="6"/>
        <v>188.8</v>
      </c>
      <c r="P59">
        <f t="shared" si="0"/>
        <v>0</v>
      </c>
      <c r="Q59">
        <f t="shared" si="1"/>
        <v>1</v>
      </c>
      <c r="R59">
        <f t="shared" si="2"/>
        <v>0</v>
      </c>
      <c r="S59">
        <f t="shared" si="3"/>
        <v>0</v>
      </c>
      <c r="T59">
        <f t="shared" si="4"/>
        <v>0</v>
      </c>
      <c r="U59">
        <f t="shared" si="5"/>
        <v>1</v>
      </c>
    </row>
    <row r="60" spans="2:21">
      <c r="B60" s="102">
        <v>44472</v>
      </c>
      <c r="C60">
        <v>2</v>
      </c>
      <c r="D60" t="s">
        <v>121</v>
      </c>
      <c r="E60" t="s">
        <v>121</v>
      </c>
      <c r="F60" t="s">
        <v>121</v>
      </c>
      <c r="G60" t="s">
        <v>121</v>
      </c>
      <c r="H60" t="s">
        <v>121</v>
      </c>
      <c r="I60" t="s">
        <v>121</v>
      </c>
      <c r="K60">
        <v>149.80000000000001</v>
      </c>
      <c r="N60">
        <f t="shared" ca="1" si="6"/>
        <v>186.5333333333333</v>
      </c>
      <c r="P60">
        <f t="shared" si="0"/>
        <v>0</v>
      </c>
      <c r="Q60">
        <f t="shared" si="1"/>
        <v>0</v>
      </c>
      <c r="R60">
        <f t="shared" si="2"/>
        <v>0</v>
      </c>
      <c r="S60">
        <f t="shared" si="3"/>
        <v>0</v>
      </c>
      <c r="T60">
        <f t="shared" si="4"/>
        <v>0</v>
      </c>
      <c r="U60">
        <f t="shared" si="5"/>
        <v>0</v>
      </c>
    </row>
    <row r="61" spans="2:21">
      <c r="B61" s="102">
        <v>44473</v>
      </c>
      <c r="C61">
        <v>3</v>
      </c>
      <c r="D61" t="s">
        <v>120</v>
      </c>
      <c r="E61" t="s">
        <v>121</v>
      </c>
      <c r="F61" t="s">
        <v>121</v>
      </c>
      <c r="G61" t="s">
        <v>121</v>
      </c>
      <c r="H61" t="s">
        <v>121</v>
      </c>
      <c r="I61" t="s">
        <v>121</v>
      </c>
      <c r="N61">
        <f t="shared" ca="1" si="6"/>
        <v>183.99999999999997</v>
      </c>
      <c r="P61">
        <f t="shared" si="0"/>
        <v>1</v>
      </c>
      <c r="Q61">
        <f t="shared" si="1"/>
        <v>0</v>
      </c>
      <c r="R61">
        <f t="shared" si="2"/>
        <v>0</v>
      </c>
      <c r="S61">
        <f t="shared" si="3"/>
        <v>0</v>
      </c>
      <c r="T61">
        <f t="shared" si="4"/>
        <v>0</v>
      </c>
      <c r="U61">
        <f t="shared" si="5"/>
        <v>0</v>
      </c>
    </row>
    <row r="62" spans="2:21">
      <c r="B62" s="102">
        <v>44474</v>
      </c>
      <c r="C62">
        <v>3</v>
      </c>
      <c r="D62" t="s">
        <v>120</v>
      </c>
      <c r="E62" t="s">
        <v>121</v>
      </c>
      <c r="F62" t="s">
        <v>121</v>
      </c>
      <c r="G62" t="s">
        <v>121</v>
      </c>
      <c r="H62" t="s">
        <v>121</v>
      </c>
      <c r="I62" t="s">
        <v>121</v>
      </c>
      <c r="N62">
        <f t="shared" ca="1" si="6"/>
        <v>184.39999999999998</v>
      </c>
      <c r="P62">
        <f t="shared" si="0"/>
        <v>1</v>
      </c>
      <c r="Q62">
        <f t="shared" si="1"/>
        <v>0</v>
      </c>
      <c r="R62">
        <f t="shared" si="2"/>
        <v>0</v>
      </c>
      <c r="S62">
        <f t="shared" si="3"/>
        <v>0</v>
      </c>
      <c r="T62">
        <f t="shared" si="4"/>
        <v>0</v>
      </c>
      <c r="U62">
        <f t="shared" si="5"/>
        <v>0</v>
      </c>
    </row>
    <row r="63" spans="2:21">
      <c r="B63" s="102">
        <v>44475</v>
      </c>
      <c r="C63">
        <v>3</v>
      </c>
      <c r="D63" t="s">
        <v>120</v>
      </c>
      <c r="E63" t="s">
        <v>121</v>
      </c>
      <c r="F63" t="s">
        <v>121</v>
      </c>
      <c r="G63" t="s">
        <v>121</v>
      </c>
      <c r="H63" t="s">
        <v>121</v>
      </c>
      <c r="I63" t="s">
        <v>121</v>
      </c>
      <c r="N63">
        <f t="shared" ca="1" si="6"/>
        <v>181.35</v>
      </c>
      <c r="P63">
        <f t="shared" si="0"/>
        <v>1</v>
      </c>
      <c r="Q63">
        <f t="shared" si="1"/>
        <v>0</v>
      </c>
      <c r="R63">
        <f t="shared" si="2"/>
        <v>0</v>
      </c>
      <c r="S63">
        <f t="shared" si="3"/>
        <v>0</v>
      </c>
      <c r="T63">
        <f t="shared" si="4"/>
        <v>0</v>
      </c>
      <c r="U63">
        <f t="shared" si="5"/>
        <v>0</v>
      </c>
    </row>
    <row r="64" spans="2:21">
      <c r="B64" s="102">
        <v>44476</v>
      </c>
      <c r="C64">
        <v>2</v>
      </c>
      <c r="D64" t="s">
        <v>120</v>
      </c>
      <c r="E64" t="s">
        <v>121</v>
      </c>
      <c r="F64" t="s">
        <v>121</v>
      </c>
      <c r="G64" t="s">
        <v>120</v>
      </c>
      <c r="H64" t="s">
        <v>120</v>
      </c>
      <c r="I64" t="s">
        <v>121</v>
      </c>
      <c r="N64">
        <f t="shared" ca="1" si="6"/>
        <v>180.05</v>
      </c>
      <c r="P64">
        <f t="shared" si="0"/>
        <v>1</v>
      </c>
      <c r="Q64">
        <f t="shared" si="1"/>
        <v>0</v>
      </c>
      <c r="R64">
        <f t="shared" si="2"/>
        <v>0</v>
      </c>
      <c r="S64">
        <f t="shared" si="3"/>
        <v>1</v>
      </c>
      <c r="T64">
        <f t="shared" si="4"/>
        <v>1</v>
      </c>
      <c r="U64">
        <f t="shared" si="5"/>
        <v>0</v>
      </c>
    </row>
    <row r="65" spans="2:21">
      <c r="B65" s="102">
        <v>44477</v>
      </c>
      <c r="C65">
        <v>3</v>
      </c>
      <c r="D65" t="s">
        <v>120</v>
      </c>
      <c r="E65" t="s">
        <v>121</v>
      </c>
      <c r="F65" t="s">
        <v>121</v>
      </c>
      <c r="G65" t="s">
        <v>121</v>
      </c>
      <c r="H65" t="s">
        <v>121</v>
      </c>
      <c r="I65" t="s">
        <v>121</v>
      </c>
      <c r="N65">
        <f t="shared" ca="1" si="6"/>
        <v>178.35999999999999</v>
      </c>
      <c r="P65">
        <f t="shared" si="0"/>
        <v>1</v>
      </c>
      <c r="Q65">
        <f t="shared" si="1"/>
        <v>0</v>
      </c>
      <c r="R65">
        <f t="shared" si="2"/>
        <v>0</v>
      </c>
      <c r="S65">
        <f t="shared" si="3"/>
        <v>0</v>
      </c>
      <c r="T65">
        <f t="shared" si="4"/>
        <v>0</v>
      </c>
      <c r="U65">
        <f t="shared" si="5"/>
        <v>0</v>
      </c>
    </row>
    <row r="66" spans="2:21">
      <c r="B66" s="102">
        <v>44478</v>
      </c>
      <c r="C66">
        <v>2</v>
      </c>
      <c r="D66" t="s">
        <v>121</v>
      </c>
      <c r="E66" t="s">
        <v>121</v>
      </c>
      <c r="F66" t="s">
        <v>121</v>
      </c>
      <c r="G66" t="s">
        <v>121</v>
      </c>
      <c r="H66" t="s">
        <v>121</v>
      </c>
      <c r="I66" t="s">
        <v>121</v>
      </c>
      <c r="N66">
        <f t="shared" ca="1" si="6"/>
        <v>175.45</v>
      </c>
      <c r="P66">
        <f t="shared" si="0"/>
        <v>0</v>
      </c>
      <c r="Q66">
        <f t="shared" si="1"/>
        <v>0</v>
      </c>
      <c r="R66">
        <f t="shared" si="2"/>
        <v>0</v>
      </c>
      <c r="S66">
        <f t="shared" si="3"/>
        <v>0</v>
      </c>
      <c r="T66">
        <f t="shared" si="4"/>
        <v>0</v>
      </c>
      <c r="U66">
        <f t="shared" si="5"/>
        <v>0</v>
      </c>
    </row>
    <row r="67" spans="2:21">
      <c r="B67" s="102">
        <v>44479</v>
      </c>
      <c r="C67">
        <v>2</v>
      </c>
      <c r="D67" t="s">
        <v>121</v>
      </c>
      <c r="E67" t="s">
        <v>121</v>
      </c>
      <c r="F67" t="s">
        <v>121</v>
      </c>
      <c r="G67" t="s">
        <v>121</v>
      </c>
      <c r="H67" t="s">
        <v>121</v>
      </c>
      <c r="I67" t="s">
        <v>121</v>
      </c>
      <c r="K67">
        <v>148.80000000000001</v>
      </c>
      <c r="N67">
        <f t="shared" ca="1" si="6"/>
        <v>173.95000000000002</v>
      </c>
      <c r="P67">
        <f t="shared" ref="P67:P130" si="7">IF(D67="YES", 1, 0)</f>
        <v>0</v>
      </c>
      <c r="Q67">
        <f t="shared" ref="Q67:Q130" si="8">IF(E67="YES", 1, 0)</f>
        <v>0</v>
      </c>
      <c r="R67">
        <f t="shared" ref="R67:R130" si="9">IF(F67="YES", 1, 0)</f>
        <v>0</v>
      </c>
      <c r="S67">
        <f t="shared" ref="S67:S130" si="10">IF(G67="YES", 1, 0)</f>
        <v>0</v>
      </c>
      <c r="T67">
        <f t="shared" ref="T67:T130" si="11">IF(H67="YES", 1, 0)</f>
        <v>0</v>
      </c>
      <c r="U67">
        <f t="shared" ref="U67:U130" si="12">IF(I67="YES", 1, 0)</f>
        <v>0</v>
      </c>
    </row>
    <row r="68" spans="2:21">
      <c r="B68" s="102">
        <v>44480</v>
      </c>
      <c r="C68">
        <v>3.5</v>
      </c>
      <c r="D68" t="s">
        <v>120</v>
      </c>
      <c r="E68" t="s">
        <v>121</v>
      </c>
      <c r="F68" t="s">
        <v>121</v>
      </c>
      <c r="G68" t="s">
        <v>121</v>
      </c>
      <c r="H68" t="s">
        <v>121</v>
      </c>
      <c r="I68" t="s">
        <v>121</v>
      </c>
      <c r="N68">
        <f ca="1">AVERAGE(OFFSET($K$28, (ROW()-ROW($N$32))*30, 0, 30, 1))</f>
        <v>171.25</v>
      </c>
      <c r="P68">
        <f t="shared" si="7"/>
        <v>1</v>
      </c>
      <c r="Q68">
        <f t="shared" si="8"/>
        <v>0</v>
      </c>
      <c r="R68">
        <f t="shared" si="9"/>
        <v>0</v>
      </c>
      <c r="S68">
        <f t="shared" si="10"/>
        <v>0</v>
      </c>
      <c r="T68">
        <f t="shared" si="11"/>
        <v>0</v>
      </c>
      <c r="U68">
        <f t="shared" si="12"/>
        <v>0</v>
      </c>
    </row>
    <row r="69" spans="2:21">
      <c r="B69" s="102">
        <v>44481</v>
      </c>
      <c r="C69">
        <v>1.5</v>
      </c>
      <c r="D69" t="s">
        <v>120</v>
      </c>
      <c r="E69" t="s">
        <v>120</v>
      </c>
      <c r="F69" t="s">
        <v>121</v>
      </c>
      <c r="G69" t="s">
        <v>121</v>
      </c>
      <c r="H69" t="s">
        <v>121</v>
      </c>
      <c r="I69" t="s">
        <v>121</v>
      </c>
      <c r="N69">
        <f t="shared" ca="1" si="6"/>
        <v>169.2</v>
      </c>
      <c r="P69">
        <f t="shared" si="7"/>
        <v>1</v>
      </c>
      <c r="Q69">
        <f t="shared" si="8"/>
        <v>1</v>
      </c>
      <c r="R69">
        <f t="shared" si="9"/>
        <v>0</v>
      </c>
      <c r="S69">
        <f t="shared" si="10"/>
        <v>0</v>
      </c>
      <c r="T69">
        <f t="shared" si="11"/>
        <v>0</v>
      </c>
      <c r="U69">
        <f t="shared" si="12"/>
        <v>0</v>
      </c>
    </row>
    <row r="70" spans="2:21">
      <c r="B70" s="102">
        <v>44482</v>
      </c>
      <c r="C70">
        <v>2</v>
      </c>
      <c r="D70" t="s">
        <v>120</v>
      </c>
      <c r="E70" t="s">
        <v>121</v>
      </c>
      <c r="F70" t="s">
        <v>121</v>
      </c>
      <c r="G70" t="s">
        <v>121</v>
      </c>
      <c r="H70" t="s">
        <v>121</v>
      </c>
      <c r="I70" t="s">
        <v>121</v>
      </c>
      <c r="N70">
        <f t="shared" ca="1" si="6"/>
        <v>175.15</v>
      </c>
      <c r="P70">
        <f t="shared" si="7"/>
        <v>1</v>
      </c>
      <c r="Q70">
        <f t="shared" si="8"/>
        <v>0</v>
      </c>
      <c r="R70">
        <f t="shared" si="9"/>
        <v>0</v>
      </c>
      <c r="S70">
        <f t="shared" si="10"/>
        <v>0</v>
      </c>
      <c r="T70">
        <f t="shared" si="11"/>
        <v>0</v>
      </c>
      <c r="U70">
        <f t="shared" si="12"/>
        <v>0</v>
      </c>
    </row>
    <row r="71" spans="2:21">
      <c r="B71" s="102">
        <v>44483</v>
      </c>
      <c r="C71">
        <v>2</v>
      </c>
      <c r="D71" t="s">
        <v>121</v>
      </c>
      <c r="E71" t="s">
        <v>121</v>
      </c>
      <c r="F71" t="s">
        <v>121</v>
      </c>
      <c r="G71" t="s">
        <v>121</v>
      </c>
      <c r="H71" t="s">
        <v>121</v>
      </c>
      <c r="I71" t="s">
        <v>121</v>
      </c>
      <c r="N71">
        <f t="shared" ca="1" si="6"/>
        <v>180.5</v>
      </c>
      <c r="P71">
        <f t="shared" si="7"/>
        <v>0</v>
      </c>
      <c r="Q71">
        <f t="shared" si="8"/>
        <v>0</v>
      </c>
      <c r="R71">
        <f t="shared" si="9"/>
        <v>0</v>
      </c>
      <c r="S71">
        <f t="shared" si="10"/>
        <v>0</v>
      </c>
      <c r="T71">
        <f t="shared" si="11"/>
        <v>0</v>
      </c>
      <c r="U71">
        <f t="shared" si="12"/>
        <v>0</v>
      </c>
    </row>
    <row r="72" spans="2:21">
      <c r="B72" s="102">
        <v>44484</v>
      </c>
      <c r="C72">
        <v>2</v>
      </c>
      <c r="D72" t="s">
        <v>121</v>
      </c>
      <c r="E72" t="s">
        <v>121</v>
      </c>
      <c r="F72" t="s">
        <v>121</v>
      </c>
      <c r="G72" t="s">
        <v>121</v>
      </c>
      <c r="H72" t="s">
        <v>121</v>
      </c>
      <c r="I72" t="s">
        <v>121</v>
      </c>
      <c r="N72">
        <f t="shared" ca="1" si="6"/>
        <v>182.08</v>
      </c>
      <c r="P72">
        <f t="shared" si="7"/>
        <v>0</v>
      </c>
      <c r="Q72">
        <f t="shared" si="8"/>
        <v>0</v>
      </c>
      <c r="R72">
        <f t="shared" si="9"/>
        <v>0</v>
      </c>
      <c r="S72">
        <f t="shared" si="10"/>
        <v>0</v>
      </c>
      <c r="T72">
        <f t="shared" si="11"/>
        <v>0</v>
      </c>
      <c r="U72">
        <f t="shared" si="12"/>
        <v>0</v>
      </c>
    </row>
    <row r="73" spans="2:21">
      <c r="B73" s="102">
        <v>44485</v>
      </c>
      <c r="C73">
        <v>2</v>
      </c>
      <c r="D73" t="s">
        <v>121</v>
      </c>
      <c r="E73" t="s">
        <v>121</v>
      </c>
      <c r="F73" t="s">
        <v>121</v>
      </c>
      <c r="G73" t="s">
        <v>121</v>
      </c>
      <c r="H73" t="s">
        <v>121</v>
      </c>
      <c r="I73" t="s">
        <v>121</v>
      </c>
      <c r="P73">
        <f t="shared" si="7"/>
        <v>0</v>
      </c>
      <c r="Q73">
        <f t="shared" si="8"/>
        <v>0</v>
      </c>
      <c r="R73">
        <f t="shared" si="9"/>
        <v>0</v>
      </c>
      <c r="S73">
        <f t="shared" si="10"/>
        <v>0</v>
      </c>
      <c r="T73">
        <f t="shared" si="11"/>
        <v>0</v>
      </c>
      <c r="U73">
        <f t="shared" si="12"/>
        <v>0</v>
      </c>
    </row>
    <row r="74" spans="2:21">
      <c r="B74" s="102">
        <v>44486</v>
      </c>
      <c r="C74">
        <v>2</v>
      </c>
      <c r="D74" t="s">
        <v>121</v>
      </c>
      <c r="E74" t="s">
        <v>121</v>
      </c>
      <c r="F74" t="s">
        <v>121</v>
      </c>
      <c r="G74" t="s">
        <v>121</v>
      </c>
      <c r="H74" t="s">
        <v>121</v>
      </c>
      <c r="I74" t="s">
        <v>121</v>
      </c>
      <c r="K74">
        <v>146</v>
      </c>
      <c r="P74">
        <f t="shared" si="7"/>
        <v>0</v>
      </c>
      <c r="Q74">
        <f t="shared" si="8"/>
        <v>0</v>
      </c>
      <c r="R74">
        <f t="shared" si="9"/>
        <v>0</v>
      </c>
      <c r="S74">
        <f t="shared" si="10"/>
        <v>0</v>
      </c>
      <c r="T74">
        <f t="shared" si="11"/>
        <v>0</v>
      </c>
      <c r="U74">
        <f t="shared" si="12"/>
        <v>0</v>
      </c>
    </row>
    <row r="75" spans="2:21">
      <c r="B75" s="102">
        <v>44487</v>
      </c>
      <c r="C75">
        <v>3</v>
      </c>
      <c r="D75" t="s">
        <v>120</v>
      </c>
      <c r="E75" t="s">
        <v>121</v>
      </c>
      <c r="F75" t="s">
        <v>121</v>
      </c>
      <c r="G75" t="s">
        <v>121</v>
      </c>
      <c r="H75" t="s">
        <v>121</v>
      </c>
      <c r="I75" t="s">
        <v>121</v>
      </c>
      <c r="P75">
        <f t="shared" si="7"/>
        <v>1</v>
      </c>
      <c r="Q75">
        <f t="shared" si="8"/>
        <v>0</v>
      </c>
      <c r="R75">
        <f t="shared" si="9"/>
        <v>0</v>
      </c>
      <c r="S75">
        <f t="shared" si="10"/>
        <v>0</v>
      </c>
      <c r="T75">
        <f t="shared" si="11"/>
        <v>0</v>
      </c>
      <c r="U75">
        <f t="shared" si="12"/>
        <v>0</v>
      </c>
    </row>
    <row r="76" spans="2:21">
      <c r="B76" s="102">
        <v>44488</v>
      </c>
      <c r="C76">
        <v>3</v>
      </c>
      <c r="D76" t="s">
        <v>120</v>
      </c>
      <c r="E76" t="s">
        <v>121</v>
      </c>
      <c r="F76" t="s">
        <v>121</v>
      </c>
      <c r="G76" t="s">
        <v>120</v>
      </c>
      <c r="H76" t="s">
        <v>121</v>
      </c>
      <c r="I76" t="s">
        <v>121</v>
      </c>
      <c r="P76">
        <f t="shared" si="7"/>
        <v>1</v>
      </c>
      <c r="Q76">
        <f t="shared" si="8"/>
        <v>0</v>
      </c>
      <c r="R76">
        <f t="shared" si="9"/>
        <v>0</v>
      </c>
      <c r="S76">
        <f t="shared" si="10"/>
        <v>1</v>
      </c>
      <c r="T76">
        <f t="shared" si="11"/>
        <v>0</v>
      </c>
      <c r="U76">
        <f t="shared" si="12"/>
        <v>0</v>
      </c>
    </row>
    <row r="77" spans="2:21">
      <c r="B77" s="102">
        <v>44489</v>
      </c>
      <c r="C77">
        <v>4</v>
      </c>
      <c r="D77" t="s">
        <v>120</v>
      </c>
      <c r="E77" t="s">
        <v>121</v>
      </c>
      <c r="F77" t="s">
        <v>121</v>
      </c>
      <c r="G77" t="s">
        <v>121</v>
      </c>
      <c r="H77" t="s">
        <v>121</v>
      </c>
      <c r="I77" t="s">
        <v>121</v>
      </c>
      <c r="P77">
        <f t="shared" si="7"/>
        <v>1</v>
      </c>
      <c r="Q77">
        <f t="shared" si="8"/>
        <v>0</v>
      </c>
      <c r="R77">
        <f t="shared" si="9"/>
        <v>0</v>
      </c>
      <c r="S77">
        <f t="shared" si="10"/>
        <v>0</v>
      </c>
      <c r="T77">
        <f t="shared" si="11"/>
        <v>0</v>
      </c>
      <c r="U77">
        <f t="shared" si="12"/>
        <v>0</v>
      </c>
    </row>
    <row r="78" spans="2:21">
      <c r="B78" s="102">
        <v>44490</v>
      </c>
      <c r="C78">
        <v>3</v>
      </c>
      <c r="D78" t="s">
        <v>120</v>
      </c>
      <c r="E78" t="s">
        <v>121</v>
      </c>
      <c r="F78" t="s">
        <v>121</v>
      </c>
      <c r="G78" t="s">
        <v>121</v>
      </c>
      <c r="H78" t="s">
        <v>121</v>
      </c>
      <c r="I78" t="s">
        <v>121</v>
      </c>
      <c r="P78">
        <f t="shared" si="7"/>
        <v>1</v>
      </c>
      <c r="Q78">
        <f t="shared" si="8"/>
        <v>0</v>
      </c>
      <c r="R78">
        <f t="shared" si="9"/>
        <v>0</v>
      </c>
      <c r="S78">
        <f t="shared" si="10"/>
        <v>0</v>
      </c>
      <c r="T78">
        <f t="shared" si="11"/>
        <v>0</v>
      </c>
      <c r="U78">
        <f t="shared" si="12"/>
        <v>0</v>
      </c>
    </row>
    <row r="79" spans="2:21">
      <c r="B79" s="102">
        <v>44491</v>
      </c>
      <c r="C79">
        <v>3</v>
      </c>
      <c r="D79" t="s">
        <v>120</v>
      </c>
      <c r="E79" t="s">
        <v>121</v>
      </c>
      <c r="F79" t="s">
        <v>121</v>
      </c>
      <c r="G79" t="s">
        <v>121</v>
      </c>
      <c r="H79" t="s">
        <v>121</v>
      </c>
      <c r="I79" t="s">
        <v>121</v>
      </c>
      <c r="P79">
        <f t="shared" si="7"/>
        <v>1</v>
      </c>
      <c r="Q79">
        <f t="shared" si="8"/>
        <v>0</v>
      </c>
      <c r="R79">
        <f t="shared" si="9"/>
        <v>0</v>
      </c>
      <c r="S79">
        <f t="shared" si="10"/>
        <v>0</v>
      </c>
      <c r="T79">
        <f t="shared" si="11"/>
        <v>0</v>
      </c>
      <c r="U79">
        <f t="shared" si="12"/>
        <v>0</v>
      </c>
    </row>
    <row r="80" spans="2:21">
      <c r="B80" s="102">
        <v>44492</v>
      </c>
      <c r="C80">
        <v>2</v>
      </c>
      <c r="D80" t="s">
        <v>121</v>
      </c>
      <c r="E80" t="s">
        <v>121</v>
      </c>
      <c r="F80" t="s">
        <v>121</v>
      </c>
      <c r="G80" t="s">
        <v>121</v>
      </c>
      <c r="H80" t="s">
        <v>121</v>
      </c>
      <c r="I80" t="s">
        <v>120</v>
      </c>
      <c r="P80">
        <f t="shared" si="7"/>
        <v>0</v>
      </c>
      <c r="Q80">
        <f t="shared" si="8"/>
        <v>0</v>
      </c>
      <c r="R80">
        <f t="shared" si="9"/>
        <v>0</v>
      </c>
      <c r="S80">
        <f t="shared" si="10"/>
        <v>0</v>
      </c>
      <c r="T80">
        <f t="shared" si="11"/>
        <v>0</v>
      </c>
      <c r="U80">
        <f t="shared" si="12"/>
        <v>1</v>
      </c>
    </row>
    <row r="81" spans="2:21">
      <c r="B81" s="102">
        <v>44493</v>
      </c>
      <c r="C81">
        <v>2.5</v>
      </c>
      <c r="D81" t="s">
        <v>121</v>
      </c>
      <c r="E81" t="s">
        <v>121</v>
      </c>
      <c r="F81" t="s">
        <v>121</v>
      </c>
      <c r="G81" t="s">
        <v>121</v>
      </c>
      <c r="H81" t="s">
        <v>121</v>
      </c>
      <c r="I81" t="s">
        <v>120</v>
      </c>
      <c r="K81">
        <v>151</v>
      </c>
      <c r="P81">
        <f t="shared" si="7"/>
        <v>0</v>
      </c>
      <c r="Q81">
        <f t="shared" si="8"/>
        <v>0</v>
      </c>
      <c r="R81">
        <f t="shared" si="9"/>
        <v>0</v>
      </c>
      <c r="S81">
        <f t="shared" si="10"/>
        <v>0</v>
      </c>
      <c r="T81">
        <f t="shared" si="11"/>
        <v>0</v>
      </c>
      <c r="U81">
        <f t="shared" si="12"/>
        <v>1</v>
      </c>
    </row>
    <row r="82" spans="2:21">
      <c r="B82" s="102">
        <v>44494</v>
      </c>
      <c r="C82">
        <v>3</v>
      </c>
      <c r="D82" t="s">
        <v>120</v>
      </c>
      <c r="E82" t="s">
        <v>121</v>
      </c>
      <c r="F82" t="s">
        <v>121</v>
      </c>
      <c r="G82" t="s">
        <v>121</v>
      </c>
      <c r="H82" t="s">
        <v>121</v>
      </c>
      <c r="I82" t="s">
        <v>120</v>
      </c>
      <c r="P82">
        <f t="shared" si="7"/>
        <v>1</v>
      </c>
      <c r="Q82">
        <f t="shared" si="8"/>
        <v>0</v>
      </c>
      <c r="R82">
        <f t="shared" si="9"/>
        <v>0</v>
      </c>
      <c r="S82">
        <f t="shared" si="10"/>
        <v>0</v>
      </c>
      <c r="T82">
        <f t="shared" si="11"/>
        <v>0</v>
      </c>
      <c r="U82">
        <f t="shared" si="12"/>
        <v>1</v>
      </c>
    </row>
    <row r="83" spans="2:21">
      <c r="B83" s="102">
        <v>44495</v>
      </c>
      <c r="C83">
        <v>3.5</v>
      </c>
      <c r="D83" t="s">
        <v>120</v>
      </c>
      <c r="E83" t="s">
        <v>121</v>
      </c>
      <c r="F83" t="s">
        <v>121</v>
      </c>
      <c r="G83" t="s">
        <v>121</v>
      </c>
      <c r="H83" t="s">
        <v>121</v>
      </c>
      <c r="I83" t="s">
        <v>120</v>
      </c>
      <c r="P83">
        <f t="shared" si="7"/>
        <v>1</v>
      </c>
      <c r="Q83">
        <f t="shared" si="8"/>
        <v>0</v>
      </c>
      <c r="R83">
        <f t="shared" si="9"/>
        <v>0</v>
      </c>
      <c r="S83">
        <f t="shared" si="10"/>
        <v>0</v>
      </c>
      <c r="T83">
        <f t="shared" si="11"/>
        <v>0</v>
      </c>
      <c r="U83">
        <f t="shared" si="12"/>
        <v>1</v>
      </c>
    </row>
    <row r="84" spans="2:21">
      <c r="B84" s="102">
        <v>44496</v>
      </c>
      <c r="C84">
        <v>3.5</v>
      </c>
      <c r="D84" t="s">
        <v>120</v>
      </c>
      <c r="E84" t="s">
        <v>121</v>
      </c>
      <c r="F84" t="s">
        <v>121</v>
      </c>
      <c r="G84" t="s">
        <v>121</v>
      </c>
      <c r="H84" t="s">
        <v>121</v>
      </c>
      <c r="I84" t="s">
        <v>121</v>
      </c>
      <c r="P84">
        <f t="shared" si="7"/>
        <v>1</v>
      </c>
      <c r="Q84">
        <f t="shared" si="8"/>
        <v>0</v>
      </c>
      <c r="R84">
        <f t="shared" si="9"/>
        <v>0</v>
      </c>
      <c r="S84">
        <f t="shared" si="10"/>
        <v>0</v>
      </c>
      <c r="T84">
        <f t="shared" si="11"/>
        <v>0</v>
      </c>
      <c r="U84">
        <f t="shared" si="12"/>
        <v>0</v>
      </c>
    </row>
    <row r="85" spans="2:21">
      <c r="B85" s="102">
        <v>44497</v>
      </c>
      <c r="C85">
        <v>3</v>
      </c>
      <c r="D85" t="s">
        <v>120</v>
      </c>
      <c r="E85" t="s">
        <v>121</v>
      </c>
      <c r="F85" t="s">
        <v>121</v>
      </c>
      <c r="G85" t="s">
        <v>121</v>
      </c>
      <c r="H85" t="s">
        <v>121</v>
      </c>
      <c r="I85" t="s">
        <v>121</v>
      </c>
      <c r="P85">
        <f t="shared" si="7"/>
        <v>1</v>
      </c>
      <c r="Q85">
        <f t="shared" si="8"/>
        <v>0</v>
      </c>
      <c r="R85">
        <f t="shared" si="9"/>
        <v>0</v>
      </c>
      <c r="S85">
        <f t="shared" si="10"/>
        <v>0</v>
      </c>
      <c r="T85">
        <f t="shared" si="11"/>
        <v>0</v>
      </c>
      <c r="U85">
        <f t="shared" si="12"/>
        <v>0</v>
      </c>
    </row>
    <row r="86" spans="2:21">
      <c r="B86" s="102">
        <v>44498</v>
      </c>
      <c r="C86">
        <v>3.5</v>
      </c>
      <c r="D86" t="s">
        <v>120</v>
      </c>
      <c r="E86" t="s">
        <v>121</v>
      </c>
      <c r="F86" t="s">
        <v>121</v>
      </c>
      <c r="G86" t="s">
        <v>120</v>
      </c>
      <c r="H86" t="s">
        <v>121</v>
      </c>
      <c r="I86" t="s">
        <v>121</v>
      </c>
      <c r="P86">
        <f t="shared" si="7"/>
        <v>1</v>
      </c>
      <c r="Q86">
        <f t="shared" si="8"/>
        <v>0</v>
      </c>
      <c r="R86">
        <f t="shared" si="9"/>
        <v>0</v>
      </c>
      <c r="S86">
        <f t="shared" si="10"/>
        <v>1</v>
      </c>
      <c r="T86">
        <f t="shared" si="11"/>
        <v>0</v>
      </c>
      <c r="U86">
        <f t="shared" si="12"/>
        <v>0</v>
      </c>
    </row>
    <row r="87" spans="2:21">
      <c r="B87" s="102">
        <v>44499</v>
      </c>
      <c r="C87">
        <v>3</v>
      </c>
      <c r="D87" t="s">
        <v>121</v>
      </c>
      <c r="E87" t="s">
        <v>121</v>
      </c>
      <c r="F87" t="s">
        <v>121</v>
      </c>
      <c r="G87" t="s">
        <v>121</v>
      </c>
      <c r="H87" t="s">
        <v>121</v>
      </c>
      <c r="I87" t="s">
        <v>121</v>
      </c>
      <c r="P87">
        <f t="shared" si="7"/>
        <v>0</v>
      </c>
      <c r="Q87">
        <f t="shared" si="8"/>
        <v>0</v>
      </c>
      <c r="R87">
        <f t="shared" si="9"/>
        <v>0</v>
      </c>
      <c r="S87">
        <f t="shared" si="10"/>
        <v>0</v>
      </c>
      <c r="T87">
        <f t="shared" si="11"/>
        <v>0</v>
      </c>
      <c r="U87">
        <f t="shared" si="12"/>
        <v>0</v>
      </c>
    </row>
    <row r="88" spans="2:21">
      <c r="B88" s="102">
        <v>44500</v>
      </c>
      <c r="C88">
        <v>2</v>
      </c>
      <c r="D88" t="s">
        <v>121</v>
      </c>
      <c r="E88" t="s">
        <v>120</v>
      </c>
      <c r="F88" t="s">
        <v>121</v>
      </c>
      <c r="G88" t="s">
        <v>121</v>
      </c>
      <c r="H88" t="s">
        <v>121</v>
      </c>
      <c r="I88" t="s">
        <v>121</v>
      </c>
      <c r="K88">
        <v>153</v>
      </c>
      <c r="P88">
        <f t="shared" si="7"/>
        <v>0</v>
      </c>
      <c r="Q88">
        <f t="shared" si="8"/>
        <v>1</v>
      </c>
      <c r="R88">
        <f t="shared" si="9"/>
        <v>0</v>
      </c>
      <c r="S88">
        <f t="shared" si="10"/>
        <v>0</v>
      </c>
      <c r="T88">
        <f t="shared" si="11"/>
        <v>0</v>
      </c>
      <c r="U88">
        <f t="shared" si="12"/>
        <v>0</v>
      </c>
    </row>
    <row r="89" spans="2:21">
      <c r="B89" s="102">
        <v>44501</v>
      </c>
      <c r="C89">
        <v>3</v>
      </c>
      <c r="D89" t="s">
        <v>120</v>
      </c>
      <c r="E89" t="s">
        <v>121</v>
      </c>
      <c r="F89" t="s">
        <v>121</v>
      </c>
      <c r="G89" t="s">
        <v>121</v>
      </c>
      <c r="H89" t="s">
        <v>121</v>
      </c>
      <c r="I89" t="s">
        <v>121</v>
      </c>
      <c r="P89">
        <f t="shared" si="7"/>
        <v>1</v>
      </c>
      <c r="Q89">
        <f t="shared" si="8"/>
        <v>0</v>
      </c>
      <c r="R89">
        <f t="shared" si="9"/>
        <v>0</v>
      </c>
      <c r="S89">
        <f t="shared" si="10"/>
        <v>0</v>
      </c>
      <c r="T89">
        <f t="shared" si="11"/>
        <v>0</v>
      </c>
      <c r="U89">
        <f t="shared" si="12"/>
        <v>0</v>
      </c>
    </row>
    <row r="90" spans="2:21">
      <c r="B90" s="102">
        <v>44502</v>
      </c>
      <c r="C90">
        <v>2.5</v>
      </c>
      <c r="D90" t="s">
        <v>120</v>
      </c>
      <c r="E90" t="s">
        <v>121</v>
      </c>
      <c r="F90" t="s">
        <v>121</v>
      </c>
      <c r="G90" t="s">
        <v>121</v>
      </c>
      <c r="H90" t="s">
        <v>121</v>
      </c>
      <c r="I90" t="s">
        <v>121</v>
      </c>
      <c r="P90">
        <f t="shared" si="7"/>
        <v>1</v>
      </c>
      <c r="Q90">
        <f t="shared" si="8"/>
        <v>0</v>
      </c>
      <c r="R90">
        <f t="shared" si="9"/>
        <v>0</v>
      </c>
      <c r="S90">
        <f t="shared" si="10"/>
        <v>0</v>
      </c>
      <c r="T90">
        <f t="shared" si="11"/>
        <v>0</v>
      </c>
      <c r="U90">
        <f t="shared" si="12"/>
        <v>0</v>
      </c>
    </row>
    <row r="91" spans="2:21">
      <c r="B91" s="102">
        <v>44503</v>
      </c>
      <c r="C91">
        <v>2.5</v>
      </c>
      <c r="D91" t="s">
        <v>120</v>
      </c>
      <c r="E91" t="s">
        <v>121</v>
      </c>
      <c r="F91" t="s">
        <v>121</v>
      </c>
      <c r="G91" t="s">
        <v>121</v>
      </c>
      <c r="H91" t="s">
        <v>121</v>
      </c>
      <c r="I91" t="s">
        <v>121</v>
      </c>
      <c r="P91">
        <f t="shared" si="7"/>
        <v>1</v>
      </c>
      <c r="Q91">
        <f t="shared" si="8"/>
        <v>0</v>
      </c>
      <c r="R91">
        <f t="shared" si="9"/>
        <v>0</v>
      </c>
      <c r="S91">
        <f t="shared" si="10"/>
        <v>0</v>
      </c>
      <c r="T91">
        <f t="shared" si="11"/>
        <v>0</v>
      </c>
      <c r="U91">
        <f t="shared" si="12"/>
        <v>0</v>
      </c>
    </row>
    <row r="92" spans="2:21">
      <c r="B92" s="102">
        <v>44504</v>
      </c>
      <c r="C92">
        <v>3.5</v>
      </c>
      <c r="D92" t="s">
        <v>120</v>
      </c>
      <c r="E92" t="s">
        <v>121</v>
      </c>
      <c r="F92" t="s">
        <v>121</v>
      </c>
      <c r="G92" t="s">
        <v>121</v>
      </c>
      <c r="H92" t="s">
        <v>121</v>
      </c>
      <c r="I92" t="s">
        <v>121</v>
      </c>
      <c r="P92">
        <f t="shared" si="7"/>
        <v>1</v>
      </c>
      <c r="Q92">
        <f t="shared" si="8"/>
        <v>0</v>
      </c>
      <c r="R92">
        <f t="shared" si="9"/>
        <v>0</v>
      </c>
      <c r="S92">
        <f t="shared" si="10"/>
        <v>0</v>
      </c>
      <c r="T92">
        <f t="shared" si="11"/>
        <v>0</v>
      </c>
      <c r="U92">
        <f t="shared" si="12"/>
        <v>0</v>
      </c>
    </row>
    <row r="93" spans="2:21">
      <c r="B93" s="102">
        <v>44505</v>
      </c>
      <c r="C93">
        <v>2.5</v>
      </c>
      <c r="D93" t="s">
        <v>120</v>
      </c>
      <c r="E93" t="s">
        <v>121</v>
      </c>
      <c r="F93" t="s">
        <v>121</v>
      </c>
      <c r="G93" t="s">
        <v>121</v>
      </c>
      <c r="H93" t="s">
        <v>121</v>
      </c>
      <c r="I93" t="s">
        <v>120</v>
      </c>
      <c r="P93">
        <f t="shared" si="7"/>
        <v>1</v>
      </c>
      <c r="Q93">
        <f t="shared" si="8"/>
        <v>0</v>
      </c>
      <c r="R93">
        <f t="shared" si="9"/>
        <v>0</v>
      </c>
      <c r="S93">
        <f t="shared" si="10"/>
        <v>0</v>
      </c>
      <c r="T93">
        <f t="shared" si="11"/>
        <v>0</v>
      </c>
      <c r="U93">
        <f t="shared" si="12"/>
        <v>1</v>
      </c>
    </row>
    <row r="94" spans="2:21">
      <c r="B94" s="102">
        <v>44506</v>
      </c>
      <c r="C94">
        <v>2</v>
      </c>
      <c r="D94" t="s">
        <v>121</v>
      </c>
      <c r="E94" t="s">
        <v>121</v>
      </c>
      <c r="F94" t="s">
        <v>121</v>
      </c>
      <c r="G94" t="s">
        <v>120</v>
      </c>
      <c r="H94" t="s">
        <v>120</v>
      </c>
      <c r="I94" t="s">
        <v>121</v>
      </c>
      <c r="P94">
        <f t="shared" si="7"/>
        <v>0</v>
      </c>
      <c r="Q94">
        <f t="shared" si="8"/>
        <v>0</v>
      </c>
      <c r="R94">
        <f t="shared" si="9"/>
        <v>0</v>
      </c>
      <c r="S94">
        <f t="shared" si="10"/>
        <v>1</v>
      </c>
      <c r="T94">
        <f t="shared" si="11"/>
        <v>1</v>
      </c>
      <c r="U94">
        <f t="shared" si="12"/>
        <v>0</v>
      </c>
    </row>
    <row r="95" spans="2:21">
      <c r="B95" s="102">
        <v>44507</v>
      </c>
      <c r="C95">
        <v>3.5</v>
      </c>
      <c r="D95" t="s">
        <v>121</v>
      </c>
      <c r="E95" t="s">
        <v>121</v>
      </c>
      <c r="F95" t="s">
        <v>121</v>
      </c>
      <c r="G95" t="s">
        <v>121</v>
      </c>
      <c r="H95" t="s">
        <v>121</v>
      </c>
      <c r="I95" t="s">
        <v>121</v>
      </c>
      <c r="K95">
        <v>152.19999999999999</v>
      </c>
      <c r="P95">
        <f t="shared" si="7"/>
        <v>0</v>
      </c>
      <c r="Q95">
        <f t="shared" si="8"/>
        <v>0</v>
      </c>
      <c r="R95">
        <f t="shared" si="9"/>
        <v>0</v>
      </c>
      <c r="S95">
        <f t="shared" si="10"/>
        <v>0</v>
      </c>
      <c r="T95">
        <f t="shared" si="11"/>
        <v>0</v>
      </c>
      <c r="U95">
        <f t="shared" si="12"/>
        <v>0</v>
      </c>
    </row>
    <row r="96" spans="2:21">
      <c r="B96" s="102">
        <v>44508</v>
      </c>
      <c r="C96">
        <v>3.5</v>
      </c>
      <c r="D96" t="s">
        <v>120</v>
      </c>
      <c r="E96" t="s">
        <v>121</v>
      </c>
      <c r="F96" t="s">
        <v>121</v>
      </c>
      <c r="G96" t="s">
        <v>121</v>
      </c>
      <c r="H96" t="s">
        <v>121</v>
      </c>
      <c r="I96" t="s">
        <v>121</v>
      </c>
      <c r="P96">
        <f t="shared" si="7"/>
        <v>1</v>
      </c>
      <c r="Q96">
        <f t="shared" si="8"/>
        <v>0</v>
      </c>
      <c r="R96">
        <f t="shared" si="9"/>
        <v>0</v>
      </c>
      <c r="S96">
        <f t="shared" si="10"/>
        <v>0</v>
      </c>
      <c r="T96">
        <f t="shared" si="11"/>
        <v>0</v>
      </c>
      <c r="U96">
        <f t="shared" si="12"/>
        <v>0</v>
      </c>
    </row>
    <row r="97" spans="2:21">
      <c r="B97" s="102">
        <v>44509</v>
      </c>
      <c r="C97">
        <v>3</v>
      </c>
      <c r="D97" t="s">
        <v>120</v>
      </c>
      <c r="E97" t="s">
        <v>121</v>
      </c>
      <c r="F97" t="s">
        <v>121</v>
      </c>
      <c r="G97" t="s">
        <v>121</v>
      </c>
      <c r="H97" t="s">
        <v>121</v>
      </c>
      <c r="I97" t="s">
        <v>121</v>
      </c>
      <c r="P97">
        <f t="shared" si="7"/>
        <v>1</v>
      </c>
      <c r="Q97">
        <f t="shared" si="8"/>
        <v>0</v>
      </c>
      <c r="R97">
        <f t="shared" si="9"/>
        <v>0</v>
      </c>
      <c r="S97">
        <f t="shared" si="10"/>
        <v>0</v>
      </c>
      <c r="T97">
        <f t="shared" si="11"/>
        <v>0</v>
      </c>
      <c r="U97">
        <f t="shared" si="12"/>
        <v>0</v>
      </c>
    </row>
    <row r="98" spans="2:21">
      <c r="B98" s="102">
        <v>44510</v>
      </c>
      <c r="C98">
        <v>2.5</v>
      </c>
      <c r="D98" t="s">
        <v>120</v>
      </c>
      <c r="E98" t="s">
        <v>120</v>
      </c>
      <c r="F98" t="s">
        <v>121</v>
      </c>
      <c r="G98" t="s">
        <v>121</v>
      </c>
      <c r="H98" t="s">
        <v>121</v>
      </c>
      <c r="I98" t="s">
        <v>121</v>
      </c>
      <c r="P98">
        <f t="shared" si="7"/>
        <v>1</v>
      </c>
      <c r="Q98">
        <f t="shared" si="8"/>
        <v>1</v>
      </c>
      <c r="R98">
        <f t="shared" si="9"/>
        <v>0</v>
      </c>
      <c r="S98">
        <f t="shared" si="10"/>
        <v>0</v>
      </c>
      <c r="T98">
        <f t="shared" si="11"/>
        <v>0</v>
      </c>
      <c r="U98">
        <f t="shared" si="12"/>
        <v>0</v>
      </c>
    </row>
    <row r="99" spans="2:21">
      <c r="B99" s="102">
        <v>44511</v>
      </c>
      <c r="C99">
        <v>2</v>
      </c>
      <c r="D99" t="s">
        <v>120</v>
      </c>
      <c r="E99" t="s">
        <v>121</v>
      </c>
      <c r="F99" t="s">
        <v>121</v>
      </c>
      <c r="G99" t="s">
        <v>121</v>
      </c>
      <c r="H99" t="s">
        <v>121</v>
      </c>
      <c r="I99" t="s">
        <v>121</v>
      </c>
      <c r="P99">
        <f t="shared" si="7"/>
        <v>1</v>
      </c>
      <c r="Q99">
        <f t="shared" si="8"/>
        <v>0</v>
      </c>
      <c r="R99">
        <f t="shared" si="9"/>
        <v>0</v>
      </c>
      <c r="S99">
        <f t="shared" si="10"/>
        <v>0</v>
      </c>
      <c r="T99">
        <f t="shared" si="11"/>
        <v>0</v>
      </c>
      <c r="U99">
        <f t="shared" si="12"/>
        <v>0</v>
      </c>
    </row>
    <row r="100" spans="2:21">
      <c r="B100" s="102">
        <v>44512</v>
      </c>
      <c r="C100">
        <v>3.5</v>
      </c>
      <c r="D100" t="s">
        <v>120</v>
      </c>
      <c r="E100" t="s">
        <v>121</v>
      </c>
      <c r="F100" t="s">
        <v>121</v>
      </c>
      <c r="G100" t="s">
        <v>121</v>
      </c>
      <c r="H100" t="s">
        <v>121</v>
      </c>
      <c r="I100" t="s">
        <v>121</v>
      </c>
      <c r="P100">
        <f t="shared" si="7"/>
        <v>1</v>
      </c>
      <c r="Q100">
        <f t="shared" si="8"/>
        <v>0</v>
      </c>
      <c r="R100">
        <f t="shared" si="9"/>
        <v>0</v>
      </c>
      <c r="S100">
        <f t="shared" si="10"/>
        <v>0</v>
      </c>
      <c r="T100">
        <f t="shared" si="11"/>
        <v>0</v>
      </c>
      <c r="U100">
        <f t="shared" si="12"/>
        <v>0</v>
      </c>
    </row>
    <row r="101" spans="2:21">
      <c r="B101" s="102">
        <v>44513</v>
      </c>
      <c r="C101">
        <v>1.5</v>
      </c>
      <c r="D101" t="s">
        <v>121</v>
      </c>
      <c r="E101" t="s">
        <v>121</v>
      </c>
      <c r="F101" t="s">
        <v>121</v>
      </c>
      <c r="G101" t="s">
        <v>121</v>
      </c>
      <c r="H101" t="s">
        <v>121</v>
      </c>
      <c r="I101" t="s">
        <v>121</v>
      </c>
      <c r="P101">
        <f t="shared" si="7"/>
        <v>0</v>
      </c>
      <c r="Q101">
        <f t="shared" si="8"/>
        <v>0</v>
      </c>
      <c r="R101">
        <f t="shared" si="9"/>
        <v>0</v>
      </c>
      <c r="S101">
        <f t="shared" si="10"/>
        <v>0</v>
      </c>
      <c r="T101">
        <f t="shared" si="11"/>
        <v>0</v>
      </c>
      <c r="U101">
        <f t="shared" si="12"/>
        <v>0</v>
      </c>
    </row>
    <row r="102" spans="2:21">
      <c r="B102" s="102">
        <v>44514</v>
      </c>
      <c r="C102">
        <v>2</v>
      </c>
      <c r="D102" t="s">
        <v>121</v>
      </c>
      <c r="E102" t="s">
        <v>121</v>
      </c>
      <c r="F102" t="s">
        <v>121</v>
      </c>
      <c r="G102" t="s">
        <v>121</v>
      </c>
      <c r="H102" t="s">
        <v>121</v>
      </c>
      <c r="I102" t="s">
        <v>121</v>
      </c>
      <c r="K102">
        <v>151</v>
      </c>
      <c r="P102">
        <f t="shared" si="7"/>
        <v>0</v>
      </c>
      <c r="Q102">
        <f t="shared" si="8"/>
        <v>0</v>
      </c>
      <c r="R102">
        <f t="shared" si="9"/>
        <v>0</v>
      </c>
      <c r="S102">
        <f t="shared" si="10"/>
        <v>0</v>
      </c>
      <c r="T102">
        <f t="shared" si="11"/>
        <v>0</v>
      </c>
      <c r="U102">
        <f t="shared" si="12"/>
        <v>0</v>
      </c>
    </row>
    <row r="103" spans="2:21">
      <c r="B103" s="102">
        <v>44515</v>
      </c>
      <c r="C103">
        <v>3</v>
      </c>
      <c r="D103" t="s">
        <v>120</v>
      </c>
      <c r="E103" t="s">
        <v>121</v>
      </c>
      <c r="F103" t="s">
        <v>121</v>
      </c>
      <c r="G103" t="s">
        <v>121</v>
      </c>
      <c r="H103" t="s">
        <v>121</v>
      </c>
      <c r="I103" t="s">
        <v>121</v>
      </c>
      <c r="P103">
        <f t="shared" si="7"/>
        <v>1</v>
      </c>
      <c r="Q103">
        <f t="shared" si="8"/>
        <v>0</v>
      </c>
      <c r="R103">
        <f t="shared" si="9"/>
        <v>0</v>
      </c>
      <c r="S103">
        <f t="shared" si="10"/>
        <v>0</v>
      </c>
      <c r="T103">
        <f t="shared" si="11"/>
        <v>0</v>
      </c>
      <c r="U103">
        <f t="shared" si="12"/>
        <v>0</v>
      </c>
    </row>
    <row r="104" spans="2:21">
      <c r="B104" s="102">
        <v>44516</v>
      </c>
      <c r="C104">
        <v>3.5</v>
      </c>
      <c r="D104" t="s">
        <v>120</v>
      </c>
      <c r="E104" t="s">
        <v>121</v>
      </c>
      <c r="F104" t="s">
        <v>121</v>
      </c>
      <c r="G104" t="s">
        <v>121</v>
      </c>
      <c r="H104" t="s">
        <v>121</v>
      </c>
      <c r="I104" t="s">
        <v>121</v>
      </c>
      <c r="P104">
        <f t="shared" si="7"/>
        <v>1</v>
      </c>
      <c r="Q104">
        <f t="shared" si="8"/>
        <v>0</v>
      </c>
      <c r="R104">
        <f t="shared" si="9"/>
        <v>0</v>
      </c>
      <c r="S104">
        <f t="shared" si="10"/>
        <v>0</v>
      </c>
      <c r="T104">
        <f t="shared" si="11"/>
        <v>0</v>
      </c>
      <c r="U104">
        <f t="shared" si="12"/>
        <v>0</v>
      </c>
    </row>
    <row r="105" spans="2:21">
      <c r="B105" s="102">
        <v>44517</v>
      </c>
      <c r="C105">
        <v>3</v>
      </c>
      <c r="D105" t="s">
        <v>120</v>
      </c>
      <c r="E105" t="s">
        <v>121</v>
      </c>
      <c r="F105" t="s">
        <v>121</v>
      </c>
      <c r="G105" t="s">
        <v>121</v>
      </c>
      <c r="H105" t="s">
        <v>121</v>
      </c>
      <c r="I105" t="s">
        <v>121</v>
      </c>
      <c r="P105">
        <f t="shared" si="7"/>
        <v>1</v>
      </c>
      <c r="Q105">
        <f t="shared" si="8"/>
        <v>0</v>
      </c>
      <c r="R105">
        <f t="shared" si="9"/>
        <v>0</v>
      </c>
      <c r="S105">
        <f t="shared" si="10"/>
        <v>0</v>
      </c>
      <c r="T105">
        <f t="shared" si="11"/>
        <v>0</v>
      </c>
      <c r="U105">
        <f t="shared" si="12"/>
        <v>0</v>
      </c>
    </row>
    <row r="106" spans="2:21">
      <c r="B106" s="102">
        <v>44518</v>
      </c>
      <c r="C106">
        <v>1.5</v>
      </c>
      <c r="D106" t="s">
        <v>120</v>
      </c>
      <c r="E106" t="s">
        <v>121</v>
      </c>
      <c r="F106" t="s">
        <v>121</v>
      </c>
      <c r="G106" t="s">
        <v>121</v>
      </c>
      <c r="H106" t="s">
        <v>121</v>
      </c>
      <c r="I106" t="s">
        <v>121</v>
      </c>
      <c r="P106">
        <f t="shared" si="7"/>
        <v>1</v>
      </c>
      <c r="Q106">
        <f t="shared" si="8"/>
        <v>0</v>
      </c>
      <c r="R106">
        <f t="shared" si="9"/>
        <v>0</v>
      </c>
      <c r="S106">
        <f t="shared" si="10"/>
        <v>0</v>
      </c>
      <c r="T106">
        <f t="shared" si="11"/>
        <v>0</v>
      </c>
      <c r="U106">
        <f t="shared" si="12"/>
        <v>0</v>
      </c>
    </row>
    <row r="107" spans="2:21">
      <c r="B107" s="102">
        <v>44519</v>
      </c>
      <c r="C107">
        <v>3</v>
      </c>
      <c r="D107" t="s">
        <v>120</v>
      </c>
      <c r="E107" t="s">
        <v>121</v>
      </c>
      <c r="F107" t="s">
        <v>121</v>
      </c>
      <c r="G107" t="s">
        <v>121</v>
      </c>
      <c r="H107" t="s">
        <v>121</v>
      </c>
      <c r="I107" t="s">
        <v>121</v>
      </c>
      <c r="P107">
        <f t="shared" si="7"/>
        <v>1</v>
      </c>
      <c r="Q107">
        <f t="shared" si="8"/>
        <v>0</v>
      </c>
      <c r="R107">
        <f t="shared" si="9"/>
        <v>0</v>
      </c>
      <c r="S107">
        <f t="shared" si="10"/>
        <v>0</v>
      </c>
      <c r="T107">
        <f t="shared" si="11"/>
        <v>0</v>
      </c>
      <c r="U107">
        <f t="shared" si="12"/>
        <v>0</v>
      </c>
    </row>
    <row r="108" spans="2:21">
      <c r="B108" s="102">
        <v>44520</v>
      </c>
      <c r="C108">
        <v>3</v>
      </c>
      <c r="D108" t="s">
        <v>121</v>
      </c>
      <c r="E108" t="s">
        <v>120</v>
      </c>
      <c r="F108" t="s">
        <v>120</v>
      </c>
      <c r="G108" t="s">
        <v>120</v>
      </c>
      <c r="H108" t="s">
        <v>121</v>
      </c>
      <c r="I108" t="s">
        <v>121</v>
      </c>
      <c r="P108">
        <f t="shared" si="7"/>
        <v>0</v>
      </c>
      <c r="Q108">
        <f t="shared" si="8"/>
        <v>1</v>
      </c>
      <c r="R108">
        <f t="shared" si="9"/>
        <v>1</v>
      </c>
      <c r="S108">
        <f t="shared" si="10"/>
        <v>1</v>
      </c>
      <c r="T108">
        <f t="shared" si="11"/>
        <v>0</v>
      </c>
      <c r="U108">
        <f t="shared" si="12"/>
        <v>0</v>
      </c>
    </row>
    <row r="109" spans="2:21">
      <c r="B109" s="102">
        <v>44521</v>
      </c>
      <c r="C109">
        <v>3</v>
      </c>
      <c r="D109" t="s">
        <v>121</v>
      </c>
      <c r="E109" t="s">
        <v>121</v>
      </c>
      <c r="F109" t="s">
        <v>121</v>
      </c>
      <c r="G109" t="s">
        <v>121</v>
      </c>
      <c r="H109" t="s">
        <v>121</v>
      </c>
      <c r="I109" t="s">
        <v>120</v>
      </c>
      <c r="K109">
        <v>151</v>
      </c>
      <c r="P109">
        <f t="shared" si="7"/>
        <v>0</v>
      </c>
      <c r="Q109">
        <f t="shared" si="8"/>
        <v>0</v>
      </c>
      <c r="R109">
        <f t="shared" si="9"/>
        <v>0</v>
      </c>
      <c r="S109">
        <f t="shared" si="10"/>
        <v>0</v>
      </c>
      <c r="T109">
        <f t="shared" si="11"/>
        <v>0</v>
      </c>
      <c r="U109">
        <f t="shared" si="12"/>
        <v>1</v>
      </c>
    </row>
    <row r="110" spans="2:21">
      <c r="B110" s="102">
        <v>44522</v>
      </c>
      <c r="C110">
        <v>3.5</v>
      </c>
      <c r="D110" t="s">
        <v>120</v>
      </c>
      <c r="E110" t="s">
        <v>121</v>
      </c>
      <c r="F110" t="s">
        <v>121</v>
      </c>
      <c r="G110" t="s">
        <v>121</v>
      </c>
      <c r="H110" t="s">
        <v>121</v>
      </c>
      <c r="I110" t="s">
        <v>121</v>
      </c>
      <c r="P110">
        <f t="shared" si="7"/>
        <v>1</v>
      </c>
      <c r="Q110">
        <f t="shared" si="8"/>
        <v>0</v>
      </c>
      <c r="R110">
        <f t="shared" si="9"/>
        <v>0</v>
      </c>
      <c r="S110">
        <f t="shared" si="10"/>
        <v>0</v>
      </c>
      <c r="T110">
        <f t="shared" si="11"/>
        <v>0</v>
      </c>
      <c r="U110">
        <f t="shared" si="12"/>
        <v>0</v>
      </c>
    </row>
    <row r="111" spans="2:21">
      <c r="B111" s="102">
        <v>44523</v>
      </c>
      <c r="C111">
        <v>2.5</v>
      </c>
      <c r="D111" t="s">
        <v>120</v>
      </c>
      <c r="E111" t="s">
        <v>121</v>
      </c>
      <c r="F111" t="s">
        <v>121</v>
      </c>
      <c r="G111" t="s">
        <v>121</v>
      </c>
      <c r="H111" t="s">
        <v>121</v>
      </c>
      <c r="I111" t="s">
        <v>121</v>
      </c>
      <c r="P111">
        <f t="shared" si="7"/>
        <v>1</v>
      </c>
      <c r="Q111">
        <f t="shared" si="8"/>
        <v>0</v>
      </c>
      <c r="R111">
        <f t="shared" si="9"/>
        <v>0</v>
      </c>
      <c r="S111">
        <f t="shared" si="10"/>
        <v>0</v>
      </c>
      <c r="T111">
        <f t="shared" si="11"/>
        <v>0</v>
      </c>
      <c r="U111">
        <f t="shared" si="12"/>
        <v>0</v>
      </c>
    </row>
    <row r="112" spans="2:21">
      <c r="B112" s="102">
        <v>44524</v>
      </c>
      <c r="C112">
        <v>3</v>
      </c>
      <c r="D112" t="s">
        <v>121</v>
      </c>
      <c r="E112" t="s">
        <v>121</v>
      </c>
      <c r="F112" t="s">
        <v>121</v>
      </c>
      <c r="G112" t="s">
        <v>121</v>
      </c>
      <c r="H112" t="s">
        <v>121</v>
      </c>
      <c r="I112" t="s">
        <v>121</v>
      </c>
      <c r="P112">
        <f t="shared" si="7"/>
        <v>0</v>
      </c>
      <c r="Q112">
        <f t="shared" si="8"/>
        <v>0</v>
      </c>
      <c r="R112">
        <f t="shared" si="9"/>
        <v>0</v>
      </c>
      <c r="S112">
        <f t="shared" si="10"/>
        <v>0</v>
      </c>
      <c r="T112">
        <f t="shared" si="11"/>
        <v>0</v>
      </c>
      <c r="U112">
        <f t="shared" si="12"/>
        <v>0</v>
      </c>
    </row>
    <row r="113" spans="2:21">
      <c r="B113" s="102">
        <v>44525</v>
      </c>
      <c r="C113">
        <v>3</v>
      </c>
      <c r="D113" t="s">
        <v>121</v>
      </c>
      <c r="E113" t="s">
        <v>121</v>
      </c>
      <c r="F113" t="s">
        <v>121</v>
      </c>
      <c r="G113" t="s">
        <v>121</v>
      </c>
      <c r="H113" t="s">
        <v>121</v>
      </c>
      <c r="I113" t="s">
        <v>121</v>
      </c>
      <c r="P113">
        <f t="shared" si="7"/>
        <v>0</v>
      </c>
      <c r="Q113">
        <f t="shared" si="8"/>
        <v>0</v>
      </c>
      <c r="R113">
        <f t="shared" si="9"/>
        <v>0</v>
      </c>
      <c r="S113">
        <f t="shared" si="10"/>
        <v>0</v>
      </c>
      <c r="T113">
        <f t="shared" si="11"/>
        <v>0</v>
      </c>
      <c r="U113">
        <f t="shared" si="12"/>
        <v>0</v>
      </c>
    </row>
    <row r="114" spans="2:21">
      <c r="B114" s="102">
        <v>44526</v>
      </c>
      <c r="C114">
        <v>3</v>
      </c>
      <c r="D114" t="s">
        <v>121</v>
      </c>
      <c r="E114" t="s">
        <v>121</v>
      </c>
      <c r="F114" t="s">
        <v>121</v>
      </c>
      <c r="G114" t="s">
        <v>121</v>
      </c>
      <c r="H114" t="s">
        <v>121</v>
      </c>
      <c r="I114" t="s">
        <v>120</v>
      </c>
      <c r="P114">
        <f t="shared" si="7"/>
        <v>0</v>
      </c>
      <c r="Q114">
        <f t="shared" si="8"/>
        <v>0</v>
      </c>
      <c r="R114">
        <f t="shared" si="9"/>
        <v>0</v>
      </c>
      <c r="S114">
        <f t="shared" si="10"/>
        <v>0</v>
      </c>
      <c r="T114">
        <f t="shared" si="11"/>
        <v>0</v>
      </c>
      <c r="U114">
        <f t="shared" si="12"/>
        <v>1</v>
      </c>
    </row>
    <row r="115" spans="2:21">
      <c r="B115" s="102">
        <v>44527</v>
      </c>
      <c r="C115">
        <v>3</v>
      </c>
      <c r="D115" t="s">
        <v>121</v>
      </c>
      <c r="E115" t="s">
        <v>120</v>
      </c>
      <c r="F115" t="s">
        <v>121</v>
      </c>
      <c r="G115" t="s">
        <v>121</v>
      </c>
      <c r="H115" t="s">
        <v>121</v>
      </c>
      <c r="I115" t="s">
        <v>121</v>
      </c>
      <c r="P115">
        <f t="shared" si="7"/>
        <v>0</v>
      </c>
      <c r="Q115">
        <f t="shared" si="8"/>
        <v>1</v>
      </c>
      <c r="R115">
        <f t="shared" si="9"/>
        <v>0</v>
      </c>
      <c r="S115">
        <f t="shared" si="10"/>
        <v>0</v>
      </c>
      <c r="T115">
        <f t="shared" si="11"/>
        <v>0</v>
      </c>
      <c r="U115">
        <f t="shared" si="12"/>
        <v>0</v>
      </c>
    </row>
    <row r="116" spans="2:21">
      <c r="B116" s="102">
        <v>44528</v>
      </c>
      <c r="C116">
        <v>3.5</v>
      </c>
      <c r="D116" t="s">
        <v>121</v>
      </c>
      <c r="E116" t="s">
        <v>121</v>
      </c>
      <c r="F116" t="s">
        <v>121</v>
      </c>
      <c r="G116" t="s">
        <v>121</v>
      </c>
      <c r="H116" t="s">
        <v>121</v>
      </c>
      <c r="I116" t="s">
        <v>121</v>
      </c>
      <c r="K116">
        <v>157.6</v>
      </c>
      <c r="L116">
        <v>150.6</v>
      </c>
      <c r="P116">
        <f t="shared" si="7"/>
        <v>0</v>
      </c>
      <c r="Q116">
        <f t="shared" si="8"/>
        <v>0</v>
      </c>
      <c r="R116">
        <f t="shared" si="9"/>
        <v>0</v>
      </c>
      <c r="S116">
        <f t="shared" si="10"/>
        <v>0</v>
      </c>
      <c r="T116">
        <f t="shared" si="11"/>
        <v>0</v>
      </c>
      <c r="U116">
        <f t="shared" si="12"/>
        <v>0</v>
      </c>
    </row>
    <row r="117" spans="2:21">
      <c r="B117" s="102">
        <v>44529</v>
      </c>
      <c r="C117">
        <v>3.5</v>
      </c>
      <c r="D117" t="s">
        <v>120</v>
      </c>
      <c r="E117" t="s">
        <v>121</v>
      </c>
      <c r="F117" t="s">
        <v>121</v>
      </c>
      <c r="G117" t="s">
        <v>121</v>
      </c>
      <c r="H117" t="s">
        <v>121</v>
      </c>
      <c r="I117" t="s">
        <v>121</v>
      </c>
      <c r="P117">
        <f t="shared" si="7"/>
        <v>1</v>
      </c>
      <c r="Q117">
        <f t="shared" si="8"/>
        <v>0</v>
      </c>
      <c r="R117">
        <f t="shared" si="9"/>
        <v>0</v>
      </c>
      <c r="S117">
        <f t="shared" si="10"/>
        <v>0</v>
      </c>
      <c r="T117">
        <f t="shared" si="11"/>
        <v>0</v>
      </c>
      <c r="U117">
        <f t="shared" si="12"/>
        <v>0</v>
      </c>
    </row>
    <row r="118" spans="2:21">
      <c r="B118" s="102">
        <v>44530</v>
      </c>
      <c r="C118">
        <v>2.5</v>
      </c>
      <c r="D118" t="s">
        <v>120</v>
      </c>
      <c r="E118" t="s">
        <v>121</v>
      </c>
      <c r="F118" t="s">
        <v>121</v>
      </c>
      <c r="G118" t="s">
        <v>121</v>
      </c>
      <c r="H118" t="s">
        <v>121</v>
      </c>
      <c r="I118" t="s">
        <v>121</v>
      </c>
      <c r="P118">
        <f t="shared" si="7"/>
        <v>1</v>
      </c>
      <c r="Q118">
        <f t="shared" si="8"/>
        <v>0</v>
      </c>
      <c r="R118">
        <f t="shared" si="9"/>
        <v>0</v>
      </c>
      <c r="S118">
        <f t="shared" si="10"/>
        <v>0</v>
      </c>
      <c r="T118">
        <f t="shared" si="11"/>
        <v>0</v>
      </c>
      <c r="U118">
        <f t="shared" si="12"/>
        <v>0</v>
      </c>
    </row>
    <row r="119" spans="2:21">
      <c r="B119" s="102">
        <v>44531</v>
      </c>
      <c r="C119">
        <v>3</v>
      </c>
      <c r="D119" t="s">
        <v>120</v>
      </c>
      <c r="E119" t="s">
        <v>121</v>
      </c>
      <c r="F119" t="s">
        <v>121</v>
      </c>
      <c r="G119" t="s">
        <v>121</v>
      </c>
      <c r="H119" t="s">
        <v>121</v>
      </c>
      <c r="I119" t="s">
        <v>121</v>
      </c>
      <c r="P119">
        <f t="shared" si="7"/>
        <v>1</v>
      </c>
      <c r="Q119">
        <f t="shared" si="8"/>
        <v>0</v>
      </c>
      <c r="R119">
        <f t="shared" si="9"/>
        <v>0</v>
      </c>
      <c r="S119">
        <f t="shared" si="10"/>
        <v>0</v>
      </c>
      <c r="T119">
        <f t="shared" si="11"/>
        <v>0</v>
      </c>
      <c r="U119">
        <f t="shared" si="12"/>
        <v>0</v>
      </c>
    </row>
    <row r="120" spans="2:21">
      <c r="B120" s="102">
        <v>44532</v>
      </c>
      <c r="C120">
        <v>2.5</v>
      </c>
      <c r="D120" t="s">
        <v>120</v>
      </c>
      <c r="E120" t="s">
        <v>121</v>
      </c>
      <c r="F120" t="s">
        <v>121</v>
      </c>
      <c r="G120" t="s">
        <v>121</v>
      </c>
      <c r="H120" t="s">
        <v>121</v>
      </c>
      <c r="I120" t="s">
        <v>121</v>
      </c>
      <c r="P120">
        <f t="shared" si="7"/>
        <v>1</v>
      </c>
      <c r="Q120">
        <f t="shared" si="8"/>
        <v>0</v>
      </c>
      <c r="R120">
        <f t="shared" si="9"/>
        <v>0</v>
      </c>
      <c r="S120">
        <f t="shared" si="10"/>
        <v>0</v>
      </c>
      <c r="T120">
        <f t="shared" si="11"/>
        <v>0</v>
      </c>
      <c r="U120">
        <f t="shared" si="12"/>
        <v>0</v>
      </c>
    </row>
    <row r="121" spans="2:21">
      <c r="B121" s="102">
        <v>44533</v>
      </c>
      <c r="C121">
        <v>2.5</v>
      </c>
      <c r="D121" t="s">
        <v>120</v>
      </c>
      <c r="E121" t="s">
        <v>121</v>
      </c>
      <c r="F121" t="s">
        <v>121</v>
      </c>
      <c r="G121" t="s">
        <v>121</v>
      </c>
      <c r="H121" t="s">
        <v>121</v>
      </c>
      <c r="I121" t="s">
        <v>121</v>
      </c>
      <c r="P121">
        <f t="shared" si="7"/>
        <v>1</v>
      </c>
      <c r="Q121">
        <f t="shared" si="8"/>
        <v>0</v>
      </c>
      <c r="R121">
        <f t="shared" si="9"/>
        <v>0</v>
      </c>
      <c r="S121">
        <f t="shared" si="10"/>
        <v>0</v>
      </c>
      <c r="T121">
        <f t="shared" si="11"/>
        <v>0</v>
      </c>
      <c r="U121">
        <f t="shared" si="12"/>
        <v>0</v>
      </c>
    </row>
    <row r="122" spans="2:21">
      <c r="B122" s="102">
        <v>44534</v>
      </c>
      <c r="C122">
        <v>3</v>
      </c>
      <c r="D122" t="s">
        <v>121</v>
      </c>
      <c r="E122" t="s">
        <v>121</v>
      </c>
      <c r="F122" t="s">
        <v>121</v>
      </c>
      <c r="G122" t="s">
        <v>120</v>
      </c>
      <c r="H122" t="s">
        <v>121</v>
      </c>
      <c r="I122" t="s">
        <v>121</v>
      </c>
      <c r="P122">
        <f t="shared" si="7"/>
        <v>0</v>
      </c>
      <c r="Q122">
        <f t="shared" si="8"/>
        <v>0</v>
      </c>
      <c r="R122">
        <f t="shared" si="9"/>
        <v>0</v>
      </c>
      <c r="S122">
        <f t="shared" si="10"/>
        <v>1</v>
      </c>
      <c r="T122">
        <f t="shared" si="11"/>
        <v>0</v>
      </c>
      <c r="U122">
        <f t="shared" si="12"/>
        <v>0</v>
      </c>
    </row>
    <row r="123" spans="2:21">
      <c r="B123" s="102">
        <v>44535</v>
      </c>
      <c r="C123">
        <v>4</v>
      </c>
      <c r="D123" t="s">
        <v>121</v>
      </c>
      <c r="E123" t="s">
        <v>121</v>
      </c>
      <c r="F123" t="s">
        <v>121</v>
      </c>
      <c r="G123" t="s">
        <v>121</v>
      </c>
      <c r="H123" t="s">
        <v>121</v>
      </c>
      <c r="I123" t="s">
        <v>121</v>
      </c>
      <c r="K123">
        <v>154.6</v>
      </c>
      <c r="L123">
        <v>152.4</v>
      </c>
      <c r="P123">
        <f t="shared" si="7"/>
        <v>0</v>
      </c>
      <c r="Q123">
        <f t="shared" si="8"/>
        <v>0</v>
      </c>
      <c r="R123">
        <f t="shared" si="9"/>
        <v>0</v>
      </c>
      <c r="S123">
        <f t="shared" si="10"/>
        <v>0</v>
      </c>
      <c r="T123">
        <f t="shared" si="11"/>
        <v>0</v>
      </c>
      <c r="U123">
        <f t="shared" si="12"/>
        <v>0</v>
      </c>
    </row>
    <row r="124" spans="2:21">
      <c r="B124" s="102">
        <v>44536</v>
      </c>
      <c r="C124">
        <v>2.5</v>
      </c>
      <c r="D124" t="s">
        <v>120</v>
      </c>
      <c r="E124" t="s">
        <v>121</v>
      </c>
      <c r="F124" t="s">
        <v>121</v>
      </c>
      <c r="G124" t="s">
        <v>121</v>
      </c>
      <c r="H124" t="s">
        <v>121</v>
      </c>
      <c r="I124" t="s">
        <v>121</v>
      </c>
      <c r="P124">
        <f t="shared" si="7"/>
        <v>1</v>
      </c>
      <c r="Q124">
        <f t="shared" si="8"/>
        <v>0</v>
      </c>
      <c r="R124">
        <f t="shared" si="9"/>
        <v>0</v>
      </c>
      <c r="S124">
        <f t="shared" si="10"/>
        <v>0</v>
      </c>
      <c r="T124">
        <f t="shared" si="11"/>
        <v>0</v>
      </c>
      <c r="U124">
        <f t="shared" si="12"/>
        <v>0</v>
      </c>
    </row>
    <row r="125" spans="2:21">
      <c r="B125" s="102">
        <v>44537</v>
      </c>
      <c r="C125">
        <v>2.5</v>
      </c>
      <c r="D125" t="s">
        <v>120</v>
      </c>
      <c r="E125" t="s">
        <v>120</v>
      </c>
      <c r="F125" t="s">
        <v>121</v>
      </c>
      <c r="G125" t="s">
        <v>121</v>
      </c>
      <c r="H125" t="s">
        <v>121</v>
      </c>
      <c r="I125" t="s">
        <v>121</v>
      </c>
      <c r="P125">
        <f t="shared" si="7"/>
        <v>1</v>
      </c>
      <c r="Q125">
        <f t="shared" si="8"/>
        <v>1</v>
      </c>
      <c r="R125">
        <f t="shared" si="9"/>
        <v>0</v>
      </c>
      <c r="S125">
        <f t="shared" si="10"/>
        <v>0</v>
      </c>
      <c r="T125">
        <f t="shared" si="11"/>
        <v>0</v>
      </c>
      <c r="U125">
        <f t="shared" si="12"/>
        <v>0</v>
      </c>
    </row>
    <row r="126" spans="2:21">
      <c r="B126" s="102">
        <v>44538</v>
      </c>
      <c r="C126">
        <v>3</v>
      </c>
      <c r="D126" t="s">
        <v>120</v>
      </c>
      <c r="E126" t="s">
        <v>121</v>
      </c>
      <c r="F126" t="s">
        <v>121</v>
      </c>
      <c r="G126" t="s">
        <v>121</v>
      </c>
      <c r="H126" t="s">
        <v>121</v>
      </c>
      <c r="I126" t="s">
        <v>121</v>
      </c>
      <c r="P126">
        <f t="shared" si="7"/>
        <v>1</v>
      </c>
      <c r="Q126">
        <f t="shared" si="8"/>
        <v>0</v>
      </c>
      <c r="R126">
        <f t="shared" si="9"/>
        <v>0</v>
      </c>
      <c r="S126">
        <f t="shared" si="10"/>
        <v>0</v>
      </c>
      <c r="T126">
        <f t="shared" si="11"/>
        <v>0</v>
      </c>
      <c r="U126">
        <f t="shared" si="12"/>
        <v>0</v>
      </c>
    </row>
    <row r="127" spans="2:21">
      <c r="B127" s="102">
        <v>44539</v>
      </c>
      <c r="C127">
        <v>3</v>
      </c>
      <c r="D127" t="s">
        <v>120</v>
      </c>
      <c r="E127" t="s">
        <v>121</v>
      </c>
      <c r="F127" t="s">
        <v>121</v>
      </c>
      <c r="G127" t="s">
        <v>121</v>
      </c>
      <c r="H127" t="s">
        <v>121</v>
      </c>
      <c r="I127" t="s">
        <v>121</v>
      </c>
      <c r="P127">
        <f t="shared" si="7"/>
        <v>1</v>
      </c>
      <c r="Q127">
        <f t="shared" si="8"/>
        <v>0</v>
      </c>
      <c r="R127">
        <f t="shared" si="9"/>
        <v>0</v>
      </c>
      <c r="S127">
        <f t="shared" si="10"/>
        <v>0</v>
      </c>
      <c r="T127">
        <f t="shared" si="11"/>
        <v>0</v>
      </c>
      <c r="U127">
        <f t="shared" si="12"/>
        <v>0</v>
      </c>
    </row>
    <row r="128" spans="2:21">
      <c r="B128" s="102">
        <v>44540</v>
      </c>
      <c r="C128">
        <v>3</v>
      </c>
      <c r="D128" t="s">
        <v>120</v>
      </c>
      <c r="E128" t="s">
        <v>121</v>
      </c>
      <c r="F128" t="s">
        <v>121</v>
      </c>
      <c r="G128" t="s">
        <v>121</v>
      </c>
      <c r="H128" t="s">
        <v>121</v>
      </c>
      <c r="I128" t="s">
        <v>121</v>
      </c>
      <c r="P128">
        <f t="shared" si="7"/>
        <v>1</v>
      </c>
      <c r="Q128">
        <f t="shared" si="8"/>
        <v>0</v>
      </c>
      <c r="R128">
        <f t="shared" si="9"/>
        <v>0</v>
      </c>
      <c r="S128">
        <f t="shared" si="10"/>
        <v>0</v>
      </c>
      <c r="T128">
        <f t="shared" si="11"/>
        <v>0</v>
      </c>
      <c r="U128">
        <f t="shared" si="12"/>
        <v>0</v>
      </c>
    </row>
    <row r="129" spans="2:21">
      <c r="B129" s="102">
        <v>44541</v>
      </c>
      <c r="C129">
        <v>3.5</v>
      </c>
      <c r="D129" t="s">
        <v>121</v>
      </c>
      <c r="E129" t="s">
        <v>121</v>
      </c>
      <c r="F129" t="s">
        <v>121</v>
      </c>
      <c r="G129" t="s">
        <v>121</v>
      </c>
      <c r="H129" t="s">
        <v>121</v>
      </c>
      <c r="I129" t="s">
        <v>121</v>
      </c>
      <c r="P129">
        <f t="shared" si="7"/>
        <v>0</v>
      </c>
      <c r="Q129">
        <f t="shared" si="8"/>
        <v>0</v>
      </c>
      <c r="R129">
        <f t="shared" si="9"/>
        <v>0</v>
      </c>
      <c r="S129">
        <f t="shared" si="10"/>
        <v>0</v>
      </c>
      <c r="T129">
        <f t="shared" si="11"/>
        <v>0</v>
      </c>
      <c r="U129">
        <f t="shared" si="12"/>
        <v>0</v>
      </c>
    </row>
    <row r="130" spans="2:21">
      <c r="B130" s="102">
        <v>44542</v>
      </c>
      <c r="C130">
        <v>3.5</v>
      </c>
      <c r="D130" t="s">
        <v>121</v>
      </c>
      <c r="E130" t="s">
        <v>121</v>
      </c>
      <c r="F130" t="s">
        <v>121</v>
      </c>
      <c r="G130" t="s">
        <v>121</v>
      </c>
      <c r="H130" t="s">
        <v>121</v>
      </c>
      <c r="I130" t="s">
        <v>121</v>
      </c>
      <c r="K130">
        <v>157.6</v>
      </c>
      <c r="L130">
        <v>154</v>
      </c>
      <c r="P130">
        <f t="shared" si="7"/>
        <v>0</v>
      </c>
      <c r="Q130">
        <f t="shared" si="8"/>
        <v>0</v>
      </c>
      <c r="R130">
        <f t="shared" si="9"/>
        <v>0</v>
      </c>
      <c r="S130">
        <f t="shared" si="10"/>
        <v>0</v>
      </c>
      <c r="T130">
        <f t="shared" si="11"/>
        <v>0</v>
      </c>
      <c r="U130">
        <f t="shared" si="12"/>
        <v>0</v>
      </c>
    </row>
    <row r="131" spans="2:21">
      <c r="B131" s="102">
        <v>44543</v>
      </c>
      <c r="C131">
        <v>3</v>
      </c>
      <c r="D131" t="s">
        <v>120</v>
      </c>
      <c r="E131" t="s">
        <v>120</v>
      </c>
      <c r="F131" t="s">
        <v>121</v>
      </c>
      <c r="G131" t="s">
        <v>121</v>
      </c>
      <c r="H131" t="s">
        <v>121</v>
      </c>
      <c r="I131" t="s">
        <v>120</v>
      </c>
      <c r="P131">
        <f t="shared" ref="P131:P194" si="13">IF(D131="YES", 1, 0)</f>
        <v>1</v>
      </c>
      <c r="Q131">
        <f t="shared" ref="Q131:Q194" si="14">IF(E131="YES", 1, 0)</f>
        <v>1</v>
      </c>
      <c r="R131">
        <f t="shared" ref="R131:R194" si="15">IF(F131="YES", 1, 0)</f>
        <v>0</v>
      </c>
      <c r="S131">
        <f t="shared" ref="S131:S194" si="16">IF(G131="YES", 1, 0)</f>
        <v>0</v>
      </c>
      <c r="T131">
        <f t="shared" ref="T131:T194" si="17">IF(H131="YES", 1, 0)</f>
        <v>0</v>
      </c>
      <c r="U131">
        <f t="shared" ref="U131:U194" si="18">IF(I131="YES", 1, 0)</f>
        <v>1</v>
      </c>
    </row>
    <row r="132" spans="2:21">
      <c r="B132" s="102">
        <v>44544</v>
      </c>
      <c r="C132">
        <v>3.5</v>
      </c>
      <c r="D132" t="s">
        <v>120</v>
      </c>
      <c r="E132" t="s">
        <v>121</v>
      </c>
      <c r="F132" t="s">
        <v>121</v>
      </c>
      <c r="G132" t="s">
        <v>121</v>
      </c>
      <c r="H132" t="s">
        <v>121</v>
      </c>
      <c r="I132" t="s">
        <v>121</v>
      </c>
      <c r="P132">
        <f t="shared" si="13"/>
        <v>1</v>
      </c>
      <c r="Q132">
        <f t="shared" si="14"/>
        <v>0</v>
      </c>
      <c r="R132">
        <f t="shared" si="15"/>
        <v>0</v>
      </c>
      <c r="S132">
        <f t="shared" si="16"/>
        <v>0</v>
      </c>
      <c r="T132">
        <f t="shared" si="17"/>
        <v>0</v>
      </c>
      <c r="U132">
        <f t="shared" si="18"/>
        <v>0</v>
      </c>
    </row>
    <row r="133" spans="2:21">
      <c r="B133" s="102">
        <v>44545</v>
      </c>
      <c r="C133">
        <v>3.5</v>
      </c>
      <c r="D133" t="s">
        <v>120</v>
      </c>
      <c r="E133" t="s">
        <v>121</v>
      </c>
      <c r="F133" t="s">
        <v>121</v>
      </c>
      <c r="G133" t="s">
        <v>121</v>
      </c>
      <c r="H133" t="s">
        <v>121</v>
      </c>
      <c r="I133" t="s">
        <v>121</v>
      </c>
      <c r="P133">
        <f t="shared" si="13"/>
        <v>1</v>
      </c>
      <c r="Q133">
        <f t="shared" si="14"/>
        <v>0</v>
      </c>
      <c r="R133">
        <f t="shared" si="15"/>
        <v>0</v>
      </c>
      <c r="S133">
        <f t="shared" si="16"/>
        <v>0</v>
      </c>
      <c r="T133">
        <f t="shared" si="17"/>
        <v>0</v>
      </c>
      <c r="U133">
        <f t="shared" si="18"/>
        <v>0</v>
      </c>
    </row>
    <row r="134" spans="2:21">
      <c r="B134" s="102">
        <v>44546</v>
      </c>
      <c r="C134">
        <v>3</v>
      </c>
      <c r="D134" t="s">
        <v>120</v>
      </c>
      <c r="E134" t="s">
        <v>121</v>
      </c>
      <c r="F134" t="s">
        <v>121</v>
      </c>
      <c r="G134" t="s">
        <v>121</v>
      </c>
      <c r="H134" t="s">
        <v>121</v>
      </c>
      <c r="I134" t="s">
        <v>121</v>
      </c>
      <c r="P134">
        <f t="shared" si="13"/>
        <v>1</v>
      </c>
      <c r="Q134">
        <f t="shared" si="14"/>
        <v>0</v>
      </c>
      <c r="R134">
        <f t="shared" si="15"/>
        <v>0</v>
      </c>
      <c r="S134">
        <f t="shared" si="16"/>
        <v>0</v>
      </c>
      <c r="T134">
        <f t="shared" si="17"/>
        <v>0</v>
      </c>
      <c r="U134">
        <f t="shared" si="18"/>
        <v>0</v>
      </c>
    </row>
    <row r="135" spans="2:21">
      <c r="B135" s="102">
        <v>44547</v>
      </c>
      <c r="C135">
        <v>4</v>
      </c>
      <c r="D135" t="s">
        <v>120</v>
      </c>
      <c r="E135" t="s">
        <v>121</v>
      </c>
      <c r="F135" t="s">
        <v>120</v>
      </c>
      <c r="G135" t="s">
        <v>121</v>
      </c>
      <c r="H135" t="s">
        <v>121</v>
      </c>
      <c r="I135" t="s">
        <v>121</v>
      </c>
      <c r="P135">
        <f t="shared" si="13"/>
        <v>1</v>
      </c>
      <c r="Q135">
        <f t="shared" si="14"/>
        <v>0</v>
      </c>
      <c r="R135">
        <f t="shared" si="15"/>
        <v>1</v>
      </c>
      <c r="S135">
        <f t="shared" si="16"/>
        <v>0</v>
      </c>
      <c r="T135">
        <f t="shared" si="17"/>
        <v>0</v>
      </c>
      <c r="U135">
        <f t="shared" si="18"/>
        <v>0</v>
      </c>
    </row>
    <row r="136" spans="2:21">
      <c r="B136" s="102">
        <v>44548</v>
      </c>
      <c r="C136">
        <v>3.5</v>
      </c>
      <c r="D136" t="s">
        <v>121</v>
      </c>
      <c r="E136" t="s">
        <v>121</v>
      </c>
      <c r="F136" t="s">
        <v>121</v>
      </c>
      <c r="G136" t="s">
        <v>120</v>
      </c>
      <c r="H136" t="s">
        <v>120</v>
      </c>
      <c r="I136" t="s">
        <v>121</v>
      </c>
      <c r="P136">
        <f t="shared" si="13"/>
        <v>0</v>
      </c>
      <c r="Q136">
        <f t="shared" si="14"/>
        <v>0</v>
      </c>
      <c r="R136">
        <f t="shared" si="15"/>
        <v>0</v>
      </c>
      <c r="S136">
        <f t="shared" si="16"/>
        <v>1</v>
      </c>
      <c r="T136">
        <f t="shared" si="17"/>
        <v>1</v>
      </c>
      <c r="U136">
        <f t="shared" si="18"/>
        <v>0</v>
      </c>
    </row>
    <row r="137" spans="2:21">
      <c r="B137" s="102">
        <v>44549</v>
      </c>
      <c r="C137">
        <v>3</v>
      </c>
      <c r="D137" t="s">
        <v>121</v>
      </c>
      <c r="E137" t="s">
        <v>121</v>
      </c>
      <c r="F137" t="s">
        <v>121</v>
      </c>
      <c r="G137" t="s">
        <v>121</v>
      </c>
      <c r="H137" t="s">
        <v>121</v>
      </c>
      <c r="I137" t="s">
        <v>121</v>
      </c>
      <c r="K137">
        <v>157.4</v>
      </c>
      <c r="L137">
        <v>157.4</v>
      </c>
      <c r="P137">
        <f t="shared" si="13"/>
        <v>0</v>
      </c>
      <c r="Q137">
        <f t="shared" si="14"/>
        <v>0</v>
      </c>
      <c r="R137">
        <f t="shared" si="15"/>
        <v>0</v>
      </c>
      <c r="S137">
        <f t="shared" si="16"/>
        <v>0</v>
      </c>
      <c r="T137">
        <f t="shared" si="17"/>
        <v>0</v>
      </c>
      <c r="U137">
        <f t="shared" si="18"/>
        <v>0</v>
      </c>
    </row>
    <row r="138" spans="2:21">
      <c r="B138" s="102">
        <v>44550</v>
      </c>
      <c r="C138">
        <v>2.5</v>
      </c>
      <c r="D138" t="s">
        <v>120</v>
      </c>
      <c r="E138" t="s">
        <v>121</v>
      </c>
      <c r="F138" t="s">
        <v>121</v>
      </c>
      <c r="G138" t="s">
        <v>121</v>
      </c>
      <c r="H138" t="s">
        <v>121</v>
      </c>
      <c r="I138" t="s">
        <v>121</v>
      </c>
      <c r="P138">
        <f t="shared" si="13"/>
        <v>1</v>
      </c>
      <c r="Q138">
        <f t="shared" si="14"/>
        <v>0</v>
      </c>
      <c r="R138">
        <f t="shared" si="15"/>
        <v>0</v>
      </c>
      <c r="S138">
        <f t="shared" si="16"/>
        <v>0</v>
      </c>
      <c r="T138">
        <f t="shared" si="17"/>
        <v>0</v>
      </c>
      <c r="U138">
        <f t="shared" si="18"/>
        <v>0</v>
      </c>
    </row>
    <row r="139" spans="2:21">
      <c r="B139" s="102">
        <v>44551</v>
      </c>
      <c r="C139">
        <v>2.5</v>
      </c>
      <c r="D139" t="s">
        <v>120</v>
      </c>
      <c r="E139" t="s">
        <v>121</v>
      </c>
      <c r="F139" t="s">
        <v>121</v>
      </c>
      <c r="G139" t="s">
        <v>121</v>
      </c>
      <c r="H139" t="s">
        <v>121</v>
      </c>
      <c r="I139" t="s">
        <v>121</v>
      </c>
      <c r="P139">
        <f t="shared" si="13"/>
        <v>1</v>
      </c>
      <c r="Q139">
        <f t="shared" si="14"/>
        <v>0</v>
      </c>
      <c r="R139">
        <f t="shared" si="15"/>
        <v>0</v>
      </c>
      <c r="S139">
        <f t="shared" si="16"/>
        <v>0</v>
      </c>
      <c r="T139">
        <f t="shared" si="17"/>
        <v>0</v>
      </c>
      <c r="U139">
        <f t="shared" si="18"/>
        <v>0</v>
      </c>
    </row>
    <row r="140" spans="2:21">
      <c r="B140" s="102">
        <v>44552</v>
      </c>
      <c r="C140">
        <v>3.5</v>
      </c>
      <c r="D140" t="s">
        <v>120</v>
      </c>
      <c r="E140" t="s">
        <v>121</v>
      </c>
      <c r="F140" t="s">
        <v>121</v>
      </c>
      <c r="G140" t="s">
        <v>121</v>
      </c>
      <c r="H140" t="s">
        <v>121</v>
      </c>
      <c r="I140" t="s">
        <v>121</v>
      </c>
      <c r="P140">
        <f t="shared" si="13"/>
        <v>1</v>
      </c>
      <c r="Q140">
        <f t="shared" si="14"/>
        <v>0</v>
      </c>
      <c r="R140">
        <f t="shared" si="15"/>
        <v>0</v>
      </c>
      <c r="S140">
        <f t="shared" si="16"/>
        <v>0</v>
      </c>
      <c r="T140">
        <f t="shared" si="17"/>
        <v>0</v>
      </c>
      <c r="U140">
        <f t="shared" si="18"/>
        <v>0</v>
      </c>
    </row>
    <row r="141" spans="2:21">
      <c r="B141" s="102">
        <v>44553</v>
      </c>
      <c r="C141">
        <v>2.5</v>
      </c>
      <c r="D141" t="s">
        <v>121</v>
      </c>
      <c r="E141" t="s">
        <v>121</v>
      </c>
      <c r="F141" t="s">
        <v>121</v>
      </c>
      <c r="G141" t="s">
        <v>121</v>
      </c>
      <c r="H141" t="s">
        <v>121</v>
      </c>
      <c r="I141" t="s">
        <v>121</v>
      </c>
      <c r="P141">
        <f t="shared" si="13"/>
        <v>0</v>
      </c>
      <c r="Q141">
        <f t="shared" si="14"/>
        <v>0</v>
      </c>
      <c r="R141">
        <f t="shared" si="15"/>
        <v>0</v>
      </c>
      <c r="S141">
        <f t="shared" si="16"/>
        <v>0</v>
      </c>
      <c r="T141">
        <f t="shared" si="17"/>
        <v>0</v>
      </c>
      <c r="U141">
        <f t="shared" si="18"/>
        <v>0</v>
      </c>
    </row>
    <row r="142" spans="2:21">
      <c r="B142" s="102">
        <v>44554</v>
      </c>
      <c r="C142">
        <v>3.5</v>
      </c>
      <c r="D142" t="s">
        <v>121</v>
      </c>
      <c r="E142" t="s">
        <v>120</v>
      </c>
      <c r="F142" t="s">
        <v>121</v>
      </c>
      <c r="G142" t="s">
        <v>121</v>
      </c>
      <c r="H142" t="s">
        <v>121</v>
      </c>
      <c r="I142" t="s">
        <v>121</v>
      </c>
      <c r="P142">
        <f t="shared" si="13"/>
        <v>0</v>
      </c>
      <c r="Q142">
        <f t="shared" si="14"/>
        <v>1</v>
      </c>
      <c r="R142">
        <f t="shared" si="15"/>
        <v>0</v>
      </c>
      <c r="S142">
        <f t="shared" si="16"/>
        <v>0</v>
      </c>
      <c r="T142">
        <f t="shared" si="17"/>
        <v>0</v>
      </c>
      <c r="U142">
        <f t="shared" si="18"/>
        <v>0</v>
      </c>
    </row>
    <row r="143" spans="2:21">
      <c r="B143" s="102">
        <v>44555</v>
      </c>
      <c r="C143">
        <v>3</v>
      </c>
      <c r="D143" t="s">
        <v>121</v>
      </c>
      <c r="E143" t="s">
        <v>121</v>
      </c>
      <c r="F143" t="s">
        <v>121</v>
      </c>
      <c r="G143" t="s">
        <v>121</v>
      </c>
      <c r="H143" t="s">
        <v>121</v>
      </c>
      <c r="I143" t="s">
        <v>121</v>
      </c>
      <c r="P143">
        <f t="shared" si="13"/>
        <v>0</v>
      </c>
      <c r="Q143">
        <f t="shared" si="14"/>
        <v>0</v>
      </c>
      <c r="R143">
        <f t="shared" si="15"/>
        <v>0</v>
      </c>
      <c r="S143">
        <f t="shared" si="16"/>
        <v>0</v>
      </c>
      <c r="T143">
        <f t="shared" si="17"/>
        <v>0</v>
      </c>
      <c r="U143">
        <f t="shared" si="18"/>
        <v>0</v>
      </c>
    </row>
    <row r="144" spans="2:21">
      <c r="B144" s="102">
        <v>44556</v>
      </c>
      <c r="C144">
        <v>3</v>
      </c>
      <c r="D144" t="s">
        <v>121</v>
      </c>
      <c r="E144" t="s">
        <v>121</v>
      </c>
      <c r="F144" t="s">
        <v>121</v>
      </c>
      <c r="G144" t="s">
        <v>121</v>
      </c>
      <c r="H144" t="s">
        <v>121</v>
      </c>
      <c r="I144" t="s">
        <v>121</v>
      </c>
      <c r="K144">
        <v>160.19999999999999</v>
      </c>
      <c r="L144">
        <v>154.80000000000001</v>
      </c>
      <c r="P144">
        <f t="shared" si="13"/>
        <v>0</v>
      </c>
      <c r="Q144">
        <f t="shared" si="14"/>
        <v>0</v>
      </c>
      <c r="R144">
        <f t="shared" si="15"/>
        <v>0</v>
      </c>
      <c r="S144">
        <f t="shared" si="16"/>
        <v>0</v>
      </c>
      <c r="T144">
        <f t="shared" si="17"/>
        <v>0</v>
      </c>
      <c r="U144">
        <f t="shared" si="18"/>
        <v>0</v>
      </c>
    </row>
    <row r="145" spans="2:21">
      <c r="B145" s="102">
        <v>44557</v>
      </c>
      <c r="C145">
        <v>1.5</v>
      </c>
      <c r="D145" t="s">
        <v>121</v>
      </c>
      <c r="E145" t="s">
        <v>121</v>
      </c>
      <c r="F145" t="s">
        <v>121</v>
      </c>
      <c r="G145" t="s">
        <v>121</v>
      </c>
      <c r="H145" t="s">
        <v>121</v>
      </c>
      <c r="I145" t="s">
        <v>121</v>
      </c>
      <c r="P145">
        <f t="shared" si="13"/>
        <v>0</v>
      </c>
      <c r="Q145">
        <f t="shared" si="14"/>
        <v>0</v>
      </c>
      <c r="R145">
        <f t="shared" si="15"/>
        <v>0</v>
      </c>
      <c r="S145">
        <f t="shared" si="16"/>
        <v>0</v>
      </c>
      <c r="T145">
        <f t="shared" si="17"/>
        <v>0</v>
      </c>
      <c r="U145">
        <f t="shared" si="18"/>
        <v>0</v>
      </c>
    </row>
    <row r="146" spans="2:21">
      <c r="B146" s="102">
        <v>44558</v>
      </c>
      <c r="C146">
        <v>1.5</v>
      </c>
      <c r="D146" t="s">
        <v>121</v>
      </c>
      <c r="E146" t="s">
        <v>121</v>
      </c>
      <c r="F146" t="s">
        <v>121</v>
      </c>
      <c r="G146" t="s">
        <v>121</v>
      </c>
      <c r="H146" t="s">
        <v>121</v>
      </c>
      <c r="I146" t="s">
        <v>121</v>
      </c>
      <c r="P146">
        <f t="shared" si="13"/>
        <v>0</v>
      </c>
      <c r="Q146">
        <f t="shared" si="14"/>
        <v>0</v>
      </c>
      <c r="R146">
        <f t="shared" si="15"/>
        <v>0</v>
      </c>
      <c r="S146">
        <f t="shared" si="16"/>
        <v>0</v>
      </c>
      <c r="T146">
        <f t="shared" si="17"/>
        <v>0</v>
      </c>
      <c r="U146">
        <f t="shared" si="18"/>
        <v>0</v>
      </c>
    </row>
    <row r="147" spans="2:21">
      <c r="B147" s="102">
        <v>44559</v>
      </c>
      <c r="C147">
        <v>1.5</v>
      </c>
      <c r="D147" t="s">
        <v>121</v>
      </c>
      <c r="E147" t="s">
        <v>121</v>
      </c>
      <c r="F147" t="s">
        <v>121</v>
      </c>
      <c r="G147" t="s">
        <v>121</v>
      </c>
      <c r="H147" t="s">
        <v>121</v>
      </c>
      <c r="I147" t="s">
        <v>121</v>
      </c>
      <c r="P147">
        <f t="shared" si="13"/>
        <v>0</v>
      </c>
      <c r="Q147">
        <f t="shared" si="14"/>
        <v>0</v>
      </c>
      <c r="R147">
        <f t="shared" si="15"/>
        <v>0</v>
      </c>
      <c r="S147">
        <f t="shared" si="16"/>
        <v>0</v>
      </c>
      <c r="T147">
        <f t="shared" si="17"/>
        <v>0</v>
      </c>
      <c r="U147">
        <f t="shared" si="18"/>
        <v>0</v>
      </c>
    </row>
    <row r="148" spans="2:21">
      <c r="B148" s="102">
        <v>44560</v>
      </c>
      <c r="C148">
        <v>1.5</v>
      </c>
      <c r="D148" t="s">
        <v>121</v>
      </c>
      <c r="E148" t="s">
        <v>121</v>
      </c>
      <c r="F148" t="s">
        <v>121</v>
      </c>
      <c r="G148" t="s">
        <v>121</v>
      </c>
      <c r="H148" t="s">
        <v>121</v>
      </c>
      <c r="I148" t="s">
        <v>121</v>
      </c>
      <c r="P148">
        <f t="shared" si="13"/>
        <v>0</v>
      </c>
      <c r="Q148">
        <f t="shared" si="14"/>
        <v>0</v>
      </c>
      <c r="R148">
        <f t="shared" si="15"/>
        <v>0</v>
      </c>
      <c r="S148">
        <f t="shared" si="16"/>
        <v>0</v>
      </c>
      <c r="T148">
        <f t="shared" si="17"/>
        <v>0</v>
      </c>
      <c r="U148">
        <f t="shared" si="18"/>
        <v>0</v>
      </c>
    </row>
    <row r="149" spans="2:21">
      <c r="B149" s="102">
        <v>44561</v>
      </c>
      <c r="C149">
        <v>3</v>
      </c>
      <c r="D149" t="s">
        <v>121</v>
      </c>
      <c r="E149" t="s">
        <v>120</v>
      </c>
      <c r="F149" t="s">
        <v>121</v>
      </c>
      <c r="G149" t="s">
        <v>121</v>
      </c>
      <c r="H149" t="s">
        <v>121</v>
      </c>
      <c r="I149" t="s">
        <v>121</v>
      </c>
      <c r="P149">
        <f t="shared" si="13"/>
        <v>0</v>
      </c>
      <c r="Q149">
        <f t="shared" si="14"/>
        <v>1</v>
      </c>
      <c r="R149">
        <f t="shared" si="15"/>
        <v>0</v>
      </c>
      <c r="S149">
        <f t="shared" si="16"/>
        <v>0</v>
      </c>
      <c r="T149">
        <f t="shared" si="17"/>
        <v>0</v>
      </c>
      <c r="U149">
        <f t="shared" si="18"/>
        <v>0</v>
      </c>
    </row>
    <row r="150" spans="2:21">
      <c r="B150" s="102">
        <v>44562</v>
      </c>
      <c r="C150">
        <v>1</v>
      </c>
      <c r="D150" t="s">
        <v>121</v>
      </c>
      <c r="E150" t="s">
        <v>121</v>
      </c>
      <c r="F150" t="s">
        <v>121</v>
      </c>
      <c r="G150" t="s">
        <v>121</v>
      </c>
      <c r="H150" t="s">
        <v>121</v>
      </c>
      <c r="I150" t="s">
        <v>121</v>
      </c>
      <c r="P150">
        <f t="shared" si="13"/>
        <v>0</v>
      </c>
      <c r="Q150">
        <f t="shared" si="14"/>
        <v>0</v>
      </c>
      <c r="R150">
        <f t="shared" si="15"/>
        <v>0</v>
      </c>
      <c r="S150">
        <f t="shared" si="16"/>
        <v>0</v>
      </c>
      <c r="T150">
        <f t="shared" si="17"/>
        <v>0</v>
      </c>
      <c r="U150">
        <f t="shared" si="18"/>
        <v>0</v>
      </c>
    </row>
    <row r="151" spans="2:21">
      <c r="B151" s="102">
        <v>44563</v>
      </c>
      <c r="C151">
        <v>2</v>
      </c>
      <c r="D151" t="s">
        <v>121</v>
      </c>
      <c r="E151" t="s">
        <v>121</v>
      </c>
      <c r="F151" t="s">
        <v>121</v>
      </c>
      <c r="G151" t="s">
        <v>120</v>
      </c>
      <c r="H151" t="s">
        <v>121</v>
      </c>
      <c r="I151" t="s">
        <v>121</v>
      </c>
      <c r="P151">
        <f t="shared" si="13"/>
        <v>0</v>
      </c>
      <c r="Q151">
        <f t="shared" si="14"/>
        <v>0</v>
      </c>
      <c r="R151">
        <f t="shared" si="15"/>
        <v>0</v>
      </c>
      <c r="S151">
        <f t="shared" si="16"/>
        <v>1</v>
      </c>
      <c r="T151">
        <f t="shared" si="17"/>
        <v>0</v>
      </c>
      <c r="U151">
        <f t="shared" si="18"/>
        <v>0</v>
      </c>
    </row>
    <row r="152" spans="2:21">
      <c r="B152" s="102">
        <v>44564</v>
      </c>
      <c r="C152">
        <v>1.5</v>
      </c>
      <c r="D152" t="s">
        <v>121</v>
      </c>
      <c r="E152" t="s">
        <v>121</v>
      </c>
      <c r="F152" t="s">
        <v>121</v>
      </c>
      <c r="G152" t="s">
        <v>121</v>
      </c>
      <c r="H152" t="s">
        <v>121</v>
      </c>
      <c r="I152" t="s">
        <v>121</v>
      </c>
      <c r="P152">
        <f t="shared" si="13"/>
        <v>0</v>
      </c>
      <c r="Q152">
        <f t="shared" si="14"/>
        <v>0</v>
      </c>
      <c r="R152">
        <f t="shared" si="15"/>
        <v>0</v>
      </c>
      <c r="S152">
        <f t="shared" si="16"/>
        <v>0</v>
      </c>
      <c r="T152">
        <f t="shared" si="17"/>
        <v>0</v>
      </c>
      <c r="U152">
        <f t="shared" si="18"/>
        <v>0</v>
      </c>
    </row>
    <row r="153" spans="2:21">
      <c r="B153" s="102">
        <v>44565</v>
      </c>
      <c r="C153">
        <v>1.5</v>
      </c>
      <c r="D153" t="s">
        <v>121</v>
      </c>
      <c r="E153" t="s">
        <v>121</v>
      </c>
      <c r="F153" t="s">
        <v>121</v>
      </c>
      <c r="G153" t="s">
        <v>121</v>
      </c>
      <c r="H153" t="s">
        <v>121</v>
      </c>
      <c r="I153" t="s">
        <v>121</v>
      </c>
      <c r="P153">
        <f t="shared" si="13"/>
        <v>0</v>
      </c>
      <c r="Q153">
        <f t="shared" si="14"/>
        <v>0</v>
      </c>
      <c r="R153">
        <f t="shared" si="15"/>
        <v>0</v>
      </c>
      <c r="S153">
        <f t="shared" si="16"/>
        <v>0</v>
      </c>
      <c r="T153">
        <f t="shared" si="17"/>
        <v>0</v>
      </c>
      <c r="U153">
        <f t="shared" si="18"/>
        <v>0</v>
      </c>
    </row>
    <row r="154" spans="2:21">
      <c r="B154" s="102">
        <v>44566</v>
      </c>
      <c r="C154">
        <v>2</v>
      </c>
      <c r="D154" t="s">
        <v>121</v>
      </c>
      <c r="E154" t="s">
        <v>121</v>
      </c>
      <c r="F154" t="s">
        <v>121</v>
      </c>
      <c r="G154" t="s">
        <v>121</v>
      </c>
      <c r="H154" t="s">
        <v>121</v>
      </c>
      <c r="I154" t="s">
        <v>121</v>
      </c>
      <c r="P154">
        <f t="shared" si="13"/>
        <v>0</v>
      </c>
      <c r="Q154">
        <f t="shared" si="14"/>
        <v>0</v>
      </c>
      <c r="R154">
        <f t="shared" si="15"/>
        <v>0</v>
      </c>
      <c r="S154">
        <f t="shared" si="16"/>
        <v>0</v>
      </c>
      <c r="T154">
        <f t="shared" si="17"/>
        <v>0</v>
      </c>
      <c r="U154">
        <f t="shared" si="18"/>
        <v>0</v>
      </c>
    </row>
    <row r="155" spans="2:21">
      <c r="B155" s="102">
        <v>44567</v>
      </c>
      <c r="C155">
        <v>1.5</v>
      </c>
      <c r="D155" t="s">
        <v>121</v>
      </c>
      <c r="E155" t="s">
        <v>121</v>
      </c>
      <c r="F155" t="s">
        <v>121</v>
      </c>
      <c r="G155" t="s">
        <v>121</v>
      </c>
      <c r="H155" t="s">
        <v>121</v>
      </c>
      <c r="I155" t="s">
        <v>121</v>
      </c>
      <c r="P155">
        <f t="shared" si="13"/>
        <v>0</v>
      </c>
      <c r="Q155">
        <f t="shared" si="14"/>
        <v>0</v>
      </c>
      <c r="R155">
        <f t="shared" si="15"/>
        <v>0</v>
      </c>
      <c r="S155">
        <f t="shared" si="16"/>
        <v>0</v>
      </c>
      <c r="T155">
        <f t="shared" si="17"/>
        <v>0</v>
      </c>
      <c r="U155">
        <f t="shared" si="18"/>
        <v>0</v>
      </c>
    </row>
    <row r="156" spans="2:21">
      <c r="B156" s="102">
        <v>44568</v>
      </c>
      <c r="C156">
        <v>3</v>
      </c>
      <c r="D156" t="s">
        <v>121</v>
      </c>
      <c r="E156" t="s">
        <v>121</v>
      </c>
      <c r="F156" t="s">
        <v>121</v>
      </c>
      <c r="G156" t="s">
        <v>121</v>
      </c>
      <c r="H156" t="s">
        <v>121</v>
      </c>
      <c r="I156" t="s">
        <v>121</v>
      </c>
      <c r="P156">
        <f t="shared" si="13"/>
        <v>0</v>
      </c>
      <c r="Q156">
        <f t="shared" si="14"/>
        <v>0</v>
      </c>
      <c r="R156">
        <f t="shared" si="15"/>
        <v>0</v>
      </c>
      <c r="S156">
        <f t="shared" si="16"/>
        <v>0</v>
      </c>
      <c r="T156">
        <f t="shared" si="17"/>
        <v>0</v>
      </c>
      <c r="U156">
        <f t="shared" si="18"/>
        <v>0</v>
      </c>
    </row>
    <row r="157" spans="2:21">
      <c r="B157" s="102">
        <v>44569</v>
      </c>
      <c r="C157">
        <v>4</v>
      </c>
      <c r="D157" t="s">
        <v>121</v>
      </c>
      <c r="E157" t="s">
        <v>121</v>
      </c>
      <c r="F157" t="s">
        <v>121</v>
      </c>
      <c r="G157" t="s">
        <v>121</v>
      </c>
      <c r="H157" t="s">
        <v>121</v>
      </c>
      <c r="I157" t="s">
        <v>121</v>
      </c>
      <c r="P157">
        <f t="shared" si="13"/>
        <v>0</v>
      </c>
      <c r="Q157">
        <f t="shared" si="14"/>
        <v>0</v>
      </c>
      <c r="R157">
        <f t="shared" si="15"/>
        <v>0</v>
      </c>
      <c r="S157">
        <f t="shared" si="16"/>
        <v>0</v>
      </c>
      <c r="T157">
        <f t="shared" si="17"/>
        <v>0</v>
      </c>
      <c r="U157">
        <f t="shared" si="18"/>
        <v>0</v>
      </c>
    </row>
    <row r="158" spans="2:21">
      <c r="B158" s="102">
        <v>44570</v>
      </c>
      <c r="C158">
        <v>3</v>
      </c>
      <c r="D158" t="s">
        <v>121</v>
      </c>
      <c r="E158" t="s">
        <v>121</v>
      </c>
      <c r="F158" t="s">
        <v>121</v>
      </c>
      <c r="G158" t="s">
        <v>121</v>
      </c>
      <c r="H158" t="s">
        <v>121</v>
      </c>
      <c r="I158" t="s">
        <v>121</v>
      </c>
      <c r="K158">
        <v>161.19999999999999</v>
      </c>
      <c r="P158">
        <f t="shared" si="13"/>
        <v>0</v>
      </c>
      <c r="Q158">
        <f t="shared" si="14"/>
        <v>0</v>
      </c>
      <c r="R158">
        <f t="shared" si="15"/>
        <v>0</v>
      </c>
      <c r="S158">
        <f t="shared" si="16"/>
        <v>0</v>
      </c>
      <c r="T158">
        <f t="shared" si="17"/>
        <v>0</v>
      </c>
      <c r="U158">
        <f t="shared" si="18"/>
        <v>0</v>
      </c>
    </row>
    <row r="159" spans="2:21">
      <c r="B159" s="102">
        <v>44571</v>
      </c>
      <c r="C159">
        <v>3</v>
      </c>
      <c r="D159" t="s">
        <v>121</v>
      </c>
      <c r="E159" t="s">
        <v>120</v>
      </c>
      <c r="F159" t="s">
        <v>121</v>
      </c>
      <c r="G159" t="s">
        <v>121</v>
      </c>
      <c r="H159" t="s">
        <v>121</v>
      </c>
      <c r="I159" t="s">
        <v>120</v>
      </c>
      <c r="P159">
        <f t="shared" si="13"/>
        <v>0</v>
      </c>
      <c r="Q159">
        <f t="shared" si="14"/>
        <v>1</v>
      </c>
      <c r="R159">
        <f t="shared" si="15"/>
        <v>0</v>
      </c>
      <c r="S159">
        <f t="shared" si="16"/>
        <v>0</v>
      </c>
      <c r="T159">
        <f t="shared" si="17"/>
        <v>0</v>
      </c>
      <c r="U159">
        <f t="shared" si="18"/>
        <v>1</v>
      </c>
    </row>
    <row r="160" spans="2:21">
      <c r="B160" s="102">
        <v>44572</v>
      </c>
      <c r="C160">
        <v>3</v>
      </c>
      <c r="D160" t="s">
        <v>121</v>
      </c>
      <c r="E160" t="s">
        <v>121</v>
      </c>
      <c r="F160" t="s">
        <v>121</v>
      </c>
      <c r="G160" t="s">
        <v>121</v>
      </c>
      <c r="H160" t="s">
        <v>121</v>
      </c>
      <c r="I160" t="s">
        <v>121</v>
      </c>
      <c r="P160">
        <f t="shared" si="13"/>
        <v>0</v>
      </c>
      <c r="Q160">
        <f t="shared" si="14"/>
        <v>0</v>
      </c>
      <c r="R160">
        <f t="shared" si="15"/>
        <v>0</v>
      </c>
      <c r="S160">
        <f t="shared" si="16"/>
        <v>0</v>
      </c>
      <c r="T160">
        <f t="shared" si="17"/>
        <v>0</v>
      </c>
      <c r="U160">
        <f t="shared" si="18"/>
        <v>0</v>
      </c>
    </row>
    <row r="161" spans="2:21">
      <c r="B161" s="102">
        <v>44573</v>
      </c>
      <c r="C161">
        <v>3</v>
      </c>
      <c r="D161" t="s">
        <v>121</v>
      </c>
      <c r="E161" t="s">
        <v>121</v>
      </c>
      <c r="F161" t="s">
        <v>121</v>
      </c>
      <c r="G161" t="s">
        <v>121</v>
      </c>
      <c r="H161" t="s">
        <v>121</v>
      </c>
      <c r="I161" t="s">
        <v>121</v>
      </c>
      <c r="P161">
        <f t="shared" si="13"/>
        <v>0</v>
      </c>
      <c r="Q161">
        <f t="shared" si="14"/>
        <v>0</v>
      </c>
      <c r="R161">
        <f t="shared" si="15"/>
        <v>0</v>
      </c>
      <c r="S161">
        <f t="shared" si="16"/>
        <v>0</v>
      </c>
      <c r="T161">
        <f t="shared" si="17"/>
        <v>0</v>
      </c>
      <c r="U161">
        <f t="shared" si="18"/>
        <v>0</v>
      </c>
    </row>
    <row r="162" spans="2:21">
      <c r="B162" s="102">
        <v>44574</v>
      </c>
      <c r="C162">
        <v>3.5</v>
      </c>
      <c r="D162" t="s">
        <v>120</v>
      </c>
      <c r="E162" t="s">
        <v>121</v>
      </c>
      <c r="F162" t="s">
        <v>121</v>
      </c>
      <c r="G162" t="s">
        <v>121</v>
      </c>
      <c r="H162" t="s">
        <v>121</v>
      </c>
      <c r="I162" t="s">
        <v>121</v>
      </c>
      <c r="P162">
        <f t="shared" si="13"/>
        <v>1</v>
      </c>
      <c r="Q162">
        <f t="shared" si="14"/>
        <v>0</v>
      </c>
      <c r="R162">
        <f t="shared" si="15"/>
        <v>0</v>
      </c>
      <c r="S162">
        <f t="shared" si="16"/>
        <v>0</v>
      </c>
      <c r="T162">
        <f t="shared" si="17"/>
        <v>0</v>
      </c>
      <c r="U162">
        <f t="shared" si="18"/>
        <v>0</v>
      </c>
    </row>
    <row r="163" spans="2:21">
      <c r="B163" s="102">
        <v>44575</v>
      </c>
      <c r="C163">
        <v>3</v>
      </c>
      <c r="D163" t="s">
        <v>120</v>
      </c>
      <c r="E163" t="s">
        <v>121</v>
      </c>
      <c r="F163" t="s">
        <v>121</v>
      </c>
      <c r="G163" t="s">
        <v>121</v>
      </c>
      <c r="H163" t="s">
        <v>121</v>
      </c>
      <c r="I163" t="s">
        <v>121</v>
      </c>
      <c r="P163">
        <f t="shared" si="13"/>
        <v>1</v>
      </c>
      <c r="Q163">
        <f t="shared" si="14"/>
        <v>0</v>
      </c>
      <c r="R163">
        <f t="shared" si="15"/>
        <v>0</v>
      </c>
      <c r="S163">
        <f t="shared" si="16"/>
        <v>0</v>
      </c>
      <c r="T163">
        <f t="shared" si="17"/>
        <v>0</v>
      </c>
      <c r="U163">
        <f t="shared" si="18"/>
        <v>0</v>
      </c>
    </row>
    <row r="164" spans="2:21">
      <c r="B164" s="102">
        <v>44576</v>
      </c>
      <c r="C164">
        <v>3</v>
      </c>
      <c r="D164" t="s">
        <v>121</v>
      </c>
      <c r="E164" t="s">
        <v>121</v>
      </c>
      <c r="F164" t="s">
        <v>121</v>
      </c>
      <c r="G164" t="s">
        <v>121</v>
      </c>
      <c r="H164" t="s">
        <v>121</v>
      </c>
      <c r="I164" t="s">
        <v>121</v>
      </c>
      <c r="P164">
        <f t="shared" si="13"/>
        <v>0</v>
      </c>
      <c r="Q164">
        <f t="shared" si="14"/>
        <v>0</v>
      </c>
      <c r="R164">
        <f t="shared" si="15"/>
        <v>0</v>
      </c>
      <c r="S164">
        <f t="shared" si="16"/>
        <v>0</v>
      </c>
      <c r="T164">
        <f t="shared" si="17"/>
        <v>0</v>
      </c>
      <c r="U164">
        <f t="shared" si="18"/>
        <v>0</v>
      </c>
    </row>
    <row r="165" spans="2:21">
      <c r="B165" s="102">
        <v>44577</v>
      </c>
      <c r="C165">
        <v>3.5</v>
      </c>
      <c r="D165" t="s">
        <v>120</v>
      </c>
      <c r="E165" t="s">
        <v>121</v>
      </c>
      <c r="F165" t="s">
        <v>121</v>
      </c>
      <c r="G165" t="s">
        <v>121</v>
      </c>
      <c r="H165" t="s">
        <v>121</v>
      </c>
      <c r="I165" t="s">
        <v>121</v>
      </c>
      <c r="K165">
        <v>162.19999999999999</v>
      </c>
      <c r="L165">
        <v>162.19999999999999</v>
      </c>
      <c r="M165">
        <v>166.2</v>
      </c>
      <c r="P165">
        <f t="shared" si="13"/>
        <v>1</v>
      </c>
      <c r="Q165">
        <f t="shared" si="14"/>
        <v>0</v>
      </c>
      <c r="R165">
        <f t="shared" si="15"/>
        <v>0</v>
      </c>
      <c r="S165">
        <f t="shared" si="16"/>
        <v>0</v>
      </c>
      <c r="T165">
        <f t="shared" si="17"/>
        <v>0</v>
      </c>
      <c r="U165">
        <f t="shared" si="18"/>
        <v>0</v>
      </c>
    </row>
    <row r="166" spans="2:21">
      <c r="B166" s="102">
        <v>44578</v>
      </c>
      <c r="C166">
        <v>2.5</v>
      </c>
      <c r="D166" t="s">
        <v>121</v>
      </c>
      <c r="E166" t="s">
        <v>121</v>
      </c>
      <c r="F166" t="s">
        <v>121</v>
      </c>
      <c r="G166" t="s">
        <v>121</v>
      </c>
      <c r="H166" t="s">
        <v>121</v>
      </c>
      <c r="I166" t="s">
        <v>121</v>
      </c>
      <c r="P166">
        <f t="shared" si="13"/>
        <v>0</v>
      </c>
      <c r="Q166">
        <f t="shared" si="14"/>
        <v>0</v>
      </c>
      <c r="R166">
        <f t="shared" si="15"/>
        <v>0</v>
      </c>
      <c r="S166">
        <f t="shared" si="16"/>
        <v>0</v>
      </c>
      <c r="T166">
        <f t="shared" si="17"/>
        <v>0</v>
      </c>
      <c r="U166">
        <f t="shared" si="18"/>
        <v>0</v>
      </c>
    </row>
    <row r="167" spans="2:21">
      <c r="B167" s="102">
        <v>44579</v>
      </c>
      <c r="C167">
        <v>3.5</v>
      </c>
      <c r="D167" t="s">
        <v>120</v>
      </c>
      <c r="E167" t="s">
        <v>121</v>
      </c>
      <c r="F167" t="s">
        <v>121</v>
      </c>
      <c r="G167" t="s">
        <v>121</v>
      </c>
      <c r="H167" t="s">
        <v>121</v>
      </c>
      <c r="I167" t="s">
        <v>121</v>
      </c>
      <c r="P167">
        <f t="shared" si="13"/>
        <v>1</v>
      </c>
      <c r="Q167">
        <f t="shared" si="14"/>
        <v>0</v>
      </c>
      <c r="R167">
        <f t="shared" si="15"/>
        <v>0</v>
      </c>
      <c r="S167">
        <f t="shared" si="16"/>
        <v>0</v>
      </c>
      <c r="T167">
        <f t="shared" si="17"/>
        <v>0</v>
      </c>
      <c r="U167">
        <f t="shared" si="18"/>
        <v>0</v>
      </c>
    </row>
    <row r="168" spans="2:21">
      <c r="B168" s="102">
        <v>44580</v>
      </c>
      <c r="C168">
        <v>3</v>
      </c>
      <c r="D168" t="s">
        <v>120</v>
      </c>
      <c r="E168" t="s">
        <v>121</v>
      </c>
      <c r="F168" t="s">
        <v>121</v>
      </c>
      <c r="G168" t="s">
        <v>120</v>
      </c>
      <c r="H168" t="s">
        <v>121</v>
      </c>
      <c r="I168" t="s">
        <v>121</v>
      </c>
      <c r="P168">
        <f t="shared" si="13"/>
        <v>1</v>
      </c>
      <c r="Q168">
        <f t="shared" si="14"/>
        <v>0</v>
      </c>
      <c r="R168">
        <f t="shared" si="15"/>
        <v>0</v>
      </c>
      <c r="S168">
        <f t="shared" si="16"/>
        <v>1</v>
      </c>
      <c r="T168">
        <f t="shared" si="17"/>
        <v>0</v>
      </c>
      <c r="U168">
        <f t="shared" si="18"/>
        <v>0</v>
      </c>
    </row>
    <row r="169" spans="2:21">
      <c r="B169" s="102">
        <v>44581</v>
      </c>
      <c r="C169">
        <v>3</v>
      </c>
      <c r="D169" t="s">
        <v>120</v>
      </c>
      <c r="E169" t="s">
        <v>121</v>
      </c>
      <c r="F169" t="s">
        <v>121</v>
      </c>
      <c r="G169" t="s">
        <v>121</v>
      </c>
      <c r="H169" t="s">
        <v>121</v>
      </c>
      <c r="I169" t="s">
        <v>121</v>
      </c>
      <c r="P169">
        <f t="shared" si="13"/>
        <v>1</v>
      </c>
      <c r="Q169">
        <f t="shared" si="14"/>
        <v>0</v>
      </c>
      <c r="R169">
        <f t="shared" si="15"/>
        <v>0</v>
      </c>
      <c r="S169">
        <f t="shared" si="16"/>
        <v>0</v>
      </c>
      <c r="T169">
        <f t="shared" si="17"/>
        <v>0</v>
      </c>
      <c r="U169">
        <f t="shared" si="18"/>
        <v>0</v>
      </c>
    </row>
    <row r="170" spans="2:21">
      <c r="B170" s="102">
        <v>44582</v>
      </c>
      <c r="C170">
        <v>1.5</v>
      </c>
      <c r="D170" t="s">
        <v>121</v>
      </c>
      <c r="E170" t="s">
        <v>121</v>
      </c>
      <c r="F170" t="s">
        <v>121</v>
      </c>
      <c r="G170" t="s">
        <v>121</v>
      </c>
      <c r="H170" t="s">
        <v>121</v>
      </c>
      <c r="I170" t="s">
        <v>121</v>
      </c>
      <c r="P170">
        <f t="shared" si="13"/>
        <v>0</v>
      </c>
      <c r="Q170">
        <f t="shared" si="14"/>
        <v>0</v>
      </c>
      <c r="R170">
        <f t="shared" si="15"/>
        <v>0</v>
      </c>
      <c r="S170">
        <f t="shared" si="16"/>
        <v>0</v>
      </c>
      <c r="T170">
        <f t="shared" si="17"/>
        <v>0</v>
      </c>
      <c r="U170">
        <f t="shared" si="18"/>
        <v>0</v>
      </c>
    </row>
    <row r="171" spans="2:21">
      <c r="B171" s="102">
        <v>44583</v>
      </c>
      <c r="C171">
        <v>2.5</v>
      </c>
      <c r="D171" t="s">
        <v>120</v>
      </c>
      <c r="E171" t="s">
        <v>120</v>
      </c>
      <c r="F171" t="s">
        <v>121</v>
      </c>
      <c r="G171" t="s">
        <v>121</v>
      </c>
      <c r="H171" t="s">
        <v>121</v>
      </c>
      <c r="I171" t="s">
        <v>121</v>
      </c>
      <c r="P171">
        <f t="shared" si="13"/>
        <v>1</v>
      </c>
      <c r="Q171">
        <f t="shared" si="14"/>
        <v>1</v>
      </c>
      <c r="R171">
        <f t="shared" si="15"/>
        <v>0</v>
      </c>
      <c r="S171">
        <f t="shared" si="16"/>
        <v>0</v>
      </c>
      <c r="T171">
        <f t="shared" si="17"/>
        <v>0</v>
      </c>
      <c r="U171">
        <f t="shared" si="18"/>
        <v>0</v>
      </c>
    </row>
    <row r="172" spans="2:21">
      <c r="B172" s="102">
        <v>44584</v>
      </c>
      <c r="C172">
        <v>2</v>
      </c>
      <c r="D172" t="s">
        <v>120</v>
      </c>
      <c r="E172" t="s">
        <v>121</v>
      </c>
      <c r="F172" t="s">
        <v>121</v>
      </c>
      <c r="G172" t="s">
        <v>121</v>
      </c>
      <c r="H172" t="s">
        <v>121</v>
      </c>
      <c r="I172" t="s">
        <v>121</v>
      </c>
      <c r="K172">
        <v>158.4</v>
      </c>
      <c r="L172">
        <v>158.4</v>
      </c>
      <c r="P172">
        <f t="shared" si="13"/>
        <v>1</v>
      </c>
      <c r="Q172">
        <f t="shared" si="14"/>
        <v>0</v>
      </c>
      <c r="R172">
        <f t="shared" si="15"/>
        <v>0</v>
      </c>
      <c r="S172">
        <f t="shared" si="16"/>
        <v>0</v>
      </c>
      <c r="T172">
        <f t="shared" si="17"/>
        <v>0</v>
      </c>
      <c r="U172">
        <f t="shared" si="18"/>
        <v>0</v>
      </c>
    </row>
    <row r="173" spans="2:21">
      <c r="B173" s="102">
        <v>44585</v>
      </c>
      <c r="C173">
        <v>2.5</v>
      </c>
      <c r="D173" t="s">
        <v>120</v>
      </c>
      <c r="E173" t="s">
        <v>121</v>
      </c>
      <c r="F173" t="s">
        <v>121</v>
      </c>
      <c r="G173" t="s">
        <v>121</v>
      </c>
      <c r="H173" t="s">
        <v>121</v>
      </c>
      <c r="I173" t="s">
        <v>121</v>
      </c>
      <c r="P173">
        <f t="shared" si="13"/>
        <v>1</v>
      </c>
      <c r="Q173">
        <f t="shared" si="14"/>
        <v>0</v>
      </c>
      <c r="R173">
        <f t="shared" si="15"/>
        <v>0</v>
      </c>
      <c r="S173">
        <f t="shared" si="16"/>
        <v>0</v>
      </c>
      <c r="T173">
        <f t="shared" si="17"/>
        <v>0</v>
      </c>
      <c r="U173">
        <f t="shared" si="18"/>
        <v>0</v>
      </c>
    </row>
    <row r="174" spans="2:21">
      <c r="B174" s="102">
        <v>44586</v>
      </c>
      <c r="C174">
        <v>1.5</v>
      </c>
      <c r="D174" t="s">
        <v>120</v>
      </c>
      <c r="E174" t="s">
        <v>121</v>
      </c>
      <c r="F174" t="s">
        <v>121</v>
      </c>
      <c r="G174" t="s">
        <v>121</v>
      </c>
      <c r="H174" t="s">
        <v>121</v>
      </c>
      <c r="I174" t="s">
        <v>121</v>
      </c>
      <c r="P174">
        <f t="shared" si="13"/>
        <v>1</v>
      </c>
      <c r="Q174">
        <f t="shared" si="14"/>
        <v>0</v>
      </c>
      <c r="R174">
        <f t="shared" si="15"/>
        <v>0</v>
      </c>
      <c r="S174">
        <f t="shared" si="16"/>
        <v>0</v>
      </c>
      <c r="T174">
        <f t="shared" si="17"/>
        <v>0</v>
      </c>
      <c r="U174">
        <f t="shared" si="18"/>
        <v>0</v>
      </c>
    </row>
    <row r="175" spans="2:21">
      <c r="B175" s="102">
        <v>44587</v>
      </c>
      <c r="C175">
        <v>2</v>
      </c>
      <c r="D175" t="s">
        <v>120</v>
      </c>
      <c r="E175" t="s">
        <v>121</v>
      </c>
      <c r="F175" t="s">
        <v>121</v>
      </c>
      <c r="G175" t="s">
        <v>121</v>
      </c>
      <c r="H175" t="s">
        <v>121</v>
      </c>
      <c r="I175" t="s">
        <v>121</v>
      </c>
      <c r="P175">
        <f t="shared" si="13"/>
        <v>1</v>
      </c>
      <c r="Q175">
        <f t="shared" si="14"/>
        <v>0</v>
      </c>
      <c r="R175">
        <f t="shared" si="15"/>
        <v>0</v>
      </c>
      <c r="S175">
        <f t="shared" si="16"/>
        <v>0</v>
      </c>
      <c r="T175">
        <f t="shared" si="17"/>
        <v>0</v>
      </c>
      <c r="U175">
        <f t="shared" si="18"/>
        <v>0</v>
      </c>
    </row>
    <row r="176" spans="2:21">
      <c r="B176" s="102">
        <v>44588</v>
      </c>
      <c r="C176">
        <v>2.5</v>
      </c>
      <c r="D176" t="s">
        <v>120</v>
      </c>
      <c r="E176" t="s">
        <v>121</v>
      </c>
      <c r="F176" t="s">
        <v>121</v>
      </c>
      <c r="G176" t="s">
        <v>121</v>
      </c>
      <c r="H176" t="s">
        <v>121</v>
      </c>
      <c r="I176" t="s">
        <v>121</v>
      </c>
      <c r="P176">
        <f t="shared" si="13"/>
        <v>1</v>
      </c>
      <c r="Q176">
        <f t="shared" si="14"/>
        <v>0</v>
      </c>
      <c r="R176">
        <f t="shared" si="15"/>
        <v>0</v>
      </c>
      <c r="S176">
        <f t="shared" si="16"/>
        <v>0</v>
      </c>
      <c r="T176">
        <f t="shared" si="17"/>
        <v>0</v>
      </c>
      <c r="U176">
        <f t="shared" si="18"/>
        <v>0</v>
      </c>
    </row>
    <row r="177" spans="2:21">
      <c r="B177" s="102">
        <v>44589</v>
      </c>
      <c r="C177">
        <v>3</v>
      </c>
      <c r="D177" t="s">
        <v>120</v>
      </c>
      <c r="E177" t="s">
        <v>120</v>
      </c>
      <c r="F177" t="s">
        <v>121</v>
      </c>
      <c r="G177" t="s">
        <v>121</v>
      </c>
      <c r="H177" t="s">
        <v>121</v>
      </c>
      <c r="I177" t="s">
        <v>121</v>
      </c>
      <c r="P177">
        <f t="shared" si="13"/>
        <v>1</v>
      </c>
      <c r="Q177">
        <f t="shared" si="14"/>
        <v>1</v>
      </c>
      <c r="R177">
        <f t="shared" si="15"/>
        <v>0</v>
      </c>
      <c r="S177">
        <f t="shared" si="16"/>
        <v>0</v>
      </c>
      <c r="T177">
        <f t="shared" si="17"/>
        <v>0</v>
      </c>
      <c r="U177">
        <f t="shared" si="18"/>
        <v>0</v>
      </c>
    </row>
    <row r="178" spans="2:21">
      <c r="B178" s="102">
        <v>44590</v>
      </c>
      <c r="C178">
        <v>3.5</v>
      </c>
      <c r="D178" t="s">
        <v>120</v>
      </c>
      <c r="E178" t="s">
        <v>121</v>
      </c>
      <c r="F178" t="s">
        <v>121</v>
      </c>
      <c r="G178" t="s">
        <v>121</v>
      </c>
      <c r="H178" t="s">
        <v>121</v>
      </c>
      <c r="I178" t="s">
        <v>121</v>
      </c>
      <c r="P178">
        <f t="shared" si="13"/>
        <v>1</v>
      </c>
      <c r="Q178">
        <f t="shared" si="14"/>
        <v>0</v>
      </c>
      <c r="R178">
        <f t="shared" si="15"/>
        <v>0</v>
      </c>
      <c r="S178">
        <f t="shared" si="16"/>
        <v>0</v>
      </c>
      <c r="T178">
        <f t="shared" si="17"/>
        <v>0</v>
      </c>
      <c r="U178">
        <f t="shared" si="18"/>
        <v>0</v>
      </c>
    </row>
    <row r="179" spans="2:21">
      <c r="B179" s="102">
        <v>44591</v>
      </c>
      <c r="C179">
        <v>3.5</v>
      </c>
      <c r="D179" t="s">
        <v>120</v>
      </c>
      <c r="E179" t="s">
        <v>121</v>
      </c>
      <c r="F179" t="s">
        <v>121</v>
      </c>
      <c r="G179" t="s">
        <v>121</v>
      </c>
      <c r="H179" t="s">
        <v>121</v>
      </c>
      <c r="I179" t="s">
        <v>121</v>
      </c>
      <c r="K179">
        <v>158</v>
      </c>
      <c r="L179">
        <v>158</v>
      </c>
      <c r="P179">
        <f t="shared" si="13"/>
        <v>1</v>
      </c>
      <c r="Q179">
        <f t="shared" si="14"/>
        <v>0</v>
      </c>
      <c r="R179">
        <f t="shared" si="15"/>
        <v>0</v>
      </c>
      <c r="S179">
        <f t="shared" si="16"/>
        <v>0</v>
      </c>
      <c r="T179">
        <f t="shared" si="17"/>
        <v>0</v>
      </c>
      <c r="U179">
        <f t="shared" si="18"/>
        <v>0</v>
      </c>
    </row>
    <row r="180" spans="2:21">
      <c r="B180" s="102">
        <v>44592</v>
      </c>
      <c r="C180">
        <v>3</v>
      </c>
      <c r="D180" t="s">
        <v>120</v>
      </c>
      <c r="E180" t="s">
        <v>121</v>
      </c>
      <c r="F180" t="s">
        <v>121</v>
      </c>
      <c r="G180" t="s">
        <v>120</v>
      </c>
      <c r="H180" t="s">
        <v>120</v>
      </c>
      <c r="I180" t="s">
        <v>121</v>
      </c>
      <c r="P180">
        <f t="shared" si="13"/>
        <v>1</v>
      </c>
      <c r="Q180">
        <f t="shared" si="14"/>
        <v>0</v>
      </c>
      <c r="R180">
        <f t="shared" si="15"/>
        <v>0</v>
      </c>
      <c r="S180">
        <f t="shared" si="16"/>
        <v>1</v>
      </c>
      <c r="T180">
        <f t="shared" si="17"/>
        <v>1</v>
      </c>
      <c r="U180">
        <f t="shared" si="18"/>
        <v>0</v>
      </c>
    </row>
    <row r="181" spans="2:21">
      <c r="B181" s="102">
        <v>44593</v>
      </c>
      <c r="C181">
        <v>3</v>
      </c>
      <c r="D181" t="s">
        <v>120</v>
      </c>
      <c r="E181" t="s">
        <v>121</v>
      </c>
      <c r="F181" t="s">
        <v>121</v>
      </c>
      <c r="G181" t="s">
        <v>121</v>
      </c>
      <c r="H181" t="s">
        <v>121</v>
      </c>
      <c r="I181" t="s">
        <v>121</v>
      </c>
      <c r="P181">
        <f t="shared" si="13"/>
        <v>1</v>
      </c>
      <c r="Q181">
        <f t="shared" si="14"/>
        <v>0</v>
      </c>
      <c r="R181">
        <f t="shared" si="15"/>
        <v>0</v>
      </c>
      <c r="S181">
        <f t="shared" si="16"/>
        <v>0</v>
      </c>
      <c r="T181">
        <f t="shared" si="17"/>
        <v>0</v>
      </c>
      <c r="U181">
        <f t="shared" si="18"/>
        <v>0</v>
      </c>
    </row>
    <row r="182" spans="2:21">
      <c r="B182" s="102">
        <v>44594</v>
      </c>
      <c r="C182">
        <v>2.5</v>
      </c>
      <c r="D182" t="s">
        <v>121</v>
      </c>
      <c r="E182" t="s">
        <v>121</v>
      </c>
      <c r="F182" t="s">
        <v>121</v>
      </c>
      <c r="G182" t="s">
        <v>121</v>
      </c>
      <c r="H182" t="s">
        <v>121</v>
      </c>
      <c r="I182" t="s">
        <v>121</v>
      </c>
      <c r="P182">
        <f t="shared" si="13"/>
        <v>0</v>
      </c>
      <c r="Q182">
        <f t="shared" si="14"/>
        <v>0</v>
      </c>
      <c r="R182">
        <f t="shared" si="15"/>
        <v>0</v>
      </c>
      <c r="S182">
        <f t="shared" si="16"/>
        <v>0</v>
      </c>
      <c r="T182">
        <f t="shared" si="17"/>
        <v>0</v>
      </c>
      <c r="U182">
        <f t="shared" si="18"/>
        <v>0</v>
      </c>
    </row>
    <row r="183" spans="2:21">
      <c r="B183" s="102">
        <v>44595</v>
      </c>
      <c r="C183">
        <v>3</v>
      </c>
      <c r="D183" t="s">
        <v>121</v>
      </c>
      <c r="E183" t="s">
        <v>121</v>
      </c>
      <c r="F183" t="s">
        <v>121</v>
      </c>
      <c r="G183" t="s">
        <v>121</v>
      </c>
      <c r="H183" t="s">
        <v>121</v>
      </c>
      <c r="I183" t="s">
        <v>121</v>
      </c>
      <c r="P183">
        <f t="shared" si="13"/>
        <v>0</v>
      </c>
      <c r="Q183">
        <f t="shared" si="14"/>
        <v>0</v>
      </c>
      <c r="R183">
        <f t="shared" si="15"/>
        <v>0</v>
      </c>
      <c r="S183">
        <f t="shared" si="16"/>
        <v>0</v>
      </c>
      <c r="T183">
        <f t="shared" si="17"/>
        <v>0</v>
      </c>
      <c r="U183">
        <f t="shared" si="18"/>
        <v>0</v>
      </c>
    </row>
    <row r="184" spans="2:21">
      <c r="B184" s="102">
        <v>44596</v>
      </c>
      <c r="C184">
        <v>2.5</v>
      </c>
      <c r="D184" t="s">
        <v>121</v>
      </c>
      <c r="E184" t="s">
        <v>121</v>
      </c>
      <c r="F184" t="s">
        <v>121</v>
      </c>
      <c r="G184" t="s">
        <v>121</v>
      </c>
      <c r="H184" t="s">
        <v>121</v>
      </c>
      <c r="I184" t="s">
        <v>121</v>
      </c>
      <c r="P184">
        <f t="shared" si="13"/>
        <v>0</v>
      </c>
      <c r="Q184">
        <f t="shared" si="14"/>
        <v>0</v>
      </c>
      <c r="R184">
        <f t="shared" si="15"/>
        <v>0</v>
      </c>
      <c r="S184">
        <f t="shared" si="16"/>
        <v>0</v>
      </c>
      <c r="T184">
        <f t="shared" si="17"/>
        <v>0</v>
      </c>
      <c r="U184">
        <f t="shared" si="18"/>
        <v>0</v>
      </c>
    </row>
    <row r="185" spans="2:21">
      <c r="B185" s="102">
        <v>44597</v>
      </c>
      <c r="C185">
        <v>3</v>
      </c>
      <c r="D185" t="s">
        <v>121</v>
      </c>
      <c r="E185" t="s">
        <v>120</v>
      </c>
      <c r="F185" t="s">
        <v>120</v>
      </c>
      <c r="G185" t="s">
        <v>121</v>
      </c>
      <c r="H185" t="s">
        <v>121</v>
      </c>
      <c r="I185" t="s">
        <v>121</v>
      </c>
      <c r="P185">
        <f t="shared" si="13"/>
        <v>0</v>
      </c>
      <c r="Q185">
        <f t="shared" si="14"/>
        <v>1</v>
      </c>
      <c r="R185">
        <f t="shared" si="15"/>
        <v>1</v>
      </c>
      <c r="S185">
        <f t="shared" si="16"/>
        <v>0</v>
      </c>
      <c r="T185">
        <f t="shared" si="17"/>
        <v>0</v>
      </c>
      <c r="U185">
        <f t="shared" si="18"/>
        <v>0</v>
      </c>
    </row>
    <row r="186" spans="2:21">
      <c r="B186" s="102">
        <v>44598</v>
      </c>
      <c r="C186">
        <v>3.5</v>
      </c>
      <c r="D186" t="s">
        <v>120</v>
      </c>
      <c r="E186" t="s">
        <v>121</v>
      </c>
      <c r="F186" t="s">
        <v>121</v>
      </c>
      <c r="G186" t="s">
        <v>121</v>
      </c>
      <c r="H186" t="s">
        <v>121</v>
      </c>
      <c r="I186" t="s">
        <v>121</v>
      </c>
      <c r="K186">
        <v>159.19999999999999</v>
      </c>
      <c r="P186">
        <f t="shared" si="13"/>
        <v>1</v>
      </c>
      <c r="Q186">
        <f t="shared" si="14"/>
        <v>0</v>
      </c>
      <c r="R186">
        <f t="shared" si="15"/>
        <v>0</v>
      </c>
      <c r="S186">
        <f t="shared" si="16"/>
        <v>0</v>
      </c>
      <c r="T186">
        <f t="shared" si="17"/>
        <v>0</v>
      </c>
      <c r="U186">
        <f t="shared" si="18"/>
        <v>0</v>
      </c>
    </row>
    <row r="187" spans="2:21">
      <c r="B187" s="102">
        <v>44599</v>
      </c>
      <c r="C187">
        <v>3</v>
      </c>
      <c r="D187" t="s">
        <v>120</v>
      </c>
      <c r="E187" t="s">
        <v>121</v>
      </c>
      <c r="F187" t="s">
        <v>121</v>
      </c>
      <c r="G187" t="s">
        <v>121</v>
      </c>
      <c r="H187" t="s">
        <v>121</v>
      </c>
      <c r="I187" t="s">
        <v>121</v>
      </c>
      <c r="P187">
        <f t="shared" si="13"/>
        <v>1</v>
      </c>
      <c r="Q187">
        <f t="shared" si="14"/>
        <v>0</v>
      </c>
      <c r="R187">
        <f t="shared" si="15"/>
        <v>0</v>
      </c>
      <c r="S187">
        <f t="shared" si="16"/>
        <v>0</v>
      </c>
      <c r="T187">
        <f t="shared" si="17"/>
        <v>0</v>
      </c>
      <c r="U187">
        <f t="shared" si="18"/>
        <v>0</v>
      </c>
    </row>
    <row r="188" spans="2:21">
      <c r="B188" s="102">
        <v>44600</v>
      </c>
      <c r="C188">
        <v>3</v>
      </c>
      <c r="D188" t="s">
        <v>120</v>
      </c>
      <c r="E188" t="s">
        <v>121</v>
      </c>
      <c r="F188" t="s">
        <v>121</v>
      </c>
      <c r="G188" t="s">
        <v>121</v>
      </c>
      <c r="H188" t="s">
        <v>121</v>
      </c>
      <c r="I188" t="s">
        <v>121</v>
      </c>
      <c r="P188">
        <f t="shared" si="13"/>
        <v>1</v>
      </c>
      <c r="Q188">
        <f t="shared" si="14"/>
        <v>0</v>
      </c>
      <c r="R188">
        <f t="shared" si="15"/>
        <v>0</v>
      </c>
      <c r="S188">
        <f t="shared" si="16"/>
        <v>0</v>
      </c>
      <c r="T188">
        <f t="shared" si="17"/>
        <v>0</v>
      </c>
      <c r="U188">
        <f t="shared" si="18"/>
        <v>0</v>
      </c>
    </row>
    <row r="189" spans="2:21">
      <c r="B189" s="102">
        <v>44601</v>
      </c>
      <c r="C189">
        <v>3</v>
      </c>
      <c r="D189" t="s">
        <v>120</v>
      </c>
      <c r="E189" t="s">
        <v>120</v>
      </c>
      <c r="F189" t="s">
        <v>121</v>
      </c>
      <c r="G189" t="s">
        <v>121</v>
      </c>
      <c r="H189" t="s">
        <v>121</v>
      </c>
      <c r="I189" t="s">
        <v>121</v>
      </c>
      <c r="P189">
        <f t="shared" si="13"/>
        <v>1</v>
      </c>
      <c r="Q189">
        <f t="shared" si="14"/>
        <v>1</v>
      </c>
      <c r="R189">
        <f t="shared" si="15"/>
        <v>0</v>
      </c>
      <c r="S189">
        <f t="shared" si="16"/>
        <v>0</v>
      </c>
      <c r="T189">
        <f t="shared" si="17"/>
        <v>0</v>
      </c>
      <c r="U189">
        <f t="shared" si="18"/>
        <v>0</v>
      </c>
    </row>
    <row r="190" spans="2:21">
      <c r="B190" s="102">
        <v>44602</v>
      </c>
      <c r="C190">
        <v>2.5</v>
      </c>
      <c r="D190" t="s">
        <v>120</v>
      </c>
      <c r="E190" t="s">
        <v>121</v>
      </c>
      <c r="F190" t="s">
        <v>121</v>
      </c>
      <c r="G190" t="s">
        <v>121</v>
      </c>
      <c r="H190" t="s">
        <v>121</v>
      </c>
      <c r="I190" t="s">
        <v>121</v>
      </c>
      <c r="P190">
        <f t="shared" si="13"/>
        <v>1</v>
      </c>
      <c r="Q190">
        <f t="shared" si="14"/>
        <v>0</v>
      </c>
      <c r="R190">
        <f t="shared" si="15"/>
        <v>0</v>
      </c>
      <c r="S190">
        <f t="shared" si="16"/>
        <v>0</v>
      </c>
      <c r="T190">
        <f t="shared" si="17"/>
        <v>0</v>
      </c>
      <c r="U190">
        <f t="shared" si="18"/>
        <v>0</v>
      </c>
    </row>
    <row r="191" spans="2:21">
      <c r="B191" s="102">
        <v>44603</v>
      </c>
      <c r="C191">
        <v>2.5</v>
      </c>
      <c r="D191" t="s">
        <v>120</v>
      </c>
      <c r="E191" t="s">
        <v>121</v>
      </c>
      <c r="F191" t="s">
        <v>121</v>
      </c>
      <c r="G191" t="s">
        <v>121</v>
      </c>
      <c r="H191" t="s">
        <v>121</v>
      </c>
      <c r="I191" t="s">
        <v>121</v>
      </c>
      <c r="P191">
        <f t="shared" si="13"/>
        <v>1</v>
      </c>
      <c r="Q191">
        <f t="shared" si="14"/>
        <v>0</v>
      </c>
      <c r="R191">
        <f t="shared" si="15"/>
        <v>0</v>
      </c>
      <c r="S191">
        <f t="shared" si="16"/>
        <v>0</v>
      </c>
      <c r="T191">
        <f t="shared" si="17"/>
        <v>0</v>
      </c>
      <c r="U191">
        <f t="shared" si="18"/>
        <v>0</v>
      </c>
    </row>
    <row r="192" spans="2:21">
      <c r="B192" s="102">
        <v>44604</v>
      </c>
      <c r="C192">
        <v>3</v>
      </c>
      <c r="D192" t="s">
        <v>121</v>
      </c>
      <c r="E192" t="s">
        <v>121</v>
      </c>
      <c r="F192" t="s">
        <v>121</v>
      </c>
      <c r="G192" t="s">
        <v>121</v>
      </c>
      <c r="H192" t="s">
        <v>121</v>
      </c>
      <c r="I192" t="s">
        <v>121</v>
      </c>
      <c r="P192">
        <f t="shared" si="13"/>
        <v>0</v>
      </c>
      <c r="Q192">
        <f t="shared" si="14"/>
        <v>0</v>
      </c>
      <c r="R192">
        <f t="shared" si="15"/>
        <v>0</v>
      </c>
      <c r="S192">
        <f t="shared" si="16"/>
        <v>0</v>
      </c>
      <c r="T192">
        <f t="shared" si="17"/>
        <v>0</v>
      </c>
      <c r="U192">
        <f t="shared" si="18"/>
        <v>0</v>
      </c>
    </row>
    <row r="193" spans="2:21">
      <c r="B193" s="102">
        <v>44605</v>
      </c>
      <c r="C193">
        <v>3.5</v>
      </c>
      <c r="D193" t="s">
        <v>120</v>
      </c>
      <c r="E193" t="s">
        <v>121</v>
      </c>
      <c r="F193" t="s">
        <v>121</v>
      </c>
      <c r="G193" t="s">
        <v>120</v>
      </c>
      <c r="H193" t="s">
        <v>121</v>
      </c>
      <c r="I193" t="s">
        <v>121</v>
      </c>
      <c r="K193">
        <v>159.80000000000001</v>
      </c>
      <c r="P193">
        <f t="shared" si="13"/>
        <v>1</v>
      </c>
      <c r="Q193">
        <f t="shared" si="14"/>
        <v>0</v>
      </c>
      <c r="R193">
        <f t="shared" si="15"/>
        <v>0</v>
      </c>
      <c r="S193">
        <f t="shared" si="16"/>
        <v>1</v>
      </c>
      <c r="T193">
        <f t="shared" si="17"/>
        <v>0</v>
      </c>
      <c r="U193">
        <f t="shared" si="18"/>
        <v>0</v>
      </c>
    </row>
    <row r="194" spans="2:21">
      <c r="B194" s="102">
        <v>44606</v>
      </c>
      <c r="C194">
        <v>2.5</v>
      </c>
      <c r="D194" t="s">
        <v>120</v>
      </c>
      <c r="E194" t="s">
        <v>121</v>
      </c>
      <c r="F194" t="s">
        <v>121</v>
      </c>
      <c r="G194" t="s">
        <v>121</v>
      </c>
      <c r="H194" t="s">
        <v>121</v>
      </c>
      <c r="I194" t="s">
        <v>121</v>
      </c>
      <c r="P194">
        <f t="shared" si="13"/>
        <v>1</v>
      </c>
      <c r="Q194">
        <f t="shared" si="14"/>
        <v>0</v>
      </c>
      <c r="R194">
        <f t="shared" si="15"/>
        <v>0</v>
      </c>
      <c r="S194">
        <f t="shared" si="16"/>
        <v>0</v>
      </c>
      <c r="T194">
        <f t="shared" si="17"/>
        <v>0</v>
      </c>
      <c r="U194">
        <f t="shared" si="18"/>
        <v>0</v>
      </c>
    </row>
    <row r="195" spans="2:21">
      <c r="B195" s="102">
        <v>44607</v>
      </c>
      <c r="C195">
        <v>2</v>
      </c>
      <c r="D195" t="s">
        <v>120</v>
      </c>
      <c r="E195" t="s">
        <v>121</v>
      </c>
      <c r="F195" t="s">
        <v>121</v>
      </c>
      <c r="G195" t="s">
        <v>121</v>
      </c>
      <c r="H195" t="s">
        <v>121</v>
      </c>
      <c r="I195" t="s">
        <v>121</v>
      </c>
      <c r="P195">
        <f t="shared" ref="P195:P258" si="19">IF(D195="YES", 1, 0)</f>
        <v>1</v>
      </c>
      <c r="Q195">
        <f t="shared" ref="Q195:Q258" si="20">IF(E195="YES", 1, 0)</f>
        <v>0</v>
      </c>
      <c r="R195">
        <f t="shared" ref="R195:R258" si="21">IF(F195="YES", 1, 0)</f>
        <v>0</v>
      </c>
      <c r="S195">
        <f t="shared" ref="S195:S258" si="22">IF(G195="YES", 1, 0)</f>
        <v>0</v>
      </c>
      <c r="T195">
        <f t="shared" ref="T195:T258" si="23">IF(H195="YES", 1, 0)</f>
        <v>0</v>
      </c>
      <c r="U195">
        <f t="shared" ref="U195:U258" si="24">IF(I195="YES", 1, 0)</f>
        <v>0</v>
      </c>
    </row>
    <row r="196" spans="2:21">
      <c r="B196" s="102">
        <v>44608</v>
      </c>
      <c r="C196">
        <v>2.5</v>
      </c>
      <c r="D196" t="s">
        <v>120</v>
      </c>
      <c r="E196" t="s">
        <v>121</v>
      </c>
      <c r="F196" t="s">
        <v>121</v>
      </c>
      <c r="G196" t="s">
        <v>121</v>
      </c>
      <c r="H196" t="s">
        <v>121</v>
      </c>
      <c r="I196" t="s">
        <v>121</v>
      </c>
      <c r="P196">
        <f t="shared" si="19"/>
        <v>1</v>
      </c>
      <c r="Q196">
        <f t="shared" si="20"/>
        <v>0</v>
      </c>
      <c r="R196">
        <f t="shared" si="21"/>
        <v>0</v>
      </c>
      <c r="S196">
        <f t="shared" si="22"/>
        <v>0</v>
      </c>
      <c r="T196">
        <f t="shared" si="23"/>
        <v>0</v>
      </c>
      <c r="U196">
        <f t="shared" si="24"/>
        <v>0</v>
      </c>
    </row>
    <row r="197" spans="2:21">
      <c r="B197" s="102">
        <v>44609</v>
      </c>
      <c r="C197">
        <v>2.5</v>
      </c>
      <c r="D197" t="s">
        <v>120</v>
      </c>
      <c r="E197" t="s">
        <v>120</v>
      </c>
      <c r="F197" t="s">
        <v>121</v>
      </c>
      <c r="G197" t="s">
        <v>121</v>
      </c>
      <c r="H197" t="s">
        <v>121</v>
      </c>
      <c r="I197" t="s">
        <v>121</v>
      </c>
      <c r="P197">
        <f t="shared" si="19"/>
        <v>1</v>
      </c>
      <c r="Q197">
        <f t="shared" si="20"/>
        <v>1</v>
      </c>
      <c r="R197">
        <f t="shared" si="21"/>
        <v>0</v>
      </c>
      <c r="S197">
        <f t="shared" si="22"/>
        <v>0</v>
      </c>
      <c r="T197">
        <f t="shared" si="23"/>
        <v>0</v>
      </c>
      <c r="U197">
        <f t="shared" si="24"/>
        <v>0</v>
      </c>
    </row>
    <row r="198" spans="2:21">
      <c r="B198" s="102">
        <v>44610</v>
      </c>
      <c r="C198">
        <v>3</v>
      </c>
      <c r="D198" t="s">
        <v>120</v>
      </c>
      <c r="E198" t="s">
        <v>121</v>
      </c>
      <c r="F198" t="s">
        <v>121</v>
      </c>
      <c r="G198" t="s">
        <v>121</v>
      </c>
      <c r="H198" t="s">
        <v>121</v>
      </c>
      <c r="I198" t="s">
        <v>121</v>
      </c>
      <c r="P198">
        <f t="shared" si="19"/>
        <v>1</v>
      </c>
      <c r="Q198">
        <f t="shared" si="20"/>
        <v>0</v>
      </c>
      <c r="R198">
        <f t="shared" si="21"/>
        <v>0</v>
      </c>
      <c r="S198">
        <f t="shared" si="22"/>
        <v>0</v>
      </c>
      <c r="T198">
        <f t="shared" si="23"/>
        <v>0</v>
      </c>
      <c r="U198">
        <f t="shared" si="24"/>
        <v>0</v>
      </c>
    </row>
    <row r="199" spans="2:21">
      <c r="B199" s="102">
        <v>44611</v>
      </c>
      <c r="C199">
        <v>2.5</v>
      </c>
      <c r="D199" t="s">
        <v>121</v>
      </c>
      <c r="E199" t="s">
        <v>121</v>
      </c>
      <c r="F199" t="s">
        <v>121</v>
      </c>
      <c r="G199" t="s">
        <v>121</v>
      </c>
      <c r="H199" t="s">
        <v>121</v>
      </c>
      <c r="I199" t="s">
        <v>121</v>
      </c>
      <c r="P199">
        <f t="shared" si="19"/>
        <v>0</v>
      </c>
      <c r="Q199">
        <f t="shared" si="20"/>
        <v>0</v>
      </c>
      <c r="R199">
        <f t="shared" si="21"/>
        <v>0</v>
      </c>
      <c r="S199">
        <f t="shared" si="22"/>
        <v>0</v>
      </c>
      <c r="T199">
        <f t="shared" si="23"/>
        <v>0</v>
      </c>
      <c r="U199">
        <f t="shared" si="24"/>
        <v>0</v>
      </c>
    </row>
    <row r="200" spans="2:21">
      <c r="B200" s="102">
        <v>44612</v>
      </c>
      <c r="C200">
        <v>3.5</v>
      </c>
      <c r="D200" t="s">
        <v>120</v>
      </c>
      <c r="E200" t="s">
        <v>121</v>
      </c>
      <c r="F200" t="s">
        <v>121</v>
      </c>
      <c r="G200" t="s">
        <v>121</v>
      </c>
      <c r="H200" t="s">
        <v>121</v>
      </c>
      <c r="I200" t="s">
        <v>121</v>
      </c>
      <c r="K200">
        <v>162.4</v>
      </c>
      <c r="P200">
        <f t="shared" si="19"/>
        <v>1</v>
      </c>
      <c r="Q200">
        <f t="shared" si="20"/>
        <v>0</v>
      </c>
      <c r="R200">
        <f t="shared" si="21"/>
        <v>0</v>
      </c>
      <c r="S200">
        <f t="shared" si="22"/>
        <v>0</v>
      </c>
      <c r="T200">
        <f t="shared" si="23"/>
        <v>0</v>
      </c>
      <c r="U200">
        <f t="shared" si="24"/>
        <v>0</v>
      </c>
    </row>
    <row r="201" spans="2:21">
      <c r="B201" s="102">
        <v>44613</v>
      </c>
      <c r="C201">
        <v>2.5</v>
      </c>
      <c r="D201" t="s">
        <v>120</v>
      </c>
      <c r="E201" t="s">
        <v>120</v>
      </c>
      <c r="F201" t="s">
        <v>121</v>
      </c>
      <c r="G201" t="s">
        <v>121</v>
      </c>
      <c r="H201" t="s">
        <v>121</v>
      </c>
      <c r="I201" t="s">
        <v>120</v>
      </c>
      <c r="P201">
        <f t="shared" si="19"/>
        <v>1</v>
      </c>
      <c r="Q201">
        <f t="shared" si="20"/>
        <v>1</v>
      </c>
      <c r="R201">
        <f t="shared" si="21"/>
        <v>0</v>
      </c>
      <c r="S201">
        <f t="shared" si="22"/>
        <v>0</v>
      </c>
      <c r="T201">
        <f t="shared" si="23"/>
        <v>0</v>
      </c>
      <c r="U201">
        <f t="shared" si="24"/>
        <v>1</v>
      </c>
    </row>
    <row r="202" spans="2:21">
      <c r="B202" s="102">
        <v>44614</v>
      </c>
      <c r="C202">
        <v>3</v>
      </c>
      <c r="D202" t="s">
        <v>120</v>
      </c>
      <c r="E202" t="s">
        <v>121</v>
      </c>
      <c r="F202" t="s">
        <v>121</v>
      </c>
      <c r="G202" t="s">
        <v>121</v>
      </c>
      <c r="H202" t="s">
        <v>121</v>
      </c>
      <c r="I202" t="s">
        <v>121</v>
      </c>
      <c r="P202">
        <f t="shared" si="19"/>
        <v>1</v>
      </c>
      <c r="Q202">
        <f t="shared" si="20"/>
        <v>0</v>
      </c>
      <c r="R202">
        <f t="shared" si="21"/>
        <v>0</v>
      </c>
      <c r="S202">
        <f t="shared" si="22"/>
        <v>0</v>
      </c>
      <c r="T202">
        <f t="shared" si="23"/>
        <v>0</v>
      </c>
      <c r="U202">
        <f t="shared" si="24"/>
        <v>0</v>
      </c>
    </row>
    <row r="203" spans="2:21">
      <c r="B203" s="102">
        <v>44615</v>
      </c>
      <c r="C203">
        <v>2.5</v>
      </c>
      <c r="D203" t="s">
        <v>121</v>
      </c>
      <c r="E203" t="s">
        <v>121</v>
      </c>
      <c r="F203" t="s">
        <v>121</v>
      </c>
      <c r="G203" t="s">
        <v>121</v>
      </c>
      <c r="H203" t="s">
        <v>121</v>
      </c>
      <c r="I203" t="s">
        <v>121</v>
      </c>
      <c r="P203">
        <f t="shared" si="19"/>
        <v>0</v>
      </c>
      <c r="Q203">
        <f t="shared" si="20"/>
        <v>0</v>
      </c>
      <c r="R203">
        <f t="shared" si="21"/>
        <v>0</v>
      </c>
      <c r="S203">
        <f t="shared" si="22"/>
        <v>0</v>
      </c>
      <c r="T203">
        <f t="shared" si="23"/>
        <v>0</v>
      </c>
      <c r="U203">
        <f t="shared" si="24"/>
        <v>0</v>
      </c>
    </row>
    <row r="204" spans="2:21">
      <c r="B204" s="102">
        <v>44616</v>
      </c>
      <c r="C204">
        <v>2.5</v>
      </c>
      <c r="D204" t="s">
        <v>121</v>
      </c>
      <c r="E204" t="s">
        <v>121</v>
      </c>
      <c r="F204" t="s">
        <v>121</v>
      </c>
      <c r="G204" t="s">
        <v>121</v>
      </c>
      <c r="H204" t="s">
        <v>121</v>
      </c>
      <c r="I204" t="s">
        <v>121</v>
      </c>
      <c r="P204">
        <f t="shared" si="19"/>
        <v>0</v>
      </c>
      <c r="Q204">
        <f t="shared" si="20"/>
        <v>0</v>
      </c>
      <c r="R204">
        <f t="shared" si="21"/>
        <v>0</v>
      </c>
      <c r="S204">
        <f t="shared" si="22"/>
        <v>0</v>
      </c>
      <c r="T204">
        <f t="shared" si="23"/>
        <v>0</v>
      </c>
      <c r="U204">
        <f t="shared" si="24"/>
        <v>0</v>
      </c>
    </row>
    <row r="205" spans="2:21">
      <c r="B205" s="102">
        <v>44617</v>
      </c>
      <c r="C205">
        <v>2</v>
      </c>
      <c r="D205" t="s">
        <v>121</v>
      </c>
      <c r="E205" t="s">
        <v>121</v>
      </c>
      <c r="F205" t="s">
        <v>121</v>
      </c>
      <c r="G205" t="s">
        <v>121</v>
      </c>
      <c r="H205" t="s">
        <v>121</v>
      </c>
      <c r="I205" t="s">
        <v>121</v>
      </c>
      <c r="P205">
        <f t="shared" si="19"/>
        <v>0</v>
      </c>
      <c r="Q205">
        <f t="shared" si="20"/>
        <v>0</v>
      </c>
      <c r="R205">
        <f t="shared" si="21"/>
        <v>0</v>
      </c>
      <c r="S205">
        <f t="shared" si="22"/>
        <v>0</v>
      </c>
      <c r="T205">
        <f t="shared" si="23"/>
        <v>0</v>
      </c>
      <c r="U205">
        <f t="shared" si="24"/>
        <v>0</v>
      </c>
    </row>
    <row r="206" spans="2:21">
      <c r="B206" s="102">
        <v>44618</v>
      </c>
      <c r="C206">
        <v>3.5</v>
      </c>
      <c r="D206" t="s">
        <v>121</v>
      </c>
      <c r="E206" t="s">
        <v>121</v>
      </c>
      <c r="F206" t="s">
        <v>121</v>
      </c>
      <c r="G206" t="s">
        <v>121</v>
      </c>
      <c r="H206" t="s">
        <v>121</v>
      </c>
      <c r="I206" t="s">
        <v>121</v>
      </c>
      <c r="P206">
        <f t="shared" si="19"/>
        <v>0</v>
      </c>
      <c r="Q206">
        <f t="shared" si="20"/>
        <v>0</v>
      </c>
      <c r="R206">
        <f t="shared" si="21"/>
        <v>0</v>
      </c>
      <c r="S206">
        <f t="shared" si="22"/>
        <v>0</v>
      </c>
      <c r="T206">
        <f t="shared" si="23"/>
        <v>0</v>
      </c>
      <c r="U206">
        <f t="shared" si="24"/>
        <v>0</v>
      </c>
    </row>
    <row r="207" spans="2:21">
      <c r="B207" s="102">
        <v>44619</v>
      </c>
      <c r="C207">
        <v>2.5</v>
      </c>
      <c r="D207" t="s">
        <v>120</v>
      </c>
      <c r="E207" t="s">
        <v>120</v>
      </c>
      <c r="F207" t="s">
        <v>121</v>
      </c>
      <c r="G207" t="s">
        <v>120</v>
      </c>
      <c r="H207" t="s">
        <v>121</v>
      </c>
      <c r="I207" t="s">
        <v>121</v>
      </c>
      <c r="K207">
        <v>163.19999999999999</v>
      </c>
      <c r="P207">
        <f t="shared" si="19"/>
        <v>1</v>
      </c>
      <c r="Q207">
        <f t="shared" si="20"/>
        <v>1</v>
      </c>
      <c r="R207">
        <f t="shared" si="21"/>
        <v>0</v>
      </c>
      <c r="S207">
        <f t="shared" si="22"/>
        <v>1</v>
      </c>
      <c r="T207">
        <f t="shared" si="23"/>
        <v>0</v>
      </c>
      <c r="U207">
        <f t="shared" si="24"/>
        <v>0</v>
      </c>
    </row>
    <row r="208" spans="2:21">
      <c r="B208" s="102">
        <v>44620</v>
      </c>
      <c r="C208">
        <v>3</v>
      </c>
      <c r="D208" t="s">
        <v>120</v>
      </c>
      <c r="E208" t="s">
        <v>121</v>
      </c>
      <c r="F208" t="s">
        <v>121</v>
      </c>
      <c r="G208" t="s">
        <v>121</v>
      </c>
      <c r="H208" t="s">
        <v>121</v>
      </c>
      <c r="I208" t="s">
        <v>121</v>
      </c>
      <c r="P208">
        <f t="shared" si="19"/>
        <v>1</v>
      </c>
      <c r="Q208">
        <f t="shared" si="20"/>
        <v>0</v>
      </c>
      <c r="R208">
        <f t="shared" si="21"/>
        <v>0</v>
      </c>
      <c r="S208">
        <f t="shared" si="22"/>
        <v>0</v>
      </c>
      <c r="T208">
        <f t="shared" si="23"/>
        <v>0</v>
      </c>
      <c r="U208">
        <f t="shared" si="24"/>
        <v>0</v>
      </c>
    </row>
    <row r="209" spans="2:21">
      <c r="B209" s="102">
        <v>44621</v>
      </c>
      <c r="C209">
        <v>3</v>
      </c>
      <c r="D209" t="s">
        <v>120</v>
      </c>
      <c r="E209" t="s">
        <v>121</v>
      </c>
      <c r="F209" t="s">
        <v>121</v>
      </c>
      <c r="G209" t="s">
        <v>121</v>
      </c>
      <c r="H209" t="s">
        <v>121</v>
      </c>
      <c r="I209" t="s">
        <v>121</v>
      </c>
      <c r="P209">
        <f t="shared" si="19"/>
        <v>1</v>
      </c>
      <c r="Q209">
        <f t="shared" si="20"/>
        <v>0</v>
      </c>
      <c r="R209">
        <f t="shared" si="21"/>
        <v>0</v>
      </c>
      <c r="S209">
        <f t="shared" si="22"/>
        <v>0</v>
      </c>
      <c r="T209">
        <f t="shared" si="23"/>
        <v>0</v>
      </c>
      <c r="U209">
        <f t="shared" si="24"/>
        <v>0</v>
      </c>
    </row>
    <row r="210" spans="2:21">
      <c r="B210" s="102">
        <v>44622</v>
      </c>
      <c r="C210">
        <v>3</v>
      </c>
      <c r="D210" t="s">
        <v>120</v>
      </c>
      <c r="E210" t="s">
        <v>121</v>
      </c>
      <c r="F210" t="s">
        <v>121</v>
      </c>
      <c r="G210" t="s">
        <v>121</v>
      </c>
      <c r="H210" t="s">
        <v>121</v>
      </c>
      <c r="I210" t="s">
        <v>121</v>
      </c>
      <c r="P210">
        <f t="shared" si="19"/>
        <v>1</v>
      </c>
      <c r="Q210">
        <f t="shared" si="20"/>
        <v>0</v>
      </c>
      <c r="R210">
        <f t="shared" si="21"/>
        <v>0</v>
      </c>
      <c r="S210">
        <f t="shared" si="22"/>
        <v>0</v>
      </c>
      <c r="T210">
        <f t="shared" si="23"/>
        <v>0</v>
      </c>
      <c r="U210">
        <f t="shared" si="24"/>
        <v>0</v>
      </c>
    </row>
    <row r="211" spans="2:21">
      <c r="B211" s="102">
        <v>44623</v>
      </c>
      <c r="C211">
        <v>2.5</v>
      </c>
      <c r="D211" t="s">
        <v>120</v>
      </c>
      <c r="E211" t="s">
        <v>120</v>
      </c>
      <c r="F211" t="s">
        <v>121</v>
      </c>
      <c r="G211" t="s">
        <v>121</v>
      </c>
      <c r="H211" t="s">
        <v>121</v>
      </c>
      <c r="I211" t="s">
        <v>121</v>
      </c>
      <c r="P211">
        <f t="shared" si="19"/>
        <v>1</v>
      </c>
      <c r="Q211">
        <f t="shared" si="20"/>
        <v>1</v>
      </c>
      <c r="R211">
        <f t="shared" si="21"/>
        <v>0</v>
      </c>
      <c r="S211">
        <f t="shared" si="22"/>
        <v>0</v>
      </c>
      <c r="T211">
        <f t="shared" si="23"/>
        <v>0</v>
      </c>
      <c r="U211">
        <f t="shared" si="24"/>
        <v>0</v>
      </c>
    </row>
    <row r="212" spans="2:21">
      <c r="B212" s="102">
        <v>44624</v>
      </c>
      <c r="C212">
        <v>3</v>
      </c>
      <c r="D212" t="s">
        <v>121</v>
      </c>
      <c r="E212" t="s">
        <v>121</v>
      </c>
      <c r="F212" t="s">
        <v>121</v>
      </c>
      <c r="G212" t="s">
        <v>121</v>
      </c>
      <c r="H212" t="s">
        <v>121</v>
      </c>
      <c r="I212" t="s">
        <v>121</v>
      </c>
      <c r="P212">
        <f t="shared" si="19"/>
        <v>0</v>
      </c>
      <c r="Q212">
        <f t="shared" si="20"/>
        <v>0</v>
      </c>
      <c r="R212">
        <f t="shared" si="21"/>
        <v>0</v>
      </c>
      <c r="S212">
        <f t="shared" si="22"/>
        <v>0</v>
      </c>
      <c r="T212">
        <f t="shared" si="23"/>
        <v>0</v>
      </c>
      <c r="U212">
        <f t="shared" si="24"/>
        <v>0</v>
      </c>
    </row>
    <row r="213" spans="2:21">
      <c r="B213" s="102">
        <v>44625</v>
      </c>
      <c r="C213">
        <v>3</v>
      </c>
      <c r="D213" t="s">
        <v>120</v>
      </c>
      <c r="E213" t="s">
        <v>121</v>
      </c>
      <c r="F213" t="s">
        <v>121</v>
      </c>
      <c r="G213" t="s">
        <v>121</v>
      </c>
      <c r="H213" t="s">
        <v>121</v>
      </c>
      <c r="I213" t="s">
        <v>121</v>
      </c>
      <c r="P213">
        <f t="shared" si="19"/>
        <v>1</v>
      </c>
      <c r="Q213">
        <f t="shared" si="20"/>
        <v>0</v>
      </c>
      <c r="R213">
        <f t="shared" si="21"/>
        <v>0</v>
      </c>
      <c r="S213">
        <f t="shared" si="22"/>
        <v>0</v>
      </c>
      <c r="T213">
        <f t="shared" si="23"/>
        <v>0</v>
      </c>
      <c r="U213">
        <f t="shared" si="24"/>
        <v>0</v>
      </c>
    </row>
    <row r="214" spans="2:21">
      <c r="B214" s="102">
        <v>44626</v>
      </c>
      <c r="C214">
        <v>3</v>
      </c>
      <c r="D214" t="s">
        <v>120</v>
      </c>
      <c r="E214" t="s">
        <v>121</v>
      </c>
      <c r="F214" t="s">
        <v>121</v>
      </c>
      <c r="G214" t="s">
        <v>121</v>
      </c>
      <c r="H214" t="s">
        <v>121</v>
      </c>
      <c r="I214" t="s">
        <v>121</v>
      </c>
      <c r="K214">
        <v>162.80000000000001</v>
      </c>
      <c r="P214">
        <f t="shared" si="19"/>
        <v>1</v>
      </c>
      <c r="Q214">
        <f t="shared" si="20"/>
        <v>0</v>
      </c>
      <c r="R214">
        <f t="shared" si="21"/>
        <v>0</v>
      </c>
      <c r="S214">
        <f t="shared" si="22"/>
        <v>0</v>
      </c>
      <c r="T214">
        <f t="shared" si="23"/>
        <v>0</v>
      </c>
      <c r="U214">
        <f t="shared" si="24"/>
        <v>0</v>
      </c>
    </row>
    <row r="215" spans="2:21">
      <c r="B215" s="102">
        <v>44627</v>
      </c>
      <c r="C215">
        <v>2</v>
      </c>
      <c r="D215" t="s">
        <v>120</v>
      </c>
      <c r="E215" t="s">
        <v>121</v>
      </c>
      <c r="F215" t="s">
        <v>121</v>
      </c>
      <c r="G215" t="s">
        <v>121</v>
      </c>
      <c r="H215" t="s">
        <v>121</v>
      </c>
      <c r="I215" t="s">
        <v>121</v>
      </c>
      <c r="P215">
        <f t="shared" si="19"/>
        <v>1</v>
      </c>
      <c r="Q215">
        <f t="shared" si="20"/>
        <v>0</v>
      </c>
      <c r="R215">
        <f t="shared" si="21"/>
        <v>0</v>
      </c>
      <c r="S215">
        <f t="shared" si="22"/>
        <v>0</v>
      </c>
      <c r="T215">
        <f t="shared" si="23"/>
        <v>0</v>
      </c>
      <c r="U215">
        <f t="shared" si="24"/>
        <v>0</v>
      </c>
    </row>
    <row r="216" spans="2:21">
      <c r="B216" s="102">
        <v>44628</v>
      </c>
      <c r="C216">
        <v>2</v>
      </c>
      <c r="D216" t="s">
        <v>120</v>
      </c>
      <c r="E216" t="s">
        <v>121</v>
      </c>
      <c r="F216" t="s">
        <v>120</v>
      </c>
      <c r="G216" t="s">
        <v>121</v>
      </c>
      <c r="H216" t="s">
        <v>121</v>
      </c>
      <c r="I216" t="s">
        <v>121</v>
      </c>
      <c r="P216">
        <f t="shared" si="19"/>
        <v>1</v>
      </c>
      <c r="Q216">
        <f t="shared" si="20"/>
        <v>0</v>
      </c>
      <c r="R216">
        <f t="shared" si="21"/>
        <v>1</v>
      </c>
      <c r="S216">
        <f t="shared" si="22"/>
        <v>0</v>
      </c>
      <c r="T216">
        <f t="shared" si="23"/>
        <v>0</v>
      </c>
      <c r="U216">
        <f t="shared" si="24"/>
        <v>0</v>
      </c>
    </row>
    <row r="217" spans="2:21">
      <c r="B217" s="102">
        <v>44629</v>
      </c>
      <c r="C217">
        <v>2</v>
      </c>
      <c r="D217" t="s">
        <v>120</v>
      </c>
      <c r="E217" t="s">
        <v>121</v>
      </c>
      <c r="F217" t="s">
        <v>121</v>
      </c>
      <c r="G217" t="s">
        <v>121</v>
      </c>
      <c r="H217" t="s">
        <v>121</v>
      </c>
      <c r="I217" t="s">
        <v>121</v>
      </c>
      <c r="P217">
        <f t="shared" si="19"/>
        <v>1</v>
      </c>
      <c r="Q217">
        <f t="shared" si="20"/>
        <v>0</v>
      </c>
      <c r="R217">
        <f t="shared" si="21"/>
        <v>0</v>
      </c>
      <c r="S217">
        <f t="shared" si="22"/>
        <v>0</v>
      </c>
      <c r="T217">
        <f t="shared" si="23"/>
        <v>0</v>
      </c>
      <c r="U217">
        <f t="shared" si="24"/>
        <v>0</v>
      </c>
    </row>
    <row r="218" spans="2:21">
      <c r="B218" s="102">
        <v>44630</v>
      </c>
      <c r="C218">
        <v>2.5</v>
      </c>
      <c r="D218" t="s">
        <v>120</v>
      </c>
      <c r="E218" t="s">
        <v>120</v>
      </c>
      <c r="F218" t="s">
        <v>121</v>
      </c>
      <c r="G218" t="s">
        <v>121</v>
      </c>
      <c r="H218" t="s">
        <v>121</v>
      </c>
      <c r="I218" t="s">
        <v>121</v>
      </c>
      <c r="P218">
        <f t="shared" si="19"/>
        <v>1</v>
      </c>
      <c r="Q218">
        <f t="shared" si="20"/>
        <v>1</v>
      </c>
      <c r="R218">
        <f t="shared" si="21"/>
        <v>0</v>
      </c>
      <c r="S218">
        <f t="shared" si="22"/>
        <v>0</v>
      </c>
      <c r="T218">
        <f t="shared" si="23"/>
        <v>0</v>
      </c>
      <c r="U218">
        <f t="shared" si="24"/>
        <v>0</v>
      </c>
    </row>
    <row r="219" spans="2:21">
      <c r="B219" s="102">
        <v>44631</v>
      </c>
      <c r="C219">
        <v>2.5</v>
      </c>
      <c r="D219" t="s">
        <v>121</v>
      </c>
      <c r="E219" t="s">
        <v>121</v>
      </c>
      <c r="F219" t="s">
        <v>121</v>
      </c>
      <c r="G219" t="s">
        <v>120</v>
      </c>
      <c r="H219" t="s">
        <v>120</v>
      </c>
      <c r="I219" t="s">
        <v>121</v>
      </c>
      <c r="P219">
        <f t="shared" si="19"/>
        <v>0</v>
      </c>
      <c r="Q219">
        <f t="shared" si="20"/>
        <v>0</v>
      </c>
      <c r="R219">
        <f t="shared" si="21"/>
        <v>0</v>
      </c>
      <c r="S219">
        <f t="shared" si="22"/>
        <v>1</v>
      </c>
      <c r="T219">
        <f t="shared" si="23"/>
        <v>1</v>
      </c>
      <c r="U219">
        <f t="shared" si="24"/>
        <v>0</v>
      </c>
    </row>
    <row r="220" spans="2:21">
      <c r="B220" s="102">
        <v>44632</v>
      </c>
      <c r="C220">
        <v>3</v>
      </c>
      <c r="D220" t="s">
        <v>121</v>
      </c>
      <c r="E220" t="s">
        <v>121</v>
      </c>
      <c r="F220" t="s">
        <v>121</v>
      </c>
      <c r="G220" t="s">
        <v>121</v>
      </c>
      <c r="H220" t="s">
        <v>121</v>
      </c>
      <c r="I220" t="s">
        <v>121</v>
      </c>
      <c r="P220">
        <f t="shared" si="19"/>
        <v>0</v>
      </c>
      <c r="Q220">
        <f t="shared" si="20"/>
        <v>0</v>
      </c>
      <c r="R220">
        <f t="shared" si="21"/>
        <v>0</v>
      </c>
      <c r="S220">
        <f t="shared" si="22"/>
        <v>0</v>
      </c>
      <c r="T220">
        <f t="shared" si="23"/>
        <v>0</v>
      </c>
      <c r="U220">
        <f t="shared" si="24"/>
        <v>0</v>
      </c>
    </row>
    <row r="221" spans="2:21">
      <c r="B221" s="102">
        <v>44633</v>
      </c>
      <c r="C221">
        <v>2.5</v>
      </c>
      <c r="D221" t="s">
        <v>121</v>
      </c>
      <c r="E221" t="s">
        <v>121</v>
      </c>
      <c r="F221" t="s">
        <v>121</v>
      </c>
      <c r="G221" t="s">
        <v>121</v>
      </c>
      <c r="H221" t="s">
        <v>121</v>
      </c>
      <c r="I221" t="s">
        <v>121</v>
      </c>
      <c r="P221">
        <f t="shared" si="19"/>
        <v>0</v>
      </c>
      <c r="Q221">
        <f t="shared" si="20"/>
        <v>0</v>
      </c>
      <c r="R221">
        <f t="shared" si="21"/>
        <v>0</v>
      </c>
      <c r="S221">
        <f t="shared" si="22"/>
        <v>0</v>
      </c>
      <c r="T221">
        <f t="shared" si="23"/>
        <v>0</v>
      </c>
      <c r="U221">
        <f t="shared" si="24"/>
        <v>0</v>
      </c>
    </row>
    <row r="222" spans="2:21">
      <c r="B222" s="102">
        <v>44634</v>
      </c>
      <c r="C222">
        <v>2.5</v>
      </c>
      <c r="D222" t="s">
        <v>121</v>
      </c>
      <c r="E222" t="s">
        <v>121</v>
      </c>
      <c r="F222" t="s">
        <v>121</v>
      </c>
      <c r="G222" t="s">
        <v>121</v>
      </c>
      <c r="H222" t="s">
        <v>121</v>
      </c>
      <c r="I222" t="s">
        <v>121</v>
      </c>
      <c r="P222">
        <f t="shared" si="19"/>
        <v>0</v>
      </c>
      <c r="Q222">
        <f t="shared" si="20"/>
        <v>0</v>
      </c>
      <c r="R222">
        <f t="shared" si="21"/>
        <v>0</v>
      </c>
      <c r="S222">
        <f t="shared" si="22"/>
        <v>0</v>
      </c>
      <c r="T222">
        <f t="shared" si="23"/>
        <v>0</v>
      </c>
      <c r="U222">
        <f t="shared" si="24"/>
        <v>0</v>
      </c>
    </row>
    <row r="223" spans="2:21">
      <c r="B223" s="102">
        <v>44635</v>
      </c>
      <c r="C223">
        <v>2.5</v>
      </c>
      <c r="D223" t="s">
        <v>121</v>
      </c>
      <c r="E223" t="s">
        <v>121</v>
      </c>
      <c r="F223" t="s">
        <v>121</v>
      </c>
      <c r="G223" t="s">
        <v>121</v>
      </c>
      <c r="H223" t="s">
        <v>121</v>
      </c>
      <c r="I223" t="s">
        <v>121</v>
      </c>
      <c r="P223">
        <f t="shared" si="19"/>
        <v>0</v>
      </c>
      <c r="Q223">
        <f t="shared" si="20"/>
        <v>0</v>
      </c>
      <c r="R223">
        <f t="shared" si="21"/>
        <v>0</v>
      </c>
      <c r="S223">
        <f t="shared" si="22"/>
        <v>0</v>
      </c>
      <c r="T223">
        <f t="shared" si="23"/>
        <v>0</v>
      </c>
      <c r="U223">
        <f t="shared" si="24"/>
        <v>0</v>
      </c>
    </row>
    <row r="224" spans="2:21">
      <c r="B224" s="102">
        <v>44636</v>
      </c>
      <c r="C224">
        <v>3</v>
      </c>
      <c r="D224" t="s">
        <v>121</v>
      </c>
      <c r="E224" t="s">
        <v>121</v>
      </c>
      <c r="F224" t="s">
        <v>121</v>
      </c>
      <c r="G224" t="s">
        <v>121</v>
      </c>
      <c r="H224" t="s">
        <v>121</v>
      </c>
      <c r="I224" t="s">
        <v>121</v>
      </c>
      <c r="P224">
        <f t="shared" si="19"/>
        <v>0</v>
      </c>
      <c r="Q224">
        <f t="shared" si="20"/>
        <v>0</v>
      </c>
      <c r="R224">
        <f t="shared" si="21"/>
        <v>0</v>
      </c>
      <c r="S224">
        <f t="shared" si="22"/>
        <v>0</v>
      </c>
      <c r="T224">
        <f t="shared" si="23"/>
        <v>0</v>
      </c>
      <c r="U224">
        <f t="shared" si="24"/>
        <v>0</v>
      </c>
    </row>
    <row r="225" spans="2:21">
      <c r="B225" s="102">
        <v>44637</v>
      </c>
      <c r="C225">
        <v>2.5</v>
      </c>
      <c r="D225" t="s">
        <v>121</v>
      </c>
      <c r="E225" t="s">
        <v>121</v>
      </c>
      <c r="F225" t="s">
        <v>121</v>
      </c>
      <c r="G225" t="s">
        <v>121</v>
      </c>
      <c r="H225" t="s">
        <v>121</v>
      </c>
      <c r="I225" t="s">
        <v>121</v>
      </c>
      <c r="P225">
        <f t="shared" si="19"/>
        <v>0</v>
      </c>
      <c r="Q225">
        <f t="shared" si="20"/>
        <v>0</v>
      </c>
      <c r="R225">
        <f t="shared" si="21"/>
        <v>0</v>
      </c>
      <c r="S225">
        <f t="shared" si="22"/>
        <v>0</v>
      </c>
      <c r="T225">
        <f t="shared" si="23"/>
        <v>0</v>
      </c>
      <c r="U225">
        <f t="shared" si="24"/>
        <v>0</v>
      </c>
    </row>
    <row r="226" spans="2:21">
      <c r="B226" s="102">
        <v>44638</v>
      </c>
      <c r="C226">
        <v>3</v>
      </c>
      <c r="D226" t="s">
        <v>121</v>
      </c>
      <c r="E226" t="s">
        <v>121</v>
      </c>
      <c r="F226" t="s">
        <v>121</v>
      </c>
      <c r="G226" t="s">
        <v>121</v>
      </c>
      <c r="H226" t="s">
        <v>121</v>
      </c>
      <c r="I226" t="s">
        <v>121</v>
      </c>
      <c r="P226">
        <f t="shared" si="19"/>
        <v>0</v>
      </c>
      <c r="Q226">
        <f t="shared" si="20"/>
        <v>0</v>
      </c>
      <c r="R226">
        <f t="shared" si="21"/>
        <v>0</v>
      </c>
      <c r="S226">
        <f t="shared" si="22"/>
        <v>0</v>
      </c>
      <c r="T226">
        <f t="shared" si="23"/>
        <v>0</v>
      </c>
      <c r="U226">
        <f t="shared" si="24"/>
        <v>0</v>
      </c>
    </row>
    <row r="227" spans="2:21">
      <c r="B227" s="102">
        <v>44639</v>
      </c>
      <c r="C227">
        <v>3.5</v>
      </c>
      <c r="D227" t="s">
        <v>121</v>
      </c>
      <c r="E227" t="s">
        <v>120</v>
      </c>
      <c r="F227" t="s">
        <v>121</v>
      </c>
      <c r="G227" t="s">
        <v>121</v>
      </c>
      <c r="H227" t="s">
        <v>121</v>
      </c>
      <c r="I227" t="s">
        <v>121</v>
      </c>
      <c r="P227">
        <f t="shared" si="19"/>
        <v>0</v>
      </c>
      <c r="Q227">
        <f t="shared" si="20"/>
        <v>1</v>
      </c>
      <c r="R227">
        <f t="shared" si="21"/>
        <v>0</v>
      </c>
      <c r="S227">
        <f t="shared" si="22"/>
        <v>0</v>
      </c>
      <c r="T227">
        <f t="shared" si="23"/>
        <v>0</v>
      </c>
      <c r="U227">
        <f t="shared" si="24"/>
        <v>0</v>
      </c>
    </row>
    <row r="228" spans="2:21">
      <c r="B228" s="102">
        <v>44640</v>
      </c>
      <c r="C228">
        <v>2.5</v>
      </c>
      <c r="D228" t="s">
        <v>120</v>
      </c>
      <c r="E228" t="s">
        <v>121</v>
      </c>
      <c r="F228" t="s">
        <v>121</v>
      </c>
      <c r="G228" t="s">
        <v>121</v>
      </c>
      <c r="H228" t="s">
        <v>121</v>
      </c>
      <c r="I228" t="s">
        <v>121</v>
      </c>
      <c r="K228">
        <v>164.2</v>
      </c>
      <c r="P228">
        <f t="shared" si="19"/>
        <v>1</v>
      </c>
      <c r="Q228">
        <f t="shared" si="20"/>
        <v>0</v>
      </c>
      <c r="R228">
        <f t="shared" si="21"/>
        <v>0</v>
      </c>
      <c r="S228">
        <f t="shared" si="22"/>
        <v>0</v>
      </c>
      <c r="T228">
        <f t="shared" si="23"/>
        <v>0</v>
      </c>
      <c r="U228">
        <f t="shared" si="24"/>
        <v>0</v>
      </c>
    </row>
    <row r="229" spans="2:21">
      <c r="B229" s="102">
        <v>44641</v>
      </c>
      <c r="C229">
        <v>2.5</v>
      </c>
      <c r="D229" t="s">
        <v>120</v>
      </c>
      <c r="E229" t="s">
        <v>121</v>
      </c>
      <c r="F229" t="s">
        <v>121</v>
      </c>
      <c r="G229" t="s">
        <v>121</v>
      </c>
      <c r="H229" t="s">
        <v>121</v>
      </c>
      <c r="I229" t="s">
        <v>121</v>
      </c>
      <c r="P229">
        <f t="shared" si="19"/>
        <v>1</v>
      </c>
      <c r="Q229">
        <f t="shared" si="20"/>
        <v>0</v>
      </c>
      <c r="R229">
        <f t="shared" si="21"/>
        <v>0</v>
      </c>
      <c r="S229">
        <f t="shared" si="22"/>
        <v>0</v>
      </c>
      <c r="T229">
        <f t="shared" si="23"/>
        <v>0</v>
      </c>
      <c r="U229">
        <f t="shared" si="24"/>
        <v>0</v>
      </c>
    </row>
    <row r="230" spans="2:21">
      <c r="B230" s="102">
        <v>44642</v>
      </c>
      <c r="C230">
        <v>2.5</v>
      </c>
      <c r="D230" t="s">
        <v>120</v>
      </c>
      <c r="E230" t="s">
        <v>121</v>
      </c>
      <c r="F230" t="s">
        <v>121</v>
      </c>
      <c r="G230" t="s">
        <v>121</v>
      </c>
      <c r="H230" t="s">
        <v>121</v>
      </c>
      <c r="I230" t="s">
        <v>121</v>
      </c>
      <c r="P230">
        <f t="shared" si="19"/>
        <v>1</v>
      </c>
      <c r="Q230">
        <f t="shared" si="20"/>
        <v>0</v>
      </c>
      <c r="R230">
        <f t="shared" si="21"/>
        <v>0</v>
      </c>
      <c r="S230">
        <f t="shared" si="22"/>
        <v>0</v>
      </c>
      <c r="T230">
        <f t="shared" si="23"/>
        <v>0</v>
      </c>
      <c r="U230">
        <f t="shared" si="24"/>
        <v>0</v>
      </c>
    </row>
    <row r="231" spans="2:21">
      <c r="B231" s="102">
        <v>44643</v>
      </c>
      <c r="C231">
        <v>3</v>
      </c>
      <c r="D231" t="s">
        <v>120</v>
      </c>
      <c r="E231" t="s">
        <v>121</v>
      </c>
      <c r="F231" t="s">
        <v>121</v>
      </c>
      <c r="G231" t="s">
        <v>121</v>
      </c>
      <c r="H231" t="s">
        <v>121</v>
      </c>
      <c r="I231" t="s">
        <v>121</v>
      </c>
      <c r="P231">
        <f t="shared" si="19"/>
        <v>1</v>
      </c>
      <c r="Q231">
        <f t="shared" si="20"/>
        <v>0</v>
      </c>
      <c r="R231">
        <f t="shared" si="21"/>
        <v>0</v>
      </c>
      <c r="S231">
        <f t="shared" si="22"/>
        <v>0</v>
      </c>
      <c r="T231">
        <f t="shared" si="23"/>
        <v>0</v>
      </c>
      <c r="U231">
        <f t="shared" si="24"/>
        <v>0</v>
      </c>
    </row>
    <row r="232" spans="2:21">
      <c r="B232" s="102">
        <v>44644</v>
      </c>
      <c r="C232">
        <v>2</v>
      </c>
      <c r="D232" t="s">
        <v>121</v>
      </c>
      <c r="E232" t="s">
        <v>120</v>
      </c>
      <c r="F232" t="s">
        <v>121</v>
      </c>
      <c r="G232" t="s">
        <v>121</v>
      </c>
      <c r="H232" t="s">
        <v>121</v>
      </c>
      <c r="I232" t="s">
        <v>121</v>
      </c>
      <c r="P232">
        <f t="shared" si="19"/>
        <v>0</v>
      </c>
      <c r="Q232">
        <f t="shared" si="20"/>
        <v>1</v>
      </c>
      <c r="R232">
        <f t="shared" si="21"/>
        <v>0</v>
      </c>
      <c r="S232">
        <f t="shared" si="22"/>
        <v>0</v>
      </c>
      <c r="T232">
        <f t="shared" si="23"/>
        <v>0</v>
      </c>
      <c r="U232">
        <f t="shared" si="24"/>
        <v>0</v>
      </c>
    </row>
    <row r="233" spans="2:21">
      <c r="B233" s="102">
        <v>44645</v>
      </c>
      <c r="C233">
        <v>3</v>
      </c>
      <c r="D233" t="s">
        <v>121</v>
      </c>
      <c r="E233" t="s">
        <v>121</v>
      </c>
      <c r="F233" t="s">
        <v>121</v>
      </c>
      <c r="G233" t="s">
        <v>121</v>
      </c>
      <c r="H233" t="s">
        <v>121</v>
      </c>
      <c r="I233" t="s">
        <v>120</v>
      </c>
      <c r="P233">
        <f t="shared" si="19"/>
        <v>0</v>
      </c>
      <c r="Q233">
        <f t="shared" si="20"/>
        <v>0</v>
      </c>
      <c r="R233">
        <f t="shared" si="21"/>
        <v>0</v>
      </c>
      <c r="S233">
        <f t="shared" si="22"/>
        <v>0</v>
      </c>
      <c r="T233">
        <f t="shared" si="23"/>
        <v>0</v>
      </c>
      <c r="U233">
        <f t="shared" si="24"/>
        <v>1</v>
      </c>
    </row>
    <row r="234" spans="2:21">
      <c r="B234" s="102">
        <v>44646</v>
      </c>
      <c r="C234">
        <v>1.5</v>
      </c>
      <c r="D234" t="s">
        <v>120</v>
      </c>
      <c r="E234" t="s">
        <v>121</v>
      </c>
      <c r="F234" t="s">
        <v>121</v>
      </c>
      <c r="G234" t="s">
        <v>121</v>
      </c>
      <c r="H234" t="s">
        <v>121</v>
      </c>
      <c r="I234" t="s">
        <v>121</v>
      </c>
      <c r="P234">
        <f t="shared" si="19"/>
        <v>1</v>
      </c>
      <c r="Q234">
        <f t="shared" si="20"/>
        <v>0</v>
      </c>
      <c r="R234">
        <f t="shared" si="21"/>
        <v>0</v>
      </c>
      <c r="S234">
        <f t="shared" si="22"/>
        <v>0</v>
      </c>
      <c r="T234">
        <f t="shared" si="23"/>
        <v>0</v>
      </c>
      <c r="U234">
        <f t="shared" si="24"/>
        <v>0</v>
      </c>
    </row>
    <row r="235" spans="2:21">
      <c r="B235" s="102">
        <v>44647</v>
      </c>
      <c r="C235">
        <v>3</v>
      </c>
      <c r="D235" t="s">
        <v>120</v>
      </c>
      <c r="E235" t="s">
        <v>121</v>
      </c>
      <c r="F235" t="s">
        <v>121</v>
      </c>
      <c r="G235" t="s">
        <v>121</v>
      </c>
      <c r="H235" t="s">
        <v>121</v>
      </c>
      <c r="I235" t="s">
        <v>121</v>
      </c>
      <c r="K235">
        <v>160.19999999999999</v>
      </c>
      <c r="P235">
        <f t="shared" si="19"/>
        <v>1</v>
      </c>
      <c r="Q235">
        <f t="shared" si="20"/>
        <v>0</v>
      </c>
      <c r="R235">
        <f t="shared" si="21"/>
        <v>0</v>
      </c>
      <c r="S235">
        <f t="shared" si="22"/>
        <v>0</v>
      </c>
      <c r="T235">
        <f t="shared" si="23"/>
        <v>0</v>
      </c>
      <c r="U235">
        <f t="shared" si="24"/>
        <v>0</v>
      </c>
    </row>
    <row r="236" spans="2:21">
      <c r="B236" s="102">
        <v>44648</v>
      </c>
      <c r="C236">
        <v>2</v>
      </c>
      <c r="D236" t="s">
        <v>120</v>
      </c>
      <c r="E236" t="s">
        <v>120</v>
      </c>
      <c r="F236" t="s">
        <v>121</v>
      </c>
      <c r="G236" t="s">
        <v>121</v>
      </c>
      <c r="H236" t="s">
        <v>121</v>
      </c>
      <c r="I236" t="s">
        <v>120</v>
      </c>
      <c r="P236">
        <f t="shared" si="19"/>
        <v>1</v>
      </c>
      <c r="Q236">
        <f t="shared" si="20"/>
        <v>1</v>
      </c>
      <c r="R236">
        <f t="shared" si="21"/>
        <v>0</v>
      </c>
      <c r="S236">
        <f t="shared" si="22"/>
        <v>0</v>
      </c>
      <c r="T236">
        <f t="shared" si="23"/>
        <v>0</v>
      </c>
      <c r="U236">
        <f t="shared" si="24"/>
        <v>1</v>
      </c>
    </row>
    <row r="237" spans="2:21">
      <c r="B237" s="102">
        <v>44649</v>
      </c>
      <c r="C237">
        <v>2</v>
      </c>
      <c r="D237" t="s">
        <v>120</v>
      </c>
      <c r="E237" t="s">
        <v>121</v>
      </c>
      <c r="F237" t="s">
        <v>121</v>
      </c>
      <c r="G237" t="s">
        <v>121</v>
      </c>
      <c r="H237" t="s">
        <v>121</v>
      </c>
      <c r="I237" t="s">
        <v>121</v>
      </c>
      <c r="P237">
        <f t="shared" si="19"/>
        <v>1</v>
      </c>
      <c r="Q237">
        <f t="shared" si="20"/>
        <v>0</v>
      </c>
      <c r="R237">
        <f t="shared" si="21"/>
        <v>0</v>
      </c>
      <c r="S237">
        <f t="shared" si="22"/>
        <v>0</v>
      </c>
      <c r="T237">
        <f t="shared" si="23"/>
        <v>0</v>
      </c>
      <c r="U237">
        <f t="shared" si="24"/>
        <v>0</v>
      </c>
    </row>
    <row r="238" spans="2:21">
      <c r="B238" s="102">
        <v>44650</v>
      </c>
      <c r="C238">
        <v>2</v>
      </c>
      <c r="D238" t="s">
        <v>120</v>
      </c>
      <c r="E238" t="s">
        <v>121</v>
      </c>
      <c r="F238" t="s">
        <v>121</v>
      </c>
      <c r="G238" t="s">
        <v>121</v>
      </c>
      <c r="H238" t="s">
        <v>121</v>
      </c>
      <c r="I238" t="s">
        <v>121</v>
      </c>
      <c r="P238">
        <f t="shared" si="19"/>
        <v>1</v>
      </c>
      <c r="Q238">
        <f t="shared" si="20"/>
        <v>0</v>
      </c>
      <c r="R238">
        <f t="shared" si="21"/>
        <v>0</v>
      </c>
      <c r="S238">
        <f t="shared" si="22"/>
        <v>0</v>
      </c>
      <c r="T238">
        <f t="shared" si="23"/>
        <v>0</v>
      </c>
      <c r="U238">
        <f t="shared" si="24"/>
        <v>0</v>
      </c>
    </row>
    <row r="239" spans="2:21">
      <c r="B239" s="102">
        <v>44651</v>
      </c>
      <c r="C239">
        <v>2</v>
      </c>
      <c r="D239" t="s">
        <v>120</v>
      </c>
      <c r="E239" t="s">
        <v>121</v>
      </c>
      <c r="F239" t="s">
        <v>121</v>
      </c>
      <c r="G239" t="s">
        <v>121</v>
      </c>
      <c r="H239" t="s">
        <v>121</v>
      </c>
      <c r="I239" t="s">
        <v>121</v>
      </c>
      <c r="P239">
        <f t="shared" si="19"/>
        <v>1</v>
      </c>
      <c r="Q239">
        <f t="shared" si="20"/>
        <v>0</v>
      </c>
      <c r="R239">
        <f t="shared" si="21"/>
        <v>0</v>
      </c>
      <c r="S239">
        <f t="shared" si="22"/>
        <v>0</v>
      </c>
      <c r="T239">
        <f t="shared" si="23"/>
        <v>0</v>
      </c>
      <c r="U239">
        <f t="shared" si="24"/>
        <v>0</v>
      </c>
    </row>
    <row r="240" spans="2:21">
      <c r="B240" s="102">
        <v>44652</v>
      </c>
      <c r="C240">
        <v>2.5</v>
      </c>
      <c r="D240" t="s">
        <v>120</v>
      </c>
      <c r="E240" t="s">
        <v>121</v>
      </c>
      <c r="F240" t="s">
        <v>121</v>
      </c>
      <c r="G240" t="s">
        <v>121</v>
      </c>
      <c r="H240" t="s">
        <v>121</v>
      </c>
      <c r="I240" t="s">
        <v>121</v>
      </c>
      <c r="P240">
        <f t="shared" si="19"/>
        <v>1</v>
      </c>
      <c r="Q240">
        <f t="shared" si="20"/>
        <v>0</v>
      </c>
      <c r="R240">
        <f t="shared" si="21"/>
        <v>0</v>
      </c>
      <c r="S240">
        <f t="shared" si="22"/>
        <v>0</v>
      </c>
      <c r="T240">
        <f t="shared" si="23"/>
        <v>0</v>
      </c>
      <c r="U240">
        <f t="shared" si="24"/>
        <v>0</v>
      </c>
    </row>
    <row r="241" spans="2:21">
      <c r="B241" s="102">
        <v>44653</v>
      </c>
      <c r="C241">
        <v>3</v>
      </c>
      <c r="D241" t="s">
        <v>121</v>
      </c>
      <c r="E241" t="s">
        <v>121</v>
      </c>
      <c r="F241" t="s">
        <v>121</v>
      </c>
      <c r="G241" t="s">
        <v>121</v>
      </c>
      <c r="H241" t="s">
        <v>121</v>
      </c>
      <c r="I241" t="s">
        <v>121</v>
      </c>
      <c r="P241">
        <f t="shared" si="19"/>
        <v>0</v>
      </c>
      <c r="Q241">
        <f t="shared" si="20"/>
        <v>0</v>
      </c>
      <c r="R241">
        <f t="shared" si="21"/>
        <v>0</v>
      </c>
      <c r="S241">
        <f t="shared" si="22"/>
        <v>0</v>
      </c>
      <c r="T241">
        <f t="shared" si="23"/>
        <v>0</v>
      </c>
      <c r="U241">
        <f t="shared" si="24"/>
        <v>0</v>
      </c>
    </row>
    <row r="242" spans="2:21">
      <c r="B242" s="102">
        <v>44654</v>
      </c>
      <c r="C242">
        <v>3.5</v>
      </c>
      <c r="D242" t="s">
        <v>120</v>
      </c>
      <c r="E242" t="s">
        <v>121</v>
      </c>
      <c r="F242" t="s">
        <v>121</v>
      </c>
      <c r="G242" t="s">
        <v>121</v>
      </c>
      <c r="H242" t="s">
        <v>121</v>
      </c>
      <c r="I242" t="s">
        <v>121</v>
      </c>
      <c r="K242">
        <v>162.19999999999999</v>
      </c>
      <c r="P242">
        <f t="shared" si="19"/>
        <v>1</v>
      </c>
      <c r="Q242">
        <f t="shared" si="20"/>
        <v>0</v>
      </c>
      <c r="R242">
        <f t="shared" si="21"/>
        <v>0</v>
      </c>
      <c r="S242">
        <f t="shared" si="22"/>
        <v>0</v>
      </c>
      <c r="T242">
        <f t="shared" si="23"/>
        <v>0</v>
      </c>
      <c r="U242">
        <f t="shared" si="24"/>
        <v>0</v>
      </c>
    </row>
    <row r="243" spans="2:21">
      <c r="B243" s="102">
        <v>44655</v>
      </c>
      <c r="C243">
        <v>2</v>
      </c>
      <c r="D243" t="s">
        <v>120</v>
      </c>
      <c r="E243" t="s">
        <v>121</v>
      </c>
      <c r="F243" t="s">
        <v>121</v>
      </c>
      <c r="G243" t="s">
        <v>121</v>
      </c>
      <c r="H243" t="s">
        <v>121</v>
      </c>
      <c r="I243" t="s">
        <v>121</v>
      </c>
      <c r="P243">
        <f t="shared" si="19"/>
        <v>1</v>
      </c>
      <c r="Q243">
        <f t="shared" si="20"/>
        <v>0</v>
      </c>
      <c r="R243">
        <f t="shared" si="21"/>
        <v>0</v>
      </c>
      <c r="S243">
        <f t="shared" si="22"/>
        <v>0</v>
      </c>
      <c r="T243">
        <f t="shared" si="23"/>
        <v>0</v>
      </c>
      <c r="U243">
        <f t="shared" si="24"/>
        <v>0</v>
      </c>
    </row>
    <row r="244" spans="2:21">
      <c r="B244" s="102">
        <v>44656</v>
      </c>
      <c r="C244">
        <v>2.5</v>
      </c>
      <c r="D244" t="s">
        <v>120</v>
      </c>
      <c r="E244" t="s">
        <v>121</v>
      </c>
      <c r="F244" t="s">
        <v>121</v>
      </c>
      <c r="G244" t="s">
        <v>121</v>
      </c>
      <c r="H244" t="s">
        <v>121</v>
      </c>
      <c r="I244" t="s">
        <v>121</v>
      </c>
      <c r="P244">
        <f t="shared" si="19"/>
        <v>1</v>
      </c>
      <c r="Q244">
        <f t="shared" si="20"/>
        <v>0</v>
      </c>
      <c r="R244">
        <f t="shared" si="21"/>
        <v>0</v>
      </c>
      <c r="S244">
        <f t="shared" si="22"/>
        <v>0</v>
      </c>
      <c r="T244">
        <f t="shared" si="23"/>
        <v>0</v>
      </c>
      <c r="U244">
        <f t="shared" si="24"/>
        <v>0</v>
      </c>
    </row>
    <row r="245" spans="2:21">
      <c r="B245" s="102">
        <v>44657</v>
      </c>
      <c r="C245">
        <v>2</v>
      </c>
      <c r="D245" t="s">
        <v>120</v>
      </c>
      <c r="E245" t="s">
        <v>121</v>
      </c>
      <c r="F245" t="s">
        <v>121</v>
      </c>
      <c r="G245" t="s">
        <v>121</v>
      </c>
      <c r="H245" t="s">
        <v>121</v>
      </c>
      <c r="I245" t="s">
        <v>121</v>
      </c>
      <c r="P245">
        <f t="shared" si="19"/>
        <v>1</v>
      </c>
      <c r="Q245">
        <f t="shared" si="20"/>
        <v>0</v>
      </c>
      <c r="R245">
        <f t="shared" si="21"/>
        <v>0</v>
      </c>
      <c r="S245">
        <f t="shared" si="22"/>
        <v>0</v>
      </c>
      <c r="T245">
        <f t="shared" si="23"/>
        <v>0</v>
      </c>
      <c r="U245">
        <f t="shared" si="24"/>
        <v>0</v>
      </c>
    </row>
    <row r="246" spans="2:21">
      <c r="B246" s="102">
        <v>44658</v>
      </c>
      <c r="C246">
        <v>3</v>
      </c>
      <c r="D246" t="s">
        <v>120</v>
      </c>
      <c r="E246" t="s">
        <v>120</v>
      </c>
      <c r="F246" t="s">
        <v>121</v>
      </c>
      <c r="G246" t="s">
        <v>121</v>
      </c>
      <c r="H246" t="s">
        <v>121</v>
      </c>
      <c r="I246" t="s">
        <v>121</v>
      </c>
      <c r="P246">
        <f t="shared" si="19"/>
        <v>1</v>
      </c>
      <c r="Q246">
        <f t="shared" si="20"/>
        <v>1</v>
      </c>
      <c r="R246">
        <f t="shared" si="21"/>
        <v>0</v>
      </c>
      <c r="S246">
        <f t="shared" si="22"/>
        <v>0</v>
      </c>
      <c r="T246">
        <f t="shared" si="23"/>
        <v>0</v>
      </c>
      <c r="U246">
        <f t="shared" si="24"/>
        <v>0</v>
      </c>
    </row>
    <row r="247" spans="2:21">
      <c r="B247" s="102">
        <v>44659</v>
      </c>
      <c r="C247">
        <v>3.5</v>
      </c>
      <c r="D247" t="s">
        <v>120</v>
      </c>
      <c r="E247" t="s">
        <v>121</v>
      </c>
      <c r="F247" t="s">
        <v>121</v>
      </c>
      <c r="G247" t="s">
        <v>121</v>
      </c>
      <c r="H247" t="s">
        <v>121</v>
      </c>
      <c r="I247" t="s">
        <v>121</v>
      </c>
      <c r="P247">
        <f t="shared" si="19"/>
        <v>1</v>
      </c>
      <c r="Q247">
        <f t="shared" si="20"/>
        <v>0</v>
      </c>
      <c r="R247">
        <f t="shared" si="21"/>
        <v>0</v>
      </c>
      <c r="S247">
        <f t="shared" si="22"/>
        <v>0</v>
      </c>
      <c r="T247">
        <f t="shared" si="23"/>
        <v>0</v>
      </c>
      <c r="U247">
        <f t="shared" si="24"/>
        <v>0</v>
      </c>
    </row>
    <row r="248" spans="2:21">
      <c r="B248" s="102">
        <v>44660</v>
      </c>
      <c r="C248">
        <v>3.5</v>
      </c>
      <c r="D248" t="s">
        <v>121</v>
      </c>
      <c r="E248" t="s">
        <v>121</v>
      </c>
      <c r="F248" t="s">
        <v>121</v>
      </c>
      <c r="G248" t="s">
        <v>120</v>
      </c>
      <c r="H248" t="s">
        <v>121</v>
      </c>
      <c r="I248" t="s">
        <v>120</v>
      </c>
      <c r="P248">
        <f t="shared" si="19"/>
        <v>0</v>
      </c>
      <c r="Q248">
        <f t="shared" si="20"/>
        <v>0</v>
      </c>
      <c r="R248">
        <f t="shared" si="21"/>
        <v>0</v>
      </c>
      <c r="S248">
        <f t="shared" si="22"/>
        <v>1</v>
      </c>
      <c r="T248">
        <f t="shared" si="23"/>
        <v>0</v>
      </c>
      <c r="U248">
        <f t="shared" si="24"/>
        <v>1</v>
      </c>
    </row>
    <row r="249" spans="2:21">
      <c r="B249" s="102">
        <v>44661</v>
      </c>
      <c r="C249">
        <v>2.5</v>
      </c>
      <c r="D249" t="s">
        <v>120</v>
      </c>
      <c r="E249" t="s">
        <v>121</v>
      </c>
      <c r="F249" t="s">
        <v>121</v>
      </c>
      <c r="G249" t="s">
        <v>121</v>
      </c>
      <c r="H249" t="s">
        <v>121</v>
      </c>
      <c r="I249" t="s">
        <v>121</v>
      </c>
      <c r="K249">
        <v>165.2</v>
      </c>
      <c r="P249">
        <f t="shared" si="19"/>
        <v>1</v>
      </c>
      <c r="Q249">
        <f t="shared" si="20"/>
        <v>0</v>
      </c>
      <c r="R249">
        <f t="shared" si="21"/>
        <v>0</v>
      </c>
      <c r="S249">
        <f t="shared" si="22"/>
        <v>0</v>
      </c>
      <c r="T249">
        <f t="shared" si="23"/>
        <v>0</v>
      </c>
      <c r="U249">
        <f t="shared" si="24"/>
        <v>0</v>
      </c>
    </row>
    <row r="250" spans="2:21">
      <c r="B250" s="102">
        <v>44662</v>
      </c>
      <c r="C250">
        <v>2</v>
      </c>
      <c r="D250" t="s">
        <v>120</v>
      </c>
      <c r="E250" t="s">
        <v>121</v>
      </c>
      <c r="F250" t="s">
        <v>121</v>
      </c>
      <c r="G250" t="s">
        <v>121</v>
      </c>
      <c r="H250" t="s">
        <v>121</v>
      </c>
      <c r="I250" t="s">
        <v>121</v>
      </c>
      <c r="P250">
        <f t="shared" si="19"/>
        <v>1</v>
      </c>
      <c r="Q250">
        <f t="shared" si="20"/>
        <v>0</v>
      </c>
      <c r="R250">
        <f t="shared" si="21"/>
        <v>0</v>
      </c>
      <c r="S250">
        <f t="shared" si="22"/>
        <v>0</v>
      </c>
      <c r="T250">
        <f t="shared" si="23"/>
        <v>0</v>
      </c>
      <c r="U250">
        <f t="shared" si="24"/>
        <v>0</v>
      </c>
    </row>
    <row r="251" spans="2:21">
      <c r="B251" s="102">
        <v>44663</v>
      </c>
      <c r="C251">
        <v>2</v>
      </c>
      <c r="D251" t="s">
        <v>120</v>
      </c>
      <c r="E251" t="s">
        <v>121</v>
      </c>
      <c r="F251" t="s">
        <v>121</v>
      </c>
      <c r="G251" t="s">
        <v>121</v>
      </c>
      <c r="H251" t="s">
        <v>121</v>
      </c>
      <c r="I251" t="s">
        <v>121</v>
      </c>
      <c r="P251">
        <f t="shared" si="19"/>
        <v>1</v>
      </c>
      <c r="Q251">
        <f t="shared" si="20"/>
        <v>0</v>
      </c>
      <c r="R251">
        <f t="shared" si="21"/>
        <v>0</v>
      </c>
      <c r="S251">
        <f t="shared" si="22"/>
        <v>0</v>
      </c>
      <c r="T251">
        <f t="shared" si="23"/>
        <v>0</v>
      </c>
      <c r="U251">
        <f t="shared" si="24"/>
        <v>0</v>
      </c>
    </row>
    <row r="252" spans="2:21">
      <c r="B252" s="102">
        <v>44664</v>
      </c>
      <c r="C252">
        <v>2</v>
      </c>
      <c r="D252" t="s">
        <v>121</v>
      </c>
      <c r="E252" t="s">
        <v>121</v>
      </c>
      <c r="F252" t="s">
        <v>121</v>
      </c>
      <c r="G252" t="s">
        <v>121</v>
      </c>
      <c r="H252" t="s">
        <v>121</v>
      </c>
      <c r="I252" t="s">
        <v>121</v>
      </c>
      <c r="P252">
        <f t="shared" si="19"/>
        <v>0</v>
      </c>
      <c r="Q252">
        <f t="shared" si="20"/>
        <v>0</v>
      </c>
      <c r="R252">
        <f t="shared" si="21"/>
        <v>0</v>
      </c>
      <c r="S252">
        <f t="shared" si="22"/>
        <v>0</v>
      </c>
      <c r="T252">
        <f t="shared" si="23"/>
        <v>0</v>
      </c>
      <c r="U252">
        <f t="shared" si="24"/>
        <v>0</v>
      </c>
    </row>
    <row r="253" spans="2:21">
      <c r="B253" s="102">
        <v>44665</v>
      </c>
      <c r="C253">
        <v>2</v>
      </c>
      <c r="D253" t="s">
        <v>120</v>
      </c>
      <c r="E253" t="s">
        <v>120</v>
      </c>
      <c r="F253" t="s">
        <v>121</v>
      </c>
      <c r="G253" t="s">
        <v>121</v>
      </c>
      <c r="H253" t="s">
        <v>121</v>
      </c>
      <c r="I253" t="s">
        <v>121</v>
      </c>
      <c r="P253">
        <f t="shared" si="19"/>
        <v>1</v>
      </c>
      <c r="Q253">
        <f t="shared" si="20"/>
        <v>1</v>
      </c>
      <c r="R253">
        <f t="shared" si="21"/>
        <v>0</v>
      </c>
      <c r="S253">
        <f t="shared" si="22"/>
        <v>0</v>
      </c>
      <c r="T253">
        <f t="shared" si="23"/>
        <v>0</v>
      </c>
      <c r="U253">
        <f t="shared" si="24"/>
        <v>0</v>
      </c>
    </row>
    <row r="254" spans="2:21">
      <c r="B254" s="102">
        <v>44666</v>
      </c>
      <c r="C254">
        <v>2.5</v>
      </c>
      <c r="D254" t="s">
        <v>120</v>
      </c>
      <c r="E254" t="s">
        <v>121</v>
      </c>
      <c r="F254" t="s">
        <v>121</v>
      </c>
      <c r="G254" t="s">
        <v>121</v>
      </c>
      <c r="H254" t="s">
        <v>121</v>
      </c>
      <c r="I254" t="s">
        <v>121</v>
      </c>
      <c r="P254">
        <f t="shared" si="19"/>
        <v>1</v>
      </c>
      <c r="Q254">
        <f t="shared" si="20"/>
        <v>0</v>
      </c>
      <c r="R254">
        <f t="shared" si="21"/>
        <v>0</v>
      </c>
      <c r="S254">
        <f t="shared" si="22"/>
        <v>0</v>
      </c>
      <c r="T254">
        <f t="shared" si="23"/>
        <v>0</v>
      </c>
      <c r="U254">
        <f t="shared" si="24"/>
        <v>0</v>
      </c>
    </row>
    <row r="255" spans="2:21">
      <c r="B255" s="102">
        <v>44667</v>
      </c>
      <c r="C255">
        <v>2.5</v>
      </c>
      <c r="D255" t="s">
        <v>120</v>
      </c>
      <c r="E255" t="s">
        <v>121</v>
      </c>
      <c r="F255" t="s">
        <v>120</v>
      </c>
      <c r="G255" t="s">
        <v>121</v>
      </c>
      <c r="H255" t="s">
        <v>121</v>
      </c>
      <c r="I255" t="s">
        <v>121</v>
      </c>
      <c r="P255">
        <f t="shared" si="19"/>
        <v>1</v>
      </c>
      <c r="Q255">
        <f t="shared" si="20"/>
        <v>0</v>
      </c>
      <c r="R255">
        <f t="shared" si="21"/>
        <v>1</v>
      </c>
      <c r="S255">
        <f t="shared" si="22"/>
        <v>0</v>
      </c>
      <c r="T255">
        <f t="shared" si="23"/>
        <v>0</v>
      </c>
      <c r="U255">
        <f t="shared" si="24"/>
        <v>0</v>
      </c>
    </row>
    <row r="256" spans="2:21">
      <c r="B256" s="102">
        <v>44668</v>
      </c>
      <c r="C256">
        <v>3</v>
      </c>
      <c r="D256" t="s">
        <v>121</v>
      </c>
      <c r="E256" t="s">
        <v>121</v>
      </c>
      <c r="F256" t="s">
        <v>121</v>
      </c>
      <c r="G256" t="s">
        <v>121</v>
      </c>
      <c r="H256" t="s">
        <v>121</v>
      </c>
      <c r="I256" t="s">
        <v>121</v>
      </c>
      <c r="K256">
        <v>161</v>
      </c>
      <c r="P256">
        <f t="shared" si="19"/>
        <v>0</v>
      </c>
      <c r="Q256">
        <f t="shared" si="20"/>
        <v>0</v>
      </c>
      <c r="R256">
        <f t="shared" si="21"/>
        <v>0</v>
      </c>
      <c r="S256">
        <f t="shared" si="22"/>
        <v>0</v>
      </c>
      <c r="T256">
        <f t="shared" si="23"/>
        <v>0</v>
      </c>
      <c r="U256">
        <f t="shared" si="24"/>
        <v>0</v>
      </c>
    </row>
    <row r="257" spans="2:21">
      <c r="B257" s="102">
        <v>44669</v>
      </c>
      <c r="C257">
        <v>2</v>
      </c>
      <c r="D257" t="s">
        <v>120</v>
      </c>
      <c r="E257" t="s">
        <v>121</v>
      </c>
      <c r="F257" t="s">
        <v>121</v>
      </c>
      <c r="G257" t="s">
        <v>121</v>
      </c>
      <c r="H257" t="s">
        <v>121</v>
      </c>
      <c r="I257" t="s">
        <v>121</v>
      </c>
      <c r="P257">
        <f t="shared" si="19"/>
        <v>1</v>
      </c>
      <c r="Q257">
        <f t="shared" si="20"/>
        <v>0</v>
      </c>
      <c r="R257">
        <f t="shared" si="21"/>
        <v>0</v>
      </c>
      <c r="S257">
        <f t="shared" si="22"/>
        <v>0</v>
      </c>
      <c r="T257">
        <f t="shared" si="23"/>
        <v>0</v>
      </c>
      <c r="U257">
        <f t="shared" si="24"/>
        <v>0</v>
      </c>
    </row>
    <row r="258" spans="2:21">
      <c r="B258" s="102">
        <v>44670</v>
      </c>
      <c r="C258">
        <v>2</v>
      </c>
      <c r="D258" t="s">
        <v>120</v>
      </c>
      <c r="E258" t="s">
        <v>121</v>
      </c>
      <c r="F258" t="s">
        <v>121</v>
      </c>
      <c r="G258" t="s">
        <v>121</v>
      </c>
      <c r="H258" t="s">
        <v>121</v>
      </c>
      <c r="I258" t="s">
        <v>121</v>
      </c>
      <c r="P258">
        <f t="shared" si="19"/>
        <v>1</v>
      </c>
      <c r="Q258">
        <f t="shared" si="20"/>
        <v>0</v>
      </c>
      <c r="R258">
        <f t="shared" si="21"/>
        <v>0</v>
      </c>
      <c r="S258">
        <f t="shared" si="22"/>
        <v>0</v>
      </c>
      <c r="T258">
        <f t="shared" si="23"/>
        <v>0</v>
      </c>
      <c r="U258">
        <f t="shared" si="24"/>
        <v>0</v>
      </c>
    </row>
    <row r="259" spans="2:21">
      <c r="B259" s="102">
        <v>44671</v>
      </c>
      <c r="C259">
        <v>2.5</v>
      </c>
      <c r="D259" t="s">
        <v>121</v>
      </c>
      <c r="E259" t="s">
        <v>121</v>
      </c>
      <c r="F259" t="s">
        <v>211</v>
      </c>
      <c r="G259" t="s">
        <v>121</v>
      </c>
      <c r="H259" t="s">
        <v>121</v>
      </c>
      <c r="I259" t="s">
        <v>121</v>
      </c>
      <c r="P259">
        <f t="shared" ref="P259:P322" si="25">IF(D259="YES", 1, 0)</f>
        <v>0</v>
      </c>
      <c r="Q259">
        <f t="shared" ref="Q259:Q322" si="26">IF(E259="YES", 1, 0)</f>
        <v>0</v>
      </c>
      <c r="R259">
        <f t="shared" ref="R259:R322" si="27">IF(F259="YES", 1, 0)</f>
        <v>0</v>
      </c>
      <c r="S259">
        <f t="shared" ref="S259:S322" si="28">IF(G259="YES", 1, 0)</f>
        <v>0</v>
      </c>
      <c r="T259">
        <f t="shared" ref="T259:T322" si="29">IF(H259="YES", 1, 0)</f>
        <v>0</v>
      </c>
      <c r="U259">
        <f t="shared" ref="U259:U322" si="30">IF(I259="YES", 1, 0)</f>
        <v>0</v>
      </c>
    </row>
    <row r="260" spans="2:21">
      <c r="B260" s="102">
        <v>44672</v>
      </c>
      <c r="C260">
        <v>2.5</v>
      </c>
      <c r="D260" t="s">
        <v>120</v>
      </c>
      <c r="E260" t="s">
        <v>120</v>
      </c>
      <c r="F260" t="s">
        <v>121</v>
      </c>
      <c r="G260" t="s">
        <v>121</v>
      </c>
      <c r="H260" t="s">
        <v>121</v>
      </c>
      <c r="I260" t="s">
        <v>121</v>
      </c>
      <c r="P260">
        <f t="shared" si="25"/>
        <v>1</v>
      </c>
      <c r="Q260">
        <f t="shared" si="26"/>
        <v>1</v>
      </c>
      <c r="R260">
        <f t="shared" si="27"/>
        <v>0</v>
      </c>
      <c r="S260">
        <f t="shared" si="28"/>
        <v>0</v>
      </c>
      <c r="T260">
        <f t="shared" si="29"/>
        <v>0</v>
      </c>
      <c r="U260">
        <f t="shared" si="30"/>
        <v>0</v>
      </c>
    </row>
    <row r="261" spans="2:21">
      <c r="B261" s="102">
        <v>44673</v>
      </c>
      <c r="C261">
        <v>2.5</v>
      </c>
      <c r="D261" t="s">
        <v>120</v>
      </c>
      <c r="E261" t="s">
        <v>121</v>
      </c>
      <c r="F261" t="s">
        <v>121</v>
      </c>
      <c r="G261" t="s">
        <v>120</v>
      </c>
      <c r="H261" t="s">
        <v>120</v>
      </c>
      <c r="I261" t="s">
        <v>121</v>
      </c>
      <c r="P261">
        <f t="shared" si="25"/>
        <v>1</v>
      </c>
      <c r="Q261">
        <f t="shared" si="26"/>
        <v>0</v>
      </c>
      <c r="R261">
        <f t="shared" si="27"/>
        <v>0</v>
      </c>
      <c r="S261">
        <f t="shared" si="28"/>
        <v>1</v>
      </c>
      <c r="T261">
        <f t="shared" si="29"/>
        <v>1</v>
      </c>
      <c r="U261">
        <f t="shared" si="30"/>
        <v>0</v>
      </c>
    </row>
    <row r="262" spans="2:21">
      <c r="B262" s="102">
        <v>44674</v>
      </c>
      <c r="C262">
        <v>3.5</v>
      </c>
      <c r="D262" t="s">
        <v>121</v>
      </c>
      <c r="E262" t="s">
        <v>121</v>
      </c>
      <c r="F262" t="s">
        <v>121</v>
      </c>
      <c r="G262" t="s">
        <v>121</v>
      </c>
      <c r="H262" t="s">
        <v>121</v>
      </c>
      <c r="I262" t="s">
        <v>121</v>
      </c>
      <c r="P262">
        <f t="shared" si="25"/>
        <v>0</v>
      </c>
      <c r="Q262">
        <f t="shared" si="26"/>
        <v>0</v>
      </c>
      <c r="R262">
        <f t="shared" si="27"/>
        <v>0</v>
      </c>
      <c r="S262">
        <f t="shared" si="28"/>
        <v>0</v>
      </c>
      <c r="T262">
        <f t="shared" si="29"/>
        <v>0</v>
      </c>
      <c r="U262">
        <f t="shared" si="30"/>
        <v>0</v>
      </c>
    </row>
    <row r="263" spans="2:21">
      <c r="B263" s="102">
        <v>44675</v>
      </c>
      <c r="C263">
        <v>3.5</v>
      </c>
      <c r="D263" t="s">
        <v>120</v>
      </c>
      <c r="E263" t="s">
        <v>121</v>
      </c>
      <c r="F263" t="s">
        <v>121</v>
      </c>
      <c r="G263" t="s">
        <v>121</v>
      </c>
      <c r="H263" t="s">
        <v>121</v>
      </c>
      <c r="I263" t="s">
        <v>121</v>
      </c>
      <c r="K263">
        <v>161.80000000000001</v>
      </c>
      <c r="P263">
        <f t="shared" si="25"/>
        <v>1</v>
      </c>
      <c r="Q263">
        <f t="shared" si="26"/>
        <v>0</v>
      </c>
      <c r="R263">
        <f t="shared" si="27"/>
        <v>0</v>
      </c>
      <c r="S263">
        <f t="shared" si="28"/>
        <v>0</v>
      </c>
      <c r="T263">
        <f t="shared" si="29"/>
        <v>0</v>
      </c>
      <c r="U263">
        <f t="shared" si="30"/>
        <v>0</v>
      </c>
    </row>
    <row r="264" spans="2:21">
      <c r="B264" s="102">
        <v>44676</v>
      </c>
      <c r="C264">
        <v>2.5</v>
      </c>
      <c r="D264" t="s">
        <v>120</v>
      </c>
      <c r="E264" t="s">
        <v>121</v>
      </c>
      <c r="F264" t="s">
        <v>121</v>
      </c>
      <c r="G264" t="s">
        <v>121</v>
      </c>
      <c r="H264" t="s">
        <v>121</v>
      </c>
      <c r="I264" t="s">
        <v>121</v>
      </c>
      <c r="P264">
        <f t="shared" si="25"/>
        <v>1</v>
      </c>
      <c r="Q264">
        <f t="shared" si="26"/>
        <v>0</v>
      </c>
      <c r="R264">
        <f t="shared" si="27"/>
        <v>0</v>
      </c>
      <c r="S264">
        <f t="shared" si="28"/>
        <v>0</v>
      </c>
      <c r="T264">
        <f t="shared" si="29"/>
        <v>0</v>
      </c>
      <c r="U264">
        <f t="shared" si="30"/>
        <v>0</v>
      </c>
    </row>
    <row r="265" spans="2:21">
      <c r="B265" s="102">
        <v>44677</v>
      </c>
      <c r="C265">
        <v>2</v>
      </c>
      <c r="D265" t="s">
        <v>120</v>
      </c>
      <c r="E265" t="s">
        <v>121</v>
      </c>
      <c r="F265" t="s">
        <v>121</v>
      </c>
      <c r="G265" t="s">
        <v>121</v>
      </c>
      <c r="H265" t="s">
        <v>121</v>
      </c>
      <c r="I265" t="s">
        <v>121</v>
      </c>
      <c r="P265">
        <f t="shared" si="25"/>
        <v>1</v>
      </c>
      <c r="Q265">
        <f t="shared" si="26"/>
        <v>0</v>
      </c>
      <c r="R265">
        <f t="shared" si="27"/>
        <v>0</v>
      </c>
      <c r="S265">
        <f t="shared" si="28"/>
        <v>0</v>
      </c>
      <c r="T265">
        <f t="shared" si="29"/>
        <v>0</v>
      </c>
      <c r="U265">
        <f t="shared" si="30"/>
        <v>0</v>
      </c>
    </row>
    <row r="266" spans="2:21">
      <c r="B266" s="102">
        <v>44678</v>
      </c>
      <c r="C266">
        <v>3</v>
      </c>
      <c r="D266" t="s">
        <v>120</v>
      </c>
      <c r="E266" t="s">
        <v>121</v>
      </c>
      <c r="F266" t="s">
        <v>121</v>
      </c>
      <c r="G266" t="s">
        <v>121</v>
      </c>
      <c r="H266" t="s">
        <v>121</v>
      </c>
      <c r="I266" t="s">
        <v>121</v>
      </c>
      <c r="P266">
        <f t="shared" si="25"/>
        <v>1</v>
      </c>
      <c r="Q266">
        <f t="shared" si="26"/>
        <v>0</v>
      </c>
      <c r="R266">
        <f t="shared" si="27"/>
        <v>0</v>
      </c>
      <c r="S266">
        <f t="shared" si="28"/>
        <v>0</v>
      </c>
      <c r="T266">
        <f t="shared" si="29"/>
        <v>0</v>
      </c>
      <c r="U266">
        <f t="shared" si="30"/>
        <v>0</v>
      </c>
    </row>
    <row r="267" spans="2:21">
      <c r="B267" s="102">
        <v>44679</v>
      </c>
      <c r="C267">
        <v>2.5</v>
      </c>
      <c r="D267" t="s">
        <v>120</v>
      </c>
      <c r="E267" t="s">
        <v>120</v>
      </c>
      <c r="F267" t="s">
        <v>121</v>
      </c>
      <c r="G267" t="s">
        <v>121</v>
      </c>
      <c r="H267" t="s">
        <v>121</v>
      </c>
      <c r="I267" t="s">
        <v>121</v>
      </c>
      <c r="P267">
        <f t="shared" si="25"/>
        <v>1</v>
      </c>
      <c r="Q267">
        <f t="shared" si="26"/>
        <v>1</v>
      </c>
      <c r="R267">
        <f t="shared" si="27"/>
        <v>0</v>
      </c>
      <c r="S267">
        <f t="shared" si="28"/>
        <v>0</v>
      </c>
      <c r="T267">
        <f t="shared" si="29"/>
        <v>0</v>
      </c>
      <c r="U267">
        <f t="shared" si="30"/>
        <v>0</v>
      </c>
    </row>
    <row r="268" spans="2:21">
      <c r="B268" s="102">
        <v>44680</v>
      </c>
      <c r="C268">
        <v>3</v>
      </c>
      <c r="D268" t="s">
        <v>120</v>
      </c>
      <c r="E268" t="s">
        <v>121</v>
      </c>
      <c r="F268" t="s">
        <v>121</v>
      </c>
      <c r="G268" t="s">
        <v>121</v>
      </c>
      <c r="H268" t="s">
        <v>121</v>
      </c>
      <c r="I268" t="s">
        <v>121</v>
      </c>
      <c r="P268">
        <f t="shared" si="25"/>
        <v>1</v>
      </c>
      <c r="Q268">
        <f t="shared" si="26"/>
        <v>0</v>
      </c>
      <c r="R268">
        <f t="shared" si="27"/>
        <v>0</v>
      </c>
      <c r="S268">
        <f t="shared" si="28"/>
        <v>0</v>
      </c>
      <c r="T268">
        <f t="shared" si="29"/>
        <v>0</v>
      </c>
      <c r="U268">
        <f t="shared" si="30"/>
        <v>0</v>
      </c>
    </row>
    <row r="269" spans="2:21">
      <c r="B269" s="102">
        <v>44681</v>
      </c>
      <c r="C269">
        <v>2</v>
      </c>
      <c r="D269" t="s">
        <v>120</v>
      </c>
      <c r="E269" t="s">
        <v>121</v>
      </c>
      <c r="F269" t="s">
        <v>121</v>
      </c>
      <c r="G269" t="s">
        <v>121</v>
      </c>
      <c r="H269" t="s">
        <v>121</v>
      </c>
      <c r="I269" t="s">
        <v>121</v>
      </c>
      <c r="P269">
        <f t="shared" si="25"/>
        <v>1</v>
      </c>
      <c r="Q269">
        <f t="shared" si="26"/>
        <v>0</v>
      </c>
      <c r="R269">
        <f t="shared" si="27"/>
        <v>0</v>
      </c>
      <c r="S269">
        <f t="shared" si="28"/>
        <v>0</v>
      </c>
      <c r="T269">
        <f t="shared" si="29"/>
        <v>0</v>
      </c>
      <c r="U269">
        <f t="shared" si="30"/>
        <v>0</v>
      </c>
    </row>
    <row r="270" spans="2:21">
      <c r="B270" s="102">
        <v>44682</v>
      </c>
      <c r="C270">
        <v>2</v>
      </c>
      <c r="D270" t="s">
        <v>120</v>
      </c>
      <c r="E270" t="s">
        <v>121</v>
      </c>
      <c r="F270" t="s">
        <v>121</v>
      </c>
      <c r="G270" t="s">
        <v>121</v>
      </c>
      <c r="H270" t="s">
        <v>121</v>
      </c>
      <c r="I270" t="s">
        <v>121</v>
      </c>
      <c r="K270">
        <v>161.6</v>
      </c>
      <c r="P270">
        <f t="shared" si="25"/>
        <v>1</v>
      </c>
      <c r="Q270">
        <f t="shared" si="26"/>
        <v>0</v>
      </c>
      <c r="R270">
        <f t="shared" si="27"/>
        <v>0</v>
      </c>
      <c r="S270">
        <f t="shared" si="28"/>
        <v>0</v>
      </c>
      <c r="T270">
        <f t="shared" si="29"/>
        <v>0</v>
      </c>
      <c r="U270">
        <f t="shared" si="30"/>
        <v>0</v>
      </c>
    </row>
    <row r="271" spans="2:21">
      <c r="B271" s="102">
        <v>44683</v>
      </c>
      <c r="C271">
        <v>3</v>
      </c>
      <c r="D271" t="s">
        <v>120</v>
      </c>
      <c r="E271" t="s">
        <v>121</v>
      </c>
      <c r="F271" t="s">
        <v>121</v>
      </c>
      <c r="G271" t="s">
        <v>121</v>
      </c>
      <c r="H271" t="s">
        <v>121</v>
      </c>
      <c r="I271" t="s">
        <v>121</v>
      </c>
      <c r="P271">
        <f t="shared" si="25"/>
        <v>1</v>
      </c>
      <c r="Q271">
        <f t="shared" si="26"/>
        <v>0</v>
      </c>
      <c r="R271">
        <f t="shared" si="27"/>
        <v>0</v>
      </c>
      <c r="S271">
        <f t="shared" si="28"/>
        <v>0</v>
      </c>
      <c r="T271">
        <f t="shared" si="29"/>
        <v>0</v>
      </c>
      <c r="U271">
        <f t="shared" si="30"/>
        <v>0</v>
      </c>
    </row>
    <row r="272" spans="2:21">
      <c r="B272" s="102">
        <v>44684</v>
      </c>
      <c r="C272">
        <v>2</v>
      </c>
      <c r="D272" t="s">
        <v>120</v>
      </c>
      <c r="E272" t="s">
        <v>120</v>
      </c>
      <c r="F272" t="s">
        <v>121</v>
      </c>
      <c r="G272" t="s">
        <v>121</v>
      </c>
      <c r="H272" t="s">
        <v>121</v>
      </c>
      <c r="I272" t="s">
        <v>121</v>
      </c>
      <c r="P272">
        <f t="shared" si="25"/>
        <v>1</v>
      </c>
      <c r="Q272">
        <f t="shared" si="26"/>
        <v>1</v>
      </c>
      <c r="R272">
        <f t="shared" si="27"/>
        <v>0</v>
      </c>
      <c r="S272">
        <f t="shared" si="28"/>
        <v>0</v>
      </c>
      <c r="T272">
        <f t="shared" si="29"/>
        <v>0</v>
      </c>
      <c r="U272">
        <f t="shared" si="30"/>
        <v>0</v>
      </c>
    </row>
    <row r="273" spans="2:21">
      <c r="B273" s="102">
        <v>44685</v>
      </c>
      <c r="C273">
        <v>3</v>
      </c>
      <c r="D273" t="s">
        <v>120</v>
      </c>
      <c r="E273" t="s">
        <v>121</v>
      </c>
      <c r="F273" t="s">
        <v>121</v>
      </c>
      <c r="G273" t="s">
        <v>121</v>
      </c>
      <c r="H273" t="s">
        <v>121</v>
      </c>
      <c r="I273" t="s">
        <v>121</v>
      </c>
      <c r="P273">
        <f t="shared" si="25"/>
        <v>1</v>
      </c>
      <c r="Q273">
        <f t="shared" si="26"/>
        <v>0</v>
      </c>
      <c r="R273">
        <f t="shared" si="27"/>
        <v>0</v>
      </c>
      <c r="S273">
        <f t="shared" si="28"/>
        <v>0</v>
      </c>
      <c r="T273">
        <f t="shared" si="29"/>
        <v>0</v>
      </c>
      <c r="U273">
        <f t="shared" si="30"/>
        <v>0</v>
      </c>
    </row>
    <row r="274" spans="2:21">
      <c r="B274" s="102">
        <v>44686</v>
      </c>
      <c r="C274">
        <v>2</v>
      </c>
      <c r="D274" t="s">
        <v>120</v>
      </c>
      <c r="E274" t="s">
        <v>121</v>
      </c>
      <c r="F274" t="s">
        <v>121</v>
      </c>
      <c r="G274" t="s">
        <v>121</v>
      </c>
      <c r="H274" t="s">
        <v>121</v>
      </c>
      <c r="I274" t="s">
        <v>121</v>
      </c>
      <c r="P274">
        <f t="shared" si="25"/>
        <v>1</v>
      </c>
      <c r="Q274">
        <f t="shared" si="26"/>
        <v>0</v>
      </c>
      <c r="R274">
        <f t="shared" si="27"/>
        <v>0</v>
      </c>
      <c r="S274">
        <f t="shared" si="28"/>
        <v>0</v>
      </c>
      <c r="T274">
        <f t="shared" si="29"/>
        <v>0</v>
      </c>
      <c r="U274">
        <f t="shared" si="30"/>
        <v>0</v>
      </c>
    </row>
    <row r="275" spans="2:21">
      <c r="B275" s="102">
        <v>44687</v>
      </c>
      <c r="C275">
        <v>2.5</v>
      </c>
      <c r="D275" t="s">
        <v>120</v>
      </c>
      <c r="E275" t="s">
        <v>121</v>
      </c>
      <c r="F275" t="s">
        <v>121</v>
      </c>
      <c r="G275" t="s">
        <v>121</v>
      </c>
      <c r="H275" t="s">
        <v>121</v>
      </c>
      <c r="I275" t="s">
        <v>121</v>
      </c>
      <c r="P275">
        <f t="shared" si="25"/>
        <v>1</v>
      </c>
      <c r="Q275">
        <f t="shared" si="26"/>
        <v>0</v>
      </c>
      <c r="R275">
        <f t="shared" si="27"/>
        <v>0</v>
      </c>
      <c r="S275">
        <f t="shared" si="28"/>
        <v>0</v>
      </c>
      <c r="T275">
        <f t="shared" si="29"/>
        <v>0</v>
      </c>
      <c r="U275">
        <f t="shared" si="30"/>
        <v>0</v>
      </c>
    </row>
    <row r="276" spans="2:21">
      <c r="B276" s="102">
        <v>44688</v>
      </c>
      <c r="C276">
        <v>2.5</v>
      </c>
      <c r="D276" t="s">
        <v>121</v>
      </c>
      <c r="E276" t="s">
        <v>121</v>
      </c>
      <c r="F276" t="s">
        <v>121</v>
      </c>
      <c r="G276" t="s">
        <v>121</v>
      </c>
      <c r="H276" t="s">
        <v>121</v>
      </c>
      <c r="I276" t="s">
        <v>121</v>
      </c>
      <c r="P276">
        <f t="shared" si="25"/>
        <v>0</v>
      </c>
      <c r="Q276">
        <f t="shared" si="26"/>
        <v>0</v>
      </c>
      <c r="R276">
        <f t="shared" si="27"/>
        <v>0</v>
      </c>
      <c r="S276">
        <f t="shared" si="28"/>
        <v>0</v>
      </c>
      <c r="T276">
        <f t="shared" si="29"/>
        <v>0</v>
      </c>
      <c r="U276">
        <f t="shared" si="30"/>
        <v>0</v>
      </c>
    </row>
    <row r="277" spans="2:21">
      <c r="B277" s="102">
        <v>44689</v>
      </c>
      <c r="C277">
        <v>2.5</v>
      </c>
      <c r="D277" t="s">
        <v>120</v>
      </c>
      <c r="E277" t="s">
        <v>121</v>
      </c>
      <c r="F277" t="s">
        <v>121</v>
      </c>
      <c r="G277" t="s">
        <v>121</v>
      </c>
      <c r="H277" t="s">
        <v>121</v>
      </c>
      <c r="I277" t="s">
        <v>121</v>
      </c>
      <c r="K277">
        <v>161.19999999999999</v>
      </c>
      <c r="P277">
        <f t="shared" si="25"/>
        <v>1</v>
      </c>
      <c r="Q277">
        <f t="shared" si="26"/>
        <v>0</v>
      </c>
      <c r="R277">
        <f t="shared" si="27"/>
        <v>0</v>
      </c>
      <c r="S277">
        <f t="shared" si="28"/>
        <v>0</v>
      </c>
      <c r="T277">
        <f t="shared" si="29"/>
        <v>0</v>
      </c>
      <c r="U277">
        <f t="shared" si="30"/>
        <v>0</v>
      </c>
    </row>
    <row r="278" spans="2:21">
      <c r="B278" s="102">
        <v>44690</v>
      </c>
      <c r="C278">
        <v>3</v>
      </c>
      <c r="D278" t="s">
        <v>120</v>
      </c>
      <c r="E278" t="s">
        <v>120</v>
      </c>
      <c r="F278" t="s">
        <v>121</v>
      </c>
      <c r="G278" t="s">
        <v>121</v>
      </c>
      <c r="H278" t="s">
        <v>121</v>
      </c>
      <c r="I278" t="s">
        <v>121</v>
      </c>
      <c r="P278">
        <f t="shared" si="25"/>
        <v>1</v>
      </c>
      <c r="Q278">
        <f t="shared" si="26"/>
        <v>1</v>
      </c>
      <c r="R278">
        <f t="shared" si="27"/>
        <v>0</v>
      </c>
      <c r="S278">
        <f t="shared" si="28"/>
        <v>0</v>
      </c>
      <c r="T278">
        <f t="shared" si="29"/>
        <v>0</v>
      </c>
      <c r="U278">
        <f t="shared" si="30"/>
        <v>0</v>
      </c>
    </row>
    <row r="279" spans="2:21">
      <c r="B279" s="102">
        <v>44691</v>
      </c>
      <c r="C279">
        <v>2.5</v>
      </c>
      <c r="D279" t="s">
        <v>120</v>
      </c>
      <c r="E279" t="s">
        <v>121</v>
      </c>
      <c r="F279" t="s">
        <v>121</v>
      </c>
      <c r="G279" t="s">
        <v>121</v>
      </c>
      <c r="H279" t="s">
        <v>121</v>
      </c>
      <c r="I279" t="s">
        <v>121</v>
      </c>
      <c r="P279">
        <f t="shared" si="25"/>
        <v>1</v>
      </c>
      <c r="Q279">
        <f t="shared" si="26"/>
        <v>0</v>
      </c>
      <c r="R279">
        <f t="shared" si="27"/>
        <v>0</v>
      </c>
      <c r="S279">
        <f t="shared" si="28"/>
        <v>0</v>
      </c>
      <c r="T279">
        <f t="shared" si="29"/>
        <v>0</v>
      </c>
      <c r="U279">
        <f t="shared" si="30"/>
        <v>0</v>
      </c>
    </row>
    <row r="280" spans="2:21">
      <c r="B280" s="102">
        <v>44692</v>
      </c>
      <c r="C280">
        <v>2.5</v>
      </c>
      <c r="D280" t="s">
        <v>120</v>
      </c>
      <c r="E280" t="s">
        <v>121</v>
      </c>
      <c r="F280" t="s">
        <v>121</v>
      </c>
      <c r="G280" t="s">
        <v>121</v>
      </c>
      <c r="H280" t="s">
        <v>121</v>
      </c>
      <c r="I280" t="s">
        <v>121</v>
      </c>
      <c r="P280">
        <f t="shared" si="25"/>
        <v>1</v>
      </c>
      <c r="Q280">
        <f t="shared" si="26"/>
        <v>0</v>
      </c>
      <c r="R280">
        <f t="shared" si="27"/>
        <v>0</v>
      </c>
      <c r="S280">
        <f t="shared" si="28"/>
        <v>0</v>
      </c>
      <c r="T280">
        <f t="shared" si="29"/>
        <v>0</v>
      </c>
      <c r="U280">
        <f t="shared" si="30"/>
        <v>0</v>
      </c>
    </row>
    <row r="281" spans="2:21">
      <c r="B281" s="102">
        <v>44693</v>
      </c>
      <c r="C281">
        <v>3</v>
      </c>
      <c r="D281" t="s">
        <v>120</v>
      </c>
      <c r="E281" t="s">
        <v>121</v>
      </c>
      <c r="F281" t="s">
        <v>121</v>
      </c>
      <c r="G281" t="s">
        <v>121</v>
      </c>
      <c r="H281" t="s">
        <v>121</v>
      </c>
      <c r="I281" t="s">
        <v>121</v>
      </c>
      <c r="P281">
        <f t="shared" si="25"/>
        <v>1</v>
      </c>
      <c r="Q281">
        <f t="shared" si="26"/>
        <v>0</v>
      </c>
      <c r="R281">
        <f t="shared" si="27"/>
        <v>0</v>
      </c>
      <c r="S281">
        <f t="shared" si="28"/>
        <v>0</v>
      </c>
      <c r="T281">
        <f t="shared" si="29"/>
        <v>0</v>
      </c>
      <c r="U281">
        <f t="shared" si="30"/>
        <v>0</v>
      </c>
    </row>
    <row r="282" spans="2:21">
      <c r="B282" s="102">
        <v>44694</v>
      </c>
      <c r="C282">
        <v>3</v>
      </c>
      <c r="D282" t="s">
        <v>120</v>
      </c>
      <c r="E282" t="s">
        <v>121</v>
      </c>
      <c r="F282" t="s">
        <v>121</v>
      </c>
      <c r="G282" t="s">
        <v>121</v>
      </c>
      <c r="H282" t="s">
        <v>121</v>
      </c>
      <c r="I282" t="s">
        <v>121</v>
      </c>
      <c r="P282">
        <f t="shared" si="25"/>
        <v>1</v>
      </c>
      <c r="Q282">
        <f t="shared" si="26"/>
        <v>0</v>
      </c>
      <c r="R282">
        <f t="shared" si="27"/>
        <v>0</v>
      </c>
      <c r="S282">
        <f t="shared" si="28"/>
        <v>0</v>
      </c>
      <c r="T282">
        <f t="shared" si="29"/>
        <v>0</v>
      </c>
      <c r="U282">
        <f t="shared" si="30"/>
        <v>0</v>
      </c>
    </row>
    <row r="283" spans="2:21">
      <c r="B283" s="102">
        <v>44695</v>
      </c>
      <c r="C283">
        <v>3.5</v>
      </c>
      <c r="D283" t="s">
        <v>121</v>
      </c>
      <c r="E283" t="s">
        <v>120</v>
      </c>
      <c r="F283" t="s">
        <v>121</v>
      </c>
      <c r="G283" t="s">
        <v>121</v>
      </c>
      <c r="H283" t="s">
        <v>121</v>
      </c>
      <c r="I283" t="s">
        <v>121</v>
      </c>
      <c r="P283">
        <f t="shared" si="25"/>
        <v>0</v>
      </c>
      <c r="Q283">
        <f t="shared" si="26"/>
        <v>1</v>
      </c>
      <c r="R283">
        <f t="shared" si="27"/>
        <v>0</v>
      </c>
      <c r="S283">
        <f t="shared" si="28"/>
        <v>0</v>
      </c>
      <c r="T283">
        <f t="shared" si="29"/>
        <v>0</v>
      </c>
      <c r="U283">
        <f t="shared" si="30"/>
        <v>0</v>
      </c>
    </row>
    <row r="284" spans="2:21">
      <c r="B284" s="102">
        <v>44696</v>
      </c>
      <c r="C284">
        <v>2.5</v>
      </c>
      <c r="D284" t="s">
        <v>121</v>
      </c>
      <c r="E284" t="s">
        <v>121</v>
      </c>
      <c r="F284" t="s">
        <v>121</v>
      </c>
      <c r="G284" t="s">
        <v>121</v>
      </c>
      <c r="H284" t="s">
        <v>121</v>
      </c>
      <c r="I284" t="s">
        <v>121</v>
      </c>
      <c r="K284">
        <v>168.8</v>
      </c>
      <c r="P284">
        <f t="shared" si="25"/>
        <v>0</v>
      </c>
      <c r="Q284">
        <f t="shared" si="26"/>
        <v>0</v>
      </c>
      <c r="R284">
        <f t="shared" si="27"/>
        <v>0</v>
      </c>
      <c r="S284">
        <f t="shared" si="28"/>
        <v>0</v>
      </c>
      <c r="T284">
        <f t="shared" si="29"/>
        <v>0</v>
      </c>
      <c r="U284">
        <f t="shared" si="30"/>
        <v>0</v>
      </c>
    </row>
    <row r="285" spans="2:21">
      <c r="B285" s="102">
        <v>44697</v>
      </c>
      <c r="C285">
        <v>2.5</v>
      </c>
      <c r="D285" t="s">
        <v>120</v>
      </c>
      <c r="E285" t="s">
        <v>121</v>
      </c>
      <c r="F285" t="s">
        <v>121</v>
      </c>
      <c r="G285" t="s">
        <v>121</v>
      </c>
      <c r="H285" t="s">
        <v>121</v>
      </c>
      <c r="I285" t="s">
        <v>121</v>
      </c>
      <c r="P285">
        <f t="shared" si="25"/>
        <v>1</v>
      </c>
      <c r="Q285">
        <f t="shared" si="26"/>
        <v>0</v>
      </c>
      <c r="R285">
        <f t="shared" si="27"/>
        <v>0</v>
      </c>
      <c r="S285">
        <f t="shared" si="28"/>
        <v>0</v>
      </c>
      <c r="T285">
        <f t="shared" si="29"/>
        <v>0</v>
      </c>
      <c r="U285">
        <f t="shared" si="30"/>
        <v>0</v>
      </c>
    </row>
    <row r="286" spans="2:21">
      <c r="B286" s="102">
        <v>44698</v>
      </c>
      <c r="C286">
        <v>3</v>
      </c>
      <c r="D286" t="s">
        <v>120</v>
      </c>
      <c r="E286" t="s">
        <v>121</v>
      </c>
      <c r="F286" t="s">
        <v>120</v>
      </c>
      <c r="G286" t="s">
        <v>121</v>
      </c>
      <c r="H286" t="s">
        <v>121</v>
      </c>
      <c r="I286" t="s">
        <v>121</v>
      </c>
      <c r="P286">
        <f t="shared" si="25"/>
        <v>1</v>
      </c>
      <c r="Q286">
        <f t="shared" si="26"/>
        <v>0</v>
      </c>
      <c r="R286">
        <f t="shared" si="27"/>
        <v>1</v>
      </c>
      <c r="S286">
        <f t="shared" si="28"/>
        <v>0</v>
      </c>
      <c r="T286">
        <f t="shared" si="29"/>
        <v>0</v>
      </c>
      <c r="U286">
        <f t="shared" si="30"/>
        <v>0</v>
      </c>
    </row>
    <row r="287" spans="2:21">
      <c r="B287" s="102">
        <v>44699</v>
      </c>
      <c r="C287">
        <v>3.5</v>
      </c>
      <c r="D287" t="s">
        <v>120</v>
      </c>
      <c r="E287" t="s">
        <v>121</v>
      </c>
      <c r="F287" t="s">
        <v>121</v>
      </c>
      <c r="G287" t="s">
        <v>121</v>
      </c>
      <c r="H287" t="s">
        <v>121</v>
      </c>
      <c r="I287" t="s">
        <v>121</v>
      </c>
      <c r="P287">
        <f t="shared" si="25"/>
        <v>1</v>
      </c>
      <c r="Q287">
        <f t="shared" si="26"/>
        <v>0</v>
      </c>
      <c r="R287">
        <f t="shared" si="27"/>
        <v>0</v>
      </c>
      <c r="S287">
        <f t="shared" si="28"/>
        <v>0</v>
      </c>
      <c r="T287">
        <f t="shared" si="29"/>
        <v>0</v>
      </c>
      <c r="U287">
        <f t="shared" si="30"/>
        <v>0</v>
      </c>
    </row>
    <row r="288" spans="2:21">
      <c r="B288" s="102">
        <v>44700</v>
      </c>
      <c r="C288">
        <v>2.5</v>
      </c>
      <c r="D288" t="s">
        <v>120</v>
      </c>
      <c r="E288" t="s">
        <v>121</v>
      </c>
      <c r="F288" t="s">
        <v>121</v>
      </c>
      <c r="G288" t="s">
        <v>121</v>
      </c>
      <c r="H288" t="s">
        <v>121</v>
      </c>
      <c r="I288" t="s">
        <v>121</v>
      </c>
      <c r="P288">
        <f t="shared" si="25"/>
        <v>1</v>
      </c>
      <c r="Q288">
        <f t="shared" si="26"/>
        <v>0</v>
      </c>
      <c r="R288">
        <f t="shared" si="27"/>
        <v>0</v>
      </c>
      <c r="S288">
        <f t="shared" si="28"/>
        <v>0</v>
      </c>
      <c r="T288">
        <f t="shared" si="29"/>
        <v>0</v>
      </c>
      <c r="U288">
        <f t="shared" si="30"/>
        <v>0</v>
      </c>
    </row>
    <row r="289" spans="2:21">
      <c r="B289" s="102">
        <v>44701</v>
      </c>
      <c r="C289">
        <v>3</v>
      </c>
      <c r="D289" t="s">
        <v>120</v>
      </c>
      <c r="E289" t="s">
        <v>121</v>
      </c>
      <c r="F289" t="s">
        <v>121</v>
      </c>
      <c r="G289" t="s">
        <v>121</v>
      </c>
      <c r="H289" t="s">
        <v>121</v>
      </c>
      <c r="I289" t="s">
        <v>121</v>
      </c>
      <c r="P289">
        <f t="shared" si="25"/>
        <v>1</v>
      </c>
      <c r="Q289">
        <f t="shared" si="26"/>
        <v>0</v>
      </c>
      <c r="R289">
        <f t="shared" si="27"/>
        <v>0</v>
      </c>
      <c r="S289">
        <f t="shared" si="28"/>
        <v>0</v>
      </c>
      <c r="T289">
        <f t="shared" si="29"/>
        <v>0</v>
      </c>
      <c r="U289">
        <f t="shared" si="30"/>
        <v>0</v>
      </c>
    </row>
    <row r="290" spans="2:21">
      <c r="B290" s="102">
        <v>44702</v>
      </c>
      <c r="C290">
        <v>3.5</v>
      </c>
      <c r="D290" t="s">
        <v>121</v>
      </c>
      <c r="E290" t="s">
        <v>121</v>
      </c>
      <c r="F290" t="s">
        <v>121</v>
      </c>
      <c r="G290" t="s">
        <v>121</v>
      </c>
      <c r="H290" t="s">
        <v>121</v>
      </c>
      <c r="I290" t="s">
        <v>121</v>
      </c>
      <c r="P290">
        <f t="shared" si="25"/>
        <v>0</v>
      </c>
      <c r="Q290">
        <f t="shared" si="26"/>
        <v>0</v>
      </c>
      <c r="R290">
        <f t="shared" si="27"/>
        <v>0</v>
      </c>
      <c r="S290">
        <f t="shared" si="28"/>
        <v>0</v>
      </c>
      <c r="T290">
        <f t="shared" si="29"/>
        <v>0</v>
      </c>
      <c r="U290">
        <f t="shared" si="30"/>
        <v>0</v>
      </c>
    </row>
    <row r="291" spans="2:21">
      <c r="B291" s="102">
        <v>44703</v>
      </c>
      <c r="C291">
        <v>2.5</v>
      </c>
      <c r="D291" t="s">
        <v>121</v>
      </c>
      <c r="E291" t="s">
        <v>121</v>
      </c>
      <c r="F291" t="s">
        <v>121</v>
      </c>
      <c r="G291" t="s">
        <v>120</v>
      </c>
      <c r="H291" t="s">
        <v>121</v>
      </c>
      <c r="I291" t="s">
        <v>121</v>
      </c>
      <c r="K291">
        <v>166.4</v>
      </c>
      <c r="P291">
        <f t="shared" si="25"/>
        <v>0</v>
      </c>
      <c r="Q291">
        <f t="shared" si="26"/>
        <v>0</v>
      </c>
      <c r="R291">
        <f t="shared" si="27"/>
        <v>0</v>
      </c>
      <c r="S291">
        <f t="shared" si="28"/>
        <v>1</v>
      </c>
      <c r="T291">
        <f t="shared" si="29"/>
        <v>0</v>
      </c>
      <c r="U291">
        <f t="shared" si="30"/>
        <v>0</v>
      </c>
    </row>
    <row r="292" spans="2:21">
      <c r="B292" s="102">
        <v>44704</v>
      </c>
      <c r="C292">
        <v>2</v>
      </c>
      <c r="D292" t="s">
        <v>120</v>
      </c>
      <c r="E292" t="s">
        <v>120</v>
      </c>
      <c r="F292" t="s">
        <v>121</v>
      </c>
      <c r="G292" t="s">
        <v>121</v>
      </c>
      <c r="H292" t="s">
        <v>121</v>
      </c>
      <c r="I292" t="s">
        <v>121</v>
      </c>
      <c r="P292">
        <f t="shared" si="25"/>
        <v>1</v>
      </c>
      <c r="Q292">
        <f t="shared" si="26"/>
        <v>1</v>
      </c>
      <c r="R292">
        <f t="shared" si="27"/>
        <v>0</v>
      </c>
      <c r="S292">
        <f t="shared" si="28"/>
        <v>0</v>
      </c>
      <c r="T292">
        <f t="shared" si="29"/>
        <v>0</v>
      </c>
      <c r="U292">
        <f t="shared" si="30"/>
        <v>0</v>
      </c>
    </row>
    <row r="293" spans="2:21">
      <c r="B293" s="102">
        <v>44705</v>
      </c>
      <c r="C293">
        <v>2.5</v>
      </c>
      <c r="D293" t="s">
        <v>120</v>
      </c>
      <c r="E293" t="s">
        <v>121</v>
      </c>
      <c r="F293" t="s">
        <v>121</v>
      </c>
      <c r="G293" t="s">
        <v>121</v>
      </c>
      <c r="H293" t="s">
        <v>121</v>
      </c>
      <c r="I293" t="s">
        <v>121</v>
      </c>
      <c r="P293">
        <f t="shared" si="25"/>
        <v>1</v>
      </c>
      <c r="Q293">
        <f t="shared" si="26"/>
        <v>0</v>
      </c>
      <c r="R293">
        <f t="shared" si="27"/>
        <v>0</v>
      </c>
      <c r="S293">
        <f t="shared" si="28"/>
        <v>0</v>
      </c>
      <c r="T293">
        <f t="shared" si="29"/>
        <v>0</v>
      </c>
      <c r="U293">
        <f t="shared" si="30"/>
        <v>0</v>
      </c>
    </row>
    <row r="294" spans="2:21">
      <c r="B294" s="102">
        <v>44706</v>
      </c>
      <c r="C294">
        <v>2.5</v>
      </c>
      <c r="D294" t="s">
        <v>120</v>
      </c>
      <c r="E294" t="s">
        <v>121</v>
      </c>
      <c r="F294" t="s">
        <v>121</v>
      </c>
      <c r="G294" t="s">
        <v>121</v>
      </c>
      <c r="H294" t="s">
        <v>121</v>
      </c>
      <c r="I294" t="s">
        <v>121</v>
      </c>
      <c r="P294">
        <f t="shared" si="25"/>
        <v>1</v>
      </c>
      <c r="Q294">
        <f t="shared" si="26"/>
        <v>0</v>
      </c>
      <c r="R294">
        <f t="shared" si="27"/>
        <v>0</v>
      </c>
      <c r="S294">
        <f t="shared" si="28"/>
        <v>0</v>
      </c>
      <c r="T294">
        <f t="shared" si="29"/>
        <v>0</v>
      </c>
      <c r="U294">
        <f t="shared" si="30"/>
        <v>0</v>
      </c>
    </row>
    <row r="295" spans="2:21">
      <c r="B295" s="102">
        <v>44707</v>
      </c>
      <c r="C295">
        <v>2</v>
      </c>
      <c r="D295" t="s">
        <v>120</v>
      </c>
      <c r="E295" t="s">
        <v>121</v>
      </c>
      <c r="F295" t="s">
        <v>121</v>
      </c>
      <c r="G295" t="s">
        <v>121</v>
      </c>
      <c r="H295" t="s">
        <v>121</v>
      </c>
      <c r="I295" t="s">
        <v>121</v>
      </c>
      <c r="P295">
        <f t="shared" si="25"/>
        <v>1</v>
      </c>
      <c r="Q295">
        <f t="shared" si="26"/>
        <v>0</v>
      </c>
      <c r="R295">
        <f t="shared" si="27"/>
        <v>0</v>
      </c>
      <c r="S295">
        <f t="shared" si="28"/>
        <v>0</v>
      </c>
      <c r="T295">
        <f t="shared" si="29"/>
        <v>0</v>
      </c>
      <c r="U295">
        <f t="shared" si="30"/>
        <v>0</v>
      </c>
    </row>
    <row r="296" spans="2:21">
      <c r="B296" s="102">
        <v>44708</v>
      </c>
      <c r="C296">
        <v>2.5</v>
      </c>
      <c r="D296" t="s">
        <v>120</v>
      </c>
      <c r="E296" t="s">
        <v>121</v>
      </c>
      <c r="F296" t="s">
        <v>121</v>
      </c>
      <c r="G296" t="s">
        <v>121</v>
      </c>
      <c r="H296" t="s">
        <v>121</v>
      </c>
      <c r="I296" t="s">
        <v>121</v>
      </c>
      <c r="P296">
        <f t="shared" si="25"/>
        <v>1</v>
      </c>
      <c r="Q296">
        <f t="shared" si="26"/>
        <v>0</v>
      </c>
      <c r="R296">
        <f t="shared" si="27"/>
        <v>0</v>
      </c>
      <c r="S296">
        <f t="shared" si="28"/>
        <v>0</v>
      </c>
      <c r="T296">
        <f t="shared" si="29"/>
        <v>0</v>
      </c>
      <c r="U296">
        <f t="shared" si="30"/>
        <v>0</v>
      </c>
    </row>
    <row r="297" spans="2:21">
      <c r="B297" s="102">
        <v>44709</v>
      </c>
      <c r="C297">
        <v>3</v>
      </c>
      <c r="D297" t="s">
        <v>120</v>
      </c>
      <c r="E297" t="s">
        <v>121</v>
      </c>
      <c r="F297" t="s">
        <v>121</v>
      </c>
      <c r="G297" t="s">
        <v>121</v>
      </c>
      <c r="H297" t="s">
        <v>121</v>
      </c>
      <c r="I297" t="s">
        <v>121</v>
      </c>
      <c r="P297">
        <f t="shared" si="25"/>
        <v>1</v>
      </c>
      <c r="Q297">
        <f t="shared" si="26"/>
        <v>0</v>
      </c>
      <c r="R297">
        <f t="shared" si="27"/>
        <v>0</v>
      </c>
      <c r="S297">
        <f t="shared" si="28"/>
        <v>0</v>
      </c>
      <c r="T297">
        <f t="shared" si="29"/>
        <v>0</v>
      </c>
      <c r="U297">
        <f t="shared" si="30"/>
        <v>0</v>
      </c>
    </row>
    <row r="298" spans="2:21">
      <c r="B298" s="102">
        <v>44710</v>
      </c>
      <c r="C298">
        <v>3.5</v>
      </c>
      <c r="D298" t="s">
        <v>121</v>
      </c>
      <c r="E298" t="s">
        <v>121</v>
      </c>
      <c r="F298" t="s">
        <v>121</v>
      </c>
      <c r="G298" t="s">
        <v>121</v>
      </c>
      <c r="H298" t="s">
        <v>121</v>
      </c>
      <c r="I298" t="s">
        <v>121</v>
      </c>
      <c r="K298">
        <v>165.8</v>
      </c>
      <c r="P298">
        <f t="shared" si="25"/>
        <v>0</v>
      </c>
      <c r="Q298">
        <f t="shared" si="26"/>
        <v>0</v>
      </c>
      <c r="R298">
        <f t="shared" si="27"/>
        <v>0</v>
      </c>
      <c r="S298">
        <f t="shared" si="28"/>
        <v>0</v>
      </c>
      <c r="T298">
        <f t="shared" si="29"/>
        <v>0</v>
      </c>
      <c r="U298">
        <f t="shared" si="30"/>
        <v>0</v>
      </c>
    </row>
    <row r="299" spans="2:21">
      <c r="B299" s="102">
        <v>44711</v>
      </c>
      <c r="C299">
        <v>2.5</v>
      </c>
      <c r="D299" t="s">
        <v>121</v>
      </c>
      <c r="E299" t="s">
        <v>121</v>
      </c>
      <c r="F299" t="s">
        <v>121</v>
      </c>
      <c r="G299" t="s">
        <v>121</v>
      </c>
      <c r="H299" t="s">
        <v>121</v>
      </c>
      <c r="I299" t="s">
        <v>121</v>
      </c>
      <c r="L299">
        <v>166.4</v>
      </c>
      <c r="P299">
        <f t="shared" si="25"/>
        <v>0</v>
      </c>
      <c r="Q299">
        <f t="shared" si="26"/>
        <v>0</v>
      </c>
      <c r="R299">
        <f t="shared" si="27"/>
        <v>0</v>
      </c>
      <c r="S299">
        <f t="shared" si="28"/>
        <v>0</v>
      </c>
      <c r="T299">
        <f t="shared" si="29"/>
        <v>0</v>
      </c>
      <c r="U299">
        <f t="shared" si="30"/>
        <v>0</v>
      </c>
    </row>
    <row r="300" spans="2:21">
      <c r="B300" s="102">
        <v>44712</v>
      </c>
      <c r="C300">
        <v>2</v>
      </c>
      <c r="D300" t="s">
        <v>120</v>
      </c>
      <c r="E300" t="s">
        <v>121</v>
      </c>
      <c r="F300" t="s">
        <v>121</v>
      </c>
      <c r="G300" t="s">
        <v>120</v>
      </c>
      <c r="H300" t="s">
        <v>120</v>
      </c>
      <c r="I300" t="s">
        <v>121</v>
      </c>
      <c r="P300">
        <f t="shared" si="25"/>
        <v>1</v>
      </c>
      <c r="Q300">
        <f t="shared" si="26"/>
        <v>0</v>
      </c>
      <c r="R300">
        <f t="shared" si="27"/>
        <v>0</v>
      </c>
      <c r="S300">
        <f t="shared" si="28"/>
        <v>1</v>
      </c>
      <c r="T300">
        <f t="shared" si="29"/>
        <v>1</v>
      </c>
      <c r="U300">
        <f t="shared" si="30"/>
        <v>0</v>
      </c>
    </row>
    <row r="301" spans="2:21">
      <c r="B301" s="102">
        <v>44713</v>
      </c>
      <c r="C301">
        <v>2</v>
      </c>
      <c r="D301" t="s">
        <v>120</v>
      </c>
      <c r="E301" t="s">
        <v>120</v>
      </c>
      <c r="F301" t="s">
        <v>121</v>
      </c>
      <c r="G301" t="s">
        <v>121</v>
      </c>
      <c r="H301" t="s">
        <v>121</v>
      </c>
      <c r="I301" t="s">
        <v>121</v>
      </c>
      <c r="P301">
        <f t="shared" si="25"/>
        <v>1</v>
      </c>
      <c r="Q301">
        <f t="shared" si="26"/>
        <v>1</v>
      </c>
      <c r="R301">
        <f t="shared" si="27"/>
        <v>0</v>
      </c>
      <c r="S301">
        <f t="shared" si="28"/>
        <v>0</v>
      </c>
      <c r="T301">
        <f t="shared" si="29"/>
        <v>0</v>
      </c>
      <c r="U301">
        <f t="shared" si="30"/>
        <v>0</v>
      </c>
    </row>
    <row r="302" spans="2:21">
      <c r="B302" s="102">
        <v>44714</v>
      </c>
      <c r="C302">
        <v>2.5</v>
      </c>
      <c r="D302" t="s">
        <v>121</v>
      </c>
      <c r="E302" t="s">
        <v>121</v>
      </c>
      <c r="F302" t="s">
        <v>121</v>
      </c>
      <c r="G302" t="s">
        <v>121</v>
      </c>
      <c r="H302" t="s">
        <v>121</v>
      </c>
      <c r="I302" t="s">
        <v>121</v>
      </c>
      <c r="P302">
        <f t="shared" si="25"/>
        <v>0</v>
      </c>
      <c r="Q302">
        <f t="shared" si="26"/>
        <v>0</v>
      </c>
      <c r="R302">
        <f t="shared" si="27"/>
        <v>0</v>
      </c>
      <c r="S302">
        <f t="shared" si="28"/>
        <v>0</v>
      </c>
      <c r="T302">
        <f t="shared" si="29"/>
        <v>0</v>
      </c>
      <c r="U302">
        <f t="shared" si="30"/>
        <v>0</v>
      </c>
    </row>
    <row r="303" spans="2:21">
      <c r="B303" s="102">
        <v>44715</v>
      </c>
      <c r="C303">
        <v>2.5</v>
      </c>
      <c r="D303" t="s">
        <v>120</v>
      </c>
      <c r="E303" t="s">
        <v>121</v>
      </c>
      <c r="F303" t="s">
        <v>121</v>
      </c>
      <c r="G303" t="s">
        <v>121</v>
      </c>
      <c r="H303" t="s">
        <v>121</v>
      </c>
      <c r="I303" t="s">
        <v>121</v>
      </c>
      <c r="P303">
        <f t="shared" si="25"/>
        <v>1</v>
      </c>
      <c r="Q303">
        <f t="shared" si="26"/>
        <v>0</v>
      </c>
      <c r="R303">
        <f t="shared" si="27"/>
        <v>0</v>
      </c>
      <c r="S303">
        <f t="shared" si="28"/>
        <v>0</v>
      </c>
      <c r="T303">
        <f t="shared" si="29"/>
        <v>0</v>
      </c>
      <c r="U303">
        <f t="shared" si="30"/>
        <v>0</v>
      </c>
    </row>
    <row r="304" spans="2:21">
      <c r="B304" s="102">
        <v>44716</v>
      </c>
      <c r="C304">
        <v>2.5</v>
      </c>
      <c r="D304" t="s">
        <v>120</v>
      </c>
      <c r="E304" t="s">
        <v>121</v>
      </c>
      <c r="F304" t="s">
        <v>121</v>
      </c>
      <c r="G304" t="s">
        <v>121</v>
      </c>
      <c r="H304" t="s">
        <v>121</v>
      </c>
      <c r="I304" t="s">
        <v>121</v>
      </c>
      <c r="P304">
        <f t="shared" si="25"/>
        <v>1</v>
      </c>
      <c r="Q304">
        <f t="shared" si="26"/>
        <v>0</v>
      </c>
      <c r="R304">
        <f t="shared" si="27"/>
        <v>0</v>
      </c>
      <c r="S304">
        <f t="shared" si="28"/>
        <v>0</v>
      </c>
      <c r="T304">
        <f t="shared" si="29"/>
        <v>0</v>
      </c>
      <c r="U304">
        <f t="shared" si="30"/>
        <v>0</v>
      </c>
    </row>
    <row r="305" spans="2:21">
      <c r="B305" s="102">
        <v>44717</v>
      </c>
      <c r="C305">
        <v>2.5</v>
      </c>
      <c r="D305" t="s">
        <v>121</v>
      </c>
      <c r="E305" t="s">
        <v>121</v>
      </c>
      <c r="F305" t="s">
        <v>121</v>
      </c>
      <c r="G305" t="s">
        <v>121</v>
      </c>
      <c r="H305" t="s">
        <v>121</v>
      </c>
      <c r="I305" t="s">
        <v>121</v>
      </c>
      <c r="K305">
        <v>168</v>
      </c>
      <c r="P305">
        <f t="shared" si="25"/>
        <v>0</v>
      </c>
      <c r="Q305">
        <f t="shared" si="26"/>
        <v>0</v>
      </c>
      <c r="R305">
        <f t="shared" si="27"/>
        <v>0</v>
      </c>
      <c r="S305">
        <f t="shared" si="28"/>
        <v>0</v>
      </c>
      <c r="T305">
        <f t="shared" si="29"/>
        <v>0</v>
      </c>
      <c r="U305">
        <f t="shared" si="30"/>
        <v>0</v>
      </c>
    </row>
    <row r="306" spans="2:21">
      <c r="B306" s="102">
        <v>44718</v>
      </c>
      <c r="C306">
        <v>2</v>
      </c>
      <c r="D306" t="s">
        <v>120</v>
      </c>
      <c r="E306" t="s">
        <v>121</v>
      </c>
      <c r="F306" t="s">
        <v>121</v>
      </c>
      <c r="G306" t="s">
        <v>121</v>
      </c>
      <c r="H306" t="s">
        <v>121</v>
      </c>
      <c r="I306" t="s">
        <v>121</v>
      </c>
      <c r="P306">
        <f t="shared" si="25"/>
        <v>1</v>
      </c>
      <c r="Q306">
        <f t="shared" si="26"/>
        <v>0</v>
      </c>
      <c r="R306">
        <f t="shared" si="27"/>
        <v>0</v>
      </c>
      <c r="S306">
        <f t="shared" si="28"/>
        <v>0</v>
      </c>
      <c r="T306">
        <f t="shared" si="29"/>
        <v>0</v>
      </c>
      <c r="U306">
        <f t="shared" si="30"/>
        <v>0</v>
      </c>
    </row>
    <row r="307" spans="2:21">
      <c r="B307" s="102">
        <v>44719</v>
      </c>
      <c r="C307">
        <v>2.5</v>
      </c>
      <c r="D307" t="s">
        <v>120</v>
      </c>
      <c r="E307" t="s">
        <v>121</v>
      </c>
      <c r="F307" t="s">
        <v>121</v>
      </c>
      <c r="G307" t="s">
        <v>121</v>
      </c>
      <c r="H307" t="s">
        <v>121</v>
      </c>
      <c r="I307" t="s">
        <v>121</v>
      </c>
      <c r="P307">
        <f t="shared" si="25"/>
        <v>1</v>
      </c>
      <c r="Q307">
        <f t="shared" si="26"/>
        <v>0</v>
      </c>
      <c r="R307">
        <f t="shared" si="27"/>
        <v>0</v>
      </c>
      <c r="S307">
        <f t="shared" si="28"/>
        <v>0</v>
      </c>
      <c r="T307">
        <f t="shared" si="29"/>
        <v>0</v>
      </c>
      <c r="U307">
        <f t="shared" si="30"/>
        <v>0</v>
      </c>
    </row>
    <row r="308" spans="2:21">
      <c r="B308" s="102">
        <v>44720</v>
      </c>
      <c r="C308">
        <v>2.5</v>
      </c>
      <c r="D308" t="s">
        <v>120</v>
      </c>
      <c r="E308" t="s">
        <v>120</v>
      </c>
      <c r="F308" t="s">
        <v>120</v>
      </c>
      <c r="G308" t="s">
        <v>121</v>
      </c>
      <c r="H308" t="s">
        <v>121</v>
      </c>
      <c r="I308" t="s">
        <v>121</v>
      </c>
      <c r="P308">
        <f t="shared" si="25"/>
        <v>1</v>
      </c>
      <c r="Q308">
        <f t="shared" si="26"/>
        <v>1</v>
      </c>
      <c r="R308">
        <f t="shared" si="27"/>
        <v>1</v>
      </c>
      <c r="S308">
        <f t="shared" si="28"/>
        <v>0</v>
      </c>
      <c r="T308">
        <f t="shared" si="29"/>
        <v>0</v>
      </c>
      <c r="U308">
        <f t="shared" si="30"/>
        <v>0</v>
      </c>
    </row>
    <row r="309" spans="2:21">
      <c r="B309" s="102">
        <v>44721</v>
      </c>
      <c r="C309">
        <v>2.5</v>
      </c>
      <c r="D309" t="s">
        <v>120</v>
      </c>
      <c r="E309" t="s">
        <v>121</v>
      </c>
      <c r="F309" t="s">
        <v>211</v>
      </c>
      <c r="G309" t="s">
        <v>121</v>
      </c>
      <c r="H309" t="s">
        <v>121</v>
      </c>
      <c r="I309" t="s">
        <v>121</v>
      </c>
      <c r="P309">
        <f t="shared" si="25"/>
        <v>1</v>
      </c>
      <c r="Q309">
        <f t="shared" si="26"/>
        <v>0</v>
      </c>
      <c r="R309">
        <f t="shared" si="27"/>
        <v>0</v>
      </c>
      <c r="S309">
        <f t="shared" si="28"/>
        <v>0</v>
      </c>
      <c r="T309">
        <f t="shared" si="29"/>
        <v>0</v>
      </c>
      <c r="U309">
        <f t="shared" si="30"/>
        <v>0</v>
      </c>
    </row>
    <row r="310" spans="2:21">
      <c r="B310" s="102">
        <v>44722</v>
      </c>
      <c r="C310">
        <v>2.5</v>
      </c>
      <c r="D310" t="s">
        <v>120</v>
      </c>
      <c r="E310" t="s">
        <v>121</v>
      </c>
      <c r="F310" t="s">
        <v>121</v>
      </c>
      <c r="G310" t="s">
        <v>121</v>
      </c>
      <c r="H310" t="s">
        <v>121</v>
      </c>
      <c r="I310" t="s">
        <v>121</v>
      </c>
      <c r="P310">
        <f t="shared" si="25"/>
        <v>1</v>
      </c>
      <c r="Q310">
        <f t="shared" si="26"/>
        <v>0</v>
      </c>
      <c r="R310">
        <f t="shared" si="27"/>
        <v>0</v>
      </c>
      <c r="S310">
        <f t="shared" si="28"/>
        <v>0</v>
      </c>
      <c r="T310">
        <f t="shared" si="29"/>
        <v>0</v>
      </c>
      <c r="U310">
        <f t="shared" si="30"/>
        <v>0</v>
      </c>
    </row>
    <row r="311" spans="2:21">
      <c r="B311" s="102">
        <v>44723</v>
      </c>
      <c r="C311">
        <v>3</v>
      </c>
      <c r="D311" t="s">
        <v>120</v>
      </c>
      <c r="E311" t="s">
        <v>121</v>
      </c>
      <c r="F311" t="s">
        <v>121</v>
      </c>
      <c r="G311" t="s">
        <v>121</v>
      </c>
      <c r="H311" t="s">
        <v>121</v>
      </c>
      <c r="I311" t="s">
        <v>121</v>
      </c>
      <c r="P311">
        <f t="shared" si="25"/>
        <v>1</v>
      </c>
      <c r="Q311">
        <f t="shared" si="26"/>
        <v>0</v>
      </c>
      <c r="R311">
        <f t="shared" si="27"/>
        <v>0</v>
      </c>
      <c r="S311">
        <f t="shared" si="28"/>
        <v>0</v>
      </c>
      <c r="T311">
        <f t="shared" si="29"/>
        <v>0</v>
      </c>
      <c r="U311">
        <f t="shared" si="30"/>
        <v>0</v>
      </c>
    </row>
    <row r="312" spans="2:21">
      <c r="B312" s="102">
        <v>44724</v>
      </c>
      <c r="C312">
        <v>3</v>
      </c>
      <c r="D312" t="s">
        <v>121</v>
      </c>
      <c r="E312" t="s">
        <v>121</v>
      </c>
      <c r="F312" t="s">
        <v>121</v>
      </c>
      <c r="G312" t="s">
        <v>121</v>
      </c>
      <c r="H312" t="s">
        <v>121</v>
      </c>
      <c r="I312" t="s">
        <v>121</v>
      </c>
      <c r="K312">
        <v>166.6</v>
      </c>
      <c r="P312">
        <f t="shared" si="25"/>
        <v>0</v>
      </c>
      <c r="Q312">
        <f t="shared" si="26"/>
        <v>0</v>
      </c>
      <c r="R312">
        <f t="shared" si="27"/>
        <v>0</v>
      </c>
      <c r="S312">
        <f t="shared" si="28"/>
        <v>0</v>
      </c>
      <c r="T312">
        <f t="shared" si="29"/>
        <v>0</v>
      </c>
      <c r="U312">
        <f t="shared" si="30"/>
        <v>0</v>
      </c>
    </row>
    <row r="313" spans="2:21">
      <c r="B313" s="102">
        <v>44725</v>
      </c>
      <c r="C313">
        <v>2.5</v>
      </c>
      <c r="D313" t="s">
        <v>120</v>
      </c>
      <c r="E313" t="s">
        <v>121</v>
      </c>
      <c r="F313" t="s">
        <v>121</v>
      </c>
      <c r="G313" t="s">
        <v>121</v>
      </c>
      <c r="H313" t="s">
        <v>121</v>
      </c>
      <c r="I313" t="s">
        <v>121</v>
      </c>
      <c r="P313">
        <f t="shared" si="25"/>
        <v>1</v>
      </c>
      <c r="Q313">
        <f t="shared" si="26"/>
        <v>0</v>
      </c>
      <c r="R313">
        <f t="shared" si="27"/>
        <v>0</v>
      </c>
      <c r="S313">
        <f t="shared" si="28"/>
        <v>0</v>
      </c>
      <c r="T313">
        <f t="shared" si="29"/>
        <v>0</v>
      </c>
      <c r="U313">
        <f t="shared" si="30"/>
        <v>0</v>
      </c>
    </row>
    <row r="314" spans="2:21">
      <c r="B314" s="102">
        <v>44726</v>
      </c>
      <c r="C314">
        <v>2.5</v>
      </c>
      <c r="D314" t="s">
        <v>120</v>
      </c>
      <c r="E314" t="s">
        <v>121</v>
      </c>
      <c r="F314" t="s">
        <v>121</v>
      </c>
      <c r="G314" t="s">
        <v>121</v>
      </c>
      <c r="H314" t="s">
        <v>121</v>
      </c>
      <c r="I314" t="s">
        <v>121</v>
      </c>
      <c r="P314">
        <f t="shared" si="25"/>
        <v>1</v>
      </c>
      <c r="Q314">
        <f t="shared" si="26"/>
        <v>0</v>
      </c>
      <c r="R314">
        <f t="shared" si="27"/>
        <v>0</v>
      </c>
      <c r="S314">
        <f t="shared" si="28"/>
        <v>0</v>
      </c>
      <c r="T314">
        <f t="shared" si="29"/>
        <v>0</v>
      </c>
      <c r="U314">
        <f t="shared" si="30"/>
        <v>0</v>
      </c>
    </row>
    <row r="315" spans="2:21">
      <c r="B315" s="102">
        <v>44727</v>
      </c>
      <c r="C315">
        <v>2.5</v>
      </c>
      <c r="D315" t="s">
        <v>120</v>
      </c>
      <c r="E315" t="s">
        <v>120</v>
      </c>
      <c r="F315" t="s">
        <v>121</v>
      </c>
      <c r="G315" t="s">
        <v>121</v>
      </c>
      <c r="H315" t="s">
        <v>121</v>
      </c>
      <c r="I315" t="s">
        <v>121</v>
      </c>
      <c r="P315">
        <f t="shared" si="25"/>
        <v>1</v>
      </c>
      <c r="Q315">
        <f t="shared" si="26"/>
        <v>1</v>
      </c>
      <c r="R315">
        <f t="shared" si="27"/>
        <v>0</v>
      </c>
      <c r="S315">
        <f t="shared" si="28"/>
        <v>0</v>
      </c>
      <c r="T315">
        <f t="shared" si="29"/>
        <v>0</v>
      </c>
      <c r="U315">
        <f t="shared" si="30"/>
        <v>0</v>
      </c>
    </row>
    <row r="316" spans="2:21">
      <c r="B316" s="102">
        <v>44728</v>
      </c>
      <c r="C316">
        <v>2.5</v>
      </c>
      <c r="D316" t="s">
        <v>120</v>
      </c>
      <c r="E316" t="s">
        <v>121</v>
      </c>
      <c r="F316" t="s">
        <v>121</v>
      </c>
      <c r="G316" t="s">
        <v>121</v>
      </c>
      <c r="H316" t="s">
        <v>121</v>
      </c>
      <c r="I316" t="s">
        <v>121</v>
      </c>
      <c r="P316">
        <f t="shared" si="25"/>
        <v>1</v>
      </c>
      <c r="Q316">
        <f t="shared" si="26"/>
        <v>0</v>
      </c>
      <c r="R316">
        <f t="shared" si="27"/>
        <v>0</v>
      </c>
      <c r="S316">
        <f t="shared" si="28"/>
        <v>0</v>
      </c>
      <c r="T316">
        <f t="shared" si="29"/>
        <v>0</v>
      </c>
      <c r="U316">
        <f t="shared" si="30"/>
        <v>0</v>
      </c>
    </row>
    <row r="317" spans="2:21">
      <c r="B317" s="102">
        <v>44729</v>
      </c>
      <c r="C317">
        <v>1.5</v>
      </c>
      <c r="D317" t="s">
        <v>120</v>
      </c>
      <c r="E317" t="s">
        <v>121</v>
      </c>
      <c r="F317" t="s">
        <v>121</v>
      </c>
      <c r="G317" t="s">
        <v>121</v>
      </c>
      <c r="H317" t="s">
        <v>121</v>
      </c>
      <c r="I317" t="s">
        <v>121</v>
      </c>
      <c r="P317">
        <f t="shared" si="25"/>
        <v>1</v>
      </c>
      <c r="Q317">
        <f t="shared" si="26"/>
        <v>0</v>
      </c>
      <c r="R317">
        <f t="shared" si="27"/>
        <v>0</v>
      </c>
      <c r="S317">
        <f t="shared" si="28"/>
        <v>0</v>
      </c>
      <c r="T317">
        <f t="shared" si="29"/>
        <v>0</v>
      </c>
      <c r="U317">
        <f t="shared" si="30"/>
        <v>0</v>
      </c>
    </row>
    <row r="318" spans="2:21">
      <c r="B318" s="102">
        <v>44730</v>
      </c>
      <c r="C318">
        <v>1.5</v>
      </c>
      <c r="D318" t="s">
        <v>120</v>
      </c>
      <c r="E318" t="s">
        <v>121</v>
      </c>
      <c r="F318" t="s">
        <v>121</v>
      </c>
      <c r="G318" t="s">
        <v>121</v>
      </c>
      <c r="H318" t="s">
        <v>121</v>
      </c>
      <c r="I318" t="s">
        <v>121</v>
      </c>
      <c r="P318">
        <f t="shared" si="25"/>
        <v>1</v>
      </c>
      <c r="Q318">
        <f t="shared" si="26"/>
        <v>0</v>
      </c>
      <c r="R318">
        <f t="shared" si="27"/>
        <v>0</v>
      </c>
      <c r="S318">
        <f t="shared" si="28"/>
        <v>0</v>
      </c>
      <c r="T318">
        <f t="shared" si="29"/>
        <v>0</v>
      </c>
      <c r="U318">
        <f t="shared" si="30"/>
        <v>0</v>
      </c>
    </row>
    <row r="319" spans="2:21">
      <c r="B319" s="102">
        <v>44731</v>
      </c>
      <c r="C319">
        <v>2.5</v>
      </c>
      <c r="D319" t="s">
        <v>121</v>
      </c>
      <c r="E319" t="s">
        <v>121</v>
      </c>
      <c r="F319" t="s">
        <v>121</v>
      </c>
      <c r="G319" t="s">
        <v>121</v>
      </c>
      <c r="H319" t="s">
        <v>121</v>
      </c>
      <c r="I319" t="s">
        <v>121</v>
      </c>
      <c r="K319">
        <v>165</v>
      </c>
      <c r="P319">
        <f t="shared" si="25"/>
        <v>0</v>
      </c>
      <c r="Q319">
        <f t="shared" si="26"/>
        <v>0</v>
      </c>
      <c r="R319">
        <f t="shared" si="27"/>
        <v>0</v>
      </c>
      <c r="S319">
        <f t="shared" si="28"/>
        <v>0</v>
      </c>
      <c r="T319">
        <f t="shared" si="29"/>
        <v>0</v>
      </c>
      <c r="U319">
        <f t="shared" si="30"/>
        <v>0</v>
      </c>
    </row>
    <row r="320" spans="2:21">
      <c r="B320" s="102">
        <v>44732</v>
      </c>
      <c r="C320">
        <v>2.5</v>
      </c>
      <c r="D320" t="s">
        <v>121</v>
      </c>
      <c r="E320" t="s">
        <v>121</v>
      </c>
      <c r="F320" t="s">
        <v>121</v>
      </c>
      <c r="G320" t="s">
        <v>121</v>
      </c>
      <c r="H320" t="s">
        <v>121</v>
      </c>
      <c r="I320" t="s">
        <v>121</v>
      </c>
      <c r="P320">
        <f t="shared" si="25"/>
        <v>0</v>
      </c>
      <c r="Q320">
        <f t="shared" si="26"/>
        <v>0</v>
      </c>
      <c r="R320">
        <f t="shared" si="27"/>
        <v>0</v>
      </c>
      <c r="S320">
        <f t="shared" si="28"/>
        <v>0</v>
      </c>
      <c r="T320">
        <f t="shared" si="29"/>
        <v>0</v>
      </c>
      <c r="U320">
        <f t="shared" si="30"/>
        <v>0</v>
      </c>
    </row>
    <row r="321" spans="2:21">
      <c r="B321" s="102">
        <v>44733</v>
      </c>
      <c r="C321">
        <v>1.5</v>
      </c>
      <c r="D321" t="s">
        <v>120</v>
      </c>
      <c r="E321" t="s">
        <v>121</v>
      </c>
      <c r="F321" t="s">
        <v>121</v>
      </c>
      <c r="G321" t="s">
        <v>121</v>
      </c>
      <c r="H321" t="s">
        <v>121</v>
      </c>
      <c r="I321" t="s">
        <v>121</v>
      </c>
      <c r="P321">
        <f t="shared" si="25"/>
        <v>1</v>
      </c>
      <c r="Q321">
        <f t="shared" si="26"/>
        <v>0</v>
      </c>
      <c r="R321">
        <f t="shared" si="27"/>
        <v>0</v>
      </c>
      <c r="S321">
        <f t="shared" si="28"/>
        <v>0</v>
      </c>
      <c r="T321">
        <f t="shared" si="29"/>
        <v>0</v>
      </c>
      <c r="U321">
        <f t="shared" si="30"/>
        <v>0</v>
      </c>
    </row>
    <row r="322" spans="2:21">
      <c r="B322" s="102">
        <v>44734</v>
      </c>
      <c r="C322">
        <v>1.5</v>
      </c>
      <c r="D322" t="s">
        <v>120</v>
      </c>
      <c r="E322" t="s">
        <v>120</v>
      </c>
      <c r="F322" t="s">
        <v>121</v>
      </c>
      <c r="G322" t="s">
        <v>121</v>
      </c>
      <c r="H322" t="s">
        <v>121</v>
      </c>
      <c r="I322" t="s">
        <v>121</v>
      </c>
      <c r="P322">
        <f t="shared" si="25"/>
        <v>1</v>
      </c>
      <c r="Q322">
        <f t="shared" si="26"/>
        <v>1</v>
      </c>
      <c r="R322">
        <f t="shared" si="27"/>
        <v>0</v>
      </c>
      <c r="S322">
        <f t="shared" si="28"/>
        <v>0</v>
      </c>
      <c r="T322">
        <f t="shared" si="29"/>
        <v>0</v>
      </c>
      <c r="U322">
        <f t="shared" si="30"/>
        <v>0</v>
      </c>
    </row>
    <row r="323" spans="2:21">
      <c r="B323" s="102">
        <v>44735</v>
      </c>
      <c r="C323">
        <v>2</v>
      </c>
      <c r="D323" t="s">
        <v>120</v>
      </c>
      <c r="E323" t="s">
        <v>121</v>
      </c>
      <c r="F323" t="s">
        <v>121</v>
      </c>
      <c r="G323" t="s">
        <v>121</v>
      </c>
      <c r="H323" t="s">
        <v>121</v>
      </c>
      <c r="I323" t="s">
        <v>121</v>
      </c>
      <c r="P323">
        <f t="shared" ref="P323:P386" si="31">IF(D323="YES", 1, 0)</f>
        <v>1</v>
      </c>
      <c r="Q323">
        <f t="shared" ref="Q323:Q386" si="32">IF(E323="YES", 1, 0)</f>
        <v>0</v>
      </c>
      <c r="R323">
        <f t="shared" ref="R323:R386" si="33">IF(F323="YES", 1, 0)</f>
        <v>0</v>
      </c>
      <c r="S323">
        <f t="shared" ref="S323:S386" si="34">IF(G323="YES", 1, 0)</f>
        <v>0</v>
      </c>
      <c r="T323">
        <f t="shared" ref="T323:T386" si="35">IF(H323="YES", 1, 0)</f>
        <v>0</v>
      </c>
      <c r="U323">
        <f t="shared" ref="U323:U386" si="36">IF(I323="YES", 1, 0)</f>
        <v>0</v>
      </c>
    </row>
    <row r="324" spans="2:21">
      <c r="B324" s="102">
        <v>44736</v>
      </c>
      <c r="C324">
        <v>2.5</v>
      </c>
      <c r="D324" t="s">
        <v>120</v>
      </c>
      <c r="E324" t="s">
        <v>121</v>
      </c>
      <c r="F324" t="s">
        <v>121</v>
      </c>
      <c r="G324" t="s">
        <v>121</v>
      </c>
      <c r="H324" t="s">
        <v>121</v>
      </c>
      <c r="I324" t="s">
        <v>121</v>
      </c>
      <c r="P324">
        <f t="shared" si="31"/>
        <v>1</v>
      </c>
      <c r="Q324">
        <f t="shared" si="32"/>
        <v>0</v>
      </c>
      <c r="R324">
        <f t="shared" si="33"/>
        <v>0</v>
      </c>
      <c r="S324">
        <f t="shared" si="34"/>
        <v>0</v>
      </c>
      <c r="T324">
        <f t="shared" si="35"/>
        <v>0</v>
      </c>
      <c r="U324">
        <f t="shared" si="36"/>
        <v>0</v>
      </c>
    </row>
    <row r="325" spans="2:21">
      <c r="B325" s="102">
        <v>44737</v>
      </c>
      <c r="C325">
        <v>2.5</v>
      </c>
      <c r="D325" t="s">
        <v>120</v>
      </c>
      <c r="E325" t="s">
        <v>121</v>
      </c>
      <c r="F325" t="s">
        <v>121</v>
      </c>
      <c r="G325" t="s">
        <v>121</v>
      </c>
      <c r="H325" t="s">
        <v>121</v>
      </c>
      <c r="I325" t="s">
        <v>121</v>
      </c>
      <c r="P325">
        <f t="shared" si="31"/>
        <v>1</v>
      </c>
      <c r="Q325">
        <f t="shared" si="32"/>
        <v>0</v>
      </c>
      <c r="R325">
        <f t="shared" si="33"/>
        <v>0</v>
      </c>
      <c r="S325">
        <f t="shared" si="34"/>
        <v>0</v>
      </c>
      <c r="T325">
        <f t="shared" si="35"/>
        <v>0</v>
      </c>
      <c r="U325">
        <f t="shared" si="36"/>
        <v>0</v>
      </c>
    </row>
    <row r="326" spans="2:21">
      <c r="B326" s="102">
        <v>44738</v>
      </c>
      <c r="C326">
        <v>1.5</v>
      </c>
      <c r="D326" t="s">
        <v>121</v>
      </c>
      <c r="E326" t="s">
        <v>121</v>
      </c>
      <c r="F326" t="s">
        <v>121</v>
      </c>
      <c r="G326" t="s">
        <v>121</v>
      </c>
      <c r="H326" t="s">
        <v>121</v>
      </c>
      <c r="I326" t="s">
        <v>121</v>
      </c>
      <c r="K326">
        <v>166</v>
      </c>
      <c r="P326">
        <f t="shared" si="31"/>
        <v>0</v>
      </c>
      <c r="Q326">
        <f t="shared" si="32"/>
        <v>0</v>
      </c>
      <c r="R326">
        <f t="shared" si="33"/>
        <v>0</v>
      </c>
      <c r="S326">
        <f t="shared" si="34"/>
        <v>0</v>
      </c>
      <c r="T326">
        <f t="shared" si="35"/>
        <v>0</v>
      </c>
      <c r="U326">
        <f t="shared" si="36"/>
        <v>0</v>
      </c>
    </row>
    <row r="327" spans="2:21">
      <c r="B327" s="102">
        <v>44739</v>
      </c>
      <c r="C327">
        <v>2.5</v>
      </c>
      <c r="D327" t="s">
        <v>120</v>
      </c>
      <c r="E327" t="s">
        <v>121</v>
      </c>
      <c r="F327" t="s">
        <v>121</v>
      </c>
      <c r="G327" t="s">
        <v>121</v>
      </c>
      <c r="H327" t="s">
        <v>121</v>
      </c>
      <c r="I327" t="s">
        <v>121</v>
      </c>
      <c r="P327">
        <f t="shared" si="31"/>
        <v>1</v>
      </c>
      <c r="Q327">
        <f t="shared" si="32"/>
        <v>0</v>
      </c>
      <c r="R327">
        <f t="shared" si="33"/>
        <v>0</v>
      </c>
      <c r="S327">
        <f t="shared" si="34"/>
        <v>0</v>
      </c>
      <c r="T327">
        <f t="shared" si="35"/>
        <v>0</v>
      </c>
      <c r="U327">
        <f t="shared" si="36"/>
        <v>0</v>
      </c>
    </row>
    <row r="328" spans="2:21">
      <c r="B328" s="102">
        <v>44740</v>
      </c>
      <c r="C328">
        <v>1.5</v>
      </c>
      <c r="D328" t="s">
        <v>120</v>
      </c>
      <c r="E328" t="s">
        <v>120</v>
      </c>
      <c r="F328" t="s">
        <v>121</v>
      </c>
      <c r="G328" t="s">
        <v>121</v>
      </c>
      <c r="H328" t="s">
        <v>121</v>
      </c>
      <c r="I328" t="s">
        <v>121</v>
      </c>
      <c r="P328">
        <f t="shared" si="31"/>
        <v>1</v>
      </c>
      <c r="Q328">
        <f t="shared" si="32"/>
        <v>1</v>
      </c>
      <c r="R328">
        <f t="shared" si="33"/>
        <v>0</v>
      </c>
      <c r="S328">
        <f t="shared" si="34"/>
        <v>0</v>
      </c>
      <c r="T328">
        <f t="shared" si="35"/>
        <v>0</v>
      </c>
      <c r="U328">
        <f t="shared" si="36"/>
        <v>0</v>
      </c>
    </row>
    <row r="329" spans="2:21">
      <c r="B329" s="102">
        <v>44741</v>
      </c>
      <c r="C329">
        <v>2.5</v>
      </c>
      <c r="D329" t="s">
        <v>120</v>
      </c>
      <c r="E329" t="s">
        <v>121</v>
      </c>
      <c r="F329" t="s">
        <v>121</v>
      </c>
      <c r="G329" t="s">
        <v>121</v>
      </c>
      <c r="H329" t="s">
        <v>121</v>
      </c>
      <c r="I329" t="s">
        <v>121</v>
      </c>
      <c r="P329">
        <f t="shared" si="31"/>
        <v>1</v>
      </c>
      <c r="Q329">
        <f t="shared" si="32"/>
        <v>0</v>
      </c>
      <c r="R329">
        <f t="shared" si="33"/>
        <v>0</v>
      </c>
      <c r="S329">
        <f t="shared" si="34"/>
        <v>0</v>
      </c>
      <c r="T329">
        <f t="shared" si="35"/>
        <v>0</v>
      </c>
      <c r="U329">
        <f t="shared" si="36"/>
        <v>0</v>
      </c>
    </row>
    <row r="330" spans="2:21">
      <c r="B330" s="102">
        <v>44742</v>
      </c>
      <c r="C330">
        <v>2.5</v>
      </c>
      <c r="D330" t="s">
        <v>120</v>
      </c>
      <c r="E330" t="s">
        <v>121</v>
      </c>
      <c r="F330" t="s">
        <v>121</v>
      </c>
      <c r="G330" t="s">
        <v>121</v>
      </c>
      <c r="H330" t="s">
        <v>121</v>
      </c>
      <c r="I330" t="s">
        <v>121</v>
      </c>
      <c r="P330">
        <f t="shared" si="31"/>
        <v>1</v>
      </c>
      <c r="Q330">
        <f t="shared" si="32"/>
        <v>0</v>
      </c>
      <c r="R330">
        <f t="shared" si="33"/>
        <v>0</v>
      </c>
      <c r="S330">
        <f t="shared" si="34"/>
        <v>0</v>
      </c>
      <c r="T330">
        <f t="shared" si="35"/>
        <v>0</v>
      </c>
      <c r="U330">
        <f t="shared" si="36"/>
        <v>0</v>
      </c>
    </row>
    <row r="331" spans="2:21">
      <c r="B331" s="102">
        <v>44743</v>
      </c>
      <c r="C331">
        <v>3.5</v>
      </c>
      <c r="D331" t="s">
        <v>120</v>
      </c>
      <c r="E331" t="s">
        <v>121</v>
      </c>
      <c r="F331" t="s">
        <v>121</v>
      </c>
      <c r="G331" t="s">
        <v>121</v>
      </c>
      <c r="H331" t="s">
        <v>121</v>
      </c>
      <c r="I331" t="s">
        <v>121</v>
      </c>
      <c r="P331">
        <f t="shared" si="31"/>
        <v>1</v>
      </c>
      <c r="Q331">
        <f t="shared" si="32"/>
        <v>0</v>
      </c>
      <c r="R331">
        <f t="shared" si="33"/>
        <v>0</v>
      </c>
      <c r="S331">
        <f t="shared" si="34"/>
        <v>0</v>
      </c>
      <c r="T331">
        <f t="shared" si="35"/>
        <v>0</v>
      </c>
      <c r="U331">
        <f t="shared" si="36"/>
        <v>0</v>
      </c>
    </row>
    <row r="332" spans="2:21">
      <c r="B332" s="102">
        <v>44744</v>
      </c>
      <c r="C332">
        <v>3.5</v>
      </c>
      <c r="D332" t="s">
        <v>120</v>
      </c>
      <c r="E332" t="s">
        <v>121</v>
      </c>
      <c r="F332" t="s">
        <v>121</v>
      </c>
      <c r="G332" t="s">
        <v>121</v>
      </c>
      <c r="H332" t="s">
        <v>121</v>
      </c>
      <c r="I332" t="s">
        <v>121</v>
      </c>
      <c r="P332">
        <f t="shared" si="31"/>
        <v>1</v>
      </c>
      <c r="Q332">
        <f t="shared" si="32"/>
        <v>0</v>
      </c>
      <c r="R332">
        <f t="shared" si="33"/>
        <v>0</v>
      </c>
      <c r="S332">
        <f t="shared" si="34"/>
        <v>0</v>
      </c>
      <c r="T332">
        <f t="shared" si="35"/>
        <v>0</v>
      </c>
      <c r="U332">
        <f t="shared" si="36"/>
        <v>0</v>
      </c>
    </row>
    <row r="333" spans="2:21">
      <c r="B333" s="102">
        <v>44745</v>
      </c>
      <c r="C333">
        <v>3.5</v>
      </c>
      <c r="D333" t="s">
        <v>121</v>
      </c>
      <c r="E333" t="s">
        <v>120</v>
      </c>
      <c r="F333" t="s">
        <v>121</v>
      </c>
      <c r="G333" t="s">
        <v>121</v>
      </c>
      <c r="H333" t="s">
        <v>121</v>
      </c>
      <c r="I333" t="s">
        <v>120</v>
      </c>
      <c r="K333">
        <v>167.6</v>
      </c>
      <c r="P333">
        <f t="shared" si="31"/>
        <v>0</v>
      </c>
      <c r="Q333">
        <f t="shared" si="32"/>
        <v>1</v>
      </c>
      <c r="R333">
        <f t="shared" si="33"/>
        <v>0</v>
      </c>
      <c r="S333">
        <f t="shared" si="34"/>
        <v>0</v>
      </c>
      <c r="T333">
        <f t="shared" si="35"/>
        <v>0</v>
      </c>
      <c r="U333">
        <f t="shared" si="36"/>
        <v>1</v>
      </c>
    </row>
    <row r="334" spans="2:21">
      <c r="B334" s="102">
        <v>44746</v>
      </c>
      <c r="C334">
        <v>2.5</v>
      </c>
      <c r="D334" t="s">
        <v>121</v>
      </c>
      <c r="E334" t="s">
        <v>121</v>
      </c>
      <c r="F334" t="s">
        <v>121</v>
      </c>
      <c r="G334" t="s">
        <v>121</v>
      </c>
      <c r="H334" t="s">
        <v>121</v>
      </c>
      <c r="I334" t="s">
        <v>121</v>
      </c>
      <c r="P334">
        <f t="shared" si="31"/>
        <v>0</v>
      </c>
      <c r="Q334">
        <f t="shared" si="32"/>
        <v>0</v>
      </c>
      <c r="R334">
        <f t="shared" si="33"/>
        <v>0</v>
      </c>
      <c r="S334">
        <f t="shared" si="34"/>
        <v>0</v>
      </c>
      <c r="T334">
        <f t="shared" si="35"/>
        <v>0</v>
      </c>
      <c r="U334">
        <f t="shared" si="36"/>
        <v>0</v>
      </c>
    </row>
    <row r="335" spans="2:21">
      <c r="B335" s="102">
        <v>44747</v>
      </c>
      <c r="C335">
        <v>3</v>
      </c>
      <c r="D335" t="s">
        <v>120</v>
      </c>
      <c r="E335" t="s">
        <v>121</v>
      </c>
      <c r="F335" t="s">
        <v>120</v>
      </c>
      <c r="G335" t="s">
        <v>121</v>
      </c>
      <c r="H335" t="s">
        <v>121</v>
      </c>
      <c r="I335" t="s">
        <v>121</v>
      </c>
      <c r="P335">
        <f t="shared" si="31"/>
        <v>1</v>
      </c>
      <c r="Q335">
        <f t="shared" si="32"/>
        <v>0</v>
      </c>
      <c r="R335">
        <f t="shared" si="33"/>
        <v>1</v>
      </c>
      <c r="S335">
        <f t="shared" si="34"/>
        <v>0</v>
      </c>
      <c r="T335">
        <f t="shared" si="35"/>
        <v>0</v>
      </c>
      <c r="U335">
        <f t="shared" si="36"/>
        <v>0</v>
      </c>
    </row>
    <row r="336" spans="2:21">
      <c r="B336" s="102">
        <v>44748</v>
      </c>
      <c r="C336">
        <v>2.5</v>
      </c>
      <c r="D336" t="s">
        <v>120</v>
      </c>
      <c r="E336" t="s">
        <v>121</v>
      </c>
      <c r="F336" t="s">
        <v>121</v>
      </c>
      <c r="G336" t="s">
        <v>121</v>
      </c>
      <c r="H336" t="s">
        <v>121</v>
      </c>
      <c r="I336" t="s">
        <v>121</v>
      </c>
      <c r="P336">
        <f t="shared" si="31"/>
        <v>1</v>
      </c>
      <c r="Q336">
        <f t="shared" si="32"/>
        <v>0</v>
      </c>
      <c r="R336">
        <f t="shared" si="33"/>
        <v>0</v>
      </c>
      <c r="S336">
        <f t="shared" si="34"/>
        <v>0</v>
      </c>
      <c r="T336">
        <f t="shared" si="35"/>
        <v>0</v>
      </c>
      <c r="U336">
        <f t="shared" si="36"/>
        <v>0</v>
      </c>
    </row>
    <row r="337" spans="2:21">
      <c r="B337" s="102">
        <v>44749</v>
      </c>
      <c r="C337">
        <v>3</v>
      </c>
      <c r="D337" t="s">
        <v>120</v>
      </c>
      <c r="E337" t="s">
        <v>121</v>
      </c>
      <c r="F337" t="s">
        <v>121</v>
      </c>
      <c r="G337" t="s">
        <v>121</v>
      </c>
      <c r="H337" t="s">
        <v>121</v>
      </c>
      <c r="I337" t="s">
        <v>121</v>
      </c>
      <c r="P337">
        <f t="shared" si="31"/>
        <v>1</v>
      </c>
      <c r="Q337">
        <f t="shared" si="32"/>
        <v>0</v>
      </c>
      <c r="R337">
        <f t="shared" si="33"/>
        <v>0</v>
      </c>
      <c r="S337">
        <f t="shared" si="34"/>
        <v>0</v>
      </c>
      <c r="T337">
        <f t="shared" si="35"/>
        <v>0</v>
      </c>
      <c r="U337">
        <f t="shared" si="36"/>
        <v>0</v>
      </c>
    </row>
    <row r="338" spans="2:21">
      <c r="B338" s="102">
        <v>44750</v>
      </c>
      <c r="C338">
        <v>3</v>
      </c>
      <c r="D338" t="s">
        <v>120</v>
      </c>
      <c r="E338" t="s">
        <v>121</v>
      </c>
      <c r="F338" t="s">
        <v>121</v>
      </c>
      <c r="G338" t="s">
        <v>121</v>
      </c>
      <c r="H338" t="s">
        <v>121</v>
      </c>
      <c r="I338" t="s">
        <v>121</v>
      </c>
      <c r="P338">
        <f t="shared" si="31"/>
        <v>1</v>
      </c>
      <c r="Q338">
        <f t="shared" si="32"/>
        <v>0</v>
      </c>
      <c r="R338">
        <f t="shared" si="33"/>
        <v>0</v>
      </c>
      <c r="S338">
        <f t="shared" si="34"/>
        <v>0</v>
      </c>
      <c r="T338">
        <f t="shared" si="35"/>
        <v>0</v>
      </c>
      <c r="U338">
        <f t="shared" si="36"/>
        <v>0</v>
      </c>
    </row>
    <row r="339" spans="2:21">
      <c r="B339" s="102">
        <v>44751</v>
      </c>
      <c r="C339">
        <v>3.5</v>
      </c>
      <c r="D339" t="s">
        <v>120</v>
      </c>
      <c r="E339" t="s">
        <v>121</v>
      </c>
      <c r="F339" t="s">
        <v>121</v>
      </c>
      <c r="G339" t="s">
        <v>121</v>
      </c>
      <c r="H339" t="s">
        <v>121</v>
      </c>
      <c r="I339" t="s">
        <v>121</v>
      </c>
      <c r="P339">
        <f t="shared" si="31"/>
        <v>1</v>
      </c>
      <c r="Q339">
        <f t="shared" si="32"/>
        <v>0</v>
      </c>
      <c r="R339">
        <f t="shared" si="33"/>
        <v>0</v>
      </c>
      <c r="S339">
        <f t="shared" si="34"/>
        <v>0</v>
      </c>
      <c r="T339">
        <f t="shared" si="35"/>
        <v>0</v>
      </c>
      <c r="U339">
        <f t="shared" si="36"/>
        <v>0</v>
      </c>
    </row>
    <row r="340" spans="2:21">
      <c r="B340" s="102">
        <v>44752</v>
      </c>
      <c r="C340">
        <v>3.5</v>
      </c>
      <c r="D340" t="s">
        <v>121</v>
      </c>
      <c r="E340" t="s">
        <v>120</v>
      </c>
      <c r="F340" t="s">
        <v>121</v>
      </c>
      <c r="G340" t="s">
        <v>120</v>
      </c>
      <c r="H340" t="s">
        <v>120</v>
      </c>
      <c r="I340" t="s">
        <v>121</v>
      </c>
      <c r="K340">
        <v>170.4</v>
      </c>
      <c r="P340">
        <f t="shared" si="31"/>
        <v>0</v>
      </c>
      <c r="Q340">
        <f t="shared" si="32"/>
        <v>1</v>
      </c>
      <c r="R340">
        <f t="shared" si="33"/>
        <v>0</v>
      </c>
      <c r="S340">
        <f t="shared" si="34"/>
        <v>1</v>
      </c>
      <c r="T340">
        <f t="shared" si="35"/>
        <v>1</v>
      </c>
      <c r="U340">
        <f t="shared" si="36"/>
        <v>0</v>
      </c>
    </row>
    <row r="341" spans="2:21">
      <c r="B341" s="102">
        <v>44753</v>
      </c>
      <c r="C341">
        <v>2.5</v>
      </c>
      <c r="D341" t="s">
        <v>120</v>
      </c>
      <c r="E341" t="s">
        <v>121</v>
      </c>
      <c r="F341" t="s">
        <v>121</v>
      </c>
      <c r="G341" t="s">
        <v>121</v>
      </c>
      <c r="H341" t="s">
        <v>121</v>
      </c>
      <c r="I341" t="s">
        <v>121</v>
      </c>
      <c r="P341">
        <f t="shared" si="31"/>
        <v>1</v>
      </c>
      <c r="Q341">
        <f t="shared" si="32"/>
        <v>0</v>
      </c>
      <c r="R341">
        <f t="shared" si="33"/>
        <v>0</v>
      </c>
      <c r="S341">
        <f t="shared" si="34"/>
        <v>0</v>
      </c>
      <c r="T341">
        <f t="shared" si="35"/>
        <v>0</v>
      </c>
      <c r="U341">
        <f t="shared" si="36"/>
        <v>0</v>
      </c>
    </row>
    <row r="342" spans="2:21">
      <c r="B342" s="102">
        <v>44754</v>
      </c>
      <c r="C342">
        <v>3</v>
      </c>
      <c r="D342" t="s">
        <v>120</v>
      </c>
      <c r="E342" t="s">
        <v>121</v>
      </c>
      <c r="F342" t="s">
        <v>121</v>
      </c>
      <c r="G342" t="s">
        <v>121</v>
      </c>
      <c r="H342" t="s">
        <v>121</v>
      </c>
      <c r="I342" t="s">
        <v>121</v>
      </c>
      <c r="P342">
        <f t="shared" si="31"/>
        <v>1</v>
      </c>
      <c r="Q342">
        <f t="shared" si="32"/>
        <v>0</v>
      </c>
      <c r="R342">
        <f t="shared" si="33"/>
        <v>0</v>
      </c>
      <c r="S342">
        <f t="shared" si="34"/>
        <v>0</v>
      </c>
      <c r="T342">
        <f t="shared" si="35"/>
        <v>0</v>
      </c>
      <c r="U342">
        <f t="shared" si="36"/>
        <v>0</v>
      </c>
    </row>
    <row r="343" spans="2:21">
      <c r="B343" s="102">
        <v>44755</v>
      </c>
      <c r="C343">
        <v>2.5</v>
      </c>
      <c r="D343" t="s">
        <v>120</v>
      </c>
      <c r="E343" t="s">
        <v>121</v>
      </c>
      <c r="F343" t="s">
        <v>121</v>
      </c>
      <c r="G343" t="s">
        <v>121</v>
      </c>
      <c r="H343" t="s">
        <v>121</v>
      </c>
      <c r="I343" t="s">
        <v>121</v>
      </c>
      <c r="P343">
        <f t="shared" si="31"/>
        <v>1</v>
      </c>
      <c r="Q343">
        <f t="shared" si="32"/>
        <v>0</v>
      </c>
      <c r="R343">
        <f t="shared" si="33"/>
        <v>0</v>
      </c>
      <c r="S343">
        <f t="shared" si="34"/>
        <v>0</v>
      </c>
      <c r="T343">
        <f t="shared" si="35"/>
        <v>0</v>
      </c>
      <c r="U343">
        <f t="shared" si="36"/>
        <v>0</v>
      </c>
    </row>
    <row r="344" spans="2:21">
      <c r="B344" s="102">
        <v>44756</v>
      </c>
      <c r="C344">
        <v>3</v>
      </c>
      <c r="D344" t="s">
        <v>120</v>
      </c>
      <c r="E344" t="s">
        <v>121</v>
      </c>
      <c r="F344" t="s">
        <v>121</v>
      </c>
      <c r="G344" t="s">
        <v>121</v>
      </c>
      <c r="H344" t="s">
        <v>121</v>
      </c>
      <c r="I344" t="s">
        <v>121</v>
      </c>
      <c r="P344">
        <f t="shared" si="31"/>
        <v>1</v>
      </c>
      <c r="Q344">
        <f t="shared" si="32"/>
        <v>0</v>
      </c>
      <c r="R344">
        <f t="shared" si="33"/>
        <v>0</v>
      </c>
      <c r="S344">
        <f t="shared" si="34"/>
        <v>0</v>
      </c>
      <c r="T344">
        <f t="shared" si="35"/>
        <v>0</v>
      </c>
      <c r="U344">
        <f t="shared" si="36"/>
        <v>0</v>
      </c>
    </row>
    <row r="345" spans="2:21">
      <c r="B345" s="102">
        <v>44757</v>
      </c>
      <c r="C345">
        <v>3</v>
      </c>
      <c r="D345" t="s">
        <v>120</v>
      </c>
      <c r="E345" t="s">
        <v>121</v>
      </c>
      <c r="F345" t="s">
        <v>121</v>
      </c>
      <c r="G345" t="s">
        <v>121</v>
      </c>
      <c r="H345" t="s">
        <v>121</v>
      </c>
      <c r="I345" t="s">
        <v>121</v>
      </c>
      <c r="P345">
        <f t="shared" si="31"/>
        <v>1</v>
      </c>
      <c r="Q345">
        <f t="shared" si="32"/>
        <v>0</v>
      </c>
      <c r="R345">
        <f t="shared" si="33"/>
        <v>0</v>
      </c>
      <c r="S345">
        <f t="shared" si="34"/>
        <v>0</v>
      </c>
      <c r="T345">
        <f t="shared" si="35"/>
        <v>0</v>
      </c>
      <c r="U345">
        <f t="shared" si="36"/>
        <v>0</v>
      </c>
    </row>
    <row r="346" spans="2:21">
      <c r="B346" s="102">
        <v>44758</v>
      </c>
      <c r="C346">
        <v>3</v>
      </c>
      <c r="D346" t="s">
        <v>120</v>
      </c>
      <c r="E346" t="s">
        <v>121</v>
      </c>
      <c r="F346" t="s">
        <v>121</v>
      </c>
      <c r="G346" t="s">
        <v>121</v>
      </c>
      <c r="H346" t="s">
        <v>121</v>
      </c>
      <c r="I346" t="s">
        <v>121</v>
      </c>
      <c r="P346">
        <f t="shared" si="31"/>
        <v>1</v>
      </c>
      <c r="Q346">
        <f t="shared" si="32"/>
        <v>0</v>
      </c>
      <c r="R346">
        <f t="shared" si="33"/>
        <v>0</v>
      </c>
      <c r="S346">
        <f t="shared" si="34"/>
        <v>0</v>
      </c>
      <c r="T346">
        <f t="shared" si="35"/>
        <v>0</v>
      </c>
      <c r="U346">
        <f t="shared" si="36"/>
        <v>0</v>
      </c>
    </row>
    <row r="347" spans="2:21">
      <c r="B347" s="102">
        <v>44759</v>
      </c>
      <c r="C347">
        <v>3.5</v>
      </c>
      <c r="D347" t="s">
        <v>121</v>
      </c>
      <c r="E347" t="s">
        <v>121</v>
      </c>
      <c r="F347" t="s">
        <v>121</v>
      </c>
      <c r="G347" t="s">
        <v>121</v>
      </c>
      <c r="H347" t="s">
        <v>121</v>
      </c>
      <c r="I347" t="s">
        <v>121</v>
      </c>
      <c r="K347">
        <v>168.6</v>
      </c>
      <c r="P347">
        <f t="shared" si="31"/>
        <v>0</v>
      </c>
      <c r="Q347">
        <f t="shared" si="32"/>
        <v>0</v>
      </c>
      <c r="R347">
        <f t="shared" si="33"/>
        <v>0</v>
      </c>
      <c r="S347">
        <f t="shared" si="34"/>
        <v>0</v>
      </c>
      <c r="T347">
        <f t="shared" si="35"/>
        <v>0</v>
      </c>
      <c r="U347">
        <f t="shared" si="36"/>
        <v>0</v>
      </c>
    </row>
    <row r="348" spans="2:21">
      <c r="B348" s="102">
        <v>44760</v>
      </c>
      <c r="C348">
        <v>2.5</v>
      </c>
      <c r="D348" t="s">
        <v>120</v>
      </c>
      <c r="E348" t="s">
        <v>120</v>
      </c>
      <c r="F348" t="s">
        <v>121</v>
      </c>
      <c r="G348" t="s">
        <v>121</v>
      </c>
      <c r="H348" t="s">
        <v>121</v>
      </c>
      <c r="I348" t="s">
        <v>121</v>
      </c>
      <c r="P348">
        <f t="shared" si="31"/>
        <v>1</v>
      </c>
      <c r="Q348">
        <f t="shared" si="32"/>
        <v>1</v>
      </c>
      <c r="R348">
        <f t="shared" si="33"/>
        <v>0</v>
      </c>
      <c r="S348">
        <f t="shared" si="34"/>
        <v>0</v>
      </c>
      <c r="T348">
        <f t="shared" si="35"/>
        <v>0</v>
      </c>
      <c r="U348">
        <f t="shared" si="36"/>
        <v>0</v>
      </c>
    </row>
    <row r="349" spans="2:21">
      <c r="B349" s="102">
        <v>44761</v>
      </c>
      <c r="C349">
        <v>3</v>
      </c>
      <c r="D349" t="s">
        <v>120</v>
      </c>
      <c r="E349" t="s">
        <v>121</v>
      </c>
      <c r="F349" t="s">
        <v>121</v>
      </c>
      <c r="G349" t="s">
        <v>121</v>
      </c>
      <c r="H349" t="s">
        <v>121</v>
      </c>
      <c r="I349" t="s">
        <v>121</v>
      </c>
      <c r="P349">
        <f t="shared" si="31"/>
        <v>1</v>
      </c>
      <c r="Q349">
        <f t="shared" si="32"/>
        <v>0</v>
      </c>
      <c r="R349">
        <f t="shared" si="33"/>
        <v>0</v>
      </c>
      <c r="S349">
        <f t="shared" si="34"/>
        <v>0</v>
      </c>
      <c r="T349">
        <f t="shared" si="35"/>
        <v>0</v>
      </c>
      <c r="U349">
        <f t="shared" si="36"/>
        <v>0</v>
      </c>
    </row>
    <row r="350" spans="2:21">
      <c r="B350" s="102">
        <v>44762</v>
      </c>
      <c r="C350">
        <v>2</v>
      </c>
      <c r="D350" t="s">
        <v>120</v>
      </c>
      <c r="E350" t="s">
        <v>121</v>
      </c>
      <c r="F350" t="s">
        <v>121</v>
      </c>
      <c r="G350" t="s">
        <v>121</v>
      </c>
      <c r="H350" t="s">
        <v>121</v>
      </c>
      <c r="I350" t="s">
        <v>121</v>
      </c>
      <c r="P350">
        <f t="shared" si="31"/>
        <v>1</v>
      </c>
      <c r="Q350">
        <f t="shared" si="32"/>
        <v>0</v>
      </c>
      <c r="R350">
        <f t="shared" si="33"/>
        <v>0</v>
      </c>
      <c r="S350">
        <f t="shared" si="34"/>
        <v>0</v>
      </c>
      <c r="T350">
        <f t="shared" si="35"/>
        <v>0</v>
      </c>
      <c r="U350">
        <f t="shared" si="36"/>
        <v>0</v>
      </c>
    </row>
    <row r="351" spans="2:21">
      <c r="B351" s="102">
        <v>44763</v>
      </c>
      <c r="C351">
        <v>2</v>
      </c>
      <c r="D351" t="s">
        <v>120</v>
      </c>
      <c r="E351" t="s">
        <v>121</v>
      </c>
      <c r="F351" t="s">
        <v>121</v>
      </c>
      <c r="G351" t="s">
        <v>121</v>
      </c>
      <c r="H351" t="s">
        <v>121</v>
      </c>
      <c r="I351" t="s">
        <v>121</v>
      </c>
      <c r="P351">
        <f t="shared" si="31"/>
        <v>1</v>
      </c>
      <c r="Q351">
        <f t="shared" si="32"/>
        <v>0</v>
      </c>
      <c r="R351">
        <f t="shared" si="33"/>
        <v>0</v>
      </c>
      <c r="S351">
        <f t="shared" si="34"/>
        <v>0</v>
      </c>
      <c r="T351">
        <f t="shared" si="35"/>
        <v>0</v>
      </c>
      <c r="U351">
        <f t="shared" si="36"/>
        <v>0</v>
      </c>
    </row>
    <row r="352" spans="2:21">
      <c r="B352" s="102">
        <v>44764</v>
      </c>
      <c r="C352">
        <v>3</v>
      </c>
      <c r="D352" t="s">
        <v>120</v>
      </c>
      <c r="E352" t="s">
        <v>121</v>
      </c>
      <c r="F352" t="s">
        <v>121</v>
      </c>
      <c r="G352" t="s">
        <v>121</v>
      </c>
      <c r="H352" t="s">
        <v>121</v>
      </c>
      <c r="I352" t="s">
        <v>121</v>
      </c>
      <c r="P352">
        <f t="shared" si="31"/>
        <v>1</v>
      </c>
      <c r="Q352">
        <f t="shared" si="32"/>
        <v>0</v>
      </c>
      <c r="R352">
        <f t="shared" si="33"/>
        <v>0</v>
      </c>
      <c r="S352">
        <f t="shared" si="34"/>
        <v>0</v>
      </c>
      <c r="T352">
        <f t="shared" si="35"/>
        <v>0</v>
      </c>
      <c r="U352">
        <f t="shared" si="36"/>
        <v>0</v>
      </c>
    </row>
    <row r="353" spans="2:21">
      <c r="B353" s="102">
        <v>44765</v>
      </c>
      <c r="C353">
        <v>3.5</v>
      </c>
      <c r="D353" t="s">
        <v>120</v>
      </c>
      <c r="E353" t="s">
        <v>121</v>
      </c>
      <c r="F353" t="s">
        <v>121</v>
      </c>
      <c r="G353" t="s">
        <v>120</v>
      </c>
      <c r="H353" t="s">
        <v>121</v>
      </c>
      <c r="I353" t="s">
        <v>121</v>
      </c>
      <c r="P353">
        <f t="shared" si="31"/>
        <v>1</v>
      </c>
      <c r="Q353">
        <f t="shared" si="32"/>
        <v>0</v>
      </c>
      <c r="R353">
        <f t="shared" si="33"/>
        <v>0</v>
      </c>
      <c r="S353">
        <f t="shared" si="34"/>
        <v>1</v>
      </c>
      <c r="T353">
        <f t="shared" si="35"/>
        <v>0</v>
      </c>
      <c r="U353">
        <f t="shared" si="36"/>
        <v>0</v>
      </c>
    </row>
    <row r="354" spans="2:21">
      <c r="B354" s="102">
        <v>44766</v>
      </c>
      <c r="C354">
        <v>2.5</v>
      </c>
      <c r="D354" t="s">
        <v>121</v>
      </c>
      <c r="E354" t="s">
        <v>121</v>
      </c>
      <c r="F354" t="s">
        <v>121</v>
      </c>
      <c r="G354" t="s">
        <v>121</v>
      </c>
      <c r="H354" t="s">
        <v>121</v>
      </c>
      <c r="I354" t="s">
        <v>121</v>
      </c>
      <c r="K354">
        <v>167.6</v>
      </c>
      <c r="P354">
        <f t="shared" si="31"/>
        <v>0</v>
      </c>
      <c r="Q354">
        <f t="shared" si="32"/>
        <v>0</v>
      </c>
      <c r="R354">
        <f t="shared" si="33"/>
        <v>0</v>
      </c>
      <c r="S354">
        <f t="shared" si="34"/>
        <v>0</v>
      </c>
      <c r="T354">
        <f t="shared" si="35"/>
        <v>0</v>
      </c>
      <c r="U354">
        <f t="shared" si="36"/>
        <v>0</v>
      </c>
    </row>
    <row r="355" spans="2:21">
      <c r="B355" s="102">
        <v>44767</v>
      </c>
      <c r="C355">
        <v>2.5</v>
      </c>
      <c r="D355" t="s">
        <v>120</v>
      </c>
      <c r="E355" t="s">
        <v>120</v>
      </c>
      <c r="F355" t="s">
        <v>121</v>
      </c>
      <c r="G355" t="s">
        <v>121</v>
      </c>
      <c r="H355" t="s">
        <v>121</v>
      </c>
      <c r="I355" t="s">
        <v>121</v>
      </c>
      <c r="P355">
        <f t="shared" si="31"/>
        <v>1</v>
      </c>
      <c r="Q355">
        <f t="shared" si="32"/>
        <v>1</v>
      </c>
      <c r="R355">
        <f t="shared" si="33"/>
        <v>0</v>
      </c>
      <c r="S355">
        <f t="shared" si="34"/>
        <v>0</v>
      </c>
      <c r="T355">
        <f t="shared" si="35"/>
        <v>0</v>
      </c>
      <c r="U355">
        <f t="shared" si="36"/>
        <v>0</v>
      </c>
    </row>
    <row r="356" spans="2:21">
      <c r="B356" s="102">
        <v>44768</v>
      </c>
      <c r="C356">
        <v>3.5</v>
      </c>
      <c r="D356" t="s">
        <v>120</v>
      </c>
      <c r="E356" t="s">
        <v>121</v>
      </c>
      <c r="F356" t="s">
        <v>121</v>
      </c>
      <c r="G356" t="s">
        <v>121</v>
      </c>
      <c r="H356" t="s">
        <v>121</v>
      </c>
      <c r="I356" t="s">
        <v>121</v>
      </c>
      <c r="P356">
        <f t="shared" si="31"/>
        <v>1</v>
      </c>
      <c r="Q356">
        <f t="shared" si="32"/>
        <v>0</v>
      </c>
      <c r="R356">
        <f t="shared" si="33"/>
        <v>0</v>
      </c>
      <c r="S356">
        <f t="shared" si="34"/>
        <v>0</v>
      </c>
      <c r="T356">
        <f t="shared" si="35"/>
        <v>0</v>
      </c>
      <c r="U356">
        <f t="shared" si="36"/>
        <v>0</v>
      </c>
    </row>
    <row r="357" spans="2:21">
      <c r="B357" s="102">
        <v>44769</v>
      </c>
      <c r="C357">
        <v>3.5</v>
      </c>
      <c r="D357" t="s">
        <v>120</v>
      </c>
      <c r="E357" t="s">
        <v>121</v>
      </c>
      <c r="F357" t="s">
        <v>121</v>
      </c>
      <c r="G357" t="s">
        <v>121</v>
      </c>
      <c r="H357" t="s">
        <v>121</v>
      </c>
      <c r="I357" t="s">
        <v>121</v>
      </c>
      <c r="P357">
        <f t="shared" si="31"/>
        <v>1</v>
      </c>
      <c r="Q357">
        <f t="shared" si="32"/>
        <v>0</v>
      </c>
      <c r="R357">
        <f t="shared" si="33"/>
        <v>0</v>
      </c>
      <c r="S357">
        <f t="shared" si="34"/>
        <v>0</v>
      </c>
      <c r="T357">
        <f t="shared" si="35"/>
        <v>0</v>
      </c>
      <c r="U357">
        <f t="shared" si="36"/>
        <v>0</v>
      </c>
    </row>
    <row r="358" spans="2:21">
      <c r="B358" s="102">
        <v>44770</v>
      </c>
      <c r="C358">
        <v>3</v>
      </c>
      <c r="D358" t="s">
        <v>120</v>
      </c>
      <c r="E358" t="s">
        <v>121</v>
      </c>
      <c r="F358" t="s">
        <v>211</v>
      </c>
      <c r="G358" t="s">
        <v>121</v>
      </c>
      <c r="H358" t="s">
        <v>121</v>
      </c>
      <c r="I358" t="s">
        <v>121</v>
      </c>
      <c r="P358">
        <f t="shared" si="31"/>
        <v>1</v>
      </c>
      <c r="Q358">
        <f t="shared" si="32"/>
        <v>0</v>
      </c>
      <c r="R358">
        <f t="shared" si="33"/>
        <v>0</v>
      </c>
      <c r="S358">
        <f t="shared" si="34"/>
        <v>0</v>
      </c>
      <c r="T358">
        <f t="shared" si="35"/>
        <v>0</v>
      </c>
      <c r="U358">
        <f t="shared" si="36"/>
        <v>0</v>
      </c>
    </row>
    <row r="359" spans="2:21">
      <c r="B359" s="102">
        <v>44771</v>
      </c>
      <c r="C359">
        <v>3.5</v>
      </c>
      <c r="D359" t="s">
        <v>120</v>
      </c>
      <c r="E359" t="s">
        <v>121</v>
      </c>
      <c r="F359" t="s">
        <v>211</v>
      </c>
      <c r="G359" t="s">
        <v>121</v>
      </c>
      <c r="H359" t="s">
        <v>121</v>
      </c>
      <c r="I359" t="s">
        <v>121</v>
      </c>
      <c r="P359">
        <f t="shared" si="31"/>
        <v>1</v>
      </c>
      <c r="Q359">
        <f t="shared" si="32"/>
        <v>0</v>
      </c>
      <c r="R359">
        <f t="shared" si="33"/>
        <v>0</v>
      </c>
      <c r="S359">
        <f t="shared" si="34"/>
        <v>0</v>
      </c>
      <c r="T359">
        <f t="shared" si="35"/>
        <v>0</v>
      </c>
      <c r="U359">
        <f t="shared" si="36"/>
        <v>0</v>
      </c>
    </row>
    <row r="360" spans="2:21">
      <c r="B360" s="102">
        <v>44772</v>
      </c>
      <c r="C360">
        <v>3.5</v>
      </c>
      <c r="D360" t="s">
        <v>120</v>
      </c>
      <c r="E360" t="s">
        <v>121</v>
      </c>
      <c r="F360" t="s">
        <v>121</v>
      </c>
      <c r="G360" t="s">
        <v>121</v>
      </c>
      <c r="H360" t="s">
        <v>121</v>
      </c>
      <c r="I360" t="s">
        <v>121</v>
      </c>
      <c r="P360">
        <f t="shared" si="31"/>
        <v>1</v>
      </c>
      <c r="Q360">
        <f t="shared" si="32"/>
        <v>0</v>
      </c>
      <c r="R360">
        <f t="shared" si="33"/>
        <v>0</v>
      </c>
      <c r="S360">
        <f t="shared" si="34"/>
        <v>0</v>
      </c>
      <c r="T360">
        <f t="shared" si="35"/>
        <v>0</v>
      </c>
      <c r="U360">
        <f t="shared" si="36"/>
        <v>0</v>
      </c>
    </row>
    <row r="361" spans="2:21">
      <c r="B361" s="102">
        <v>44773</v>
      </c>
      <c r="C361">
        <v>3.5</v>
      </c>
      <c r="D361" t="s">
        <v>121</v>
      </c>
      <c r="E361" t="s">
        <v>121</v>
      </c>
      <c r="F361" t="s">
        <v>121</v>
      </c>
      <c r="G361" t="s">
        <v>121</v>
      </c>
      <c r="H361" t="s">
        <v>121</v>
      </c>
      <c r="I361" t="s">
        <v>121</v>
      </c>
      <c r="K361">
        <v>170.4</v>
      </c>
      <c r="L361">
        <v>173.2</v>
      </c>
      <c r="P361">
        <f t="shared" si="31"/>
        <v>0</v>
      </c>
      <c r="Q361">
        <f t="shared" si="32"/>
        <v>0</v>
      </c>
      <c r="R361">
        <f t="shared" si="33"/>
        <v>0</v>
      </c>
      <c r="S361">
        <f t="shared" si="34"/>
        <v>0</v>
      </c>
      <c r="T361">
        <f t="shared" si="35"/>
        <v>0</v>
      </c>
      <c r="U361">
        <f t="shared" si="36"/>
        <v>0</v>
      </c>
    </row>
    <row r="362" spans="2:21">
      <c r="B362" s="102">
        <v>44774</v>
      </c>
      <c r="C362">
        <v>2</v>
      </c>
      <c r="D362" t="s">
        <v>120</v>
      </c>
      <c r="E362" t="s">
        <v>120</v>
      </c>
      <c r="F362" t="s">
        <v>121</v>
      </c>
      <c r="G362" t="s">
        <v>121</v>
      </c>
      <c r="H362" t="s">
        <v>121</v>
      </c>
      <c r="I362" t="s">
        <v>121</v>
      </c>
      <c r="P362">
        <f t="shared" si="31"/>
        <v>1</v>
      </c>
      <c r="Q362">
        <f t="shared" si="32"/>
        <v>1</v>
      </c>
      <c r="R362">
        <f t="shared" si="33"/>
        <v>0</v>
      </c>
      <c r="S362">
        <f t="shared" si="34"/>
        <v>0</v>
      </c>
      <c r="T362">
        <f t="shared" si="35"/>
        <v>0</v>
      </c>
      <c r="U362">
        <f t="shared" si="36"/>
        <v>0</v>
      </c>
    </row>
    <row r="363" spans="2:21">
      <c r="B363" s="102">
        <v>44775</v>
      </c>
      <c r="C363">
        <v>3.5</v>
      </c>
      <c r="D363" t="s">
        <v>120</v>
      </c>
      <c r="E363" t="s">
        <v>121</v>
      </c>
      <c r="F363" t="s">
        <v>121</v>
      </c>
      <c r="G363" t="s">
        <v>120</v>
      </c>
      <c r="H363" t="s">
        <v>121</v>
      </c>
      <c r="I363" t="s">
        <v>121</v>
      </c>
      <c r="P363">
        <f t="shared" si="31"/>
        <v>1</v>
      </c>
      <c r="Q363">
        <f t="shared" si="32"/>
        <v>0</v>
      </c>
      <c r="R363">
        <f t="shared" si="33"/>
        <v>0</v>
      </c>
      <c r="S363">
        <f t="shared" si="34"/>
        <v>1</v>
      </c>
      <c r="T363">
        <f t="shared" si="35"/>
        <v>0</v>
      </c>
      <c r="U363">
        <f t="shared" si="36"/>
        <v>0</v>
      </c>
    </row>
    <row r="364" spans="2:21">
      <c r="B364" s="102">
        <v>44776</v>
      </c>
      <c r="C364">
        <v>2.5</v>
      </c>
      <c r="D364" t="s">
        <v>120</v>
      </c>
      <c r="E364" t="s">
        <v>121</v>
      </c>
      <c r="F364" t="s">
        <v>121</v>
      </c>
      <c r="G364" t="s">
        <v>121</v>
      </c>
      <c r="H364" t="s">
        <v>121</v>
      </c>
      <c r="I364" t="s">
        <v>121</v>
      </c>
      <c r="P364">
        <f t="shared" si="31"/>
        <v>1</v>
      </c>
      <c r="Q364">
        <f t="shared" si="32"/>
        <v>0</v>
      </c>
      <c r="R364">
        <f t="shared" si="33"/>
        <v>0</v>
      </c>
      <c r="S364">
        <f t="shared" si="34"/>
        <v>0</v>
      </c>
      <c r="T364">
        <f t="shared" si="35"/>
        <v>0</v>
      </c>
      <c r="U364">
        <f t="shared" si="36"/>
        <v>0</v>
      </c>
    </row>
    <row r="365" spans="2:21">
      <c r="B365" s="102">
        <v>44777</v>
      </c>
      <c r="C365">
        <v>3</v>
      </c>
      <c r="D365" t="s">
        <v>120</v>
      </c>
      <c r="E365" t="s">
        <v>121</v>
      </c>
      <c r="F365" t="s">
        <v>121</v>
      </c>
      <c r="G365" t="s">
        <v>121</v>
      </c>
      <c r="H365" t="s">
        <v>121</v>
      </c>
      <c r="I365" t="s">
        <v>121</v>
      </c>
      <c r="P365">
        <f t="shared" si="31"/>
        <v>1</v>
      </c>
      <c r="Q365">
        <f t="shared" si="32"/>
        <v>0</v>
      </c>
      <c r="R365">
        <f t="shared" si="33"/>
        <v>0</v>
      </c>
      <c r="S365">
        <f t="shared" si="34"/>
        <v>0</v>
      </c>
      <c r="T365">
        <f t="shared" si="35"/>
        <v>0</v>
      </c>
      <c r="U365">
        <f t="shared" si="36"/>
        <v>0</v>
      </c>
    </row>
    <row r="366" spans="2:21">
      <c r="B366" s="102">
        <v>44778</v>
      </c>
      <c r="C366">
        <v>3</v>
      </c>
      <c r="D366" t="s">
        <v>120</v>
      </c>
      <c r="E366" t="s">
        <v>121</v>
      </c>
      <c r="F366" t="s">
        <v>121</v>
      </c>
      <c r="G366" t="s">
        <v>121</v>
      </c>
      <c r="H366" t="s">
        <v>121</v>
      </c>
      <c r="I366" t="s">
        <v>121</v>
      </c>
      <c r="P366">
        <f t="shared" si="31"/>
        <v>1</v>
      </c>
      <c r="Q366">
        <f t="shared" si="32"/>
        <v>0</v>
      </c>
      <c r="R366">
        <f t="shared" si="33"/>
        <v>0</v>
      </c>
      <c r="S366">
        <f t="shared" si="34"/>
        <v>0</v>
      </c>
      <c r="T366">
        <f t="shared" si="35"/>
        <v>0</v>
      </c>
      <c r="U366">
        <f t="shared" si="36"/>
        <v>0</v>
      </c>
    </row>
    <row r="367" spans="2:21">
      <c r="B367" s="102">
        <v>44779</v>
      </c>
      <c r="C367">
        <v>3</v>
      </c>
      <c r="D367" t="s">
        <v>120</v>
      </c>
      <c r="E367" t="s">
        <v>121</v>
      </c>
      <c r="F367" t="s">
        <v>121</v>
      </c>
      <c r="G367" t="s">
        <v>121</v>
      </c>
      <c r="H367" t="s">
        <v>121</v>
      </c>
      <c r="I367" t="s">
        <v>121</v>
      </c>
      <c r="P367">
        <f t="shared" si="31"/>
        <v>1</v>
      </c>
      <c r="Q367">
        <f t="shared" si="32"/>
        <v>0</v>
      </c>
      <c r="R367">
        <f t="shared" si="33"/>
        <v>0</v>
      </c>
      <c r="S367">
        <f t="shared" si="34"/>
        <v>0</v>
      </c>
      <c r="T367">
        <f t="shared" si="35"/>
        <v>0</v>
      </c>
      <c r="U367">
        <f t="shared" si="36"/>
        <v>0</v>
      </c>
    </row>
    <row r="368" spans="2:21">
      <c r="B368" s="102">
        <v>44780</v>
      </c>
      <c r="C368">
        <v>2.5</v>
      </c>
      <c r="D368" t="s">
        <v>121</v>
      </c>
      <c r="E368" t="s">
        <v>120</v>
      </c>
      <c r="F368" t="s">
        <v>121</v>
      </c>
      <c r="G368" t="s">
        <v>121</v>
      </c>
      <c r="H368" t="s">
        <v>121</v>
      </c>
      <c r="I368" t="s">
        <v>121</v>
      </c>
      <c r="K368">
        <v>172.6</v>
      </c>
      <c r="P368">
        <f t="shared" si="31"/>
        <v>0</v>
      </c>
      <c r="Q368">
        <f t="shared" si="32"/>
        <v>1</v>
      </c>
      <c r="R368">
        <f t="shared" si="33"/>
        <v>0</v>
      </c>
      <c r="S368">
        <f t="shared" si="34"/>
        <v>0</v>
      </c>
      <c r="T368">
        <f t="shared" si="35"/>
        <v>0</v>
      </c>
      <c r="U368">
        <f t="shared" si="36"/>
        <v>0</v>
      </c>
    </row>
    <row r="369" spans="2:21">
      <c r="B369" s="102">
        <v>44781</v>
      </c>
      <c r="C369">
        <v>2</v>
      </c>
      <c r="D369" t="s">
        <v>120</v>
      </c>
      <c r="E369" t="s">
        <v>121</v>
      </c>
      <c r="F369" t="s">
        <v>121</v>
      </c>
      <c r="G369" t="s">
        <v>121</v>
      </c>
      <c r="H369" t="s">
        <v>121</v>
      </c>
      <c r="I369" t="s">
        <v>121</v>
      </c>
      <c r="P369">
        <f t="shared" si="31"/>
        <v>1</v>
      </c>
      <c r="Q369">
        <f t="shared" si="32"/>
        <v>0</v>
      </c>
      <c r="R369">
        <f t="shared" si="33"/>
        <v>0</v>
      </c>
      <c r="S369">
        <f t="shared" si="34"/>
        <v>0</v>
      </c>
      <c r="T369">
        <f t="shared" si="35"/>
        <v>0</v>
      </c>
      <c r="U369">
        <f t="shared" si="36"/>
        <v>0</v>
      </c>
    </row>
    <row r="370" spans="2:21">
      <c r="B370" s="102">
        <v>44782</v>
      </c>
      <c r="C370">
        <v>3</v>
      </c>
      <c r="D370" t="s">
        <v>120</v>
      </c>
      <c r="E370" t="s">
        <v>121</v>
      </c>
      <c r="F370" t="s">
        <v>121</v>
      </c>
      <c r="G370" t="s">
        <v>121</v>
      </c>
      <c r="H370" t="s">
        <v>121</v>
      </c>
      <c r="I370" t="s">
        <v>121</v>
      </c>
      <c r="P370">
        <f t="shared" si="31"/>
        <v>1</v>
      </c>
      <c r="Q370">
        <f t="shared" si="32"/>
        <v>0</v>
      </c>
      <c r="R370">
        <f t="shared" si="33"/>
        <v>0</v>
      </c>
      <c r="S370">
        <f t="shared" si="34"/>
        <v>0</v>
      </c>
      <c r="T370">
        <f t="shared" si="35"/>
        <v>0</v>
      </c>
      <c r="U370">
        <f t="shared" si="36"/>
        <v>0</v>
      </c>
    </row>
    <row r="371" spans="2:21">
      <c r="B371" s="102">
        <v>44783</v>
      </c>
      <c r="C371">
        <v>2</v>
      </c>
      <c r="D371" t="s">
        <v>120</v>
      </c>
      <c r="E371" t="s">
        <v>121</v>
      </c>
      <c r="F371" t="s">
        <v>121</v>
      </c>
      <c r="G371" t="s">
        <v>121</v>
      </c>
      <c r="H371" t="s">
        <v>121</v>
      </c>
      <c r="I371" t="s">
        <v>121</v>
      </c>
      <c r="P371">
        <f t="shared" si="31"/>
        <v>1</v>
      </c>
      <c r="Q371">
        <f t="shared" si="32"/>
        <v>0</v>
      </c>
      <c r="R371">
        <f t="shared" si="33"/>
        <v>0</v>
      </c>
      <c r="S371">
        <f t="shared" si="34"/>
        <v>0</v>
      </c>
      <c r="T371">
        <f t="shared" si="35"/>
        <v>0</v>
      </c>
      <c r="U371">
        <f t="shared" si="36"/>
        <v>0</v>
      </c>
    </row>
    <row r="372" spans="2:21">
      <c r="B372" s="102">
        <v>44784</v>
      </c>
      <c r="C372">
        <v>2.5</v>
      </c>
      <c r="D372" t="s">
        <v>120</v>
      </c>
      <c r="E372" t="s">
        <v>121</v>
      </c>
      <c r="F372" t="s">
        <v>120</v>
      </c>
      <c r="G372" t="s">
        <v>121</v>
      </c>
      <c r="H372" t="s">
        <v>121</v>
      </c>
      <c r="I372" t="s">
        <v>121</v>
      </c>
      <c r="P372">
        <f t="shared" si="31"/>
        <v>1</v>
      </c>
      <c r="Q372">
        <f t="shared" si="32"/>
        <v>0</v>
      </c>
      <c r="R372">
        <f t="shared" si="33"/>
        <v>1</v>
      </c>
      <c r="S372">
        <f t="shared" si="34"/>
        <v>0</v>
      </c>
      <c r="T372">
        <f t="shared" si="35"/>
        <v>0</v>
      </c>
      <c r="U372">
        <f t="shared" si="36"/>
        <v>0</v>
      </c>
    </row>
    <row r="373" spans="2:21">
      <c r="B373" s="102">
        <v>44785</v>
      </c>
      <c r="C373">
        <v>2.5</v>
      </c>
      <c r="D373" t="s">
        <v>120</v>
      </c>
      <c r="E373" t="s">
        <v>120</v>
      </c>
      <c r="F373" t="s">
        <v>121</v>
      </c>
      <c r="G373" t="s">
        <v>121</v>
      </c>
      <c r="H373" t="s">
        <v>121</v>
      </c>
      <c r="I373" t="s">
        <v>121</v>
      </c>
      <c r="P373">
        <f t="shared" si="31"/>
        <v>1</v>
      </c>
      <c r="Q373">
        <f t="shared" si="32"/>
        <v>1</v>
      </c>
      <c r="R373">
        <f t="shared" si="33"/>
        <v>0</v>
      </c>
      <c r="S373">
        <f t="shared" si="34"/>
        <v>0</v>
      </c>
      <c r="T373">
        <f t="shared" si="35"/>
        <v>0</v>
      </c>
      <c r="U373">
        <f t="shared" si="36"/>
        <v>0</v>
      </c>
    </row>
    <row r="374" spans="2:21">
      <c r="B374" s="102">
        <v>44786</v>
      </c>
      <c r="C374">
        <v>3</v>
      </c>
      <c r="D374" t="s">
        <v>120</v>
      </c>
      <c r="E374" t="s">
        <v>121</v>
      </c>
      <c r="F374" t="s">
        <v>121</v>
      </c>
      <c r="G374" t="s">
        <v>120</v>
      </c>
      <c r="H374" t="s">
        <v>120</v>
      </c>
      <c r="I374" t="s">
        <v>121</v>
      </c>
      <c r="P374">
        <f t="shared" si="31"/>
        <v>1</v>
      </c>
      <c r="Q374">
        <f t="shared" si="32"/>
        <v>0</v>
      </c>
      <c r="R374">
        <f t="shared" si="33"/>
        <v>0</v>
      </c>
      <c r="S374">
        <f t="shared" si="34"/>
        <v>1</v>
      </c>
      <c r="T374">
        <f t="shared" si="35"/>
        <v>1</v>
      </c>
      <c r="U374">
        <f t="shared" si="36"/>
        <v>0</v>
      </c>
    </row>
    <row r="375" spans="2:21">
      <c r="B375" s="102">
        <v>44787</v>
      </c>
      <c r="C375">
        <v>2</v>
      </c>
      <c r="D375" t="s">
        <v>121</v>
      </c>
      <c r="E375" t="s">
        <v>121</v>
      </c>
      <c r="F375" t="s">
        <v>121</v>
      </c>
      <c r="G375" t="s">
        <v>121</v>
      </c>
      <c r="H375" t="s">
        <v>121</v>
      </c>
      <c r="I375" t="s">
        <v>121</v>
      </c>
      <c r="K375">
        <v>169.6</v>
      </c>
      <c r="P375">
        <f t="shared" si="31"/>
        <v>0</v>
      </c>
      <c r="Q375">
        <f t="shared" si="32"/>
        <v>0</v>
      </c>
      <c r="R375">
        <f t="shared" si="33"/>
        <v>0</v>
      </c>
      <c r="S375">
        <f t="shared" si="34"/>
        <v>0</v>
      </c>
      <c r="T375">
        <f t="shared" si="35"/>
        <v>0</v>
      </c>
      <c r="U375">
        <f t="shared" si="36"/>
        <v>0</v>
      </c>
    </row>
    <row r="376" spans="2:21">
      <c r="B376" s="102">
        <v>44788</v>
      </c>
      <c r="C376">
        <v>3</v>
      </c>
      <c r="D376" t="s">
        <v>120</v>
      </c>
      <c r="E376" t="s">
        <v>120</v>
      </c>
      <c r="F376" t="s">
        <v>121</v>
      </c>
      <c r="G376" t="s">
        <v>121</v>
      </c>
      <c r="H376" t="s">
        <v>121</v>
      </c>
      <c r="I376" t="s">
        <v>121</v>
      </c>
      <c r="P376">
        <f t="shared" si="31"/>
        <v>1</v>
      </c>
      <c r="Q376">
        <f t="shared" si="32"/>
        <v>1</v>
      </c>
      <c r="R376">
        <f t="shared" si="33"/>
        <v>0</v>
      </c>
      <c r="S376">
        <f t="shared" si="34"/>
        <v>0</v>
      </c>
      <c r="T376">
        <f t="shared" si="35"/>
        <v>0</v>
      </c>
      <c r="U376">
        <f t="shared" si="36"/>
        <v>0</v>
      </c>
    </row>
    <row r="377" spans="2:21">
      <c r="B377" s="102">
        <v>44789</v>
      </c>
      <c r="C377">
        <v>2.5</v>
      </c>
      <c r="D377" t="s">
        <v>120</v>
      </c>
      <c r="E377" t="s">
        <v>121</v>
      </c>
      <c r="F377" t="s">
        <v>121</v>
      </c>
      <c r="G377" t="s">
        <v>121</v>
      </c>
      <c r="H377" t="s">
        <v>121</v>
      </c>
      <c r="I377" t="s">
        <v>121</v>
      </c>
      <c r="P377">
        <f t="shared" si="31"/>
        <v>1</v>
      </c>
      <c r="Q377">
        <f t="shared" si="32"/>
        <v>0</v>
      </c>
      <c r="R377">
        <f t="shared" si="33"/>
        <v>0</v>
      </c>
      <c r="S377">
        <f t="shared" si="34"/>
        <v>0</v>
      </c>
      <c r="T377">
        <f t="shared" si="35"/>
        <v>0</v>
      </c>
      <c r="U377">
        <f t="shared" si="36"/>
        <v>0</v>
      </c>
    </row>
    <row r="378" spans="2:21">
      <c r="B378" s="102">
        <v>44790</v>
      </c>
      <c r="C378">
        <v>3</v>
      </c>
      <c r="D378" t="s">
        <v>120</v>
      </c>
      <c r="E378" t="s">
        <v>121</v>
      </c>
      <c r="F378" t="s">
        <v>121</v>
      </c>
      <c r="G378" t="s">
        <v>121</v>
      </c>
      <c r="H378" t="s">
        <v>121</v>
      </c>
      <c r="I378" t="s">
        <v>121</v>
      </c>
      <c r="P378">
        <f t="shared" si="31"/>
        <v>1</v>
      </c>
      <c r="Q378">
        <f t="shared" si="32"/>
        <v>0</v>
      </c>
      <c r="R378">
        <f t="shared" si="33"/>
        <v>0</v>
      </c>
      <c r="S378">
        <f t="shared" si="34"/>
        <v>0</v>
      </c>
      <c r="T378">
        <f t="shared" si="35"/>
        <v>0</v>
      </c>
      <c r="U378">
        <f t="shared" si="36"/>
        <v>0</v>
      </c>
    </row>
    <row r="379" spans="2:21">
      <c r="B379" s="102">
        <v>44791</v>
      </c>
      <c r="C379">
        <v>2.5</v>
      </c>
      <c r="D379" t="s">
        <v>120</v>
      </c>
      <c r="E379" t="s">
        <v>121</v>
      </c>
      <c r="F379" t="s">
        <v>121</v>
      </c>
      <c r="G379" t="s">
        <v>121</v>
      </c>
      <c r="H379" t="s">
        <v>121</v>
      </c>
      <c r="I379" t="s">
        <v>121</v>
      </c>
      <c r="P379">
        <f t="shared" si="31"/>
        <v>1</v>
      </c>
      <c r="Q379">
        <f t="shared" si="32"/>
        <v>0</v>
      </c>
      <c r="R379">
        <f t="shared" si="33"/>
        <v>0</v>
      </c>
      <c r="S379">
        <f t="shared" si="34"/>
        <v>0</v>
      </c>
      <c r="T379">
        <f t="shared" si="35"/>
        <v>0</v>
      </c>
      <c r="U379">
        <f t="shared" si="36"/>
        <v>0</v>
      </c>
    </row>
    <row r="380" spans="2:21">
      <c r="B380" s="102">
        <v>44792</v>
      </c>
      <c r="C380">
        <v>3.5</v>
      </c>
      <c r="D380" t="s">
        <v>120</v>
      </c>
      <c r="E380" t="s">
        <v>120</v>
      </c>
      <c r="F380" t="s">
        <v>121</v>
      </c>
      <c r="G380" t="s">
        <v>121</v>
      </c>
      <c r="H380" t="s">
        <v>121</v>
      </c>
      <c r="I380" t="s">
        <v>120</v>
      </c>
      <c r="P380">
        <f t="shared" si="31"/>
        <v>1</v>
      </c>
      <c r="Q380">
        <f t="shared" si="32"/>
        <v>1</v>
      </c>
      <c r="R380">
        <f t="shared" si="33"/>
        <v>0</v>
      </c>
      <c r="S380">
        <f t="shared" si="34"/>
        <v>0</v>
      </c>
      <c r="T380">
        <f t="shared" si="35"/>
        <v>0</v>
      </c>
      <c r="U380">
        <f t="shared" si="36"/>
        <v>1</v>
      </c>
    </row>
    <row r="381" spans="2:21">
      <c r="B381" s="102">
        <v>44793</v>
      </c>
      <c r="C381">
        <v>2</v>
      </c>
      <c r="D381" t="s">
        <v>120</v>
      </c>
      <c r="E381" t="s">
        <v>121</v>
      </c>
      <c r="F381" t="s">
        <v>121</v>
      </c>
      <c r="G381" t="s">
        <v>121</v>
      </c>
      <c r="H381" t="s">
        <v>121</v>
      </c>
      <c r="I381" t="s">
        <v>121</v>
      </c>
      <c r="P381">
        <f t="shared" si="31"/>
        <v>1</v>
      </c>
      <c r="Q381">
        <f t="shared" si="32"/>
        <v>0</v>
      </c>
      <c r="R381">
        <f t="shared" si="33"/>
        <v>0</v>
      </c>
      <c r="S381">
        <f t="shared" si="34"/>
        <v>0</v>
      </c>
      <c r="T381">
        <f t="shared" si="35"/>
        <v>0</v>
      </c>
      <c r="U381">
        <f t="shared" si="36"/>
        <v>0</v>
      </c>
    </row>
    <row r="382" spans="2:21">
      <c r="B382" s="102">
        <v>44794</v>
      </c>
      <c r="C382">
        <v>2</v>
      </c>
      <c r="D382" t="s">
        <v>121</v>
      </c>
      <c r="E382" t="s">
        <v>120</v>
      </c>
      <c r="F382" t="s">
        <v>121</v>
      </c>
      <c r="G382" t="s">
        <v>120</v>
      </c>
      <c r="H382" t="s">
        <v>121</v>
      </c>
      <c r="I382" t="s">
        <v>121</v>
      </c>
      <c r="K382">
        <v>167.2</v>
      </c>
      <c r="P382">
        <f t="shared" si="31"/>
        <v>0</v>
      </c>
      <c r="Q382">
        <f t="shared" si="32"/>
        <v>1</v>
      </c>
      <c r="R382">
        <f t="shared" si="33"/>
        <v>0</v>
      </c>
      <c r="S382">
        <f t="shared" si="34"/>
        <v>1</v>
      </c>
      <c r="T382">
        <f t="shared" si="35"/>
        <v>0</v>
      </c>
      <c r="U382">
        <f t="shared" si="36"/>
        <v>0</v>
      </c>
    </row>
    <row r="383" spans="2:21">
      <c r="B383" s="102">
        <v>44795</v>
      </c>
      <c r="C383">
        <v>3</v>
      </c>
      <c r="D383" t="s">
        <v>120</v>
      </c>
      <c r="E383" t="s">
        <v>121</v>
      </c>
      <c r="F383" t="s">
        <v>121</v>
      </c>
      <c r="G383" t="s">
        <v>121</v>
      </c>
      <c r="H383" t="s">
        <v>121</v>
      </c>
      <c r="I383" t="s">
        <v>121</v>
      </c>
      <c r="P383">
        <f t="shared" si="31"/>
        <v>1</v>
      </c>
      <c r="Q383">
        <f t="shared" si="32"/>
        <v>0</v>
      </c>
      <c r="R383">
        <f t="shared" si="33"/>
        <v>0</v>
      </c>
      <c r="S383">
        <f t="shared" si="34"/>
        <v>0</v>
      </c>
      <c r="T383">
        <f t="shared" si="35"/>
        <v>0</v>
      </c>
      <c r="U383">
        <f t="shared" si="36"/>
        <v>0</v>
      </c>
    </row>
    <row r="384" spans="2:21">
      <c r="B384" s="102">
        <v>44796</v>
      </c>
      <c r="C384">
        <v>3</v>
      </c>
      <c r="D384" t="s">
        <v>120</v>
      </c>
      <c r="E384" t="s">
        <v>121</v>
      </c>
      <c r="F384" t="s">
        <v>121</v>
      </c>
      <c r="G384" t="s">
        <v>121</v>
      </c>
      <c r="H384" t="s">
        <v>121</v>
      </c>
      <c r="I384" t="s">
        <v>121</v>
      </c>
      <c r="P384">
        <f t="shared" si="31"/>
        <v>1</v>
      </c>
      <c r="Q384">
        <f t="shared" si="32"/>
        <v>0</v>
      </c>
      <c r="R384">
        <f t="shared" si="33"/>
        <v>0</v>
      </c>
      <c r="S384">
        <f t="shared" si="34"/>
        <v>0</v>
      </c>
      <c r="T384">
        <f t="shared" si="35"/>
        <v>0</v>
      </c>
      <c r="U384">
        <f t="shared" si="36"/>
        <v>0</v>
      </c>
    </row>
    <row r="385" spans="2:21">
      <c r="B385" s="102">
        <v>44797</v>
      </c>
      <c r="C385">
        <v>2.5</v>
      </c>
      <c r="D385" t="s">
        <v>120</v>
      </c>
      <c r="E385" t="s">
        <v>121</v>
      </c>
      <c r="F385" t="s">
        <v>121</v>
      </c>
      <c r="G385" t="s">
        <v>121</v>
      </c>
      <c r="H385" t="s">
        <v>121</v>
      </c>
      <c r="I385" t="s">
        <v>121</v>
      </c>
      <c r="P385">
        <f t="shared" si="31"/>
        <v>1</v>
      </c>
      <c r="Q385">
        <f t="shared" si="32"/>
        <v>0</v>
      </c>
      <c r="R385">
        <f t="shared" si="33"/>
        <v>0</v>
      </c>
      <c r="S385">
        <f t="shared" si="34"/>
        <v>0</v>
      </c>
      <c r="T385">
        <f t="shared" si="35"/>
        <v>0</v>
      </c>
      <c r="U385">
        <f t="shared" si="36"/>
        <v>0</v>
      </c>
    </row>
    <row r="386" spans="2:21">
      <c r="B386" s="102">
        <v>44798</v>
      </c>
      <c r="C386">
        <v>3</v>
      </c>
      <c r="D386" t="s">
        <v>120</v>
      </c>
      <c r="E386" t="s">
        <v>121</v>
      </c>
      <c r="F386" t="s">
        <v>121</v>
      </c>
      <c r="G386" t="s">
        <v>121</v>
      </c>
      <c r="H386" t="s">
        <v>121</v>
      </c>
      <c r="I386" t="s">
        <v>121</v>
      </c>
      <c r="P386">
        <f t="shared" si="31"/>
        <v>1</v>
      </c>
      <c r="Q386">
        <f t="shared" si="32"/>
        <v>0</v>
      </c>
      <c r="R386">
        <f t="shared" si="33"/>
        <v>0</v>
      </c>
      <c r="S386">
        <f t="shared" si="34"/>
        <v>0</v>
      </c>
      <c r="T386">
        <f t="shared" si="35"/>
        <v>0</v>
      </c>
      <c r="U386">
        <f t="shared" si="36"/>
        <v>0</v>
      </c>
    </row>
    <row r="387" spans="2:21">
      <c r="B387" s="102">
        <v>44799</v>
      </c>
      <c r="C387">
        <v>3.5</v>
      </c>
      <c r="D387" t="s">
        <v>120</v>
      </c>
      <c r="E387" t="s">
        <v>121</v>
      </c>
      <c r="F387" t="s">
        <v>121</v>
      </c>
      <c r="G387" t="s">
        <v>121</v>
      </c>
      <c r="H387" t="s">
        <v>121</v>
      </c>
      <c r="I387" t="s">
        <v>120</v>
      </c>
      <c r="P387">
        <f t="shared" ref="P387:P450" si="37">IF(D387="YES", 1, 0)</f>
        <v>1</v>
      </c>
      <c r="Q387">
        <f t="shared" ref="Q387:Q450" si="38">IF(E387="YES", 1, 0)</f>
        <v>0</v>
      </c>
      <c r="R387">
        <f t="shared" ref="R387:R450" si="39">IF(F387="YES", 1, 0)</f>
        <v>0</v>
      </c>
      <c r="S387">
        <f t="shared" ref="S387:S450" si="40">IF(G387="YES", 1, 0)</f>
        <v>0</v>
      </c>
      <c r="T387">
        <f t="shared" ref="T387:T450" si="41">IF(H387="YES", 1, 0)</f>
        <v>0</v>
      </c>
      <c r="U387">
        <f t="shared" ref="U387:U450" si="42">IF(I387="YES", 1, 0)</f>
        <v>1</v>
      </c>
    </row>
    <row r="388" spans="2:21">
      <c r="B388" s="102">
        <v>44800</v>
      </c>
      <c r="C388">
        <v>3</v>
      </c>
      <c r="D388" t="s">
        <v>120</v>
      </c>
      <c r="E388" t="s">
        <v>120</v>
      </c>
      <c r="F388" t="s">
        <v>121</v>
      </c>
      <c r="G388" t="s">
        <v>121</v>
      </c>
      <c r="H388" t="s">
        <v>121</v>
      </c>
      <c r="I388" t="s">
        <v>121</v>
      </c>
      <c r="P388">
        <f t="shared" si="37"/>
        <v>1</v>
      </c>
      <c r="Q388">
        <f t="shared" si="38"/>
        <v>1</v>
      </c>
      <c r="R388">
        <f t="shared" si="39"/>
        <v>0</v>
      </c>
      <c r="S388">
        <f t="shared" si="40"/>
        <v>0</v>
      </c>
      <c r="T388">
        <f t="shared" si="41"/>
        <v>0</v>
      </c>
      <c r="U388">
        <f t="shared" si="42"/>
        <v>0</v>
      </c>
    </row>
    <row r="389" spans="2:21">
      <c r="B389" s="102">
        <v>44801</v>
      </c>
      <c r="C389">
        <v>2</v>
      </c>
      <c r="D389" t="s">
        <v>121</v>
      </c>
      <c r="E389" t="s">
        <v>121</v>
      </c>
      <c r="F389" t="s">
        <v>121</v>
      </c>
      <c r="G389" t="s">
        <v>121</v>
      </c>
      <c r="H389" t="s">
        <v>121</v>
      </c>
      <c r="I389" t="s">
        <v>121</v>
      </c>
      <c r="K389">
        <v>169.6</v>
      </c>
      <c r="P389">
        <f t="shared" si="37"/>
        <v>0</v>
      </c>
      <c r="Q389">
        <f t="shared" si="38"/>
        <v>0</v>
      </c>
      <c r="R389">
        <f t="shared" si="39"/>
        <v>0</v>
      </c>
      <c r="S389">
        <f t="shared" si="40"/>
        <v>0</v>
      </c>
      <c r="T389">
        <f t="shared" si="41"/>
        <v>0</v>
      </c>
      <c r="U389">
        <f t="shared" si="42"/>
        <v>0</v>
      </c>
    </row>
    <row r="390" spans="2:21">
      <c r="B390" s="102">
        <v>44802</v>
      </c>
      <c r="C390">
        <v>2</v>
      </c>
      <c r="D390" t="s">
        <v>120</v>
      </c>
      <c r="E390" t="s">
        <v>121</v>
      </c>
      <c r="F390" t="s">
        <v>121</v>
      </c>
      <c r="G390" t="s">
        <v>121</v>
      </c>
      <c r="H390" t="s">
        <v>121</v>
      </c>
      <c r="I390" t="s">
        <v>121</v>
      </c>
      <c r="P390">
        <f t="shared" si="37"/>
        <v>1</v>
      </c>
      <c r="Q390">
        <f t="shared" si="38"/>
        <v>0</v>
      </c>
      <c r="R390">
        <f t="shared" si="39"/>
        <v>0</v>
      </c>
      <c r="S390">
        <f t="shared" si="40"/>
        <v>0</v>
      </c>
      <c r="T390">
        <f t="shared" si="41"/>
        <v>0</v>
      </c>
      <c r="U390">
        <f t="shared" si="42"/>
        <v>0</v>
      </c>
    </row>
    <row r="391" spans="2:21">
      <c r="B391" s="102">
        <v>44803</v>
      </c>
      <c r="C391">
        <v>3</v>
      </c>
      <c r="D391" t="s">
        <v>120</v>
      </c>
      <c r="E391" t="s">
        <v>121</v>
      </c>
      <c r="F391" t="s">
        <v>121</v>
      </c>
      <c r="G391" t="s">
        <v>121</v>
      </c>
      <c r="H391" t="s">
        <v>121</v>
      </c>
      <c r="I391" t="s">
        <v>121</v>
      </c>
      <c r="P391">
        <f t="shared" si="37"/>
        <v>1</v>
      </c>
      <c r="Q391">
        <f t="shared" si="38"/>
        <v>0</v>
      </c>
      <c r="R391">
        <f t="shared" si="39"/>
        <v>0</v>
      </c>
      <c r="S391">
        <f t="shared" si="40"/>
        <v>0</v>
      </c>
      <c r="T391">
        <f t="shared" si="41"/>
        <v>0</v>
      </c>
      <c r="U391">
        <f t="shared" si="42"/>
        <v>0</v>
      </c>
    </row>
    <row r="392" spans="2:21">
      <c r="B392" s="102">
        <v>44804</v>
      </c>
      <c r="C392">
        <v>3</v>
      </c>
      <c r="D392" t="s">
        <v>120</v>
      </c>
      <c r="E392" t="s">
        <v>121</v>
      </c>
      <c r="F392" t="s">
        <v>121</v>
      </c>
      <c r="G392" t="s">
        <v>121</v>
      </c>
      <c r="H392" t="s">
        <v>121</v>
      </c>
      <c r="I392" t="s">
        <v>121</v>
      </c>
      <c r="P392">
        <f t="shared" si="37"/>
        <v>1</v>
      </c>
      <c r="Q392">
        <f t="shared" si="38"/>
        <v>0</v>
      </c>
      <c r="R392">
        <f t="shared" si="39"/>
        <v>0</v>
      </c>
      <c r="S392">
        <f t="shared" si="40"/>
        <v>0</v>
      </c>
      <c r="T392">
        <f t="shared" si="41"/>
        <v>0</v>
      </c>
      <c r="U392">
        <f t="shared" si="42"/>
        <v>0</v>
      </c>
    </row>
    <row r="393" spans="2:21">
      <c r="B393" s="102">
        <v>44805</v>
      </c>
      <c r="C393">
        <v>3</v>
      </c>
      <c r="D393" t="s">
        <v>120</v>
      </c>
      <c r="E393" t="s">
        <v>121</v>
      </c>
      <c r="F393" t="s">
        <v>121</v>
      </c>
      <c r="G393" t="s">
        <v>121</v>
      </c>
      <c r="H393" t="s">
        <v>121</v>
      </c>
      <c r="I393" t="s">
        <v>121</v>
      </c>
      <c r="P393">
        <f t="shared" si="37"/>
        <v>1</v>
      </c>
      <c r="Q393">
        <f t="shared" si="38"/>
        <v>0</v>
      </c>
      <c r="R393">
        <f t="shared" si="39"/>
        <v>0</v>
      </c>
      <c r="S393">
        <f t="shared" si="40"/>
        <v>0</v>
      </c>
      <c r="T393">
        <f t="shared" si="41"/>
        <v>0</v>
      </c>
      <c r="U393">
        <f t="shared" si="42"/>
        <v>0</v>
      </c>
    </row>
    <row r="394" spans="2:21">
      <c r="B394" s="102">
        <v>44806</v>
      </c>
      <c r="C394">
        <v>3</v>
      </c>
      <c r="D394" t="s">
        <v>120</v>
      </c>
      <c r="E394" t="s">
        <v>121</v>
      </c>
      <c r="F394" t="s">
        <v>121</v>
      </c>
      <c r="G394" t="s">
        <v>121</v>
      </c>
      <c r="H394" t="s">
        <v>121</v>
      </c>
      <c r="I394" t="s">
        <v>121</v>
      </c>
      <c r="P394">
        <f t="shared" si="37"/>
        <v>1</v>
      </c>
      <c r="Q394">
        <f t="shared" si="38"/>
        <v>0</v>
      </c>
      <c r="R394">
        <f t="shared" si="39"/>
        <v>0</v>
      </c>
      <c r="S394">
        <f t="shared" si="40"/>
        <v>0</v>
      </c>
      <c r="T394">
        <f t="shared" si="41"/>
        <v>0</v>
      </c>
      <c r="U394">
        <f t="shared" si="42"/>
        <v>0</v>
      </c>
    </row>
    <row r="395" spans="2:21">
      <c r="B395" s="102">
        <v>44807</v>
      </c>
      <c r="C395">
        <v>2.5</v>
      </c>
      <c r="D395" t="s">
        <v>120</v>
      </c>
      <c r="E395" t="s">
        <v>121</v>
      </c>
      <c r="F395" t="s">
        <v>121</v>
      </c>
      <c r="G395" t="s">
        <v>121</v>
      </c>
      <c r="H395" t="s">
        <v>121</v>
      </c>
      <c r="I395" t="s">
        <v>121</v>
      </c>
      <c r="P395">
        <f t="shared" si="37"/>
        <v>1</v>
      </c>
      <c r="Q395">
        <f t="shared" si="38"/>
        <v>0</v>
      </c>
      <c r="R395">
        <f t="shared" si="39"/>
        <v>0</v>
      </c>
      <c r="S395">
        <f t="shared" si="40"/>
        <v>0</v>
      </c>
      <c r="T395">
        <f t="shared" si="41"/>
        <v>0</v>
      </c>
      <c r="U395">
        <f t="shared" si="42"/>
        <v>0</v>
      </c>
    </row>
    <row r="396" spans="2:21">
      <c r="B396" s="102">
        <v>44808</v>
      </c>
      <c r="C396">
        <v>3</v>
      </c>
      <c r="D396" t="s">
        <v>120</v>
      </c>
      <c r="E396" t="s">
        <v>121</v>
      </c>
      <c r="F396" t="s">
        <v>121</v>
      </c>
      <c r="G396" t="s">
        <v>120</v>
      </c>
      <c r="H396" t="s">
        <v>121</v>
      </c>
      <c r="I396" t="s">
        <v>121</v>
      </c>
      <c r="K396">
        <v>170.4</v>
      </c>
      <c r="P396">
        <f t="shared" si="37"/>
        <v>1</v>
      </c>
      <c r="Q396">
        <f t="shared" si="38"/>
        <v>0</v>
      </c>
      <c r="R396">
        <f t="shared" si="39"/>
        <v>0</v>
      </c>
      <c r="S396">
        <f t="shared" si="40"/>
        <v>1</v>
      </c>
      <c r="T396">
        <f t="shared" si="41"/>
        <v>0</v>
      </c>
      <c r="U396">
        <f t="shared" si="42"/>
        <v>0</v>
      </c>
    </row>
    <row r="397" spans="2:21">
      <c r="B397" s="102">
        <v>44809</v>
      </c>
      <c r="C397">
        <v>3.5</v>
      </c>
      <c r="D397" t="s">
        <v>121</v>
      </c>
      <c r="E397" t="s">
        <v>121</v>
      </c>
      <c r="F397" t="s">
        <v>121</v>
      </c>
      <c r="G397" t="s">
        <v>121</v>
      </c>
      <c r="H397" t="s">
        <v>121</v>
      </c>
      <c r="I397" t="s">
        <v>121</v>
      </c>
      <c r="P397">
        <f t="shared" si="37"/>
        <v>0</v>
      </c>
      <c r="Q397">
        <f t="shared" si="38"/>
        <v>0</v>
      </c>
      <c r="R397">
        <f t="shared" si="39"/>
        <v>0</v>
      </c>
      <c r="S397">
        <f t="shared" si="40"/>
        <v>0</v>
      </c>
      <c r="T397">
        <f t="shared" si="41"/>
        <v>0</v>
      </c>
      <c r="U397">
        <f t="shared" si="42"/>
        <v>0</v>
      </c>
    </row>
    <row r="398" spans="2:21">
      <c r="B398" s="102">
        <v>44810</v>
      </c>
      <c r="C398">
        <v>2.5</v>
      </c>
      <c r="D398" t="s">
        <v>120</v>
      </c>
      <c r="E398" t="s">
        <v>120</v>
      </c>
      <c r="F398" t="s">
        <v>120</v>
      </c>
      <c r="G398" t="s">
        <v>121</v>
      </c>
      <c r="H398" t="s">
        <v>121</v>
      </c>
      <c r="I398" t="s">
        <v>121</v>
      </c>
      <c r="L398">
        <v>174.4</v>
      </c>
      <c r="P398">
        <f t="shared" si="37"/>
        <v>1</v>
      </c>
      <c r="Q398">
        <f t="shared" si="38"/>
        <v>1</v>
      </c>
      <c r="R398">
        <f t="shared" si="39"/>
        <v>1</v>
      </c>
      <c r="S398">
        <f t="shared" si="40"/>
        <v>0</v>
      </c>
      <c r="T398">
        <f t="shared" si="41"/>
        <v>0</v>
      </c>
      <c r="U398">
        <f t="shared" si="42"/>
        <v>0</v>
      </c>
    </row>
    <row r="399" spans="2:21">
      <c r="B399" s="102">
        <v>44811</v>
      </c>
      <c r="C399">
        <v>2.5</v>
      </c>
      <c r="D399" t="s">
        <v>120</v>
      </c>
      <c r="E399" t="s">
        <v>121</v>
      </c>
      <c r="F399" t="s">
        <v>121</v>
      </c>
      <c r="G399" t="s">
        <v>121</v>
      </c>
      <c r="H399" t="s">
        <v>121</v>
      </c>
      <c r="I399" t="s">
        <v>121</v>
      </c>
      <c r="P399">
        <f t="shared" si="37"/>
        <v>1</v>
      </c>
      <c r="Q399">
        <f t="shared" si="38"/>
        <v>0</v>
      </c>
      <c r="R399">
        <f t="shared" si="39"/>
        <v>0</v>
      </c>
      <c r="S399">
        <f t="shared" si="40"/>
        <v>0</v>
      </c>
      <c r="T399">
        <f t="shared" si="41"/>
        <v>0</v>
      </c>
      <c r="U399">
        <f t="shared" si="42"/>
        <v>0</v>
      </c>
    </row>
    <row r="400" spans="2:21">
      <c r="B400" s="102">
        <v>44812</v>
      </c>
      <c r="C400">
        <v>2</v>
      </c>
      <c r="D400" t="s">
        <v>120</v>
      </c>
      <c r="E400" t="s">
        <v>121</v>
      </c>
      <c r="F400" t="s">
        <v>121</v>
      </c>
      <c r="G400" t="s">
        <v>121</v>
      </c>
      <c r="H400" t="s">
        <v>121</v>
      </c>
      <c r="I400" t="s">
        <v>121</v>
      </c>
      <c r="P400">
        <f t="shared" si="37"/>
        <v>1</v>
      </c>
      <c r="Q400">
        <f t="shared" si="38"/>
        <v>0</v>
      </c>
      <c r="R400">
        <f t="shared" si="39"/>
        <v>0</v>
      </c>
      <c r="S400">
        <f t="shared" si="40"/>
        <v>0</v>
      </c>
      <c r="T400">
        <f t="shared" si="41"/>
        <v>0</v>
      </c>
      <c r="U400">
        <f t="shared" si="42"/>
        <v>0</v>
      </c>
    </row>
    <row r="401" spans="2:21">
      <c r="B401" s="102">
        <v>44813</v>
      </c>
      <c r="C401">
        <v>3</v>
      </c>
      <c r="D401" t="s">
        <v>120</v>
      </c>
      <c r="E401" t="s">
        <v>121</v>
      </c>
      <c r="F401" t="s">
        <v>121</v>
      </c>
      <c r="G401" t="s">
        <v>121</v>
      </c>
      <c r="H401" t="s">
        <v>121</v>
      </c>
      <c r="I401" t="s">
        <v>121</v>
      </c>
      <c r="P401">
        <f t="shared" si="37"/>
        <v>1</v>
      </c>
      <c r="Q401">
        <f t="shared" si="38"/>
        <v>0</v>
      </c>
      <c r="R401">
        <f t="shared" si="39"/>
        <v>0</v>
      </c>
      <c r="S401">
        <f t="shared" si="40"/>
        <v>0</v>
      </c>
      <c r="T401">
        <f t="shared" si="41"/>
        <v>0</v>
      </c>
      <c r="U401">
        <f t="shared" si="42"/>
        <v>0</v>
      </c>
    </row>
    <row r="402" spans="2:21">
      <c r="B402" s="102">
        <v>44814</v>
      </c>
      <c r="C402">
        <v>2.5</v>
      </c>
      <c r="D402" t="s">
        <v>120</v>
      </c>
      <c r="E402" t="s">
        <v>121</v>
      </c>
      <c r="F402" t="s">
        <v>121</v>
      </c>
      <c r="G402" t="s">
        <v>121</v>
      </c>
      <c r="H402" t="s">
        <v>121</v>
      </c>
      <c r="I402" t="s">
        <v>121</v>
      </c>
      <c r="P402">
        <f t="shared" si="37"/>
        <v>1</v>
      </c>
      <c r="Q402">
        <f t="shared" si="38"/>
        <v>0</v>
      </c>
      <c r="R402">
        <f t="shared" si="39"/>
        <v>0</v>
      </c>
      <c r="S402">
        <f t="shared" si="40"/>
        <v>0</v>
      </c>
      <c r="T402">
        <f t="shared" si="41"/>
        <v>0</v>
      </c>
      <c r="U402">
        <f t="shared" si="42"/>
        <v>0</v>
      </c>
    </row>
    <row r="403" spans="2:21">
      <c r="B403" s="102">
        <v>44815</v>
      </c>
      <c r="C403">
        <v>2.5</v>
      </c>
      <c r="D403" t="s">
        <v>121</v>
      </c>
      <c r="E403" t="s">
        <v>120</v>
      </c>
      <c r="F403" t="s">
        <v>121</v>
      </c>
      <c r="G403" t="s">
        <v>121</v>
      </c>
      <c r="H403" t="s">
        <v>121</v>
      </c>
      <c r="I403" t="s">
        <v>121</v>
      </c>
      <c r="K403">
        <v>170</v>
      </c>
      <c r="P403">
        <f t="shared" si="37"/>
        <v>0</v>
      </c>
      <c r="Q403">
        <f t="shared" si="38"/>
        <v>1</v>
      </c>
      <c r="R403">
        <f t="shared" si="39"/>
        <v>0</v>
      </c>
      <c r="S403">
        <f t="shared" si="40"/>
        <v>0</v>
      </c>
      <c r="T403">
        <f t="shared" si="41"/>
        <v>0</v>
      </c>
      <c r="U403">
        <f t="shared" si="42"/>
        <v>0</v>
      </c>
    </row>
    <row r="404" spans="2:21">
      <c r="B404" s="102">
        <v>44816</v>
      </c>
      <c r="C404">
        <v>2</v>
      </c>
      <c r="D404" t="s">
        <v>120</v>
      </c>
      <c r="E404" t="s">
        <v>121</v>
      </c>
      <c r="F404" t="s">
        <v>121</v>
      </c>
      <c r="G404" t="s">
        <v>121</v>
      </c>
      <c r="H404" t="s">
        <v>121</v>
      </c>
      <c r="I404" t="s">
        <v>121</v>
      </c>
      <c r="P404">
        <f t="shared" si="37"/>
        <v>1</v>
      </c>
      <c r="Q404">
        <f t="shared" si="38"/>
        <v>0</v>
      </c>
      <c r="R404">
        <f t="shared" si="39"/>
        <v>0</v>
      </c>
      <c r="S404">
        <f t="shared" si="40"/>
        <v>0</v>
      </c>
      <c r="T404">
        <f t="shared" si="41"/>
        <v>0</v>
      </c>
      <c r="U404">
        <f t="shared" si="42"/>
        <v>0</v>
      </c>
    </row>
    <row r="405" spans="2:21">
      <c r="B405" s="102">
        <v>44817</v>
      </c>
      <c r="C405">
        <v>3</v>
      </c>
      <c r="D405" t="s">
        <v>120</v>
      </c>
      <c r="E405" t="s">
        <v>121</v>
      </c>
      <c r="F405" t="s">
        <v>121</v>
      </c>
      <c r="G405" t="s">
        <v>121</v>
      </c>
      <c r="H405" t="s">
        <v>121</v>
      </c>
      <c r="I405" t="s">
        <v>121</v>
      </c>
      <c r="P405">
        <f t="shared" si="37"/>
        <v>1</v>
      </c>
      <c r="Q405">
        <f t="shared" si="38"/>
        <v>0</v>
      </c>
      <c r="R405">
        <f t="shared" si="39"/>
        <v>0</v>
      </c>
      <c r="S405">
        <f t="shared" si="40"/>
        <v>0</v>
      </c>
      <c r="T405">
        <f t="shared" si="41"/>
        <v>0</v>
      </c>
      <c r="U405">
        <f t="shared" si="42"/>
        <v>0</v>
      </c>
    </row>
    <row r="406" spans="2:21">
      <c r="B406" s="102">
        <v>44818</v>
      </c>
      <c r="C406">
        <v>2.5</v>
      </c>
      <c r="D406" t="s">
        <v>120</v>
      </c>
      <c r="E406" t="s">
        <v>121</v>
      </c>
      <c r="F406" t="s">
        <v>121</v>
      </c>
      <c r="G406" t="s">
        <v>121</v>
      </c>
      <c r="H406" t="s">
        <v>121</v>
      </c>
      <c r="I406" t="s">
        <v>121</v>
      </c>
      <c r="P406">
        <f t="shared" si="37"/>
        <v>1</v>
      </c>
      <c r="Q406">
        <f t="shared" si="38"/>
        <v>0</v>
      </c>
      <c r="R406">
        <f t="shared" si="39"/>
        <v>0</v>
      </c>
      <c r="S406">
        <f t="shared" si="40"/>
        <v>0</v>
      </c>
      <c r="T406">
        <f t="shared" si="41"/>
        <v>0</v>
      </c>
      <c r="U406">
        <f t="shared" si="42"/>
        <v>0</v>
      </c>
    </row>
    <row r="407" spans="2:21">
      <c r="B407" s="102">
        <v>44819</v>
      </c>
      <c r="C407">
        <v>2.5</v>
      </c>
      <c r="D407" t="s">
        <v>120</v>
      </c>
      <c r="E407" t="s">
        <v>121</v>
      </c>
      <c r="F407" t="s">
        <v>121</v>
      </c>
      <c r="G407" t="s">
        <v>121</v>
      </c>
      <c r="H407" t="s">
        <v>121</v>
      </c>
      <c r="I407" t="s">
        <v>121</v>
      </c>
      <c r="P407">
        <f t="shared" si="37"/>
        <v>1</v>
      </c>
      <c r="Q407">
        <f t="shared" si="38"/>
        <v>0</v>
      </c>
      <c r="R407">
        <f t="shared" si="39"/>
        <v>0</v>
      </c>
      <c r="S407">
        <f t="shared" si="40"/>
        <v>0</v>
      </c>
      <c r="T407">
        <f t="shared" si="41"/>
        <v>0</v>
      </c>
      <c r="U407">
        <f t="shared" si="42"/>
        <v>0</v>
      </c>
    </row>
    <row r="408" spans="2:21">
      <c r="B408" s="102">
        <v>44820</v>
      </c>
      <c r="C408">
        <v>3</v>
      </c>
      <c r="D408" t="s">
        <v>120</v>
      </c>
      <c r="E408" t="s">
        <v>121</v>
      </c>
      <c r="F408" t="s">
        <v>211</v>
      </c>
      <c r="G408" t="s">
        <v>121</v>
      </c>
      <c r="H408" t="s">
        <v>121</v>
      </c>
      <c r="I408" t="s">
        <v>121</v>
      </c>
      <c r="P408">
        <f t="shared" si="37"/>
        <v>1</v>
      </c>
      <c r="Q408">
        <f t="shared" si="38"/>
        <v>0</v>
      </c>
      <c r="R408">
        <f t="shared" si="39"/>
        <v>0</v>
      </c>
      <c r="S408">
        <f t="shared" si="40"/>
        <v>0</v>
      </c>
      <c r="T408">
        <f t="shared" si="41"/>
        <v>0</v>
      </c>
      <c r="U408">
        <f t="shared" si="42"/>
        <v>0</v>
      </c>
    </row>
    <row r="409" spans="2:21">
      <c r="B409" s="102">
        <v>44821</v>
      </c>
      <c r="C409">
        <v>3</v>
      </c>
      <c r="D409" t="s">
        <v>120</v>
      </c>
      <c r="E409" t="s">
        <v>121</v>
      </c>
      <c r="F409" t="s">
        <v>211</v>
      </c>
      <c r="G409" t="s">
        <v>121</v>
      </c>
      <c r="H409" t="s">
        <v>121</v>
      </c>
      <c r="I409" t="s">
        <v>121</v>
      </c>
      <c r="P409">
        <f t="shared" si="37"/>
        <v>1</v>
      </c>
      <c r="Q409">
        <f t="shared" si="38"/>
        <v>0</v>
      </c>
      <c r="R409">
        <f t="shared" si="39"/>
        <v>0</v>
      </c>
      <c r="S409">
        <f t="shared" si="40"/>
        <v>0</v>
      </c>
      <c r="T409">
        <f t="shared" si="41"/>
        <v>0</v>
      </c>
      <c r="U409">
        <f t="shared" si="42"/>
        <v>0</v>
      </c>
    </row>
    <row r="410" spans="2:21">
      <c r="B410" s="102">
        <v>44822</v>
      </c>
      <c r="C410">
        <v>2.5</v>
      </c>
      <c r="D410" t="s">
        <v>120</v>
      </c>
      <c r="E410" t="s">
        <v>120</v>
      </c>
      <c r="F410" t="s">
        <v>121</v>
      </c>
      <c r="G410" t="s">
        <v>121</v>
      </c>
      <c r="H410" t="s">
        <v>121</v>
      </c>
      <c r="I410" t="s">
        <v>121</v>
      </c>
      <c r="K410">
        <v>173.4</v>
      </c>
      <c r="P410">
        <f t="shared" si="37"/>
        <v>1</v>
      </c>
      <c r="Q410">
        <f t="shared" si="38"/>
        <v>1</v>
      </c>
      <c r="R410">
        <f t="shared" si="39"/>
        <v>0</v>
      </c>
      <c r="S410">
        <f t="shared" si="40"/>
        <v>0</v>
      </c>
      <c r="T410">
        <f t="shared" si="41"/>
        <v>0</v>
      </c>
      <c r="U410">
        <f t="shared" si="42"/>
        <v>0</v>
      </c>
    </row>
    <row r="411" spans="2:21">
      <c r="B411" s="102">
        <v>44823</v>
      </c>
      <c r="C411">
        <v>3</v>
      </c>
      <c r="D411" t="s">
        <v>120</v>
      </c>
      <c r="E411" t="s">
        <v>121</v>
      </c>
      <c r="F411" t="s">
        <v>121</v>
      </c>
      <c r="G411" t="s">
        <v>121</v>
      </c>
      <c r="H411" t="s">
        <v>121</v>
      </c>
      <c r="I411" t="s">
        <v>121</v>
      </c>
      <c r="P411">
        <f t="shared" si="37"/>
        <v>1</v>
      </c>
      <c r="Q411">
        <f t="shared" si="38"/>
        <v>0</v>
      </c>
      <c r="R411">
        <f t="shared" si="39"/>
        <v>0</v>
      </c>
      <c r="S411">
        <f t="shared" si="40"/>
        <v>0</v>
      </c>
      <c r="T411">
        <f t="shared" si="41"/>
        <v>0</v>
      </c>
      <c r="U411">
        <f t="shared" si="42"/>
        <v>0</v>
      </c>
    </row>
    <row r="412" spans="2:21">
      <c r="B412" s="102">
        <v>44824</v>
      </c>
      <c r="C412">
        <v>3</v>
      </c>
      <c r="D412" t="s">
        <v>120</v>
      </c>
      <c r="E412" t="s">
        <v>121</v>
      </c>
      <c r="F412" t="s">
        <v>121</v>
      </c>
      <c r="G412" t="s">
        <v>121</v>
      </c>
      <c r="H412" t="s">
        <v>121</v>
      </c>
      <c r="I412" t="s">
        <v>121</v>
      </c>
      <c r="P412">
        <f t="shared" si="37"/>
        <v>1</v>
      </c>
      <c r="Q412">
        <f t="shared" si="38"/>
        <v>0</v>
      </c>
      <c r="R412">
        <f t="shared" si="39"/>
        <v>0</v>
      </c>
      <c r="S412">
        <f t="shared" si="40"/>
        <v>0</v>
      </c>
      <c r="T412">
        <f t="shared" si="41"/>
        <v>0</v>
      </c>
      <c r="U412">
        <f t="shared" si="42"/>
        <v>0</v>
      </c>
    </row>
    <row r="413" spans="2:21">
      <c r="B413" s="102">
        <v>44825</v>
      </c>
      <c r="C413">
        <v>2.5</v>
      </c>
      <c r="D413" t="s">
        <v>120</v>
      </c>
      <c r="E413" t="s">
        <v>121</v>
      </c>
      <c r="F413" t="s">
        <v>121</v>
      </c>
      <c r="G413" t="s">
        <v>121</v>
      </c>
      <c r="H413" t="s">
        <v>121</v>
      </c>
      <c r="I413" t="s">
        <v>121</v>
      </c>
      <c r="P413">
        <f t="shared" si="37"/>
        <v>1</v>
      </c>
      <c r="Q413">
        <f t="shared" si="38"/>
        <v>0</v>
      </c>
      <c r="R413">
        <f t="shared" si="39"/>
        <v>0</v>
      </c>
      <c r="S413">
        <f t="shared" si="40"/>
        <v>0</v>
      </c>
      <c r="T413">
        <f t="shared" si="41"/>
        <v>0</v>
      </c>
      <c r="U413">
        <f t="shared" si="42"/>
        <v>0</v>
      </c>
    </row>
    <row r="414" spans="2:21">
      <c r="B414" s="102">
        <v>44826</v>
      </c>
      <c r="C414">
        <v>2.5</v>
      </c>
      <c r="D414" t="s">
        <v>120</v>
      </c>
      <c r="E414" t="s">
        <v>121</v>
      </c>
      <c r="F414" t="s">
        <v>121</v>
      </c>
      <c r="G414" t="s">
        <v>121</v>
      </c>
      <c r="H414" t="s">
        <v>121</v>
      </c>
      <c r="I414" t="s">
        <v>121</v>
      </c>
      <c r="P414">
        <f t="shared" si="37"/>
        <v>1</v>
      </c>
      <c r="Q414">
        <f t="shared" si="38"/>
        <v>0</v>
      </c>
      <c r="R414">
        <f t="shared" si="39"/>
        <v>0</v>
      </c>
      <c r="S414">
        <f t="shared" si="40"/>
        <v>0</v>
      </c>
      <c r="T414">
        <f t="shared" si="41"/>
        <v>0</v>
      </c>
      <c r="U414">
        <f t="shared" si="42"/>
        <v>0</v>
      </c>
    </row>
    <row r="415" spans="2:21">
      <c r="B415" s="102">
        <v>44827</v>
      </c>
      <c r="C415">
        <v>3</v>
      </c>
      <c r="D415" t="s">
        <v>120</v>
      </c>
      <c r="E415" t="s">
        <v>121</v>
      </c>
      <c r="F415" t="s">
        <v>121</v>
      </c>
      <c r="G415" t="s">
        <v>121</v>
      </c>
      <c r="H415" t="s">
        <v>121</v>
      </c>
      <c r="I415" t="s">
        <v>121</v>
      </c>
      <c r="P415">
        <f t="shared" si="37"/>
        <v>1</v>
      </c>
      <c r="Q415">
        <f t="shared" si="38"/>
        <v>0</v>
      </c>
      <c r="R415">
        <f t="shared" si="39"/>
        <v>0</v>
      </c>
      <c r="S415">
        <f t="shared" si="40"/>
        <v>0</v>
      </c>
      <c r="T415">
        <f t="shared" si="41"/>
        <v>0</v>
      </c>
      <c r="U415">
        <f t="shared" si="42"/>
        <v>0</v>
      </c>
    </row>
    <row r="416" spans="2:21">
      <c r="B416" s="102">
        <v>44828</v>
      </c>
      <c r="C416">
        <v>3</v>
      </c>
      <c r="D416" t="s">
        <v>120</v>
      </c>
      <c r="E416" t="s">
        <v>121</v>
      </c>
      <c r="F416" t="s">
        <v>121</v>
      </c>
      <c r="G416" t="s">
        <v>121</v>
      </c>
      <c r="H416" t="s">
        <v>121</v>
      </c>
      <c r="I416" t="s">
        <v>120</v>
      </c>
      <c r="P416">
        <f t="shared" si="37"/>
        <v>1</v>
      </c>
      <c r="Q416">
        <f t="shared" si="38"/>
        <v>0</v>
      </c>
      <c r="R416">
        <f t="shared" si="39"/>
        <v>0</v>
      </c>
      <c r="S416">
        <f t="shared" si="40"/>
        <v>0</v>
      </c>
      <c r="T416">
        <f t="shared" si="41"/>
        <v>0</v>
      </c>
      <c r="U416">
        <f t="shared" si="42"/>
        <v>1</v>
      </c>
    </row>
    <row r="417" spans="2:21">
      <c r="B417" s="102">
        <v>44829</v>
      </c>
      <c r="C417">
        <v>3</v>
      </c>
      <c r="D417" t="s">
        <v>121</v>
      </c>
      <c r="E417" t="s">
        <v>120</v>
      </c>
      <c r="F417" t="s">
        <v>121</v>
      </c>
      <c r="G417" t="s">
        <v>120</v>
      </c>
      <c r="H417" t="s">
        <v>120</v>
      </c>
      <c r="I417" t="s">
        <v>121</v>
      </c>
      <c r="K417">
        <v>175</v>
      </c>
      <c r="P417">
        <f t="shared" si="37"/>
        <v>0</v>
      </c>
      <c r="Q417">
        <f t="shared" si="38"/>
        <v>1</v>
      </c>
      <c r="R417">
        <f t="shared" si="39"/>
        <v>0</v>
      </c>
      <c r="S417">
        <f t="shared" si="40"/>
        <v>1</v>
      </c>
      <c r="T417">
        <f t="shared" si="41"/>
        <v>1</v>
      </c>
      <c r="U417">
        <f t="shared" si="42"/>
        <v>0</v>
      </c>
    </row>
    <row r="418" spans="2:21">
      <c r="B418" s="102">
        <v>44830</v>
      </c>
      <c r="C418">
        <v>2.5</v>
      </c>
      <c r="D418" t="s">
        <v>120</v>
      </c>
      <c r="E418" t="s">
        <v>121</v>
      </c>
      <c r="F418" t="s">
        <v>121</v>
      </c>
      <c r="G418" t="s">
        <v>121</v>
      </c>
      <c r="H418" t="s">
        <v>121</v>
      </c>
      <c r="I418" t="s">
        <v>121</v>
      </c>
      <c r="P418">
        <f t="shared" si="37"/>
        <v>1</v>
      </c>
      <c r="Q418">
        <f t="shared" si="38"/>
        <v>0</v>
      </c>
      <c r="R418">
        <f t="shared" si="39"/>
        <v>0</v>
      </c>
      <c r="S418">
        <f t="shared" si="40"/>
        <v>0</v>
      </c>
      <c r="T418">
        <f t="shared" si="41"/>
        <v>0</v>
      </c>
      <c r="U418">
        <f t="shared" si="42"/>
        <v>0</v>
      </c>
    </row>
    <row r="419" spans="2:21">
      <c r="B419" s="102">
        <v>44831</v>
      </c>
      <c r="C419">
        <v>2.5</v>
      </c>
      <c r="D419" t="s">
        <v>120</v>
      </c>
      <c r="E419" t="s">
        <v>121</v>
      </c>
      <c r="F419" t="s">
        <v>121</v>
      </c>
      <c r="G419" t="s">
        <v>121</v>
      </c>
      <c r="H419" t="s">
        <v>121</v>
      </c>
      <c r="I419" t="s">
        <v>121</v>
      </c>
      <c r="P419">
        <f t="shared" si="37"/>
        <v>1</v>
      </c>
      <c r="Q419">
        <f t="shared" si="38"/>
        <v>0</v>
      </c>
      <c r="R419">
        <f t="shared" si="39"/>
        <v>0</v>
      </c>
      <c r="S419">
        <f t="shared" si="40"/>
        <v>0</v>
      </c>
      <c r="T419">
        <f t="shared" si="41"/>
        <v>0</v>
      </c>
      <c r="U419">
        <f t="shared" si="42"/>
        <v>0</v>
      </c>
    </row>
    <row r="420" spans="2:21">
      <c r="B420" s="102">
        <v>44832</v>
      </c>
      <c r="C420">
        <v>2.5</v>
      </c>
      <c r="D420" t="s">
        <v>120</v>
      </c>
      <c r="E420" t="s">
        <v>121</v>
      </c>
      <c r="F420" t="s">
        <v>121</v>
      </c>
      <c r="G420" t="s">
        <v>121</v>
      </c>
      <c r="H420" t="s">
        <v>121</v>
      </c>
      <c r="I420" t="s">
        <v>121</v>
      </c>
      <c r="P420">
        <f t="shared" si="37"/>
        <v>1</v>
      </c>
      <c r="Q420">
        <f t="shared" si="38"/>
        <v>0</v>
      </c>
      <c r="R420">
        <f t="shared" si="39"/>
        <v>0</v>
      </c>
      <c r="S420">
        <f t="shared" si="40"/>
        <v>0</v>
      </c>
      <c r="T420">
        <f t="shared" si="41"/>
        <v>0</v>
      </c>
      <c r="U420">
        <f t="shared" si="42"/>
        <v>0</v>
      </c>
    </row>
    <row r="421" spans="2:21">
      <c r="B421" s="102">
        <v>44833</v>
      </c>
      <c r="C421">
        <v>2.5</v>
      </c>
      <c r="D421" t="s">
        <v>120</v>
      </c>
      <c r="E421" t="s">
        <v>121</v>
      </c>
      <c r="F421" t="s">
        <v>121</v>
      </c>
      <c r="G421" t="s">
        <v>121</v>
      </c>
      <c r="H421" t="s">
        <v>121</v>
      </c>
      <c r="I421" t="s">
        <v>121</v>
      </c>
      <c r="P421">
        <f t="shared" si="37"/>
        <v>1</v>
      </c>
      <c r="Q421">
        <f t="shared" si="38"/>
        <v>0</v>
      </c>
      <c r="R421">
        <f t="shared" si="39"/>
        <v>0</v>
      </c>
      <c r="S421">
        <f t="shared" si="40"/>
        <v>0</v>
      </c>
      <c r="T421">
        <f t="shared" si="41"/>
        <v>0</v>
      </c>
      <c r="U421">
        <f t="shared" si="42"/>
        <v>0</v>
      </c>
    </row>
    <row r="422" spans="2:21">
      <c r="B422" s="102">
        <v>44834</v>
      </c>
      <c r="C422">
        <v>2.5</v>
      </c>
      <c r="D422" t="s">
        <v>120</v>
      </c>
      <c r="E422" t="s">
        <v>121</v>
      </c>
      <c r="F422" t="s">
        <v>121</v>
      </c>
      <c r="G422" t="s">
        <v>121</v>
      </c>
      <c r="H422" t="s">
        <v>121</v>
      </c>
      <c r="I422" t="s">
        <v>121</v>
      </c>
      <c r="P422">
        <f t="shared" si="37"/>
        <v>1</v>
      </c>
      <c r="Q422">
        <f t="shared" si="38"/>
        <v>0</v>
      </c>
      <c r="R422">
        <f t="shared" si="39"/>
        <v>0</v>
      </c>
      <c r="S422">
        <f t="shared" si="40"/>
        <v>0</v>
      </c>
      <c r="T422">
        <f t="shared" si="41"/>
        <v>0</v>
      </c>
      <c r="U422">
        <f t="shared" si="42"/>
        <v>0</v>
      </c>
    </row>
    <row r="423" spans="2:21">
      <c r="B423" s="102">
        <v>44835</v>
      </c>
      <c r="C423">
        <v>2.5</v>
      </c>
      <c r="D423" t="s">
        <v>120</v>
      </c>
      <c r="E423" t="s">
        <v>121</v>
      </c>
      <c r="F423" t="s">
        <v>121</v>
      </c>
      <c r="G423" t="s">
        <v>121</v>
      </c>
      <c r="H423" t="s">
        <v>121</v>
      </c>
      <c r="I423" t="s">
        <v>121</v>
      </c>
      <c r="P423">
        <f t="shared" si="37"/>
        <v>1</v>
      </c>
      <c r="Q423">
        <f t="shared" si="38"/>
        <v>0</v>
      </c>
      <c r="R423">
        <f t="shared" si="39"/>
        <v>0</v>
      </c>
      <c r="S423">
        <f t="shared" si="40"/>
        <v>0</v>
      </c>
      <c r="T423">
        <f t="shared" si="41"/>
        <v>0</v>
      </c>
      <c r="U423">
        <f t="shared" si="42"/>
        <v>0</v>
      </c>
    </row>
    <row r="424" spans="2:21">
      <c r="B424" s="102">
        <v>44836</v>
      </c>
      <c r="C424">
        <v>2.5</v>
      </c>
      <c r="D424" t="s">
        <v>121</v>
      </c>
      <c r="E424" t="s">
        <v>121</v>
      </c>
      <c r="F424" t="s">
        <v>121</v>
      </c>
      <c r="G424" t="s">
        <v>121</v>
      </c>
      <c r="H424" t="s">
        <v>121</v>
      </c>
      <c r="I424" t="s">
        <v>121</v>
      </c>
      <c r="K424">
        <v>177.2</v>
      </c>
      <c r="L424">
        <v>178.2</v>
      </c>
      <c r="P424">
        <f t="shared" si="37"/>
        <v>0</v>
      </c>
      <c r="Q424">
        <f t="shared" si="38"/>
        <v>0</v>
      </c>
      <c r="R424">
        <f t="shared" si="39"/>
        <v>0</v>
      </c>
      <c r="S424">
        <f t="shared" si="40"/>
        <v>0</v>
      </c>
      <c r="T424">
        <f t="shared" si="41"/>
        <v>0</v>
      </c>
      <c r="U424">
        <f t="shared" si="42"/>
        <v>0</v>
      </c>
    </row>
    <row r="425" spans="2:21">
      <c r="B425" s="102">
        <v>44837</v>
      </c>
      <c r="C425">
        <v>3</v>
      </c>
      <c r="D425" t="s">
        <v>120</v>
      </c>
      <c r="E425" t="s">
        <v>120</v>
      </c>
      <c r="F425" t="s">
        <v>121</v>
      </c>
      <c r="G425" t="s">
        <v>121</v>
      </c>
      <c r="H425" t="s">
        <v>121</v>
      </c>
      <c r="I425" t="s">
        <v>120</v>
      </c>
      <c r="P425">
        <f t="shared" si="37"/>
        <v>1</v>
      </c>
      <c r="Q425">
        <f t="shared" si="38"/>
        <v>1</v>
      </c>
      <c r="R425">
        <f t="shared" si="39"/>
        <v>0</v>
      </c>
      <c r="S425">
        <f t="shared" si="40"/>
        <v>0</v>
      </c>
      <c r="T425">
        <f t="shared" si="41"/>
        <v>0</v>
      </c>
      <c r="U425">
        <f t="shared" si="42"/>
        <v>1</v>
      </c>
    </row>
    <row r="426" spans="2:21">
      <c r="B426" s="102">
        <v>44838</v>
      </c>
      <c r="C426">
        <v>2.5</v>
      </c>
      <c r="D426" t="s">
        <v>120</v>
      </c>
      <c r="E426" t="s">
        <v>121</v>
      </c>
      <c r="F426" t="s">
        <v>121</v>
      </c>
      <c r="G426" t="s">
        <v>121</v>
      </c>
      <c r="H426" t="s">
        <v>121</v>
      </c>
      <c r="I426" t="s">
        <v>121</v>
      </c>
      <c r="P426">
        <f t="shared" si="37"/>
        <v>1</v>
      </c>
      <c r="Q426">
        <f t="shared" si="38"/>
        <v>0</v>
      </c>
      <c r="R426">
        <f t="shared" si="39"/>
        <v>0</v>
      </c>
      <c r="S426">
        <f t="shared" si="40"/>
        <v>0</v>
      </c>
      <c r="T426">
        <f t="shared" si="41"/>
        <v>0</v>
      </c>
      <c r="U426">
        <f t="shared" si="42"/>
        <v>0</v>
      </c>
    </row>
    <row r="427" spans="2:21">
      <c r="B427" s="102">
        <v>44839</v>
      </c>
      <c r="C427">
        <v>2.5</v>
      </c>
      <c r="D427" t="s">
        <v>120</v>
      </c>
      <c r="E427" t="s">
        <v>121</v>
      </c>
      <c r="F427" t="s">
        <v>121</v>
      </c>
      <c r="G427" t="s">
        <v>121</v>
      </c>
      <c r="H427" t="s">
        <v>121</v>
      </c>
      <c r="I427" t="s">
        <v>121</v>
      </c>
      <c r="P427">
        <f t="shared" si="37"/>
        <v>1</v>
      </c>
      <c r="Q427">
        <f t="shared" si="38"/>
        <v>0</v>
      </c>
      <c r="R427">
        <f t="shared" si="39"/>
        <v>0</v>
      </c>
      <c r="S427">
        <f t="shared" si="40"/>
        <v>0</v>
      </c>
      <c r="T427">
        <f t="shared" si="41"/>
        <v>0</v>
      </c>
      <c r="U427">
        <f t="shared" si="42"/>
        <v>0</v>
      </c>
    </row>
    <row r="428" spans="2:21">
      <c r="B428" s="102">
        <v>44840</v>
      </c>
      <c r="C428">
        <v>1.5</v>
      </c>
      <c r="D428" t="s">
        <v>120</v>
      </c>
      <c r="E428" t="s">
        <v>121</v>
      </c>
      <c r="F428" t="s">
        <v>121</v>
      </c>
      <c r="G428" t="s">
        <v>121</v>
      </c>
      <c r="H428" t="s">
        <v>121</v>
      </c>
      <c r="I428" t="s">
        <v>121</v>
      </c>
      <c r="P428">
        <f t="shared" si="37"/>
        <v>1</v>
      </c>
      <c r="Q428">
        <f t="shared" si="38"/>
        <v>0</v>
      </c>
      <c r="R428">
        <f t="shared" si="39"/>
        <v>0</v>
      </c>
      <c r="S428">
        <f t="shared" si="40"/>
        <v>0</v>
      </c>
      <c r="T428">
        <f t="shared" si="41"/>
        <v>0</v>
      </c>
      <c r="U428">
        <f t="shared" si="42"/>
        <v>0</v>
      </c>
    </row>
    <row r="429" spans="2:21">
      <c r="B429" s="102">
        <v>44841</v>
      </c>
      <c r="C429">
        <v>3</v>
      </c>
      <c r="D429" t="s">
        <v>120</v>
      </c>
      <c r="E429" t="s">
        <v>121</v>
      </c>
      <c r="F429" t="s">
        <v>121</v>
      </c>
      <c r="G429" t="s">
        <v>121</v>
      </c>
      <c r="H429" t="s">
        <v>121</v>
      </c>
      <c r="I429" t="s">
        <v>121</v>
      </c>
      <c r="L429">
        <v>176.8</v>
      </c>
      <c r="P429">
        <f t="shared" si="37"/>
        <v>1</v>
      </c>
      <c r="Q429">
        <f t="shared" si="38"/>
        <v>0</v>
      </c>
      <c r="R429">
        <f t="shared" si="39"/>
        <v>0</v>
      </c>
      <c r="S429">
        <f t="shared" si="40"/>
        <v>0</v>
      </c>
      <c r="T429">
        <f t="shared" si="41"/>
        <v>0</v>
      </c>
      <c r="U429">
        <f t="shared" si="42"/>
        <v>0</v>
      </c>
    </row>
    <row r="430" spans="2:21">
      <c r="B430" s="102">
        <v>44842</v>
      </c>
      <c r="C430">
        <v>3</v>
      </c>
      <c r="D430" t="s">
        <v>120</v>
      </c>
      <c r="E430" t="s">
        <v>121</v>
      </c>
      <c r="F430" t="s">
        <v>121</v>
      </c>
      <c r="G430" t="s">
        <v>121</v>
      </c>
      <c r="H430" t="s">
        <v>121</v>
      </c>
      <c r="I430" t="s">
        <v>121</v>
      </c>
      <c r="P430">
        <f t="shared" si="37"/>
        <v>1</v>
      </c>
      <c r="Q430">
        <f t="shared" si="38"/>
        <v>0</v>
      </c>
      <c r="R430">
        <f t="shared" si="39"/>
        <v>0</v>
      </c>
      <c r="S430">
        <f t="shared" si="40"/>
        <v>0</v>
      </c>
      <c r="T430">
        <f t="shared" si="41"/>
        <v>0</v>
      </c>
      <c r="U430">
        <f t="shared" si="42"/>
        <v>0</v>
      </c>
    </row>
    <row r="431" spans="2:21">
      <c r="B431" s="102">
        <v>44843</v>
      </c>
      <c r="C431">
        <v>1.5</v>
      </c>
      <c r="D431" t="s">
        <v>121</v>
      </c>
      <c r="E431" t="s">
        <v>121</v>
      </c>
      <c r="F431" t="s">
        <v>121</v>
      </c>
      <c r="G431" t="s">
        <v>120</v>
      </c>
      <c r="H431" t="s">
        <v>121</v>
      </c>
      <c r="I431" t="s">
        <v>121</v>
      </c>
      <c r="K431">
        <v>176.8</v>
      </c>
      <c r="L431">
        <v>178.2</v>
      </c>
      <c r="P431">
        <f t="shared" si="37"/>
        <v>0</v>
      </c>
      <c r="Q431">
        <f t="shared" si="38"/>
        <v>0</v>
      </c>
      <c r="R431">
        <f t="shared" si="39"/>
        <v>0</v>
      </c>
      <c r="S431">
        <f t="shared" si="40"/>
        <v>1</v>
      </c>
      <c r="T431">
        <f t="shared" si="41"/>
        <v>0</v>
      </c>
      <c r="U431">
        <f t="shared" si="42"/>
        <v>0</v>
      </c>
    </row>
    <row r="432" spans="2:21">
      <c r="B432" s="102">
        <v>44844</v>
      </c>
      <c r="C432">
        <v>2.5</v>
      </c>
      <c r="D432" t="s">
        <v>120</v>
      </c>
      <c r="E432" t="s">
        <v>121</v>
      </c>
      <c r="F432" t="s">
        <v>121</v>
      </c>
      <c r="G432" t="s">
        <v>121</v>
      </c>
      <c r="H432" t="s">
        <v>121</v>
      </c>
      <c r="I432" t="s">
        <v>121</v>
      </c>
      <c r="P432">
        <f t="shared" si="37"/>
        <v>1</v>
      </c>
      <c r="Q432">
        <f t="shared" si="38"/>
        <v>0</v>
      </c>
      <c r="R432">
        <f t="shared" si="39"/>
        <v>0</v>
      </c>
      <c r="S432">
        <f t="shared" si="40"/>
        <v>0</v>
      </c>
      <c r="T432">
        <f t="shared" si="41"/>
        <v>0</v>
      </c>
      <c r="U432">
        <f t="shared" si="42"/>
        <v>0</v>
      </c>
    </row>
    <row r="433" spans="2:21">
      <c r="B433" s="102">
        <v>44845</v>
      </c>
      <c r="C433">
        <v>2</v>
      </c>
      <c r="D433" t="s">
        <v>120</v>
      </c>
      <c r="E433" t="s">
        <v>120</v>
      </c>
      <c r="F433" t="s">
        <v>120</v>
      </c>
      <c r="G433" t="s">
        <v>121</v>
      </c>
      <c r="H433" t="s">
        <v>121</v>
      </c>
      <c r="I433" t="s">
        <v>121</v>
      </c>
      <c r="P433">
        <f t="shared" si="37"/>
        <v>1</v>
      </c>
      <c r="Q433">
        <f t="shared" si="38"/>
        <v>1</v>
      </c>
      <c r="R433">
        <f t="shared" si="39"/>
        <v>1</v>
      </c>
      <c r="S433">
        <f t="shared" si="40"/>
        <v>0</v>
      </c>
      <c r="T433">
        <f t="shared" si="41"/>
        <v>0</v>
      </c>
      <c r="U433">
        <f t="shared" si="42"/>
        <v>0</v>
      </c>
    </row>
    <row r="434" spans="2:21">
      <c r="B434" s="102">
        <v>44846</v>
      </c>
      <c r="C434">
        <v>2</v>
      </c>
      <c r="D434" t="s">
        <v>120</v>
      </c>
      <c r="E434" t="s">
        <v>121</v>
      </c>
      <c r="F434" t="s">
        <v>121</v>
      </c>
      <c r="G434" t="s">
        <v>121</v>
      </c>
      <c r="H434" t="s">
        <v>121</v>
      </c>
      <c r="I434" t="s">
        <v>121</v>
      </c>
      <c r="P434">
        <f t="shared" si="37"/>
        <v>1</v>
      </c>
      <c r="Q434">
        <f t="shared" si="38"/>
        <v>0</v>
      </c>
      <c r="R434">
        <f t="shared" si="39"/>
        <v>0</v>
      </c>
      <c r="S434">
        <f t="shared" si="40"/>
        <v>0</v>
      </c>
      <c r="T434">
        <f t="shared" si="41"/>
        <v>0</v>
      </c>
      <c r="U434">
        <f t="shared" si="42"/>
        <v>0</v>
      </c>
    </row>
    <row r="435" spans="2:21">
      <c r="B435" s="102">
        <v>44847</v>
      </c>
      <c r="C435">
        <v>2</v>
      </c>
      <c r="D435" t="s">
        <v>121</v>
      </c>
      <c r="E435" t="s">
        <v>121</v>
      </c>
      <c r="F435" t="s">
        <v>121</v>
      </c>
      <c r="G435" t="s">
        <v>121</v>
      </c>
      <c r="H435" t="s">
        <v>121</v>
      </c>
      <c r="I435" t="s">
        <v>121</v>
      </c>
      <c r="P435">
        <f t="shared" si="37"/>
        <v>0</v>
      </c>
      <c r="Q435">
        <f t="shared" si="38"/>
        <v>0</v>
      </c>
      <c r="R435">
        <f t="shared" si="39"/>
        <v>0</v>
      </c>
      <c r="S435">
        <f t="shared" si="40"/>
        <v>0</v>
      </c>
      <c r="T435">
        <f t="shared" si="41"/>
        <v>0</v>
      </c>
      <c r="U435">
        <f t="shared" si="42"/>
        <v>0</v>
      </c>
    </row>
    <row r="436" spans="2:21">
      <c r="B436" s="102">
        <v>44848</v>
      </c>
      <c r="C436">
        <v>2</v>
      </c>
      <c r="D436" t="s">
        <v>121</v>
      </c>
      <c r="E436" t="s">
        <v>121</v>
      </c>
      <c r="F436" t="s">
        <v>121</v>
      </c>
      <c r="G436" t="s">
        <v>121</v>
      </c>
      <c r="H436" t="s">
        <v>121</v>
      </c>
      <c r="I436" t="s">
        <v>121</v>
      </c>
      <c r="P436">
        <f t="shared" si="37"/>
        <v>0</v>
      </c>
      <c r="Q436">
        <f t="shared" si="38"/>
        <v>0</v>
      </c>
      <c r="R436">
        <f t="shared" si="39"/>
        <v>0</v>
      </c>
      <c r="S436">
        <f t="shared" si="40"/>
        <v>0</v>
      </c>
      <c r="T436">
        <f t="shared" si="41"/>
        <v>0</v>
      </c>
      <c r="U436">
        <f t="shared" si="42"/>
        <v>0</v>
      </c>
    </row>
    <row r="437" spans="2:21">
      <c r="B437" s="102">
        <v>44849</v>
      </c>
      <c r="C437">
        <v>2.5</v>
      </c>
      <c r="D437" t="s">
        <v>121</v>
      </c>
      <c r="E437" t="s">
        <v>121</v>
      </c>
      <c r="F437" t="s">
        <v>121</v>
      </c>
      <c r="G437" t="s">
        <v>121</v>
      </c>
      <c r="H437" t="s">
        <v>121</v>
      </c>
      <c r="I437" t="s">
        <v>121</v>
      </c>
      <c r="P437">
        <f t="shared" si="37"/>
        <v>0</v>
      </c>
      <c r="Q437">
        <f t="shared" si="38"/>
        <v>0</v>
      </c>
      <c r="R437">
        <f t="shared" si="39"/>
        <v>0</v>
      </c>
      <c r="S437">
        <f t="shared" si="40"/>
        <v>0</v>
      </c>
      <c r="T437">
        <f t="shared" si="41"/>
        <v>0</v>
      </c>
      <c r="U437">
        <f t="shared" si="42"/>
        <v>0</v>
      </c>
    </row>
    <row r="438" spans="2:21">
      <c r="B438" s="102">
        <v>44850</v>
      </c>
      <c r="C438">
        <v>2</v>
      </c>
      <c r="D438" t="s">
        <v>121</v>
      </c>
      <c r="E438" t="s">
        <v>120</v>
      </c>
      <c r="F438" t="s">
        <v>121</v>
      </c>
      <c r="G438" t="s">
        <v>121</v>
      </c>
      <c r="H438" t="s">
        <v>121</v>
      </c>
      <c r="I438" t="s">
        <v>121</v>
      </c>
      <c r="P438">
        <f t="shared" si="37"/>
        <v>0</v>
      </c>
      <c r="Q438">
        <f t="shared" si="38"/>
        <v>1</v>
      </c>
      <c r="R438">
        <f t="shared" si="39"/>
        <v>0</v>
      </c>
      <c r="S438">
        <f t="shared" si="40"/>
        <v>0</v>
      </c>
      <c r="T438">
        <f t="shared" si="41"/>
        <v>0</v>
      </c>
      <c r="U438">
        <f t="shared" si="42"/>
        <v>0</v>
      </c>
    </row>
    <row r="439" spans="2:21">
      <c r="B439" s="102">
        <v>44851</v>
      </c>
      <c r="C439">
        <v>1.5</v>
      </c>
      <c r="D439" t="s">
        <v>120</v>
      </c>
      <c r="E439" t="s">
        <v>121</v>
      </c>
      <c r="F439" t="s">
        <v>121</v>
      </c>
      <c r="G439" t="s">
        <v>121</v>
      </c>
      <c r="H439" t="s">
        <v>121</v>
      </c>
      <c r="I439" t="s">
        <v>121</v>
      </c>
      <c r="P439">
        <f t="shared" si="37"/>
        <v>1</v>
      </c>
      <c r="Q439">
        <f t="shared" si="38"/>
        <v>0</v>
      </c>
      <c r="R439">
        <f t="shared" si="39"/>
        <v>0</v>
      </c>
      <c r="S439">
        <f t="shared" si="40"/>
        <v>0</v>
      </c>
      <c r="T439">
        <f t="shared" si="41"/>
        <v>0</v>
      </c>
      <c r="U439">
        <f t="shared" si="42"/>
        <v>0</v>
      </c>
    </row>
    <row r="440" spans="2:21">
      <c r="B440" s="102">
        <v>44852</v>
      </c>
      <c r="C440">
        <v>2.5</v>
      </c>
      <c r="D440" t="s">
        <v>120</v>
      </c>
      <c r="E440" t="s">
        <v>121</v>
      </c>
      <c r="F440" t="s">
        <v>121</v>
      </c>
      <c r="G440" t="s">
        <v>121</v>
      </c>
      <c r="H440" t="s">
        <v>121</v>
      </c>
      <c r="I440" t="s">
        <v>121</v>
      </c>
      <c r="P440">
        <f t="shared" si="37"/>
        <v>1</v>
      </c>
      <c r="Q440">
        <f t="shared" si="38"/>
        <v>0</v>
      </c>
      <c r="R440">
        <f t="shared" si="39"/>
        <v>0</v>
      </c>
      <c r="S440">
        <f t="shared" si="40"/>
        <v>0</v>
      </c>
      <c r="T440">
        <f t="shared" si="41"/>
        <v>0</v>
      </c>
      <c r="U440">
        <f t="shared" si="42"/>
        <v>0</v>
      </c>
    </row>
    <row r="441" spans="2:21">
      <c r="B441" s="102">
        <v>44853</v>
      </c>
      <c r="C441">
        <v>2</v>
      </c>
      <c r="D441" t="s">
        <v>120</v>
      </c>
      <c r="E441" t="s">
        <v>121</v>
      </c>
      <c r="F441" t="s">
        <v>121</v>
      </c>
      <c r="G441" t="s">
        <v>121</v>
      </c>
      <c r="H441" t="s">
        <v>121</v>
      </c>
      <c r="I441" t="s">
        <v>121</v>
      </c>
      <c r="P441">
        <f t="shared" si="37"/>
        <v>1</v>
      </c>
      <c r="Q441">
        <f t="shared" si="38"/>
        <v>0</v>
      </c>
      <c r="R441">
        <f t="shared" si="39"/>
        <v>0</v>
      </c>
      <c r="S441">
        <f t="shared" si="40"/>
        <v>0</v>
      </c>
      <c r="T441">
        <f t="shared" si="41"/>
        <v>0</v>
      </c>
      <c r="U441">
        <f t="shared" si="42"/>
        <v>0</v>
      </c>
    </row>
    <row r="442" spans="2:21">
      <c r="B442" s="102">
        <v>44854</v>
      </c>
      <c r="C442">
        <v>3</v>
      </c>
      <c r="D442" t="s">
        <v>120</v>
      </c>
      <c r="E442" t="s">
        <v>121</v>
      </c>
      <c r="F442" t="s">
        <v>121</v>
      </c>
      <c r="G442" t="s">
        <v>121</v>
      </c>
      <c r="H442" t="s">
        <v>121</v>
      </c>
      <c r="I442" t="s">
        <v>121</v>
      </c>
      <c r="P442">
        <f t="shared" si="37"/>
        <v>1</v>
      </c>
      <c r="Q442">
        <f t="shared" si="38"/>
        <v>0</v>
      </c>
      <c r="R442">
        <f t="shared" si="39"/>
        <v>0</v>
      </c>
      <c r="S442">
        <f t="shared" si="40"/>
        <v>0</v>
      </c>
      <c r="T442">
        <f t="shared" si="41"/>
        <v>0</v>
      </c>
      <c r="U442">
        <f t="shared" si="42"/>
        <v>0</v>
      </c>
    </row>
    <row r="443" spans="2:21">
      <c r="B443" s="102">
        <v>44855</v>
      </c>
      <c r="C443">
        <v>1.5</v>
      </c>
      <c r="D443" t="s">
        <v>120</v>
      </c>
      <c r="E443" t="s">
        <v>121</v>
      </c>
      <c r="F443" t="s">
        <v>121</v>
      </c>
      <c r="G443" t="s">
        <v>121</v>
      </c>
      <c r="H443" t="s">
        <v>121</v>
      </c>
      <c r="I443" t="s">
        <v>121</v>
      </c>
      <c r="P443">
        <f t="shared" si="37"/>
        <v>1</v>
      </c>
      <c r="Q443">
        <f t="shared" si="38"/>
        <v>0</v>
      </c>
      <c r="R443">
        <f t="shared" si="39"/>
        <v>0</v>
      </c>
      <c r="S443">
        <f t="shared" si="40"/>
        <v>0</v>
      </c>
      <c r="T443">
        <f t="shared" si="41"/>
        <v>0</v>
      </c>
      <c r="U443">
        <f t="shared" si="42"/>
        <v>0</v>
      </c>
    </row>
    <row r="444" spans="2:21">
      <c r="B444" s="102">
        <v>44856</v>
      </c>
      <c r="C444">
        <v>2.5</v>
      </c>
      <c r="D444" t="s">
        <v>120</v>
      </c>
      <c r="E444" t="s">
        <v>121</v>
      </c>
      <c r="F444" t="s">
        <v>121</v>
      </c>
      <c r="G444" t="s">
        <v>121</v>
      </c>
      <c r="H444" t="s">
        <v>121</v>
      </c>
      <c r="I444" t="s">
        <v>121</v>
      </c>
      <c r="P444">
        <f t="shared" si="37"/>
        <v>1</v>
      </c>
      <c r="Q444">
        <f t="shared" si="38"/>
        <v>0</v>
      </c>
      <c r="R444">
        <f t="shared" si="39"/>
        <v>0</v>
      </c>
      <c r="S444">
        <f t="shared" si="40"/>
        <v>0</v>
      </c>
      <c r="T444">
        <f t="shared" si="41"/>
        <v>0</v>
      </c>
      <c r="U444">
        <f t="shared" si="42"/>
        <v>0</v>
      </c>
    </row>
    <row r="445" spans="2:21">
      <c r="B445" s="102">
        <v>44857</v>
      </c>
      <c r="C445">
        <v>2.5</v>
      </c>
      <c r="D445" t="s">
        <v>121</v>
      </c>
      <c r="E445" t="s">
        <v>121</v>
      </c>
      <c r="F445" t="s">
        <v>121</v>
      </c>
      <c r="G445" t="s">
        <v>121</v>
      </c>
      <c r="H445" t="s">
        <v>121</v>
      </c>
      <c r="I445" t="s">
        <v>121</v>
      </c>
      <c r="K445">
        <v>180.2</v>
      </c>
      <c r="P445">
        <f t="shared" si="37"/>
        <v>0</v>
      </c>
      <c r="Q445">
        <f t="shared" si="38"/>
        <v>0</v>
      </c>
      <c r="R445">
        <f t="shared" si="39"/>
        <v>0</v>
      </c>
      <c r="S445">
        <f t="shared" si="40"/>
        <v>0</v>
      </c>
      <c r="T445">
        <f t="shared" si="41"/>
        <v>0</v>
      </c>
      <c r="U445">
        <f t="shared" si="42"/>
        <v>0</v>
      </c>
    </row>
    <row r="446" spans="2:21">
      <c r="B446" s="102">
        <v>44858</v>
      </c>
      <c r="C446">
        <v>2.5</v>
      </c>
      <c r="D446" t="s">
        <v>120</v>
      </c>
      <c r="E446" t="s">
        <v>121</v>
      </c>
      <c r="F446" t="s">
        <v>121</v>
      </c>
      <c r="G446" t="s">
        <v>121</v>
      </c>
      <c r="H446" t="s">
        <v>121</v>
      </c>
      <c r="I446" t="s">
        <v>121</v>
      </c>
      <c r="P446">
        <f t="shared" si="37"/>
        <v>1</v>
      </c>
      <c r="Q446">
        <f t="shared" si="38"/>
        <v>0</v>
      </c>
      <c r="R446">
        <f t="shared" si="39"/>
        <v>0</v>
      </c>
      <c r="S446">
        <f t="shared" si="40"/>
        <v>0</v>
      </c>
      <c r="T446">
        <f t="shared" si="41"/>
        <v>0</v>
      </c>
      <c r="U446">
        <f t="shared" si="42"/>
        <v>0</v>
      </c>
    </row>
    <row r="447" spans="2:21">
      <c r="B447" s="102">
        <v>44859</v>
      </c>
      <c r="C447">
        <v>2.5</v>
      </c>
      <c r="D447" t="s">
        <v>120</v>
      </c>
      <c r="E447" t="s">
        <v>121</v>
      </c>
      <c r="F447" t="s">
        <v>121</v>
      </c>
      <c r="G447" t="s">
        <v>121</v>
      </c>
      <c r="H447" t="s">
        <v>121</v>
      </c>
      <c r="I447" t="s">
        <v>121</v>
      </c>
      <c r="P447">
        <f t="shared" si="37"/>
        <v>1</v>
      </c>
      <c r="Q447">
        <f t="shared" si="38"/>
        <v>0</v>
      </c>
      <c r="R447">
        <f t="shared" si="39"/>
        <v>0</v>
      </c>
      <c r="S447">
        <f t="shared" si="40"/>
        <v>0</v>
      </c>
      <c r="T447">
        <f t="shared" si="41"/>
        <v>0</v>
      </c>
      <c r="U447">
        <f t="shared" si="42"/>
        <v>0</v>
      </c>
    </row>
    <row r="448" spans="2:21">
      <c r="B448" s="102">
        <v>44860</v>
      </c>
      <c r="C448">
        <v>2</v>
      </c>
      <c r="D448" t="s">
        <v>120</v>
      </c>
      <c r="E448" t="s">
        <v>120</v>
      </c>
      <c r="F448" t="s">
        <v>121</v>
      </c>
      <c r="G448" t="s">
        <v>121</v>
      </c>
      <c r="H448" t="s">
        <v>121</v>
      </c>
      <c r="I448" t="s">
        <v>121</v>
      </c>
      <c r="P448">
        <f t="shared" si="37"/>
        <v>1</v>
      </c>
      <c r="Q448">
        <f t="shared" si="38"/>
        <v>1</v>
      </c>
      <c r="R448">
        <f t="shared" si="39"/>
        <v>0</v>
      </c>
      <c r="S448">
        <f t="shared" si="40"/>
        <v>0</v>
      </c>
      <c r="T448">
        <f t="shared" si="41"/>
        <v>0</v>
      </c>
      <c r="U448">
        <f t="shared" si="42"/>
        <v>0</v>
      </c>
    </row>
    <row r="449" spans="2:21">
      <c r="B449" s="102">
        <v>44861</v>
      </c>
      <c r="C449">
        <v>2</v>
      </c>
      <c r="D449" t="s">
        <v>120</v>
      </c>
      <c r="E449" t="s">
        <v>121</v>
      </c>
      <c r="F449" t="s">
        <v>121</v>
      </c>
      <c r="G449" t="s">
        <v>121</v>
      </c>
      <c r="H449" t="s">
        <v>121</v>
      </c>
      <c r="I449" t="s">
        <v>121</v>
      </c>
      <c r="P449">
        <f t="shared" si="37"/>
        <v>1</v>
      </c>
      <c r="Q449">
        <f t="shared" si="38"/>
        <v>0</v>
      </c>
      <c r="R449">
        <f t="shared" si="39"/>
        <v>0</v>
      </c>
      <c r="S449">
        <f t="shared" si="40"/>
        <v>0</v>
      </c>
      <c r="T449">
        <f t="shared" si="41"/>
        <v>0</v>
      </c>
      <c r="U449">
        <f t="shared" si="42"/>
        <v>0</v>
      </c>
    </row>
    <row r="450" spans="2:21">
      <c r="B450" s="102">
        <v>44862</v>
      </c>
      <c r="C450">
        <v>2.5</v>
      </c>
      <c r="D450" t="s">
        <v>120</v>
      </c>
      <c r="E450" t="s">
        <v>121</v>
      </c>
      <c r="F450" t="s">
        <v>121</v>
      </c>
      <c r="G450" t="s">
        <v>121</v>
      </c>
      <c r="H450" t="s">
        <v>121</v>
      </c>
      <c r="I450" t="s">
        <v>121</v>
      </c>
      <c r="P450">
        <f t="shared" si="37"/>
        <v>1</v>
      </c>
      <c r="Q450">
        <f t="shared" si="38"/>
        <v>0</v>
      </c>
      <c r="R450">
        <f t="shared" si="39"/>
        <v>0</v>
      </c>
      <c r="S450">
        <f t="shared" si="40"/>
        <v>0</v>
      </c>
      <c r="T450">
        <f t="shared" si="41"/>
        <v>0</v>
      </c>
      <c r="U450">
        <f t="shared" si="42"/>
        <v>0</v>
      </c>
    </row>
    <row r="451" spans="2:21">
      <c r="B451" s="102">
        <v>44863</v>
      </c>
      <c r="C451">
        <v>3</v>
      </c>
      <c r="D451" t="s">
        <v>120</v>
      </c>
      <c r="E451" t="s">
        <v>120</v>
      </c>
      <c r="F451" t="s">
        <v>121</v>
      </c>
      <c r="G451" t="s">
        <v>121</v>
      </c>
      <c r="H451" t="s">
        <v>121</v>
      </c>
      <c r="I451" t="s">
        <v>121</v>
      </c>
      <c r="P451">
        <f t="shared" ref="P451:P514" si="43">IF(D451="YES", 1, 0)</f>
        <v>1</v>
      </c>
      <c r="Q451">
        <f t="shared" ref="Q451:Q514" si="44">IF(E451="YES", 1, 0)</f>
        <v>1</v>
      </c>
      <c r="R451">
        <f t="shared" ref="R451:R514" si="45">IF(F451="YES", 1, 0)</f>
        <v>0</v>
      </c>
      <c r="S451">
        <f t="shared" ref="S451:S514" si="46">IF(G451="YES", 1, 0)</f>
        <v>0</v>
      </c>
      <c r="T451">
        <f t="shared" ref="T451:T514" si="47">IF(H451="YES", 1, 0)</f>
        <v>0</v>
      </c>
      <c r="U451">
        <f t="shared" ref="U451:U514" si="48">IF(I451="YES", 1, 0)</f>
        <v>0</v>
      </c>
    </row>
    <row r="452" spans="2:21">
      <c r="B452" s="102">
        <v>44864</v>
      </c>
      <c r="C452">
        <v>2.5</v>
      </c>
      <c r="D452" t="s">
        <v>121</v>
      </c>
      <c r="E452" t="s">
        <v>121</v>
      </c>
      <c r="F452" t="s">
        <v>121</v>
      </c>
      <c r="G452" t="s">
        <v>121</v>
      </c>
      <c r="H452" t="s">
        <v>121</v>
      </c>
      <c r="I452" t="s">
        <v>121</v>
      </c>
      <c r="K452">
        <v>177.4</v>
      </c>
      <c r="P452">
        <f t="shared" si="43"/>
        <v>0</v>
      </c>
      <c r="Q452">
        <f t="shared" si="44"/>
        <v>0</v>
      </c>
      <c r="R452">
        <f t="shared" si="45"/>
        <v>0</v>
      </c>
      <c r="S452">
        <f t="shared" si="46"/>
        <v>0</v>
      </c>
      <c r="T452">
        <f t="shared" si="47"/>
        <v>0</v>
      </c>
      <c r="U452">
        <f t="shared" si="48"/>
        <v>0</v>
      </c>
    </row>
    <row r="453" spans="2:21">
      <c r="B453" s="102">
        <v>44865</v>
      </c>
      <c r="C453">
        <v>3</v>
      </c>
      <c r="D453" t="s">
        <v>120</v>
      </c>
      <c r="E453" t="s">
        <v>121</v>
      </c>
      <c r="F453" t="s">
        <v>121</v>
      </c>
      <c r="G453" t="s">
        <v>121</v>
      </c>
      <c r="H453" t="s">
        <v>121</v>
      </c>
      <c r="I453" t="s">
        <v>120</v>
      </c>
      <c r="P453">
        <f t="shared" si="43"/>
        <v>1</v>
      </c>
      <c r="Q453">
        <f t="shared" si="44"/>
        <v>0</v>
      </c>
      <c r="R453">
        <f t="shared" si="45"/>
        <v>0</v>
      </c>
      <c r="S453">
        <f t="shared" si="46"/>
        <v>0</v>
      </c>
      <c r="T453">
        <f t="shared" si="47"/>
        <v>0</v>
      </c>
      <c r="U453">
        <f t="shared" si="48"/>
        <v>1</v>
      </c>
    </row>
    <row r="454" spans="2:21">
      <c r="B454" s="102">
        <v>44866</v>
      </c>
      <c r="C454">
        <v>2.5</v>
      </c>
      <c r="D454" t="s">
        <v>120</v>
      </c>
      <c r="E454" t="s">
        <v>121</v>
      </c>
      <c r="F454" t="s">
        <v>121</v>
      </c>
      <c r="G454" t="s">
        <v>121</v>
      </c>
      <c r="H454" t="s">
        <v>121</v>
      </c>
      <c r="I454" t="s">
        <v>121</v>
      </c>
      <c r="P454">
        <f t="shared" si="43"/>
        <v>1</v>
      </c>
      <c r="Q454">
        <f t="shared" si="44"/>
        <v>0</v>
      </c>
      <c r="R454">
        <f t="shared" si="45"/>
        <v>0</v>
      </c>
      <c r="S454">
        <f t="shared" si="46"/>
        <v>0</v>
      </c>
      <c r="T454">
        <f t="shared" si="47"/>
        <v>0</v>
      </c>
      <c r="U454">
        <f t="shared" si="48"/>
        <v>0</v>
      </c>
    </row>
    <row r="455" spans="2:21">
      <c r="B455" s="102">
        <v>44867</v>
      </c>
      <c r="C455">
        <v>2</v>
      </c>
      <c r="D455" t="s">
        <v>120</v>
      </c>
      <c r="E455" t="s">
        <v>121</v>
      </c>
      <c r="F455" t="s">
        <v>121</v>
      </c>
      <c r="G455" t="s">
        <v>121</v>
      </c>
      <c r="H455" t="s">
        <v>121</v>
      </c>
      <c r="I455" t="s">
        <v>121</v>
      </c>
      <c r="P455">
        <f t="shared" si="43"/>
        <v>1</v>
      </c>
      <c r="Q455">
        <f t="shared" si="44"/>
        <v>0</v>
      </c>
      <c r="R455">
        <f t="shared" si="45"/>
        <v>0</v>
      </c>
      <c r="S455">
        <f t="shared" si="46"/>
        <v>0</v>
      </c>
      <c r="T455">
        <f t="shared" si="47"/>
        <v>0</v>
      </c>
      <c r="U455">
        <f t="shared" si="48"/>
        <v>0</v>
      </c>
    </row>
    <row r="456" spans="2:21">
      <c r="B456" s="102">
        <v>44868</v>
      </c>
      <c r="C456">
        <v>2.5</v>
      </c>
      <c r="D456" t="s">
        <v>120</v>
      </c>
      <c r="E456" t="s">
        <v>121</v>
      </c>
      <c r="F456" t="s">
        <v>121</v>
      </c>
      <c r="G456" t="s">
        <v>121</v>
      </c>
      <c r="H456" t="s">
        <v>121</v>
      </c>
      <c r="I456" t="s">
        <v>121</v>
      </c>
      <c r="P456">
        <f t="shared" si="43"/>
        <v>1</v>
      </c>
      <c r="Q456">
        <f t="shared" si="44"/>
        <v>0</v>
      </c>
      <c r="R456">
        <f t="shared" si="45"/>
        <v>0</v>
      </c>
      <c r="S456">
        <f t="shared" si="46"/>
        <v>0</v>
      </c>
      <c r="T456">
        <f t="shared" si="47"/>
        <v>0</v>
      </c>
      <c r="U456">
        <f t="shared" si="48"/>
        <v>0</v>
      </c>
    </row>
    <row r="457" spans="2:21">
      <c r="B457" s="102">
        <v>44869</v>
      </c>
      <c r="C457">
        <v>2.5</v>
      </c>
      <c r="D457" t="s">
        <v>120</v>
      </c>
      <c r="E457" t="s">
        <v>121</v>
      </c>
      <c r="F457" t="s">
        <v>121</v>
      </c>
      <c r="G457" t="s">
        <v>121</v>
      </c>
      <c r="H457" t="s">
        <v>121</v>
      </c>
      <c r="I457" t="s">
        <v>121</v>
      </c>
      <c r="P457">
        <f t="shared" si="43"/>
        <v>1</v>
      </c>
      <c r="Q457">
        <f t="shared" si="44"/>
        <v>0</v>
      </c>
      <c r="R457">
        <f t="shared" si="45"/>
        <v>0</v>
      </c>
      <c r="S457">
        <f t="shared" si="46"/>
        <v>0</v>
      </c>
      <c r="T457">
        <f t="shared" si="47"/>
        <v>0</v>
      </c>
      <c r="U457">
        <f t="shared" si="48"/>
        <v>0</v>
      </c>
    </row>
    <row r="458" spans="2:21">
      <c r="B458" s="102">
        <v>44870</v>
      </c>
      <c r="C458">
        <v>3</v>
      </c>
      <c r="D458" t="s">
        <v>120</v>
      </c>
      <c r="E458" t="s">
        <v>121</v>
      </c>
      <c r="F458" t="s">
        <v>211</v>
      </c>
      <c r="G458" t="s">
        <v>121</v>
      </c>
      <c r="H458" t="s">
        <v>121</v>
      </c>
      <c r="I458" t="s">
        <v>121</v>
      </c>
      <c r="L458">
        <v>181</v>
      </c>
      <c r="P458">
        <f t="shared" si="43"/>
        <v>1</v>
      </c>
      <c r="Q458">
        <f t="shared" si="44"/>
        <v>0</v>
      </c>
      <c r="R458">
        <f t="shared" si="45"/>
        <v>0</v>
      </c>
      <c r="S458">
        <f t="shared" si="46"/>
        <v>0</v>
      </c>
      <c r="T458">
        <f t="shared" si="47"/>
        <v>0</v>
      </c>
      <c r="U458">
        <f t="shared" si="48"/>
        <v>0</v>
      </c>
    </row>
    <row r="459" spans="2:21">
      <c r="B459" s="102">
        <v>44871</v>
      </c>
      <c r="C459">
        <v>1</v>
      </c>
      <c r="D459" t="s">
        <v>121</v>
      </c>
      <c r="E459" t="s">
        <v>121</v>
      </c>
      <c r="F459" t="s">
        <v>211</v>
      </c>
      <c r="G459" t="s">
        <v>121</v>
      </c>
      <c r="H459" t="s">
        <v>121</v>
      </c>
      <c r="I459" t="s">
        <v>121</v>
      </c>
      <c r="K459">
        <v>182.6</v>
      </c>
      <c r="P459">
        <f t="shared" si="43"/>
        <v>0</v>
      </c>
      <c r="Q459">
        <f t="shared" si="44"/>
        <v>0</v>
      </c>
      <c r="R459">
        <f t="shared" si="45"/>
        <v>0</v>
      </c>
      <c r="S459">
        <f t="shared" si="46"/>
        <v>0</v>
      </c>
      <c r="T459">
        <f t="shared" si="47"/>
        <v>0</v>
      </c>
      <c r="U459">
        <f t="shared" si="48"/>
        <v>0</v>
      </c>
    </row>
    <row r="460" spans="2:21">
      <c r="B460" s="102">
        <v>44872</v>
      </c>
      <c r="C460">
        <v>2.5</v>
      </c>
      <c r="D460" t="s">
        <v>120</v>
      </c>
      <c r="E460" t="s">
        <v>120</v>
      </c>
      <c r="F460" t="s">
        <v>121</v>
      </c>
      <c r="G460" t="s">
        <v>120</v>
      </c>
      <c r="H460" t="s">
        <v>121</v>
      </c>
      <c r="I460" t="s">
        <v>121</v>
      </c>
      <c r="P460">
        <f t="shared" si="43"/>
        <v>1</v>
      </c>
      <c r="Q460">
        <f t="shared" si="44"/>
        <v>1</v>
      </c>
      <c r="R460">
        <f t="shared" si="45"/>
        <v>0</v>
      </c>
      <c r="S460">
        <f t="shared" si="46"/>
        <v>1</v>
      </c>
      <c r="T460">
        <f t="shared" si="47"/>
        <v>0</v>
      </c>
      <c r="U460">
        <f t="shared" si="48"/>
        <v>0</v>
      </c>
    </row>
    <row r="461" spans="2:21">
      <c r="B461" s="102">
        <v>44873</v>
      </c>
      <c r="C461">
        <v>2.5</v>
      </c>
      <c r="D461" t="s">
        <v>120</v>
      </c>
      <c r="E461" t="s">
        <v>121</v>
      </c>
      <c r="F461" t="s">
        <v>121</v>
      </c>
      <c r="G461" t="s">
        <v>121</v>
      </c>
      <c r="H461" t="s">
        <v>120</v>
      </c>
      <c r="I461" t="s">
        <v>121</v>
      </c>
      <c r="P461">
        <f t="shared" si="43"/>
        <v>1</v>
      </c>
      <c r="Q461">
        <f t="shared" si="44"/>
        <v>0</v>
      </c>
      <c r="R461">
        <f t="shared" si="45"/>
        <v>0</v>
      </c>
      <c r="S461">
        <f t="shared" si="46"/>
        <v>0</v>
      </c>
      <c r="T461">
        <f t="shared" si="47"/>
        <v>1</v>
      </c>
      <c r="U461">
        <f t="shared" si="48"/>
        <v>0</v>
      </c>
    </row>
    <row r="462" spans="2:21">
      <c r="B462" s="102">
        <v>44874</v>
      </c>
      <c r="C462">
        <v>2.5</v>
      </c>
      <c r="D462" t="s">
        <v>120</v>
      </c>
      <c r="E462" t="s">
        <v>121</v>
      </c>
      <c r="F462" t="s">
        <v>121</v>
      </c>
      <c r="G462" t="s">
        <v>121</v>
      </c>
      <c r="H462" t="s">
        <v>121</v>
      </c>
      <c r="I462" t="s">
        <v>121</v>
      </c>
      <c r="P462">
        <f t="shared" si="43"/>
        <v>1</v>
      </c>
      <c r="Q462">
        <f t="shared" si="44"/>
        <v>0</v>
      </c>
      <c r="R462">
        <f t="shared" si="45"/>
        <v>0</v>
      </c>
      <c r="S462">
        <f t="shared" si="46"/>
        <v>0</v>
      </c>
      <c r="T462">
        <f t="shared" si="47"/>
        <v>0</v>
      </c>
      <c r="U462">
        <f t="shared" si="48"/>
        <v>0</v>
      </c>
    </row>
    <row r="463" spans="2:21">
      <c r="B463" s="102">
        <v>44875</v>
      </c>
      <c r="C463">
        <v>2.5</v>
      </c>
      <c r="D463" t="s">
        <v>120</v>
      </c>
      <c r="E463" t="s">
        <v>121</v>
      </c>
      <c r="F463" t="s">
        <v>121</v>
      </c>
      <c r="G463" t="s">
        <v>121</v>
      </c>
      <c r="H463" t="s">
        <v>121</v>
      </c>
      <c r="I463" t="s">
        <v>121</v>
      </c>
      <c r="P463">
        <f t="shared" si="43"/>
        <v>1</v>
      </c>
      <c r="Q463">
        <f t="shared" si="44"/>
        <v>0</v>
      </c>
      <c r="R463">
        <f t="shared" si="45"/>
        <v>0</v>
      </c>
      <c r="S463">
        <f t="shared" si="46"/>
        <v>0</v>
      </c>
      <c r="T463">
        <f t="shared" si="47"/>
        <v>0</v>
      </c>
      <c r="U463">
        <f t="shared" si="48"/>
        <v>0</v>
      </c>
    </row>
    <row r="464" spans="2:21">
      <c r="B464" s="102">
        <v>44876</v>
      </c>
      <c r="C464">
        <v>2</v>
      </c>
      <c r="D464" t="s">
        <v>120</v>
      </c>
      <c r="E464" t="s">
        <v>121</v>
      </c>
      <c r="F464" t="s">
        <v>121</v>
      </c>
      <c r="G464" t="s">
        <v>121</v>
      </c>
      <c r="H464" t="s">
        <v>121</v>
      </c>
      <c r="I464" t="s">
        <v>121</v>
      </c>
      <c r="P464">
        <f t="shared" si="43"/>
        <v>1</v>
      </c>
      <c r="Q464">
        <f t="shared" si="44"/>
        <v>0</v>
      </c>
      <c r="R464">
        <f t="shared" si="45"/>
        <v>0</v>
      </c>
      <c r="S464">
        <f t="shared" si="46"/>
        <v>0</v>
      </c>
      <c r="T464">
        <f t="shared" si="47"/>
        <v>0</v>
      </c>
      <c r="U464">
        <f t="shared" si="48"/>
        <v>0</v>
      </c>
    </row>
    <row r="465" spans="2:21">
      <c r="B465" s="102">
        <v>44877</v>
      </c>
      <c r="C465">
        <v>3.5</v>
      </c>
      <c r="D465" t="s">
        <v>120</v>
      </c>
      <c r="E465" t="s">
        <v>121</v>
      </c>
      <c r="F465" t="s">
        <v>121</v>
      </c>
      <c r="G465" t="s">
        <v>121</v>
      </c>
      <c r="H465" t="s">
        <v>121</v>
      </c>
      <c r="I465" t="s">
        <v>121</v>
      </c>
      <c r="P465">
        <f t="shared" si="43"/>
        <v>1</v>
      </c>
      <c r="Q465">
        <f t="shared" si="44"/>
        <v>0</v>
      </c>
      <c r="R465">
        <f t="shared" si="45"/>
        <v>0</v>
      </c>
      <c r="S465">
        <f t="shared" si="46"/>
        <v>0</v>
      </c>
      <c r="T465">
        <f t="shared" si="47"/>
        <v>0</v>
      </c>
      <c r="U465">
        <f t="shared" si="48"/>
        <v>0</v>
      </c>
    </row>
    <row r="466" spans="2:21">
      <c r="B466" s="102">
        <v>44878</v>
      </c>
      <c r="C466">
        <v>2.5</v>
      </c>
      <c r="D466" t="s">
        <v>121</v>
      </c>
      <c r="E466" t="s">
        <v>121</v>
      </c>
      <c r="F466" t="s">
        <v>121</v>
      </c>
      <c r="G466" t="s">
        <v>121</v>
      </c>
      <c r="H466" t="s">
        <v>121</v>
      </c>
      <c r="I466" t="s">
        <v>121</v>
      </c>
      <c r="K466">
        <v>181.8</v>
      </c>
      <c r="P466">
        <f t="shared" si="43"/>
        <v>0</v>
      </c>
      <c r="Q466">
        <f t="shared" si="44"/>
        <v>0</v>
      </c>
      <c r="R466">
        <f t="shared" si="45"/>
        <v>0</v>
      </c>
      <c r="S466">
        <f t="shared" si="46"/>
        <v>0</v>
      </c>
      <c r="T466">
        <f t="shared" si="47"/>
        <v>0</v>
      </c>
      <c r="U466">
        <f t="shared" si="48"/>
        <v>0</v>
      </c>
    </row>
    <row r="467" spans="2:21">
      <c r="B467" s="102">
        <v>44879</v>
      </c>
      <c r="C467">
        <v>1.5</v>
      </c>
      <c r="D467" t="s">
        <v>120</v>
      </c>
      <c r="E467" t="s">
        <v>120</v>
      </c>
      <c r="F467" t="s">
        <v>121</v>
      </c>
      <c r="G467" t="s">
        <v>121</v>
      </c>
      <c r="H467" t="s">
        <v>121</v>
      </c>
      <c r="I467" t="s">
        <v>121</v>
      </c>
      <c r="P467">
        <f t="shared" si="43"/>
        <v>1</v>
      </c>
      <c r="Q467">
        <f t="shared" si="44"/>
        <v>1</v>
      </c>
      <c r="R467">
        <f t="shared" si="45"/>
        <v>0</v>
      </c>
      <c r="S467">
        <f t="shared" si="46"/>
        <v>0</v>
      </c>
      <c r="T467">
        <f t="shared" si="47"/>
        <v>0</v>
      </c>
      <c r="U467">
        <f t="shared" si="48"/>
        <v>0</v>
      </c>
    </row>
    <row r="468" spans="2:21">
      <c r="B468" s="102">
        <v>44880</v>
      </c>
      <c r="C468">
        <v>1.5</v>
      </c>
      <c r="D468" t="s">
        <v>120</v>
      </c>
      <c r="E468" t="s">
        <v>121</v>
      </c>
      <c r="F468" t="s">
        <v>120</v>
      </c>
      <c r="G468" t="s">
        <v>121</v>
      </c>
      <c r="H468" t="s">
        <v>121</v>
      </c>
      <c r="I468" t="s">
        <v>121</v>
      </c>
      <c r="P468">
        <f t="shared" si="43"/>
        <v>1</v>
      </c>
      <c r="Q468">
        <f t="shared" si="44"/>
        <v>0</v>
      </c>
      <c r="R468">
        <f t="shared" si="45"/>
        <v>1</v>
      </c>
      <c r="S468">
        <f t="shared" si="46"/>
        <v>0</v>
      </c>
      <c r="T468">
        <f t="shared" si="47"/>
        <v>0</v>
      </c>
      <c r="U468">
        <f t="shared" si="48"/>
        <v>0</v>
      </c>
    </row>
    <row r="469" spans="2:21">
      <c r="B469" s="102">
        <v>44881</v>
      </c>
      <c r="C469">
        <v>3</v>
      </c>
      <c r="D469" t="s">
        <v>121</v>
      </c>
      <c r="E469" t="s">
        <v>121</v>
      </c>
      <c r="F469" t="s">
        <v>121</v>
      </c>
      <c r="G469" t="s">
        <v>121</v>
      </c>
      <c r="H469" t="s">
        <v>121</v>
      </c>
      <c r="I469" t="s">
        <v>121</v>
      </c>
      <c r="P469">
        <f t="shared" si="43"/>
        <v>0</v>
      </c>
      <c r="Q469">
        <f t="shared" si="44"/>
        <v>0</v>
      </c>
      <c r="R469">
        <f t="shared" si="45"/>
        <v>0</v>
      </c>
      <c r="S469">
        <f t="shared" si="46"/>
        <v>0</v>
      </c>
      <c r="T469">
        <f t="shared" si="47"/>
        <v>0</v>
      </c>
      <c r="U469">
        <f t="shared" si="48"/>
        <v>0</v>
      </c>
    </row>
    <row r="470" spans="2:21">
      <c r="B470" s="102">
        <v>44882</v>
      </c>
      <c r="C470">
        <v>2</v>
      </c>
      <c r="D470" t="s">
        <v>120</v>
      </c>
      <c r="E470" t="s">
        <v>121</v>
      </c>
      <c r="F470" t="s">
        <v>121</v>
      </c>
      <c r="G470" t="s">
        <v>120</v>
      </c>
      <c r="H470" t="s">
        <v>121</v>
      </c>
      <c r="I470" t="s">
        <v>121</v>
      </c>
      <c r="P470">
        <f t="shared" si="43"/>
        <v>1</v>
      </c>
      <c r="Q470">
        <f t="shared" si="44"/>
        <v>0</v>
      </c>
      <c r="R470">
        <f t="shared" si="45"/>
        <v>0</v>
      </c>
      <c r="S470">
        <f t="shared" si="46"/>
        <v>1</v>
      </c>
      <c r="T470">
        <f t="shared" si="47"/>
        <v>0</v>
      </c>
      <c r="U470">
        <f t="shared" si="48"/>
        <v>0</v>
      </c>
    </row>
    <row r="471" spans="2:21">
      <c r="B471" s="102">
        <v>44883</v>
      </c>
      <c r="C471">
        <v>2</v>
      </c>
      <c r="D471" t="s">
        <v>120</v>
      </c>
      <c r="E471" t="s">
        <v>121</v>
      </c>
      <c r="F471" t="s">
        <v>121</v>
      </c>
      <c r="G471" t="s">
        <v>121</v>
      </c>
      <c r="H471" t="s">
        <v>121</v>
      </c>
      <c r="I471" t="s">
        <v>121</v>
      </c>
      <c r="P471">
        <f t="shared" si="43"/>
        <v>1</v>
      </c>
      <c r="Q471">
        <f t="shared" si="44"/>
        <v>0</v>
      </c>
      <c r="R471">
        <f t="shared" si="45"/>
        <v>0</v>
      </c>
      <c r="S471">
        <f t="shared" si="46"/>
        <v>0</v>
      </c>
      <c r="T471">
        <f t="shared" si="47"/>
        <v>0</v>
      </c>
      <c r="U471">
        <f t="shared" si="48"/>
        <v>0</v>
      </c>
    </row>
    <row r="472" spans="2:21">
      <c r="B472" s="102">
        <v>44884</v>
      </c>
      <c r="C472">
        <v>3</v>
      </c>
      <c r="D472" t="s">
        <v>120</v>
      </c>
      <c r="E472" t="s">
        <v>121</v>
      </c>
      <c r="F472" t="s">
        <v>121</v>
      </c>
      <c r="G472" t="s">
        <v>121</v>
      </c>
      <c r="H472" t="s">
        <v>121</v>
      </c>
      <c r="I472" t="s">
        <v>121</v>
      </c>
      <c r="P472">
        <f t="shared" si="43"/>
        <v>1</v>
      </c>
      <c r="Q472">
        <f t="shared" si="44"/>
        <v>0</v>
      </c>
      <c r="R472">
        <f t="shared" si="45"/>
        <v>0</v>
      </c>
      <c r="S472">
        <f t="shared" si="46"/>
        <v>0</v>
      </c>
      <c r="T472">
        <f t="shared" si="47"/>
        <v>0</v>
      </c>
      <c r="U472">
        <f t="shared" si="48"/>
        <v>0</v>
      </c>
    </row>
    <row r="473" spans="2:21">
      <c r="B473" s="102">
        <v>44885</v>
      </c>
      <c r="C473">
        <v>2.5</v>
      </c>
      <c r="D473" t="s">
        <v>121</v>
      </c>
      <c r="E473" t="s">
        <v>121</v>
      </c>
      <c r="F473" t="s">
        <v>121</v>
      </c>
      <c r="G473" t="s">
        <v>121</v>
      </c>
      <c r="H473" t="s">
        <v>121</v>
      </c>
      <c r="I473" t="s">
        <v>121</v>
      </c>
      <c r="K473">
        <v>181.2</v>
      </c>
      <c r="P473">
        <f t="shared" si="43"/>
        <v>0</v>
      </c>
      <c r="Q473">
        <f t="shared" si="44"/>
        <v>0</v>
      </c>
      <c r="R473">
        <f t="shared" si="45"/>
        <v>0</v>
      </c>
      <c r="S473">
        <f t="shared" si="46"/>
        <v>0</v>
      </c>
      <c r="T473">
        <f t="shared" si="47"/>
        <v>0</v>
      </c>
      <c r="U473">
        <f t="shared" si="48"/>
        <v>0</v>
      </c>
    </row>
    <row r="474" spans="2:21">
      <c r="B474" s="102">
        <v>44886</v>
      </c>
      <c r="C474">
        <v>2</v>
      </c>
      <c r="D474" t="s">
        <v>120</v>
      </c>
      <c r="E474" t="s">
        <v>120</v>
      </c>
      <c r="F474" t="s">
        <v>121</v>
      </c>
      <c r="G474" t="s">
        <v>121</v>
      </c>
      <c r="H474" t="s">
        <v>121</v>
      </c>
      <c r="I474" t="s">
        <v>121</v>
      </c>
      <c r="P474">
        <f t="shared" si="43"/>
        <v>1</v>
      </c>
      <c r="Q474">
        <f t="shared" si="44"/>
        <v>1</v>
      </c>
      <c r="R474">
        <f t="shared" si="45"/>
        <v>0</v>
      </c>
      <c r="S474">
        <f t="shared" si="46"/>
        <v>0</v>
      </c>
      <c r="T474">
        <f t="shared" si="47"/>
        <v>0</v>
      </c>
      <c r="U474">
        <f t="shared" si="48"/>
        <v>0</v>
      </c>
    </row>
    <row r="475" spans="2:21">
      <c r="B475" s="102">
        <v>44887</v>
      </c>
      <c r="C475">
        <v>2</v>
      </c>
      <c r="D475" t="s">
        <v>120</v>
      </c>
      <c r="E475" t="s">
        <v>121</v>
      </c>
      <c r="F475" t="s">
        <v>121</v>
      </c>
      <c r="G475" t="s">
        <v>121</v>
      </c>
      <c r="H475" t="s">
        <v>121</v>
      </c>
      <c r="I475" t="s">
        <v>121</v>
      </c>
      <c r="P475">
        <f t="shared" si="43"/>
        <v>1</v>
      </c>
      <c r="Q475">
        <f t="shared" si="44"/>
        <v>0</v>
      </c>
      <c r="R475">
        <f t="shared" si="45"/>
        <v>0</v>
      </c>
      <c r="S475">
        <f t="shared" si="46"/>
        <v>0</v>
      </c>
      <c r="T475">
        <f t="shared" si="47"/>
        <v>0</v>
      </c>
      <c r="U475">
        <f t="shared" si="48"/>
        <v>0</v>
      </c>
    </row>
    <row r="476" spans="2:21">
      <c r="B476" s="102">
        <v>44888</v>
      </c>
      <c r="C476">
        <v>2.5</v>
      </c>
      <c r="D476" t="s">
        <v>120</v>
      </c>
      <c r="E476" t="s">
        <v>121</v>
      </c>
      <c r="F476" t="s">
        <v>121</v>
      </c>
      <c r="G476" t="s">
        <v>121</v>
      </c>
      <c r="H476" t="s">
        <v>121</v>
      </c>
      <c r="I476" t="s">
        <v>121</v>
      </c>
      <c r="P476">
        <f t="shared" si="43"/>
        <v>1</v>
      </c>
      <c r="Q476">
        <f t="shared" si="44"/>
        <v>0</v>
      </c>
      <c r="R476">
        <f t="shared" si="45"/>
        <v>0</v>
      </c>
      <c r="S476">
        <f t="shared" si="46"/>
        <v>0</v>
      </c>
      <c r="T476">
        <f t="shared" si="47"/>
        <v>0</v>
      </c>
      <c r="U476">
        <f t="shared" si="48"/>
        <v>0</v>
      </c>
    </row>
    <row r="477" spans="2:21">
      <c r="B477" s="102">
        <v>44889</v>
      </c>
      <c r="C477">
        <v>2.5</v>
      </c>
      <c r="D477" t="s">
        <v>121</v>
      </c>
      <c r="E477" t="s">
        <v>121</v>
      </c>
      <c r="F477" t="s">
        <v>121</v>
      </c>
      <c r="G477" t="s">
        <v>121</v>
      </c>
      <c r="H477" t="s">
        <v>121</v>
      </c>
      <c r="I477" t="s">
        <v>121</v>
      </c>
      <c r="P477">
        <f t="shared" si="43"/>
        <v>0</v>
      </c>
      <c r="Q477">
        <f t="shared" si="44"/>
        <v>0</v>
      </c>
      <c r="R477">
        <f t="shared" si="45"/>
        <v>0</v>
      </c>
      <c r="S477">
        <f t="shared" si="46"/>
        <v>0</v>
      </c>
      <c r="T477">
        <f t="shared" si="47"/>
        <v>0</v>
      </c>
      <c r="U477">
        <f t="shared" si="48"/>
        <v>0</v>
      </c>
    </row>
    <row r="478" spans="2:21">
      <c r="B478" s="102">
        <v>44890</v>
      </c>
      <c r="C478">
        <v>2.5</v>
      </c>
      <c r="D478" t="s">
        <v>121</v>
      </c>
      <c r="E478" t="s">
        <v>120</v>
      </c>
      <c r="F478" t="s">
        <v>121</v>
      </c>
      <c r="G478" t="s">
        <v>121</v>
      </c>
      <c r="H478" t="s">
        <v>121</v>
      </c>
      <c r="I478" t="s">
        <v>120</v>
      </c>
      <c r="P478">
        <f t="shared" si="43"/>
        <v>0</v>
      </c>
      <c r="Q478">
        <f t="shared" si="44"/>
        <v>1</v>
      </c>
      <c r="R478">
        <f t="shared" si="45"/>
        <v>0</v>
      </c>
      <c r="S478">
        <f t="shared" si="46"/>
        <v>0</v>
      </c>
      <c r="T478">
        <f t="shared" si="47"/>
        <v>0</v>
      </c>
      <c r="U478">
        <f t="shared" si="48"/>
        <v>1</v>
      </c>
    </row>
    <row r="479" spans="2:21">
      <c r="B479" s="102">
        <v>44891</v>
      </c>
      <c r="C479">
        <v>2</v>
      </c>
      <c r="D479" t="s">
        <v>121</v>
      </c>
      <c r="E479" t="s">
        <v>121</v>
      </c>
      <c r="F479" t="s">
        <v>121</v>
      </c>
      <c r="G479" t="s">
        <v>121</v>
      </c>
      <c r="H479" t="s">
        <v>121</v>
      </c>
      <c r="I479" t="s">
        <v>121</v>
      </c>
      <c r="P479">
        <f t="shared" si="43"/>
        <v>0</v>
      </c>
      <c r="Q479">
        <f t="shared" si="44"/>
        <v>0</v>
      </c>
      <c r="R479">
        <f t="shared" si="45"/>
        <v>0</v>
      </c>
      <c r="S479">
        <f t="shared" si="46"/>
        <v>0</v>
      </c>
      <c r="T479">
        <f t="shared" si="47"/>
        <v>0</v>
      </c>
      <c r="U479">
        <f t="shared" si="48"/>
        <v>0</v>
      </c>
    </row>
    <row r="480" spans="2:21">
      <c r="B480" s="102">
        <v>44892</v>
      </c>
      <c r="C480">
        <v>2</v>
      </c>
      <c r="D480" t="s">
        <v>121</v>
      </c>
      <c r="E480" t="s">
        <v>121</v>
      </c>
      <c r="F480" t="s">
        <v>121</v>
      </c>
      <c r="G480" t="s">
        <v>121</v>
      </c>
      <c r="H480" t="s">
        <v>121</v>
      </c>
      <c r="I480" t="s">
        <v>121</v>
      </c>
      <c r="K480">
        <v>181.2</v>
      </c>
      <c r="P480">
        <f t="shared" si="43"/>
        <v>0</v>
      </c>
      <c r="Q480">
        <f t="shared" si="44"/>
        <v>0</v>
      </c>
      <c r="R480">
        <f t="shared" si="45"/>
        <v>0</v>
      </c>
      <c r="S480">
        <f t="shared" si="46"/>
        <v>0</v>
      </c>
      <c r="T480">
        <f t="shared" si="47"/>
        <v>0</v>
      </c>
      <c r="U480">
        <f t="shared" si="48"/>
        <v>0</v>
      </c>
    </row>
    <row r="481" spans="2:21">
      <c r="B481" s="102">
        <v>44893</v>
      </c>
      <c r="C481">
        <v>2.5</v>
      </c>
      <c r="D481" t="s">
        <v>120</v>
      </c>
      <c r="E481" t="s">
        <v>121</v>
      </c>
      <c r="F481" t="s">
        <v>121</v>
      </c>
      <c r="G481" t="s">
        <v>121</v>
      </c>
      <c r="H481" t="s">
        <v>121</v>
      </c>
      <c r="I481" t="s">
        <v>121</v>
      </c>
      <c r="P481">
        <f t="shared" si="43"/>
        <v>1</v>
      </c>
      <c r="Q481">
        <f t="shared" si="44"/>
        <v>0</v>
      </c>
      <c r="R481">
        <f t="shared" si="45"/>
        <v>0</v>
      </c>
      <c r="S481">
        <f t="shared" si="46"/>
        <v>0</v>
      </c>
      <c r="T481">
        <f t="shared" si="47"/>
        <v>0</v>
      </c>
      <c r="U481">
        <f t="shared" si="48"/>
        <v>0</v>
      </c>
    </row>
    <row r="482" spans="2:21">
      <c r="B482" s="102">
        <v>44894</v>
      </c>
      <c r="C482">
        <v>2</v>
      </c>
      <c r="D482" t="s">
        <v>120</v>
      </c>
      <c r="E482" t="s">
        <v>121</v>
      </c>
      <c r="F482" t="s">
        <v>121</v>
      </c>
      <c r="G482" t="s">
        <v>121</v>
      </c>
      <c r="H482" t="s">
        <v>121</v>
      </c>
      <c r="I482" t="s">
        <v>121</v>
      </c>
      <c r="P482">
        <f t="shared" si="43"/>
        <v>1</v>
      </c>
      <c r="Q482">
        <f t="shared" si="44"/>
        <v>0</v>
      </c>
      <c r="R482">
        <f t="shared" si="45"/>
        <v>0</v>
      </c>
      <c r="S482">
        <f t="shared" si="46"/>
        <v>0</v>
      </c>
      <c r="T482">
        <f t="shared" si="47"/>
        <v>0</v>
      </c>
      <c r="U482">
        <f t="shared" si="48"/>
        <v>0</v>
      </c>
    </row>
    <row r="483" spans="2:21">
      <c r="B483" s="102">
        <v>44895</v>
      </c>
      <c r="C483">
        <v>1.5</v>
      </c>
      <c r="D483" t="s">
        <v>120</v>
      </c>
      <c r="E483" t="s">
        <v>121</v>
      </c>
      <c r="F483" t="s">
        <v>121</v>
      </c>
      <c r="G483" t="s">
        <v>121</v>
      </c>
      <c r="H483" t="s">
        <v>121</v>
      </c>
      <c r="I483" t="s">
        <v>121</v>
      </c>
      <c r="P483">
        <f t="shared" si="43"/>
        <v>1</v>
      </c>
      <c r="Q483">
        <f t="shared" si="44"/>
        <v>0</v>
      </c>
      <c r="R483">
        <f t="shared" si="45"/>
        <v>0</v>
      </c>
      <c r="S483">
        <f t="shared" si="46"/>
        <v>0</v>
      </c>
      <c r="T483">
        <f t="shared" si="47"/>
        <v>0</v>
      </c>
      <c r="U483">
        <f t="shared" si="48"/>
        <v>0</v>
      </c>
    </row>
    <row r="484" spans="2:21">
      <c r="B484" s="102">
        <v>44896</v>
      </c>
      <c r="C484">
        <v>2.5</v>
      </c>
      <c r="D484" t="s">
        <v>120</v>
      </c>
      <c r="E484" t="s">
        <v>121</v>
      </c>
      <c r="F484" t="s">
        <v>121</v>
      </c>
      <c r="G484" t="s">
        <v>120</v>
      </c>
      <c r="H484" t="s">
        <v>121</v>
      </c>
      <c r="I484" t="s">
        <v>121</v>
      </c>
      <c r="P484">
        <f t="shared" si="43"/>
        <v>1</v>
      </c>
      <c r="Q484">
        <f t="shared" si="44"/>
        <v>0</v>
      </c>
      <c r="R484">
        <f t="shared" si="45"/>
        <v>0</v>
      </c>
      <c r="S484">
        <f t="shared" si="46"/>
        <v>1</v>
      </c>
      <c r="T484">
        <f t="shared" si="47"/>
        <v>0</v>
      </c>
      <c r="U484">
        <f t="shared" si="48"/>
        <v>0</v>
      </c>
    </row>
    <row r="485" spans="2:21">
      <c r="B485" s="102">
        <v>44897</v>
      </c>
      <c r="C485">
        <v>3</v>
      </c>
      <c r="D485" t="s">
        <v>120</v>
      </c>
      <c r="E485" t="s">
        <v>121</v>
      </c>
      <c r="F485" t="s">
        <v>121</v>
      </c>
      <c r="G485" t="s">
        <v>121</v>
      </c>
      <c r="H485" t="s">
        <v>121</v>
      </c>
      <c r="I485" t="s">
        <v>121</v>
      </c>
      <c r="P485">
        <f t="shared" si="43"/>
        <v>1</v>
      </c>
      <c r="Q485">
        <f t="shared" si="44"/>
        <v>0</v>
      </c>
      <c r="R485">
        <f t="shared" si="45"/>
        <v>0</v>
      </c>
      <c r="S485">
        <f t="shared" si="46"/>
        <v>0</v>
      </c>
      <c r="T485">
        <f t="shared" si="47"/>
        <v>0</v>
      </c>
      <c r="U485">
        <f t="shared" si="48"/>
        <v>0</v>
      </c>
    </row>
    <row r="486" spans="2:21">
      <c r="B486" s="102">
        <v>44898</v>
      </c>
      <c r="C486">
        <v>2.5</v>
      </c>
      <c r="D486" t="s">
        <v>120</v>
      </c>
      <c r="E486" t="s">
        <v>121</v>
      </c>
      <c r="F486" t="s">
        <v>121</v>
      </c>
      <c r="G486" t="s">
        <v>121</v>
      </c>
      <c r="H486" t="s">
        <v>121</v>
      </c>
      <c r="I486" t="s">
        <v>121</v>
      </c>
      <c r="P486">
        <f t="shared" si="43"/>
        <v>1</v>
      </c>
      <c r="Q486">
        <f t="shared" si="44"/>
        <v>0</v>
      </c>
      <c r="R486">
        <f t="shared" si="45"/>
        <v>0</v>
      </c>
      <c r="S486">
        <f t="shared" si="46"/>
        <v>0</v>
      </c>
      <c r="T486">
        <f t="shared" si="47"/>
        <v>0</v>
      </c>
      <c r="U486">
        <f t="shared" si="48"/>
        <v>0</v>
      </c>
    </row>
    <row r="487" spans="2:21">
      <c r="B487" s="102">
        <v>44899</v>
      </c>
      <c r="C487">
        <v>2.5</v>
      </c>
      <c r="D487" t="s">
        <v>121</v>
      </c>
      <c r="E487" t="s">
        <v>121</v>
      </c>
      <c r="F487" t="s">
        <v>121</v>
      </c>
      <c r="G487" t="s">
        <v>121</v>
      </c>
      <c r="H487" t="s">
        <v>121</v>
      </c>
      <c r="I487" t="s">
        <v>121</v>
      </c>
      <c r="K487">
        <v>180.4</v>
      </c>
      <c r="P487">
        <f t="shared" si="43"/>
        <v>0</v>
      </c>
      <c r="Q487">
        <f t="shared" si="44"/>
        <v>0</v>
      </c>
      <c r="R487">
        <f t="shared" si="45"/>
        <v>0</v>
      </c>
      <c r="S487">
        <f t="shared" si="46"/>
        <v>0</v>
      </c>
      <c r="T487">
        <f t="shared" si="47"/>
        <v>0</v>
      </c>
      <c r="U487">
        <f t="shared" si="48"/>
        <v>0</v>
      </c>
    </row>
    <row r="488" spans="2:21">
      <c r="B488" s="102">
        <v>44900</v>
      </c>
      <c r="C488">
        <v>2</v>
      </c>
      <c r="D488" t="s">
        <v>120</v>
      </c>
      <c r="E488" t="s">
        <v>120</v>
      </c>
      <c r="F488" t="s">
        <v>121</v>
      </c>
      <c r="G488" t="s">
        <v>121</v>
      </c>
      <c r="H488" t="s">
        <v>121</v>
      </c>
      <c r="I488" t="s">
        <v>121</v>
      </c>
      <c r="P488">
        <f t="shared" si="43"/>
        <v>1</v>
      </c>
      <c r="Q488">
        <f t="shared" si="44"/>
        <v>1</v>
      </c>
      <c r="R488">
        <f t="shared" si="45"/>
        <v>0</v>
      </c>
      <c r="S488">
        <f t="shared" si="46"/>
        <v>0</v>
      </c>
      <c r="T488">
        <f t="shared" si="47"/>
        <v>0</v>
      </c>
      <c r="U488">
        <f t="shared" si="48"/>
        <v>0</v>
      </c>
    </row>
    <row r="489" spans="2:21">
      <c r="B489" s="102">
        <v>44901</v>
      </c>
      <c r="C489">
        <v>2.5</v>
      </c>
      <c r="D489" t="s">
        <v>120</v>
      </c>
      <c r="E489" t="s">
        <v>121</v>
      </c>
      <c r="F489" t="s">
        <v>121</v>
      </c>
      <c r="G489" t="s">
        <v>121</v>
      </c>
      <c r="H489" t="s">
        <v>121</v>
      </c>
      <c r="I489" t="s">
        <v>121</v>
      </c>
      <c r="P489">
        <f t="shared" si="43"/>
        <v>1</v>
      </c>
      <c r="Q489">
        <f t="shared" si="44"/>
        <v>0</v>
      </c>
      <c r="R489">
        <f t="shared" si="45"/>
        <v>0</v>
      </c>
      <c r="S489">
        <f t="shared" si="46"/>
        <v>0</v>
      </c>
      <c r="T489">
        <f t="shared" si="47"/>
        <v>0</v>
      </c>
      <c r="U489">
        <f t="shared" si="48"/>
        <v>0</v>
      </c>
    </row>
    <row r="490" spans="2:21">
      <c r="B490" s="102">
        <v>44902</v>
      </c>
      <c r="C490">
        <v>2</v>
      </c>
      <c r="D490" t="s">
        <v>120</v>
      </c>
      <c r="E490" t="s">
        <v>121</v>
      </c>
      <c r="F490" t="s">
        <v>121</v>
      </c>
      <c r="G490" t="s">
        <v>121</v>
      </c>
      <c r="H490" t="s">
        <v>121</v>
      </c>
      <c r="I490" t="s">
        <v>121</v>
      </c>
      <c r="P490">
        <f t="shared" si="43"/>
        <v>1</v>
      </c>
      <c r="Q490">
        <f t="shared" si="44"/>
        <v>0</v>
      </c>
      <c r="R490">
        <f t="shared" si="45"/>
        <v>0</v>
      </c>
      <c r="S490">
        <f t="shared" si="46"/>
        <v>0</v>
      </c>
      <c r="T490">
        <f t="shared" si="47"/>
        <v>0</v>
      </c>
      <c r="U490">
        <f t="shared" si="48"/>
        <v>0</v>
      </c>
    </row>
    <row r="491" spans="2:21">
      <c r="B491" s="102">
        <v>44903</v>
      </c>
      <c r="C491">
        <v>2</v>
      </c>
      <c r="D491" t="s">
        <v>120</v>
      </c>
      <c r="E491" t="s">
        <v>121</v>
      </c>
      <c r="F491" t="s">
        <v>121</v>
      </c>
      <c r="G491" t="s">
        <v>121</v>
      </c>
      <c r="H491" t="s">
        <v>121</v>
      </c>
      <c r="I491" t="s">
        <v>121</v>
      </c>
      <c r="P491">
        <f t="shared" si="43"/>
        <v>1</v>
      </c>
      <c r="Q491">
        <f t="shared" si="44"/>
        <v>0</v>
      </c>
      <c r="R491">
        <f t="shared" si="45"/>
        <v>0</v>
      </c>
      <c r="S491">
        <f t="shared" si="46"/>
        <v>0</v>
      </c>
      <c r="T491">
        <f t="shared" si="47"/>
        <v>0</v>
      </c>
      <c r="U491">
        <f t="shared" si="48"/>
        <v>0</v>
      </c>
    </row>
    <row r="492" spans="2:21">
      <c r="B492" s="102">
        <v>44904</v>
      </c>
      <c r="C492">
        <v>1.5</v>
      </c>
      <c r="D492" t="s">
        <v>120</v>
      </c>
      <c r="E492" t="s">
        <v>121</v>
      </c>
      <c r="F492" t="s">
        <v>121</v>
      </c>
      <c r="G492" t="s">
        <v>121</v>
      </c>
      <c r="H492" t="s">
        <v>121</v>
      </c>
      <c r="I492" t="s">
        <v>121</v>
      </c>
      <c r="P492">
        <f t="shared" si="43"/>
        <v>1</v>
      </c>
      <c r="Q492">
        <f t="shared" si="44"/>
        <v>0</v>
      </c>
      <c r="R492">
        <f t="shared" si="45"/>
        <v>0</v>
      </c>
      <c r="S492">
        <f t="shared" si="46"/>
        <v>0</v>
      </c>
      <c r="T492">
        <f t="shared" si="47"/>
        <v>0</v>
      </c>
      <c r="U492">
        <f t="shared" si="48"/>
        <v>0</v>
      </c>
    </row>
    <row r="493" spans="2:21">
      <c r="B493" s="102">
        <v>44905</v>
      </c>
      <c r="C493">
        <v>1.5</v>
      </c>
      <c r="D493" t="s">
        <v>120</v>
      </c>
      <c r="E493" t="s">
        <v>121</v>
      </c>
      <c r="F493" t="s">
        <v>121</v>
      </c>
      <c r="G493" t="s">
        <v>121</v>
      </c>
      <c r="H493" t="s">
        <v>121</v>
      </c>
      <c r="I493" t="s">
        <v>121</v>
      </c>
      <c r="P493">
        <f t="shared" si="43"/>
        <v>1</v>
      </c>
      <c r="Q493">
        <f t="shared" si="44"/>
        <v>0</v>
      </c>
      <c r="R493">
        <f t="shared" si="45"/>
        <v>0</v>
      </c>
      <c r="S493">
        <f t="shared" si="46"/>
        <v>0</v>
      </c>
      <c r="T493">
        <f t="shared" si="47"/>
        <v>0</v>
      </c>
      <c r="U493">
        <f t="shared" si="48"/>
        <v>0</v>
      </c>
    </row>
    <row r="494" spans="2:21">
      <c r="B494" s="102">
        <v>44906</v>
      </c>
      <c r="C494">
        <v>2</v>
      </c>
      <c r="D494" t="s">
        <v>121</v>
      </c>
      <c r="E494" t="s">
        <v>121</v>
      </c>
      <c r="F494" t="s">
        <v>121</v>
      </c>
      <c r="G494" t="s">
        <v>121</v>
      </c>
      <c r="H494" t="s">
        <v>121</v>
      </c>
      <c r="I494" t="s">
        <v>121</v>
      </c>
      <c r="K494">
        <v>179.6</v>
      </c>
      <c r="P494">
        <f t="shared" si="43"/>
        <v>0</v>
      </c>
      <c r="Q494">
        <f t="shared" si="44"/>
        <v>0</v>
      </c>
      <c r="R494">
        <f t="shared" si="45"/>
        <v>0</v>
      </c>
      <c r="S494">
        <f t="shared" si="46"/>
        <v>0</v>
      </c>
      <c r="T494">
        <f t="shared" si="47"/>
        <v>0</v>
      </c>
      <c r="U494">
        <f t="shared" si="48"/>
        <v>0</v>
      </c>
    </row>
    <row r="495" spans="2:21">
      <c r="B495" s="102">
        <v>44907</v>
      </c>
      <c r="C495">
        <v>2</v>
      </c>
      <c r="D495" t="s">
        <v>120</v>
      </c>
      <c r="E495" t="s">
        <v>120</v>
      </c>
      <c r="F495" t="s">
        <v>121</v>
      </c>
      <c r="G495" t="s">
        <v>121</v>
      </c>
      <c r="H495" t="s">
        <v>121</v>
      </c>
      <c r="I495" t="s">
        <v>121</v>
      </c>
      <c r="P495">
        <f t="shared" si="43"/>
        <v>1</v>
      </c>
      <c r="Q495">
        <f t="shared" si="44"/>
        <v>1</v>
      </c>
      <c r="R495">
        <f t="shared" si="45"/>
        <v>0</v>
      </c>
      <c r="S495">
        <f t="shared" si="46"/>
        <v>0</v>
      </c>
      <c r="T495">
        <f t="shared" si="47"/>
        <v>0</v>
      </c>
      <c r="U495">
        <f t="shared" si="48"/>
        <v>0</v>
      </c>
    </row>
    <row r="496" spans="2:21">
      <c r="B496" s="102">
        <v>44908</v>
      </c>
      <c r="C496">
        <v>2</v>
      </c>
      <c r="D496" t="s">
        <v>120</v>
      </c>
      <c r="E496" t="s">
        <v>121</v>
      </c>
      <c r="F496" t="s">
        <v>121</v>
      </c>
      <c r="G496" t="s">
        <v>120</v>
      </c>
      <c r="H496" t="s">
        <v>121</v>
      </c>
      <c r="I496" t="s">
        <v>121</v>
      </c>
      <c r="P496">
        <f t="shared" si="43"/>
        <v>1</v>
      </c>
      <c r="Q496">
        <f t="shared" si="44"/>
        <v>0</v>
      </c>
      <c r="R496">
        <f t="shared" si="45"/>
        <v>0</v>
      </c>
      <c r="S496">
        <f t="shared" si="46"/>
        <v>1</v>
      </c>
      <c r="T496">
        <f t="shared" si="47"/>
        <v>0</v>
      </c>
      <c r="U496">
        <f t="shared" si="48"/>
        <v>0</v>
      </c>
    </row>
    <row r="497" spans="2:21">
      <c r="B497" s="102">
        <v>44909</v>
      </c>
      <c r="C497">
        <v>1.5</v>
      </c>
      <c r="D497" t="s">
        <v>120</v>
      </c>
      <c r="E497" t="s">
        <v>120</v>
      </c>
      <c r="F497" t="s">
        <v>121</v>
      </c>
      <c r="G497" t="s">
        <v>121</v>
      </c>
      <c r="H497" t="s">
        <v>121</v>
      </c>
      <c r="I497" t="s">
        <v>120</v>
      </c>
      <c r="P497">
        <f t="shared" si="43"/>
        <v>1</v>
      </c>
      <c r="Q497">
        <f t="shared" si="44"/>
        <v>1</v>
      </c>
      <c r="R497">
        <f t="shared" si="45"/>
        <v>0</v>
      </c>
      <c r="S497">
        <f t="shared" si="46"/>
        <v>0</v>
      </c>
      <c r="T497">
        <f t="shared" si="47"/>
        <v>0</v>
      </c>
      <c r="U497">
        <f t="shared" si="48"/>
        <v>1</v>
      </c>
    </row>
    <row r="498" spans="2:21">
      <c r="B498" s="102">
        <v>44910</v>
      </c>
      <c r="C498">
        <v>2</v>
      </c>
      <c r="D498" t="s">
        <v>120</v>
      </c>
      <c r="E498" t="s">
        <v>121</v>
      </c>
      <c r="F498" t="s">
        <v>121</v>
      </c>
      <c r="G498" t="s">
        <v>121</v>
      </c>
      <c r="H498" t="s">
        <v>121</v>
      </c>
      <c r="I498" t="s">
        <v>121</v>
      </c>
      <c r="P498">
        <f t="shared" si="43"/>
        <v>1</v>
      </c>
      <c r="Q498">
        <f t="shared" si="44"/>
        <v>0</v>
      </c>
      <c r="R498">
        <f t="shared" si="45"/>
        <v>0</v>
      </c>
      <c r="S498">
        <f t="shared" si="46"/>
        <v>0</v>
      </c>
      <c r="T498">
        <f t="shared" si="47"/>
        <v>0</v>
      </c>
      <c r="U498">
        <f t="shared" si="48"/>
        <v>0</v>
      </c>
    </row>
    <row r="499" spans="2:21">
      <c r="B499" s="102">
        <v>44911</v>
      </c>
      <c r="C499">
        <v>2.5</v>
      </c>
      <c r="D499" t="s">
        <v>120</v>
      </c>
      <c r="E499" t="s">
        <v>121</v>
      </c>
      <c r="F499" t="s">
        <v>121</v>
      </c>
      <c r="G499" t="s">
        <v>121</v>
      </c>
      <c r="H499" t="s">
        <v>121</v>
      </c>
      <c r="I499" t="s">
        <v>121</v>
      </c>
      <c r="P499">
        <f t="shared" si="43"/>
        <v>1</v>
      </c>
      <c r="Q499">
        <f t="shared" si="44"/>
        <v>0</v>
      </c>
      <c r="R499">
        <f t="shared" si="45"/>
        <v>0</v>
      </c>
      <c r="S499">
        <f t="shared" si="46"/>
        <v>0</v>
      </c>
      <c r="T499">
        <f t="shared" si="47"/>
        <v>0</v>
      </c>
      <c r="U499">
        <f t="shared" si="48"/>
        <v>0</v>
      </c>
    </row>
    <row r="500" spans="2:21">
      <c r="B500" s="102">
        <v>44912</v>
      </c>
      <c r="C500">
        <v>2</v>
      </c>
      <c r="D500" t="s">
        <v>120</v>
      </c>
      <c r="E500" t="s">
        <v>121</v>
      </c>
      <c r="F500" t="s">
        <v>121</v>
      </c>
      <c r="G500" t="s">
        <v>121</v>
      </c>
      <c r="H500" t="s">
        <v>121</v>
      </c>
      <c r="I500" t="s">
        <v>121</v>
      </c>
      <c r="P500">
        <f t="shared" si="43"/>
        <v>1</v>
      </c>
      <c r="Q500">
        <f t="shared" si="44"/>
        <v>0</v>
      </c>
      <c r="R500">
        <f t="shared" si="45"/>
        <v>0</v>
      </c>
      <c r="S500">
        <f t="shared" si="46"/>
        <v>0</v>
      </c>
      <c r="T500">
        <f t="shared" si="47"/>
        <v>0</v>
      </c>
      <c r="U500">
        <f t="shared" si="48"/>
        <v>0</v>
      </c>
    </row>
    <row r="501" spans="2:21">
      <c r="B501" s="102">
        <v>44913</v>
      </c>
      <c r="C501">
        <v>2</v>
      </c>
      <c r="D501" t="s">
        <v>121</v>
      </c>
      <c r="E501" t="s">
        <v>121</v>
      </c>
      <c r="F501" t="s">
        <v>121</v>
      </c>
      <c r="G501" t="s">
        <v>121</v>
      </c>
      <c r="H501" t="s">
        <v>121</v>
      </c>
      <c r="I501" t="s">
        <v>121</v>
      </c>
      <c r="P501">
        <f t="shared" si="43"/>
        <v>0</v>
      </c>
      <c r="Q501">
        <f t="shared" si="44"/>
        <v>0</v>
      </c>
      <c r="R501">
        <f t="shared" si="45"/>
        <v>0</v>
      </c>
      <c r="S501">
        <f t="shared" si="46"/>
        <v>0</v>
      </c>
      <c r="T501">
        <f t="shared" si="47"/>
        <v>0</v>
      </c>
      <c r="U501">
        <f t="shared" si="48"/>
        <v>0</v>
      </c>
    </row>
    <row r="502" spans="2:21">
      <c r="B502" s="102">
        <v>44914</v>
      </c>
      <c r="C502">
        <v>2.5</v>
      </c>
      <c r="D502" t="s">
        <v>120</v>
      </c>
      <c r="E502" t="s">
        <v>121</v>
      </c>
      <c r="F502" t="s">
        <v>121</v>
      </c>
      <c r="G502" t="s">
        <v>121</v>
      </c>
      <c r="H502" t="s">
        <v>121</v>
      </c>
      <c r="I502" t="s">
        <v>121</v>
      </c>
      <c r="K502">
        <v>179</v>
      </c>
      <c r="P502">
        <f t="shared" si="43"/>
        <v>1</v>
      </c>
      <c r="Q502">
        <f t="shared" si="44"/>
        <v>0</v>
      </c>
      <c r="R502">
        <f t="shared" si="45"/>
        <v>0</v>
      </c>
      <c r="S502">
        <f t="shared" si="46"/>
        <v>0</v>
      </c>
      <c r="T502">
        <f t="shared" si="47"/>
        <v>0</v>
      </c>
      <c r="U502">
        <f t="shared" si="48"/>
        <v>0</v>
      </c>
    </row>
    <row r="503" spans="2:21">
      <c r="B503" s="102">
        <v>44915</v>
      </c>
      <c r="C503">
        <v>2</v>
      </c>
      <c r="D503" t="s">
        <v>120</v>
      </c>
      <c r="E503" t="s">
        <v>121</v>
      </c>
      <c r="F503" t="s">
        <v>120</v>
      </c>
      <c r="G503" t="s">
        <v>121</v>
      </c>
      <c r="H503" t="s">
        <v>121</v>
      </c>
      <c r="I503" t="s">
        <v>121</v>
      </c>
      <c r="P503">
        <f t="shared" si="43"/>
        <v>1</v>
      </c>
      <c r="Q503">
        <f t="shared" si="44"/>
        <v>0</v>
      </c>
      <c r="R503">
        <f t="shared" si="45"/>
        <v>1</v>
      </c>
      <c r="S503">
        <f t="shared" si="46"/>
        <v>0</v>
      </c>
      <c r="T503">
        <f t="shared" si="47"/>
        <v>0</v>
      </c>
      <c r="U503">
        <f t="shared" si="48"/>
        <v>0</v>
      </c>
    </row>
    <row r="504" spans="2:21">
      <c r="B504" s="102">
        <v>44916</v>
      </c>
      <c r="C504">
        <v>2</v>
      </c>
      <c r="D504" t="s">
        <v>120</v>
      </c>
      <c r="E504" t="s">
        <v>121</v>
      </c>
      <c r="F504" t="s">
        <v>121</v>
      </c>
      <c r="G504" t="s">
        <v>121</v>
      </c>
      <c r="H504" t="s">
        <v>121</v>
      </c>
      <c r="I504" t="s">
        <v>121</v>
      </c>
      <c r="P504">
        <f t="shared" si="43"/>
        <v>1</v>
      </c>
      <c r="Q504">
        <f t="shared" si="44"/>
        <v>0</v>
      </c>
      <c r="R504">
        <f t="shared" si="45"/>
        <v>0</v>
      </c>
      <c r="S504">
        <f t="shared" si="46"/>
        <v>0</v>
      </c>
      <c r="T504">
        <f t="shared" si="47"/>
        <v>0</v>
      </c>
      <c r="U504">
        <f t="shared" si="48"/>
        <v>0</v>
      </c>
    </row>
    <row r="505" spans="2:21">
      <c r="B505" s="102">
        <v>44917</v>
      </c>
      <c r="C505">
        <v>2.5</v>
      </c>
      <c r="D505" t="s">
        <v>121</v>
      </c>
      <c r="E505" t="s">
        <v>121</v>
      </c>
      <c r="F505" t="s">
        <v>121</v>
      </c>
      <c r="G505" t="s">
        <v>121</v>
      </c>
      <c r="H505" t="s">
        <v>121</v>
      </c>
      <c r="I505" t="s">
        <v>121</v>
      </c>
      <c r="P505">
        <f t="shared" si="43"/>
        <v>0</v>
      </c>
      <c r="Q505">
        <f t="shared" si="44"/>
        <v>0</v>
      </c>
      <c r="R505">
        <f t="shared" si="45"/>
        <v>0</v>
      </c>
      <c r="S505">
        <f t="shared" si="46"/>
        <v>0</v>
      </c>
      <c r="T505">
        <f t="shared" si="47"/>
        <v>0</v>
      </c>
      <c r="U505">
        <f t="shared" si="48"/>
        <v>0</v>
      </c>
    </row>
    <row r="506" spans="2:21">
      <c r="B506" s="102">
        <v>44918</v>
      </c>
      <c r="C506">
        <v>2</v>
      </c>
      <c r="D506" t="s">
        <v>120</v>
      </c>
      <c r="E506" t="s">
        <v>121</v>
      </c>
      <c r="F506" t="s">
        <v>121</v>
      </c>
      <c r="G506" t="s">
        <v>121</v>
      </c>
      <c r="H506" t="s">
        <v>121</v>
      </c>
      <c r="I506" t="s">
        <v>121</v>
      </c>
      <c r="P506">
        <f t="shared" si="43"/>
        <v>1</v>
      </c>
      <c r="Q506">
        <f t="shared" si="44"/>
        <v>0</v>
      </c>
      <c r="R506">
        <f t="shared" si="45"/>
        <v>0</v>
      </c>
      <c r="S506">
        <f t="shared" si="46"/>
        <v>0</v>
      </c>
      <c r="T506">
        <f t="shared" si="47"/>
        <v>0</v>
      </c>
      <c r="U506">
        <f t="shared" si="48"/>
        <v>0</v>
      </c>
    </row>
    <row r="507" spans="2:21">
      <c r="B507" s="102">
        <v>44919</v>
      </c>
      <c r="C507">
        <v>2</v>
      </c>
      <c r="D507" t="s">
        <v>120</v>
      </c>
      <c r="E507" t="s">
        <v>120</v>
      </c>
      <c r="F507" t="s">
        <v>121</v>
      </c>
      <c r="G507" t="s">
        <v>120</v>
      </c>
      <c r="H507" t="s">
        <v>120</v>
      </c>
      <c r="I507" t="s">
        <v>121</v>
      </c>
      <c r="P507">
        <f t="shared" si="43"/>
        <v>1</v>
      </c>
      <c r="Q507">
        <f t="shared" si="44"/>
        <v>1</v>
      </c>
      <c r="R507">
        <f t="shared" si="45"/>
        <v>0</v>
      </c>
      <c r="S507">
        <f t="shared" si="46"/>
        <v>1</v>
      </c>
      <c r="T507">
        <f t="shared" si="47"/>
        <v>1</v>
      </c>
      <c r="U507">
        <f t="shared" si="48"/>
        <v>0</v>
      </c>
    </row>
    <row r="508" spans="2:21">
      <c r="B508" s="102">
        <v>44920</v>
      </c>
      <c r="C508">
        <v>2.5</v>
      </c>
      <c r="D508" t="s">
        <v>121</v>
      </c>
      <c r="E508" t="s">
        <v>121</v>
      </c>
      <c r="F508" t="s">
        <v>211</v>
      </c>
      <c r="G508" t="s">
        <v>121</v>
      </c>
      <c r="H508" t="s">
        <v>121</v>
      </c>
      <c r="I508" t="s">
        <v>121</v>
      </c>
      <c r="P508">
        <f t="shared" si="43"/>
        <v>0</v>
      </c>
      <c r="Q508">
        <f t="shared" si="44"/>
        <v>0</v>
      </c>
      <c r="R508">
        <f t="shared" si="45"/>
        <v>0</v>
      </c>
      <c r="S508">
        <f t="shared" si="46"/>
        <v>0</v>
      </c>
      <c r="T508">
        <f t="shared" si="47"/>
        <v>0</v>
      </c>
      <c r="U508">
        <f t="shared" si="48"/>
        <v>0</v>
      </c>
    </row>
    <row r="509" spans="2:21">
      <c r="B509" s="102">
        <v>44921</v>
      </c>
      <c r="C509">
        <v>1.5</v>
      </c>
      <c r="D509" t="s">
        <v>120</v>
      </c>
      <c r="E509" t="s">
        <v>121</v>
      </c>
      <c r="F509" t="s">
        <v>211</v>
      </c>
      <c r="G509" t="s">
        <v>121</v>
      </c>
      <c r="H509" t="s">
        <v>121</v>
      </c>
      <c r="I509" t="s">
        <v>121</v>
      </c>
      <c r="K509">
        <v>177</v>
      </c>
      <c r="P509">
        <f t="shared" si="43"/>
        <v>1</v>
      </c>
      <c r="Q509">
        <f t="shared" si="44"/>
        <v>0</v>
      </c>
      <c r="R509">
        <f t="shared" si="45"/>
        <v>0</v>
      </c>
      <c r="S509">
        <f t="shared" si="46"/>
        <v>0</v>
      </c>
      <c r="T509">
        <f t="shared" si="47"/>
        <v>0</v>
      </c>
      <c r="U509">
        <f t="shared" si="48"/>
        <v>0</v>
      </c>
    </row>
    <row r="510" spans="2:21">
      <c r="B510" s="102">
        <v>44922</v>
      </c>
      <c r="C510">
        <v>2</v>
      </c>
      <c r="D510" t="s">
        <v>120</v>
      </c>
      <c r="E510" t="s">
        <v>121</v>
      </c>
      <c r="F510" t="s">
        <v>121</v>
      </c>
      <c r="G510" t="s">
        <v>121</v>
      </c>
      <c r="H510" t="s">
        <v>121</v>
      </c>
      <c r="I510" t="s">
        <v>121</v>
      </c>
      <c r="P510">
        <f t="shared" si="43"/>
        <v>1</v>
      </c>
      <c r="Q510">
        <f t="shared" si="44"/>
        <v>0</v>
      </c>
      <c r="R510">
        <f t="shared" si="45"/>
        <v>0</v>
      </c>
      <c r="S510">
        <f t="shared" si="46"/>
        <v>0</v>
      </c>
      <c r="T510">
        <f t="shared" si="47"/>
        <v>0</v>
      </c>
      <c r="U510">
        <f t="shared" si="48"/>
        <v>0</v>
      </c>
    </row>
    <row r="511" spans="2:21">
      <c r="B511" s="102">
        <v>44923</v>
      </c>
      <c r="C511">
        <v>1.5</v>
      </c>
      <c r="D511" t="s">
        <v>120</v>
      </c>
      <c r="E511" t="s">
        <v>121</v>
      </c>
      <c r="F511" t="s">
        <v>121</v>
      </c>
      <c r="G511" t="s">
        <v>121</v>
      </c>
      <c r="H511" t="s">
        <v>121</v>
      </c>
      <c r="I511" t="s">
        <v>121</v>
      </c>
      <c r="P511">
        <f t="shared" si="43"/>
        <v>1</v>
      </c>
      <c r="Q511">
        <f t="shared" si="44"/>
        <v>0</v>
      </c>
      <c r="R511">
        <f t="shared" si="45"/>
        <v>0</v>
      </c>
      <c r="S511">
        <f t="shared" si="46"/>
        <v>0</v>
      </c>
      <c r="T511">
        <f t="shared" si="47"/>
        <v>0</v>
      </c>
      <c r="U511">
        <f t="shared" si="48"/>
        <v>0</v>
      </c>
    </row>
    <row r="512" spans="2:21">
      <c r="B512" s="102">
        <v>44924</v>
      </c>
      <c r="C512">
        <v>2</v>
      </c>
      <c r="D512" t="s">
        <v>120</v>
      </c>
      <c r="E512" t="s">
        <v>121</v>
      </c>
      <c r="F512" t="s">
        <v>121</v>
      </c>
      <c r="G512" t="s">
        <v>121</v>
      </c>
      <c r="H512" t="s">
        <v>121</v>
      </c>
      <c r="I512" t="s">
        <v>121</v>
      </c>
      <c r="P512">
        <f t="shared" si="43"/>
        <v>1</v>
      </c>
      <c r="Q512">
        <f t="shared" si="44"/>
        <v>0</v>
      </c>
      <c r="R512">
        <f t="shared" si="45"/>
        <v>0</v>
      </c>
      <c r="S512">
        <f t="shared" si="46"/>
        <v>0</v>
      </c>
      <c r="T512">
        <f t="shared" si="47"/>
        <v>0</v>
      </c>
      <c r="U512">
        <f t="shared" si="48"/>
        <v>0</v>
      </c>
    </row>
    <row r="513" spans="2:21">
      <c r="B513" s="102">
        <v>44925</v>
      </c>
      <c r="C513">
        <v>1.5</v>
      </c>
      <c r="D513" t="s">
        <v>120</v>
      </c>
      <c r="E513" t="s">
        <v>121</v>
      </c>
      <c r="F513" t="s">
        <v>121</v>
      </c>
      <c r="G513" t="s">
        <v>121</v>
      </c>
      <c r="H513" t="s">
        <v>121</v>
      </c>
      <c r="I513" t="s">
        <v>121</v>
      </c>
      <c r="P513">
        <f t="shared" si="43"/>
        <v>1</v>
      </c>
      <c r="Q513">
        <f t="shared" si="44"/>
        <v>0</v>
      </c>
      <c r="R513">
        <f t="shared" si="45"/>
        <v>0</v>
      </c>
      <c r="S513">
        <f t="shared" si="46"/>
        <v>0</v>
      </c>
      <c r="T513">
        <f t="shared" si="47"/>
        <v>0</v>
      </c>
      <c r="U513">
        <f t="shared" si="48"/>
        <v>0</v>
      </c>
    </row>
    <row r="514" spans="2:21">
      <c r="B514" s="102">
        <v>44926</v>
      </c>
      <c r="C514">
        <v>2.5</v>
      </c>
      <c r="D514" t="s">
        <v>120</v>
      </c>
      <c r="E514" t="s">
        <v>120</v>
      </c>
      <c r="F514" t="s">
        <v>121</v>
      </c>
      <c r="G514" t="s">
        <v>121</v>
      </c>
      <c r="H514" t="s">
        <v>121</v>
      </c>
      <c r="I514" t="s">
        <v>121</v>
      </c>
      <c r="P514">
        <f t="shared" si="43"/>
        <v>1</v>
      </c>
      <c r="Q514">
        <f t="shared" si="44"/>
        <v>1</v>
      </c>
      <c r="R514">
        <f t="shared" si="45"/>
        <v>0</v>
      </c>
      <c r="S514">
        <f t="shared" si="46"/>
        <v>0</v>
      </c>
      <c r="T514">
        <f t="shared" si="47"/>
        <v>0</v>
      </c>
      <c r="U514">
        <f t="shared" si="48"/>
        <v>0</v>
      </c>
    </row>
    <row r="515" spans="2:21">
      <c r="B515" s="102">
        <v>44927</v>
      </c>
      <c r="C515">
        <v>2</v>
      </c>
      <c r="D515" t="s">
        <v>121</v>
      </c>
      <c r="E515" t="s">
        <v>121</v>
      </c>
      <c r="F515" t="s">
        <v>121</v>
      </c>
      <c r="G515" t="s">
        <v>121</v>
      </c>
      <c r="H515" t="s">
        <v>121</v>
      </c>
      <c r="I515" t="s">
        <v>121</v>
      </c>
      <c r="P515">
        <f t="shared" ref="P515:P578" si="49">IF(D515="YES", 1, 0)</f>
        <v>0</v>
      </c>
      <c r="Q515">
        <f t="shared" ref="Q515:Q578" si="50">IF(E515="YES", 1, 0)</f>
        <v>0</v>
      </c>
      <c r="R515">
        <f t="shared" ref="R515:R578" si="51">IF(F515="YES", 1, 0)</f>
        <v>0</v>
      </c>
      <c r="S515">
        <f t="shared" ref="S515:S578" si="52">IF(G515="YES", 1, 0)</f>
        <v>0</v>
      </c>
      <c r="T515">
        <f t="shared" ref="T515:T578" si="53">IF(H515="YES", 1, 0)</f>
        <v>0</v>
      </c>
      <c r="U515">
        <f t="shared" ref="U515:U578" si="54">IF(I515="YES", 1, 0)</f>
        <v>0</v>
      </c>
    </row>
    <row r="516" spans="2:21">
      <c r="B516" s="102">
        <v>44928</v>
      </c>
      <c r="C516">
        <v>1.5</v>
      </c>
      <c r="D516" t="s">
        <v>120</v>
      </c>
      <c r="E516" t="s">
        <v>121</v>
      </c>
      <c r="F516" t="s">
        <v>121</v>
      </c>
      <c r="G516" t="s">
        <v>121</v>
      </c>
      <c r="H516" t="s">
        <v>121</v>
      </c>
      <c r="I516" t="s">
        <v>121</v>
      </c>
      <c r="K516">
        <v>178.8</v>
      </c>
      <c r="P516">
        <f t="shared" si="49"/>
        <v>1</v>
      </c>
      <c r="Q516">
        <f t="shared" si="50"/>
        <v>0</v>
      </c>
      <c r="R516">
        <f t="shared" si="51"/>
        <v>0</v>
      </c>
      <c r="S516">
        <f t="shared" si="52"/>
        <v>0</v>
      </c>
      <c r="T516">
        <f t="shared" si="53"/>
        <v>0</v>
      </c>
      <c r="U516">
        <f t="shared" si="54"/>
        <v>0</v>
      </c>
    </row>
    <row r="517" spans="2:21">
      <c r="B517" s="102">
        <v>44929</v>
      </c>
      <c r="C517">
        <v>2</v>
      </c>
      <c r="D517" t="s">
        <v>120</v>
      </c>
      <c r="E517" t="s">
        <v>121</v>
      </c>
      <c r="F517" t="s">
        <v>121</v>
      </c>
      <c r="G517" t="s">
        <v>121</v>
      </c>
      <c r="H517" t="s">
        <v>121</v>
      </c>
      <c r="I517" t="s">
        <v>121</v>
      </c>
      <c r="P517">
        <f t="shared" si="49"/>
        <v>1</v>
      </c>
      <c r="Q517">
        <f t="shared" si="50"/>
        <v>0</v>
      </c>
      <c r="R517">
        <f t="shared" si="51"/>
        <v>0</v>
      </c>
      <c r="S517">
        <f t="shared" si="52"/>
        <v>0</v>
      </c>
      <c r="T517">
        <f t="shared" si="53"/>
        <v>0</v>
      </c>
      <c r="U517">
        <f t="shared" si="54"/>
        <v>0</v>
      </c>
    </row>
    <row r="518" spans="2:21">
      <c r="B518" s="102">
        <v>44930</v>
      </c>
      <c r="C518">
        <v>1.5</v>
      </c>
      <c r="D518" t="s">
        <v>120</v>
      </c>
      <c r="E518" t="s">
        <v>121</v>
      </c>
      <c r="F518" t="s">
        <v>121</v>
      </c>
      <c r="G518" t="s">
        <v>121</v>
      </c>
      <c r="H518" t="s">
        <v>121</v>
      </c>
      <c r="I518" t="s">
        <v>121</v>
      </c>
      <c r="P518">
        <f t="shared" si="49"/>
        <v>1</v>
      </c>
      <c r="Q518">
        <f t="shared" si="50"/>
        <v>0</v>
      </c>
      <c r="R518">
        <f t="shared" si="51"/>
        <v>0</v>
      </c>
      <c r="S518">
        <f t="shared" si="52"/>
        <v>0</v>
      </c>
      <c r="T518">
        <f t="shared" si="53"/>
        <v>0</v>
      </c>
      <c r="U518">
        <f t="shared" si="54"/>
        <v>0</v>
      </c>
    </row>
    <row r="519" spans="2:21">
      <c r="B519" s="102">
        <v>44931</v>
      </c>
      <c r="C519">
        <v>2</v>
      </c>
      <c r="D519" t="s">
        <v>120</v>
      </c>
      <c r="E519" t="s">
        <v>121</v>
      </c>
      <c r="F519" t="s">
        <v>121</v>
      </c>
      <c r="G519" t="s">
        <v>120</v>
      </c>
      <c r="H519" t="s">
        <v>121</v>
      </c>
      <c r="I519" t="s">
        <v>121</v>
      </c>
      <c r="P519">
        <f t="shared" si="49"/>
        <v>1</v>
      </c>
      <c r="Q519">
        <f t="shared" si="50"/>
        <v>0</v>
      </c>
      <c r="R519">
        <f t="shared" si="51"/>
        <v>0</v>
      </c>
      <c r="S519">
        <f t="shared" si="52"/>
        <v>1</v>
      </c>
      <c r="T519">
        <f t="shared" si="53"/>
        <v>0</v>
      </c>
      <c r="U519">
        <f t="shared" si="54"/>
        <v>0</v>
      </c>
    </row>
    <row r="520" spans="2:21">
      <c r="B520" s="102">
        <v>44932</v>
      </c>
      <c r="C520">
        <v>1.5</v>
      </c>
      <c r="D520" t="s">
        <v>120</v>
      </c>
      <c r="E520" t="s">
        <v>121</v>
      </c>
      <c r="F520" t="s">
        <v>121</v>
      </c>
      <c r="G520" t="s">
        <v>121</v>
      </c>
      <c r="H520" t="s">
        <v>121</v>
      </c>
      <c r="I520" t="s">
        <v>121</v>
      </c>
      <c r="P520">
        <f t="shared" si="49"/>
        <v>1</v>
      </c>
      <c r="Q520">
        <f t="shared" si="50"/>
        <v>0</v>
      </c>
      <c r="R520">
        <f t="shared" si="51"/>
        <v>0</v>
      </c>
      <c r="S520">
        <f t="shared" si="52"/>
        <v>0</v>
      </c>
      <c r="T520">
        <f t="shared" si="53"/>
        <v>0</v>
      </c>
      <c r="U520">
        <f t="shared" si="54"/>
        <v>0</v>
      </c>
    </row>
    <row r="521" spans="2:21">
      <c r="B521" s="102">
        <v>44933</v>
      </c>
      <c r="C521">
        <v>2</v>
      </c>
      <c r="D521" t="s">
        <v>120</v>
      </c>
      <c r="E521" t="s">
        <v>120</v>
      </c>
      <c r="F521" t="s">
        <v>121</v>
      </c>
      <c r="G521" t="s">
        <v>121</v>
      </c>
      <c r="H521" t="s">
        <v>121</v>
      </c>
      <c r="I521" t="s">
        <v>121</v>
      </c>
      <c r="P521">
        <f t="shared" si="49"/>
        <v>1</v>
      </c>
      <c r="Q521">
        <f t="shared" si="50"/>
        <v>1</v>
      </c>
      <c r="R521">
        <f t="shared" si="51"/>
        <v>0</v>
      </c>
      <c r="S521">
        <f t="shared" si="52"/>
        <v>0</v>
      </c>
      <c r="T521">
        <f t="shared" si="53"/>
        <v>0</v>
      </c>
      <c r="U521">
        <f t="shared" si="54"/>
        <v>0</v>
      </c>
    </row>
    <row r="522" spans="2:21">
      <c r="B522" s="102">
        <v>44934</v>
      </c>
      <c r="C522">
        <v>2.5</v>
      </c>
      <c r="D522" t="s">
        <v>121</v>
      </c>
      <c r="E522" t="s">
        <v>121</v>
      </c>
      <c r="F522" t="s">
        <v>121</v>
      </c>
      <c r="G522" t="s">
        <v>121</v>
      </c>
      <c r="H522" t="s">
        <v>121</v>
      </c>
      <c r="I522" t="s">
        <v>121</v>
      </c>
      <c r="P522">
        <f t="shared" si="49"/>
        <v>0</v>
      </c>
      <c r="Q522">
        <f t="shared" si="50"/>
        <v>0</v>
      </c>
      <c r="R522">
        <f t="shared" si="51"/>
        <v>0</v>
      </c>
      <c r="S522">
        <f t="shared" si="52"/>
        <v>0</v>
      </c>
      <c r="T522">
        <f t="shared" si="53"/>
        <v>0</v>
      </c>
      <c r="U522">
        <f t="shared" si="54"/>
        <v>0</v>
      </c>
    </row>
    <row r="523" spans="2:21">
      <c r="B523" s="102">
        <v>44935</v>
      </c>
      <c r="C523">
        <v>2</v>
      </c>
      <c r="D523" t="s">
        <v>120</v>
      </c>
      <c r="E523" t="s">
        <v>121</v>
      </c>
      <c r="F523" t="s">
        <v>121</v>
      </c>
      <c r="G523" t="s">
        <v>121</v>
      </c>
      <c r="H523" t="s">
        <v>121</v>
      </c>
      <c r="I523" t="s">
        <v>121</v>
      </c>
      <c r="K523">
        <v>181.6</v>
      </c>
      <c r="P523">
        <f t="shared" si="49"/>
        <v>1</v>
      </c>
      <c r="Q523">
        <f t="shared" si="50"/>
        <v>0</v>
      </c>
      <c r="R523">
        <f t="shared" si="51"/>
        <v>0</v>
      </c>
      <c r="S523">
        <f t="shared" si="52"/>
        <v>0</v>
      </c>
      <c r="T523">
        <f t="shared" si="53"/>
        <v>0</v>
      </c>
      <c r="U523">
        <f t="shared" si="54"/>
        <v>0</v>
      </c>
    </row>
    <row r="524" spans="2:21">
      <c r="B524" s="102">
        <v>44936</v>
      </c>
      <c r="C524">
        <v>2.5</v>
      </c>
      <c r="D524" t="s">
        <v>120</v>
      </c>
      <c r="E524" t="s">
        <v>121</v>
      </c>
      <c r="F524" t="s">
        <v>121</v>
      </c>
      <c r="G524" t="s">
        <v>121</v>
      </c>
      <c r="H524" t="s">
        <v>121</v>
      </c>
      <c r="I524" t="s">
        <v>121</v>
      </c>
      <c r="P524">
        <f t="shared" si="49"/>
        <v>1</v>
      </c>
      <c r="Q524">
        <f t="shared" si="50"/>
        <v>0</v>
      </c>
      <c r="R524">
        <f t="shared" si="51"/>
        <v>0</v>
      </c>
      <c r="S524">
        <f t="shared" si="52"/>
        <v>0</v>
      </c>
      <c r="T524">
        <f t="shared" si="53"/>
        <v>0</v>
      </c>
      <c r="U524">
        <f t="shared" si="54"/>
        <v>0</v>
      </c>
    </row>
    <row r="525" spans="2:21">
      <c r="B525" s="102">
        <v>44937</v>
      </c>
      <c r="C525">
        <v>2</v>
      </c>
      <c r="D525" t="s">
        <v>120</v>
      </c>
      <c r="E525" t="s">
        <v>121</v>
      </c>
      <c r="F525" t="s">
        <v>121</v>
      </c>
      <c r="G525" t="s">
        <v>121</v>
      </c>
      <c r="H525" t="s">
        <v>121</v>
      </c>
      <c r="I525" t="s">
        <v>121</v>
      </c>
      <c r="P525">
        <f t="shared" si="49"/>
        <v>1</v>
      </c>
      <c r="Q525">
        <f t="shared" si="50"/>
        <v>0</v>
      </c>
      <c r="R525">
        <f t="shared" si="51"/>
        <v>0</v>
      </c>
      <c r="S525">
        <f t="shared" si="52"/>
        <v>0</v>
      </c>
      <c r="T525">
        <f t="shared" si="53"/>
        <v>0</v>
      </c>
      <c r="U525">
        <f t="shared" si="54"/>
        <v>0</v>
      </c>
    </row>
    <row r="526" spans="2:21">
      <c r="B526" s="102">
        <v>44938</v>
      </c>
      <c r="C526">
        <v>2</v>
      </c>
      <c r="D526" t="s">
        <v>120</v>
      </c>
      <c r="E526" t="s">
        <v>121</v>
      </c>
      <c r="F526" t="s">
        <v>121</v>
      </c>
      <c r="G526" t="s">
        <v>121</v>
      </c>
      <c r="H526" t="s">
        <v>121</v>
      </c>
      <c r="I526" t="s">
        <v>121</v>
      </c>
      <c r="P526">
        <f t="shared" si="49"/>
        <v>1</v>
      </c>
      <c r="Q526">
        <f t="shared" si="50"/>
        <v>0</v>
      </c>
      <c r="R526">
        <f t="shared" si="51"/>
        <v>0</v>
      </c>
      <c r="S526">
        <f t="shared" si="52"/>
        <v>0</v>
      </c>
      <c r="T526">
        <f t="shared" si="53"/>
        <v>0</v>
      </c>
      <c r="U526">
        <f t="shared" si="54"/>
        <v>0</v>
      </c>
    </row>
    <row r="527" spans="2:21">
      <c r="B527" s="102">
        <v>44939</v>
      </c>
      <c r="C527">
        <v>2.5</v>
      </c>
      <c r="D527" t="s">
        <v>120</v>
      </c>
      <c r="E527" t="s">
        <v>120</v>
      </c>
      <c r="F527" t="s">
        <v>120</v>
      </c>
      <c r="G527" t="s">
        <v>121</v>
      </c>
      <c r="H527" t="s">
        <v>121</v>
      </c>
      <c r="I527" t="s">
        <v>121</v>
      </c>
      <c r="P527">
        <f t="shared" si="49"/>
        <v>1</v>
      </c>
      <c r="Q527">
        <f t="shared" si="50"/>
        <v>1</v>
      </c>
      <c r="R527">
        <f t="shared" si="51"/>
        <v>1</v>
      </c>
      <c r="S527">
        <f t="shared" si="52"/>
        <v>0</v>
      </c>
      <c r="T527">
        <f t="shared" si="53"/>
        <v>0</v>
      </c>
      <c r="U527">
        <f t="shared" si="54"/>
        <v>0</v>
      </c>
    </row>
    <row r="528" spans="2:21">
      <c r="B528" s="102">
        <v>44940</v>
      </c>
      <c r="C528">
        <v>2</v>
      </c>
      <c r="D528" t="s">
        <v>120</v>
      </c>
      <c r="E528" t="s">
        <v>121</v>
      </c>
      <c r="F528" t="s">
        <v>121</v>
      </c>
      <c r="G528" t="s">
        <v>121</v>
      </c>
      <c r="H528" t="s">
        <v>121</v>
      </c>
      <c r="I528" t="s">
        <v>121</v>
      </c>
      <c r="P528">
        <f t="shared" si="49"/>
        <v>1</v>
      </c>
      <c r="Q528">
        <f t="shared" si="50"/>
        <v>0</v>
      </c>
      <c r="R528">
        <f t="shared" si="51"/>
        <v>0</v>
      </c>
      <c r="S528">
        <f t="shared" si="52"/>
        <v>0</v>
      </c>
      <c r="T528">
        <f t="shared" si="53"/>
        <v>0</v>
      </c>
      <c r="U528">
        <f t="shared" si="54"/>
        <v>0</v>
      </c>
    </row>
    <row r="529" spans="2:21">
      <c r="B529" s="102">
        <v>44941</v>
      </c>
      <c r="C529">
        <v>2</v>
      </c>
      <c r="D529" t="s">
        <v>121</v>
      </c>
      <c r="E529" t="s">
        <v>121</v>
      </c>
      <c r="F529" t="s">
        <v>121</v>
      </c>
      <c r="G529" t="s">
        <v>121</v>
      </c>
      <c r="H529" t="s">
        <v>121</v>
      </c>
      <c r="I529" t="s">
        <v>121</v>
      </c>
      <c r="P529">
        <f t="shared" si="49"/>
        <v>0</v>
      </c>
      <c r="Q529">
        <f t="shared" si="50"/>
        <v>0</v>
      </c>
      <c r="R529">
        <f t="shared" si="51"/>
        <v>0</v>
      </c>
      <c r="S529">
        <f t="shared" si="52"/>
        <v>0</v>
      </c>
      <c r="T529">
        <f t="shared" si="53"/>
        <v>0</v>
      </c>
      <c r="U529">
        <f t="shared" si="54"/>
        <v>0</v>
      </c>
    </row>
    <row r="530" spans="2:21">
      <c r="B530" s="102">
        <v>44942</v>
      </c>
      <c r="C530">
        <v>2</v>
      </c>
      <c r="D530" t="s">
        <v>120</v>
      </c>
      <c r="E530" t="s">
        <v>121</v>
      </c>
      <c r="F530" t="s">
        <v>121</v>
      </c>
      <c r="G530" t="s">
        <v>120</v>
      </c>
      <c r="H530" t="s">
        <v>121</v>
      </c>
      <c r="I530" t="s">
        <v>121</v>
      </c>
      <c r="P530">
        <f t="shared" si="49"/>
        <v>1</v>
      </c>
      <c r="Q530">
        <f t="shared" si="50"/>
        <v>0</v>
      </c>
      <c r="R530">
        <f t="shared" si="51"/>
        <v>0</v>
      </c>
      <c r="S530">
        <f t="shared" si="52"/>
        <v>1</v>
      </c>
      <c r="T530">
        <f t="shared" si="53"/>
        <v>0</v>
      </c>
      <c r="U530">
        <f t="shared" si="54"/>
        <v>0</v>
      </c>
    </row>
    <row r="531" spans="2:21">
      <c r="B531" s="102">
        <v>44943</v>
      </c>
      <c r="C531">
        <v>2</v>
      </c>
      <c r="D531" t="s">
        <v>120</v>
      </c>
      <c r="E531" t="s">
        <v>121</v>
      </c>
      <c r="F531" t="s">
        <v>121</v>
      </c>
      <c r="G531" t="s">
        <v>121</v>
      </c>
      <c r="H531" t="s">
        <v>121</v>
      </c>
      <c r="I531" t="s">
        <v>121</v>
      </c>
      <c r="P531">
        <f t="shared" si="49"/>
        <v>1</v>
      </c>
      <c r="Q531">
        <f t="shared" si="50"/>
        <v>0</v>
      </c>
      <c r="R531">
        <f t="shared" si="51"/>
        <v>0</v>
      </c>
      <c r="S531">
        <f t="shared" si="52"/>
        <v>0</v>
      </c>
      <c r="T531">
        <f t="shared" si="53"/>
        <v>0</v>
      </c>
      <c r="U531">
        <f t="shared" si="54"/>
        <v>0</v>
      </c>
    </row>
    <row r="532" spans="2:21">
      <c r="B532" s="102">
        <v>44944</v>
      </c>
      <c r="C532">
        <v>1.5</v>
      </c>
      <c r="D532" t="s">
        <v>120</v>
      </c>
      <c r="E532" t="s">
        <v>121</v>
      </c>
      <c r="F532" t="s">
        <v>121</v>
      </c>
      <c r="G532" t="s">
        <v>121</v>
      </c>
      <c r="H532" t="s">
        <v>121</v>
      </c>
      <c r="I532" t="s">
        <v>121</v>
      </c>
      <c r="P532">
        <f t="shared" si="49"/>
        <v>1</v>
      </c>
      <c r="Q532">
        <f t="shared" si="50"/>
        <v>0</v>
      </c>
      <c r="R532">
        <f t="shared" si="51"/>
        <v>0</v>
      </c>
      <c r="S532">
        <f t="shared" si="52"/>
        <v>0</v>
      </c>
      <c r="T532">
        <f t="shared" si="53"/>
        <v>0</v>
      </c>
      <c r="U532">
        <f t="shared" si="54"/>
        <v>0</v>
      </c>
    </row>
    <row r="533" spans="2:21">
      <c r="B533" s="102">
        <v>44945</v>
      </c>
      <c r="C533">
        <v>2</v>
      </c>
      <c r="D533" t="s">
        <v>120</v>
      </c>
      <c r="E533" t="s">
        <v>121</v>
      </c>
      <c r="F533" t="s">
        <v>121</v>
      </c>
      <c r="G533" t="s">
        <v>121</v>
      </c>
      <c r="H533" t="s">
        <v>121</v>
      </c>
      <c r="I533" t="s">
        <v>121</v>
      </c>
      <c r="P533">
        <f t="shared" si="49"/>
        <v>1</v>
      </c>
      <c r="Q533">
        <f t="shared" si="50"/>
        <v>0</v>
      </c>
      <c r="R533">
        <f t="shared" si="51"/>
        <v>0</v>
      </c>
      <c r="S533">
        <f t="shared" si="52"/>
        <v>0</v>
      </c>
      <c r="T533">
        <f t="shared" si="53"/>
        <v>0</v>
      </c>
      <c r="U533">
        <f t="shared" si="54"/>
        <v>0</v>
      </c>
    </row>
    <row r="534" spans="2:21">
      <c r="B534" s="102">
        <v>44946</v>
      </c>
      <c r="C534">
        <v>3</v>
      </c>
      <c r="D534" t="s">
        <v>120</v>
      </c>
      <c r="E534" t="s">
        <v>121</v>
      </c>
      <c r="F534" t="s">
        <v>121</v>
      </c>
      <c r="G534" t="s">
        <v>121</v>
      </c>
      <c r="H534" t="s">
        <v>121</v>
      </c>
      <c r="I534" t="s">
        <v>121</v>
      </c>
      <c r="P534">
        <f t="shared" si="49"/>
        <v>1</v>
      </c>
      <c r="Q534">
        <f t="shared" si="50"/>
        <v>0</v>
      </c>
      <c r="R534">
        <f t="shared" si="51"/>
        <v>0</v>
      </c>
      <c r="S534">
        <f t="shared" si="52"/>
        <v>0</v>
      </c>
      <c r="T534">
        <f t="shared" si="53"/>
        <v>0</v>
      </c>
      <c r="U534">
        <f t="shared" si="54"/>
        <v>0</v>
      </c>
    </row>
    <row r="535" spans="2:21">
      <c r="B535" s="102">
        <v>44947</v>
      </c>
      <c r="C535">
        <v>3</v>
      </c>
      <c r="D535" t="s">
        <v>120</v>
      </c>
      <c r="E535" t="s">
        <v>121</v>
      </c>
      <c r="F535" t="s">
        <v>121</v>
      </c>
      <c r="G535" t="s">
        <v>121</v>
      </c>
      <c r="H535" t="s">
        <v>121</v>
      </c>
      <c r="I535" t="s">
        <v>121</v>
      </c>
      <c r="P535">
        <f t="shared" si="49"/>
        <v>1</v>
      </c>
      <c r="Q535">
        <f t="shared" si="50"/>
        <v>0</v>
      </c>
      <c r="R535">
        <f t="shared" si="51"/>
        <v>0</v>
      </c>
      <c r="S535">
        <f t="shared" si="52"/>
        <v>0</v>
      </c>
      <c r="T535">
        <f t="shared" si="53"/>
        <v>0</v>
      </c>
      <c r="U535">
        <f t="shared" si="54"/>
        <v>0</v>
      </c>
    </row>
    <row r="536" spans="2:21">
      <c r="B536" s="102">
        <v>44948</v>
      </c>
      <c r="C536">
        <v>1.5</v>
      </c>
      <c r="D536" t="s">
        <v>121</v>
      </c>
      <c r="E536" t="s">
        <v>121</v>
      </c>
      <c r="F536" t="s">
        <v>121</v>
      </c>
      <c r="G536" t="s">
        <v>121</v>
      </c>
      <c r="H536" t="s">
        <v>121</v>
      </c>
      <c r="I536" t="s">
        <v>121</v>
      </c>
      <c r="K536">
        <v>175.4</v>
      </c>
      <c r="P536">
        <f t="shared" si="49"/>
        <v>0</v>
      </c>
      <c r="Q536">
        <f t="shared" si="50"/>
        <v>0</v>
      </c>
      <c r="R536">
        <f t="shared" si="51"/>
        <v>0</v>
      </c>
      <c r="S536">
        <f t="shared" si="52"/>
        <v>0</v>
      </c>
      <c r="T536">
        <f t="shared" si="53"/>
        <v>0</v>
      </c>
      <c r="U536">
        <f t="shared" si="54"/>
        <v>0</v>
      </c>
    </row>
    <row r="537" spans="2:21">
      <c r="B537" s="102">
        <v>44949</v>
      </c>
      <c r="C537">
        <v>3</v>
      </c>
      <c r="D537" t="s">
        <v>120</v>
      </c>
      <c r="E537" t="s">
        <v>121</v>
      </c>
      <c r="F537" t="s">
        <v>121</v>
      </c>
      <c r="G537" t="s">
        <v>121</v>
      </c>
      <c r="H537" t="s">
        <v>121</v>
      </c>
      <c r="I537" t="s">
        <v>121</v>
      </c>
      <c r="P537">
        <f t="shared" si="49"/>
        <v>1</v>
      </c>
      <c r="Q537">
        <f t="shared" si="50"/>
        <v>0</v>
      </c>
      <c r="R537">
        <f t="shared" si="51"/>
        <v>0</v>
      </c>
      <c r="S537">
        <f t="shared" si="52"/>
        <v>0</v>
      </c>
      <c r="T537">
        <f t="shared" si="53"/>
        <v>0</v>
      </c>
      <c r="U537">
        <f t="shared" si="54"/>
        <v>0</v>
      </c>
    </row>
    <row r="538" spans="2:21">
      <c r="B538" s="102">
        <v>44950</v>
      </c>
      <c r="C538">
        <v>3</v>
      </c>
      <c r="D538" t="s">
        <v>120</v>
      </c>
      <c r="E538" t="s">
        <v>121</v>
      </c>
      <c r="F538" t="s">
        <v>121</v>
      </c>
      <c r="G538" t="s">
        <v>121</v>
      </c>
      <c r="H538" t="s">
        <v>121</v>
      </c>
      <c r="I538" t="s">
        <v>121</v>
      </c>
      <c r="P538">
        <f t="shared" si="49"/>
        <v>1</v>
      </c>
      <c r="Q538">
        <f t="shared" si="50"/>
        <v>0</v>
      </c>
      <c r="R538">
        <f t="shared" si="51"/>
        <v>0</v>
      </c>
      <c r="S538">
        <f t="shared" si="52"/>
        <v>0</v>
      </c>
      <c r="T538">
        <f t="shared" si="53"/>
        <v>0</v>
      </c>
      <c r="U538">
        <f t="shared" si="54"/>
        <v>0</v>
      </c>
    </row>
    <row r="539" spans="2:21">
      <c r="B539" s="102">
        <v>44951</v>
      </c>
      <c r="C539">
        <v>2</v>
      </c>
      <c r="D539" t="s">
        <v>120</v>
      </c>
      <c r="E539" t="s">
        <v>121</v>
      </c>
      <c r="F539" t="s">
        <v>121</v>
      </c>
      <c r="G539" t="s">
        <v>121</v>
      </c>
      <c r="H539" t="s">
        <v>121</v>
      </c>
      <c r="I539" t="s">
        <v>120</v>
      </c>
      <c r="P539">
        <f t="shared" si="49"/>
        <v>1</v>
      </c>
      <c r="Q539">
        <f t="shared" si="50"/>
        <v>0</v>
      </c>
      <c r="R539">
        <f t="shared" si="51"/>
        <v>0</v>
      </c>
      <c r="S539">
        <f t="shared" si="52"/>
        <v>0</v>
      </c>
      <c r="T539">
        <f t="shared" si="53"/>
        <v>0</v>
      </c>
      <c r="U539">
        <f t="shared" si="54"/>
        <v>1</v>
      </c>
    </row>
    <row r="540" spans="2:21">
      <c r="B540" s="102">
        <v>44952</v>
      </c>
      <c r="C540">
        <v>2.5</v>
      </c>
      <c r="D540" t="s">
        <v>120</v>
      </c>
      <c r="E540" t="s">
        <v>120</v>
      </c>
      <c r="F540" t="s">
        <v>121</v>
      </c>
      <c r="G540" t="s">
        <v>121</v>
      </c>
      <c r="H540" t="s">
        <v>121</v>
      </c>
      <c r="I540" t="s">
        <v>121</v>
      </c>
      <c r="P540">
        <f t="shared" si="49"/>
        <v>1</v>
      </c>
      <c r="Q540">
        <f t="shared" si="50"/>
        <v>1</v>
      </c>
      <c r="R540">
        <f t="shared" si="51"/>
        <v>0</v>
      </c>
      <c r="S540">
        <f t="shared" si="52"/>
        <v>0</v>
      </c>
      <c r="T540">
        <f t="shared" si="53"/>
        <v>0</v>
      </c>
      <c r="U540">
        <f t="shared" si="54"/>
        <v>0</v>
      </c>
    </row>
    <row r="541" spans="2:21">
      <c r="B541" s="102">
        <v>44953</v>
      </c>
      <c r="C541">
        <v>2</v>
      </c>
      <c r="D541" t="s">
        <v>120</v>
      </c>
      <c r="E541" t="s">
        <v>121</v>
      </c>
      <c r="F541" t="s">
        <v>121</v>
      </c>
      <c r="G541" t="s">
        <v>121</v>
      </c>
      <c r="H541" t="s">
        <v>121</v>
      </c>
      <c r="I541" t="s">
        <v>121</v>
      </c>
      <c r="P541">
        <f t="shared" si="49"/>
        <v>1</v>
      </c>
      <c r="Q541">
        <f t="shared" si="50"/>
        <v>0</v>
      </c>
      <c r="R541">
        <f t="shared" si="51"/>
        <v>0</v>
      </c>
      <c r="S541">
        <f t="shared" si="52"/>
        <v>0</v>
      </c>
      <c r="T541">
        <f t="shared" si="53"/>
        <v>0</v>
      </c>
      <c r="U541">
        <f t="shared" si="54"/>
        <v>0</v>
      </c>
    </row>
    <row r="542" spans="2:21">
      <c r="B542" s="102">
        <v>44954</v>
      </c>
      <c r="C542">
        <v>3</v>
      </c>
      <c r="D542" t="s">
        <v>120</v>
      </c>
      <c r="E542" t="s">
        <v>121</v>
      </c>
      <c r="F542" t="s">
        <v>121</v>
      </c>
      <c r="G542" t="s">
        <v>121</v>
      </c>
      <c r="H542" t="s">
        <v>121</v>
      </c>
      <c r="I542" t="s">
        <v>121</v>
      </c>
      <c r="P542">
        <f t="shared" si="49"/>
        <v>1</v>
      </c>
      <c r="Q542">
        <f t="shared" si="50"/>
        <v>0</v>
      </c>
      <c r="R542">
        <f t="shared" si="51"/>
        <v>0</v>
      </c>
      <c r="S542">
        <f t="shared" si="52"/>
        <v>0</v>
      </c>
      <c r="T542">
        <f t="shared" si="53"/>
        <v>0</v>
      </c>
      <c r="U542">
        <f t="shared" si="54"/>
        <v>0</v>
      </c>
    </row>
    <row r="543" spans="2:21">
      <c r="B543" s="102">
        <v>44955</v>
      </c>
      <c r="C543">
        <v>3</v>
      </c>
      <c r="D543" t="s">
        <v>121</v>
      </c>
      <c r="E543" t="s">
        <v>121</v>
      </c>
      <c r="F543" t="s">
        <v>121</v>
      </c>
      <c r="G543" t="s">
        <v>121</v>
      </c>
      <c r="H543" t="s">
        <v>121</v>
      </c>
      <c r="I543" t="s">
        <v>121</v>
      </c>
      <c r="K543">
        <v>178</v>
      </c>
      <c r="P543">
        <f t="shared" si="49"/>
        <v>0</v>
      </c>
      <c r="Q543">
        <f t="shared" si="50"/>
        <v>0</v>
      </c>
      <c r="R543">
        <f t="shared" si="51"/>
        <v>0</v>
      </c>
      <c r="S543">
        <f t="shared" si="52"/>
        <v>0</v>
      </c>
      <c r="T543">
        <f t="shared" si="53"/>
        <v>0</v>
      </c>
      <c r="U543">
        <f t="shared" si="54"/>
        <v>0</v>
      </c>
    </row>
    <row r="544" spans="2:21">
      <c r="B544" s="102">
        <v>44956</v>
      </c>
      <c r="C544">
        <v>2</v>
      </c>
      <c r="D544" t="s">
        <v>120</v>
      </c>
      <c r="E544" t="s">
        <v>121</v>
      </c>
      <c r="F544" t="s">
        <v>121</v>
      </c>
      <c r="G544" t="s">
        <v>121</v>
      </c>
      <c r="H544" t="s">
        <v>121</v>
      </c>
      <c r="I544" t="s">
        <v>121</v>
      </c>
      <c r="P544">
        <f t="shared" si="49"/>
        <v>1</v>
      </c>
      <c r="Q544">
        <f t="shared" si="50"/>
        <v>0</v>
      </c>
      <c r="R544">
        <f t="shared" si="51"/>
        <v>0</v>
      </c>
      <c r="S544">
        <f t="shared" si="52"/>
        <v>0</v>
      </c>
      <c r="T544">
        <f t="shared" si="53"/>
        <v>0</v>
      </c>
      <c r="U544">
        <f t="shared" si="54"/>
        <v>0</v>
      </c>
    </row>
    <row r="545" spans="2:21">
      <c r="B545" s="102">
        <v>44957</v>
      </c>
      <c r="C545">
        <v>3</v>
      </c>
      <c r="D545" t="s">
        <v>121</v>
      </c>
      <c r="E545" t="s">
        <v>121</v>
      </c>
      <c r="F545" t="s">
        <v>121</v>
      </c>
      <c r="G545" t="s">
        <v>121</v>
      </c>
      <c r="H545" t="s">
        <v>121</v>
      </c>
      <c r="I545" t="s">
        <v>121</v>
      </c>
      <c r="P545">
        <f t="shared" si="49"/>
        <v>0</v>
      </c>
      <c r="Q545">
        <f t="shared" si="50"/>
        <v>0</v>
      </c>
      <c r="R545">
        <f t="shared" si="51"/>
        <v>0</v>
      </c>
      <c r="S545">
        <f t="shared" si="52"/>
        <v>0</v>
      </c>
      <c r="T545">
        <f t="shared" si="53"/>
        <v>0</v>
      </c>
      <c r="U545">
        <f t="shared" si="54"/>
        <v>0</v>
      </c>
    </row>
    <row r="546" spans="2:21">
      <c r="B546" s="102">
        <v>44958</v>
      </c>
      <c r="C546">
        <v>2</v>
      </c>
      <c r="D546" t="s">
        <v>120</v>
      </c>
      <c r="E546" t="s">
        <v>121</v>
      </c>
      <c r="F546" t="s">
        <v>121</v>
      </c>
      <c r="G546" t="s">
        <v>121</v>
      </c>
      <c r="H546" t="s">
        <v>121</v>
      </c>
      <c r="I546" t="s">
        <v>121</v>
      </c>
      <c r="P546">
        <f t="shared" si="49"/>
        <v>1</v>
      </c>
      <c r="Q546">
        <f t="shared" si="50"/>
        <v>0</v>
      </c>
      <c r="R546">
        <f t="shared" si="51"/>
        <v>0</v>
      </c>
      <c r="S546">
        <f t="shared" si="52"/>
        <v>0</v>
      </c>
      <c r="T546">
        <f t="shared" si="53"/>
        <v>0</v>
      </c>
      <c r="U546">
        <f t="shared" si="54"/>
        <v>0</v>
      </c>
    </row>
    <row r="547" spans="2:21">
      <c r="B547" s="102">
        <v>44959</v>
      </c>
      <c r="C547">
        <v>2</v>
      </c>
      <c r="D547" t="s">
        <v>120</v>
      </c>
      <c r="E547" t="s">
        <v>120</v>
      </c>
      <c r="F547" t="s">
        <v>121</v>
      </c>
      <c r="G547" t="s">
        <v>121</v>
      </c>
      <c r="H547" t="s">
        <v>121</v>
      </c>
      <c r="I547" t="s">
        <v>121</v>
      </c>
      <c r="P547">
        <f t="shared" si="49"/>
        <v>1</v>
      </c>
      <c r="Q547">
        <f t="shared" si="50"/>
        <v>1</v>
      </c>
      <c r="R547">
        <f t="shared" si="51"/>
        <v>0</v>
      </c>
      <c r="S547">
        <f t="shared" si="52"/>
        <v>0</v>
      </c>
      <c r="T547">
        <f t="shared" si="53"/>
        <v>0</v>
      </c>
      <c r="U547">
        <f t="shared" si="54"/>
        <v>0</v>
      </c>
    </row>
    <row r="548" spans="2:21">
      <c r="B548" s="102">
        <v>44960</v>
      </c>
      <c r="C548">
        <v>2</v>
      </c>
      <c r="D548" t="s">
        <v>120</v>
      </c>
      <c r="E548" t="s">
        <v>121</v>
      </c>
      <c r="F548" t="s">
        <v>121</v>
      </c>
      <c r="G548" t="s">
        <v>121</v>
      </c>
      <c r="H548" t="s">
        <v>121</v>
      </c>
      <c r="I548" t="s">
        <v>121</v>
      </c>
      <c r="P548">
        <f t="shared" si="49"/>
        <v>1</v>
      </c>
      <c r="Q548">
        <f t="shared" si="50"/>
        <v>0</v>
      </c>
      <c r="R548">
        <f t="shared" si="51"/>
        <v>0</v>
      </c>
      <c r="S548">
        <f t="shared" si="52"/>
        <v>0</v>
      </c>
      <c r="T548">
        <f t="shared" si="53"/>
        <v>0</v>
      </c>
      <c r="U548">
        <f t="shared" si="54"/>
        <v>0</v>
      </c>
    </row>
    <row r="549" spans="2:21">
      <c r="B549" s="102">
        <v>44961</v>
      </c>
      <c r="C549">
        <v>2</v>
      </c>
      <c r="D549" t="s">
        <v>120</v>
      </c>
      <c r="E549" t="s">
        <v>121</v>
      </c>
      <c r="F549" t="s">
        <v>121</v>
      </c>
      <c r="G549" t="s">
        <v>121</v>
      </c>
      <c r="H549" t="s">
        <v>121</v>
      </c>
      <c r="I549" t="s">
        <v>121</v>
      </c>
      <c r="P549">
        <f t="shared" si="49"/>
        <v>1</v>
      </c>
      <c r="Q549">
        <f t="shared" si="50"/>
        <v>0</v>
      </c>
      <c r="R549">
        <f t="shared" si="51"/>
        <v>0</v>
      </c>
      <c r="S549">
        <f t="shared" si="52"/>
        <v>0</v>
      </c>
      <c r="T549">
        <f t="shared" si="53"/>
        <v>0</v>
      </c>
      <c r="U549">
        <f t="shared" si="54"/>
        <v>0</v>
      </c>
    </row>
    <row r="550" spans="2:21">
      <c r="B550" s="102">
        <v>44962</v>
      </c>
      <c r="C550">
        <v>2.5</v>
      </c>
      <c r="D550" t="s">
        <v>121</v>
      </c>
      <c r="E550" t="s">
        <v>121</v>
      </c>
      <c r="F550" t="s">
        <v>121</v>
      </c>
      <c r="G550" t="s">
        <v>121</v>
      </c>
      <c r="H550" t="s">
        <v>121</v>
      </c>
      <c r="I550" t="s">
        <v>121</v>
      </c>
      <c r="K550">
        <v>177.2</v>
      </c>
      <c r="P550">
        <f t="shared" si="49"/>
        <v>0</v>
      </c>
      <c r="Q550">
        <f t="shared" si="50"/>
        <v>0</v>
      </c>
      <c r="R550">
        <f t="shared" si="51"/>
        <v>0</v>
      </c>
      <c r="S550">
        <f t="shared" si="52"/>
        <v>0</v>
      </c>
      <c r="T550">
        <f t="shared" si="53"/>
        <v>0</v>
      </c>
      <c r="U550">
        <f t="shared" si="54"/>
        <v>0</v>
      </c>
    </row>
    <row r="551" spans="2:21">
      <c r="B551" s="102">
        <v>44963</v>
      </c>
      <c r="C551">
        <v>2</v>
      </c>
      <c r="D551" t="s">
        <v>120</v>
      </c>
      <c r="E551" t="s">
        <v>121</v>
      </c>
      <c r="F551" t="s">
        <v>121</v>
      </c>
      <c r="G551" t="s">
        <v>121</v>
      </c>
      <c r="H551" t="s">
        <v>121</v>
      </c>
      <c r="I551" t="s">
        <v>121</v>
      </c>
      <c r="P551">
        <f t="shared" si="49"/>
        <v>1</v>
      </c>
      <c r="Q551">
        <f t="shared" si="50"/>
        <v>0</v>
      </c>
      <c r="R551">
        <f t="shared" si="51"/>
        <v>0</v>
      </c>
      <c r="S551">
        <f t="shared" si="52"/>
        <v>0</v>
      </c>
      <c r="T551">
        <f t="shared" si="53"/>
        <v>0</v>
      </c>
      <c r="U551">
        <f t="shared" si="54"/>
        <v>0</v>
      </c>
    </row>
    <row r="552" spans="2:21">
      <c r="B552" s="102">
        <v>44964</v>
      </c>
      <c r="C552">
        <v>1.5</v>
      </c>
      <c r="D552" t="s">
        <v>120</v>
      </c>
      <c r="E552" t="s">
        <v>121</v>
      </c>
      <c r="F552" t="s">
        <v>121</v>
      </c>
      <c r="G552" t="s">
        <v>121</v>
      </c>
      <c r="H552" t="s">
        <v>121</v>
      </c>
      <c r="I552" t="s">
        <v>121</v>
      </c>
      <c r="P552">
        <f t="shared" si="49"/>
        <v>1</v>
      </c>
      <c r="Q552">
        <f t="shared" si="50"/>
        <v>0</v>
      </c>
      <c r="R552">
        <f t="shared" si="51"/>
        <v>0</v>
      </c>
      <c r="S552">
        <f t="shared" si="52"/>
        <v>0</v>
      </c>
      <c r="T552">
        <f t="shared" si="53"/>
        <v>0</v>
      </c>
      <c r="U552">
        <f t="shared" si="54"/>
        <v>0</v>
      </c>
    </row>
    <row r="553" spans="2:21">
      <c r="B553" s="102">
        <v>44965</v>
      </c>
      <c r="C553">
        <v>1.5</v>
      </c>
      <c r="D553" t="s">
        <v>120</v>
      </c>
      <c r="E553" t="s">
        <v>121</v>
      </c>
      <c r="F553" t="s">
        <v>121</v>
      </c>
      <c r="G553" t="s">
        <v>121</v>
      </c>
      <c r="H553" t="s">
        <v>121</v>
      </c>
      <c r="I553" t="s">
        <v>121</v>
      </c>
      <c r="P553">
        <f t="shared" si="49"/>
        <v>1</v>
      </c>
      <c r="Q553">
        <f t="shared" si="50"/>
        <v>0</v>
      </c>
      <c r="R553">
        <f t="shared" si="51"/>
        <v>0</v>
      </c>
      <c r="S553">
        <f t="shared" si="52"/>
        <v>0</v>
      </c>
      <c r="T553">
        <f t="shared" si="53"/>
        <v>0</v>
      </c>
      <c r="U553">
        <f t="shared" si="54"/>
        <v>0</v>
      </c>
    </row>
    <row r="554" spans="2:21">
      <c r="B554" s="102">
        <v>44966</v>
      </c>
      <c r="C554">
        <v>2</v>
      </c>
      <c r="D554" t="s">
        <v>120</v>
      </c>
      <c r="E554" t="s">
        <v>121</v>
      </c>
      <c r="F554" t="s">
        <v>120</v>
      </c>
      <c r="G554" t="s">
        <v>120</v>
      </c>
      <c r="H554" t="s">
        <v>120</v>
      </c>
      <c r="I554" t="s">
        <v>121</v>
      </c>
      <c r="P554">
        <f t="shared" si="49"/>
        <v>1</v>
      </c>
      <c r="Q554">
        <f t="shared" si="50"/>
        <v>0</v>
      </c>
      <c r="R554">
        <f t="shared" si="51"/>
        <v>1</v>
      </c>
      <c r="S554">
        <f t="shared" si="52"/>
        <v>1</v>
      </c>
      <c r="T554">
        <f t="shared" si="53"/>
        <v>1</v>
      </c>
      <c r="U554">
        <f t="shared" si="54"/>
        <v>0</v>
      </c>
    </row>
    <row r="555" spans="2:21">
      <c r="B555" s="102">
        <v>44967</v>
      </c>
      <c r="C555">
        <v>3</v>
      </c>
      <c r="D555" t="s">
        <v>120</v>
      </c>
      <c r="E555" t="s">
        <v>121</v>
      </c>
      <c r="F555" t="s">
        <v>121</v>
      </c>
      <c r="G555" t="s">
        <v>121</v>
      </c>
      <c r="H555" t="s">
        <v>121</v>
      </c>
      <c r="I555" t="s">
        <v>121</v>
      </c>
      <c r="P555">
        <f t="shared" si="49"/>
        <v>1</v>
      </c>
      <c r="Q555">
        <f t="shared" si="50"/>
        <v>0</v>
      </c>
      <c r="R555">
        <f t="shared" si="51"/>
        <v>0</v>
      </c>
      <c r="S555">
        <f t="shared" si="52"/>
        <v>0</v>
      </c>
      <c r="T555">
        <f t="shared" si="53"/>
        <v>0</v>
      </c>
      <c r="U555">
        <f t="shared" si="54"/>
        <v>0</v>
      </c>
    </row>
    <row r="556" spans="2:21">
      <c r="B556" s="102">
        <v>44968</v>
      </c>
      <c r="C556">
        <v>1.5</v>
      </c>
      <c r="D556" t="s">
        <v>120</v>
      </c>
      <c r="E556" t="s">
        <v>121</v>
      </c>
      <c r="F556" t="s">
        <v>121</v>
      </c>
      <c r="G556" t="s">
        <v>121</v>
      </c>
      <c r="H556" t="s">
        <v>121</v>
      </c>
      <c r="I556" t="s">
        <v>121</v>
      </c>
      <c r="P556">
        <f t="shared" si="49"/>
        <v>1</v>
      </c>
      <c r="Q556">
        <f t="shared" si="50"/>
        <v>0</v>
      </c>
      <c r="R556">
        <f t="shared" si="51"/>
        <v>0</v>
      </c>
      <c r="S556">
        <f t="shared" si="52"/>
        <v>0</v>
      </c>
      <c r="T556">
        <f t="shared" si="53"/>
        <v>0</v>
      </c>
      <c r="U556">
        <f t="shared" si="54"/>
        <v>0</v>
      </c>
    </row>
    <row r="557" spans="2:21">
      <c r="B557" s="102">
        <v>44969</v>
      </c>
      <c r="C557">
        <v>2.5</v>
      </c>
      <c r="D557" t="s">
        <v>121</v>
      </c>
      <c r="E557" t="s">
        <v>120</v>
      </c>
      <c r="F557" t="s">
        <v>121</v>
      </c>
      <c r="G557" t="s">
        <v>121</v>
      </c>
      <c r="H557" t="s">
        <v>121</v>
      </c>
      <c r="I557" t="s">
        <v>121</v>
      </c>
      <c r="K557">
        <v>174</v>
      </c>
      <c r="P557">
        <f t="shared" si="49"/>
        <v>0</v>
      </c>
      <c r="Q557">
        <f t="shared" si="50"/>
        <v>1</v>
      </c>
      <c r="R557">
        <f t="shared" si="51"/>
        <v>0</v>
      </c>
      <c r="S557">
        <f t="shared" si="52"/>
        <v>0</v>
      </c>
      <c r="T557">
        <f t="shared" si="53"/>
        <v>0</v>
      </c>
      <c r="U557">
        <f t="shared" si="54"/>
        <v>0</v>
      </c>
    </row>
    <row r="558" spans="2:21">
      <c r="B558" s="102">
        <v>44970</v>
      </c>
      <c r="C558">
        <v>2</v>
      </c>
      <c r="D558" t="s">
        <v>120</v>
      </c>
      <c r="E558" t="s">
        <v>121</v>
      </c>
      <c r="F558" t="s">
        <v>211</v>
      </c>
      <c r="G558" t="s">
        <v>121</v>
      </c>
      <c r="H558" t="s">
        <v>121</v>
      </c>
      <c r="I558" t="s">
        <v>121</v>
      </c>
      <c r="P558">
        <f t="shared" si="49"/>
        <v>1</v>
      </c>
      <c r="Q558">
        <f t="shared" si="50"/>
        <v>0</v>
      </c>
      <c r="R558">
        <f t="shared" si="51"/>
        <v>0</v>
      </c>
      <c r="S558">
        <f t="shared" si="52"/>
        <v>0</v>
      </c>
      <c r="T558">
        <f t="shared" si="53"/>
        <v>0</v>
      </c>
      <c r="U558">
        <f t="shared" si="54"/>
        <v>0</v>
      </c>
    </row>
    <row r="559" spans="2:21">
      <c r="B559" s="102">
        <v>44971</v>
      </c>
      <c r="C559">
        <v>1.5</v>
      </c>
      <c r="D559" t="s">
        <v>120</v>
      </c>
      <c r="E559" t="s">
        <v>121</v>
      </c>
      <c r="F559" t="s">
        <v>211</v>
      </c>
      <c r="G559" t="s">
        <v>121</v>
      </c>
      <c r="H559" t="s">
        <v>121</v>
      </c>
      <c r="I559" t="s">
        <v>121</v>
      </c>
      <c r="P559">
        <f t="shared" si="49"/>
        <v>1</v>
      </c>
      <c r="Q559">
        <f t="shared" si="50"/>
        <v>0</v>
      </c>
      <c r="R559">
        <f t="shared" si="51"/>
        <v>0</v>
      </c>
      <c r="S559">
        <f t="shared" si="52"/>
        <v>0</v>
      </c>
      <c r="T559">
        <f t="shared" si="53"/>
        <v>0</v>
      </c>
      <c r="U559">
        <f t="shared" si="54"/>
        <v>0</v>
      </c>
    </row>
    <row r="560" spans="2:21">
      <c r="B560" s="102">
        <v>44972</v>
      </c>
      <c r="C560">
        <v>2.5</v>
      </c>
      <c r="D560" t="s">
        <v>120</v>
      </c>
      <c r="E560" t="s">
        <v>121</v>
      </c>
      <c r="F560" t="s">
        <v>121</v>
      </c>
      <c r="G560" t="s">
        <v>121</v>
      </c>
      <c r="H560" t="s">
        <v>121</v>
      </c>
      <c r="I560" t="s">
        <v>121</v>
      </c>
      <c r="P560">
        <f t="shared" si="49"/>
        <v>1</v>
      </c>
      <c r="Q560">
        <f t="shared" si="50"/>
        <v>0</v>
      </c>
      <c r="R560">
        <f t="shared" si="51"/>
        <v>0</v>
      </c>
      <c r="S560">
        <f t="shared" si="52"/>
        <v>0</v>
      </c>
      <c r="T560">
        <f t="shared" si="53"/>
        <v>0</v>
      </c>
      <c r="U560">
        <f t="shared" si="54"/>
        <v>0</v>
      </c>
    </row>
    <row r="561" spans="2:21">
      <c r="B561" s="102">
        <v>44973</v>
      </c>
      <c r="C561">
        <v>2</v>
      </c>
      <c r="D561" t="s">
        <v>120</v>
      </c>
      <c r="E561" t="s">
        <v>121</v>
      </c>
      <c r="F561" t="s">
        <v>121</v>
      </c>
      <c r="G561" t="s">
        <v>121</v>
      </c>
      <c r="H561" t="s">
        <v>121</v>
      </c>
      <c r="I561" t="s">
        <v>121</v>
      </c>
      <c r="P561">
        <f t="shared" si="49"/>
        <v>1</v>
      </c>
      <c r="Q561">
        <f t="shared" si="50"/>
        <v>0</v>
      </c>
      <c r="R561">
        <f t="shared" si="51"/>
        <v>0</v>
      </c>
      <c r="S561">
        <f t="shared" si="52"/>
        <v>0</v>
      </c>
      <c r="T561">
        <f t="shared" si="53"/>
        <v>0</v>
      </c>
      <c r="U561">
        <f t="shared" si="54"/>
        <v>0</v>
      </c>
    </row>
    <row r="562" spans="2:21">
      <c r="B562" s="102">
        <v>44974</v>
      </c>
      <c r="C562">
        <v>2.5</v>
      </c>
      <c r="D562" t="s">
        <v>120</v>
      </c>
      <c r="E562" t="s">
        <v>121</v>
      </c>
      <c r="F562" t="s">
        <v>121</v>
      </c>
      <c r="G562" t="s">
        <v>121</v>
      </c>
      <c r="H562" t="s">
        <v>121</v>
      </c>
      <c r="I562" t="s">
        <v>121</v>
      </c>
      <c r="P562">
        <f t="shared" si="49"/>
        <v>1</v>
      </c>
      <c r="Q562">
        <f t="shared" si="50"/>
        <v>0</v>
      </c>
      <c r="R562">
        <f t="shared" si="51"/>
        <v>0</v>
      </c>
      <c r="S562">
        <f t="shared" si="52"/>
        <v>0</v>
      </c>
      <c r="T562">
        <f t="shared" si="53"/>
        <v>0</v>
      </c>
      <c r="U562">
        <f t="shared" si="54"/>
        <v>0</v>
      </c>
    </row>
    <row r="563" spans="2:21">
      <c r="B563" s="102">
        <v>44975</v>
      </c>
      <c r="C563">
        <v>3</v>
      </c>
      <c r="D563" t="s">
        <v>120</v>
      </c>
      <c r="E563" t="s">
        <v>121</v>
      </c>
      <c r="F563" t="s">
        <v>121</v>
      </c>
      <c r="G563" t="s">
        <v>121</v>
      </c>
      <c r="H563" t="s">
        <v>121</v>
      </c>
      <c r="I563" t="s">
        <v>121</v>
      </c>
      <c r="P563">
        <f t="shared" si="49"/>
        <v>1</v>
      </c>
      <c r="Q563">
        <f t="shared" si="50"/>
        <v>0</v>
      </c>
      <c r="R563">
        <f t="shared" si="51"/>
        <v>0</v>
      </c>
      <c r="S563">
        <f t="shared" si="52"/>
        <v>0</v>
      </c>
      <c r="T563">
        <f t="shared" si="53"/>
        <v>0</v>
      </c>
      <c r="U563">
        <f t="shared" si="54"/>
        <v>0</v>
      </c>
    </row>
    <row r="564" spans="2:21">
      <c r="B564" s="102">
        <v>44976</v>
      </c>
      <c r="C564">
        <v>2.5</v>
      </c>
      <c r="D564" t="s">
        <v>121</v>
      </c>
      <c r="E564" t="s">
        <v>121</v>
      </c>
      <c r="F564" t="s">
        <v>121</v>
      </c>
      <c r="G564" t="s">
        <v>121</v>
      </c>
      <c r="H564" t="s">
        <v>121</v>
      </c>
      <c r="I564" t="s">
        <v>121</v>
      </c>
      <c r="K564">
        <v>174</v>
      </c>
      <c r="P564">
        <f t="shared" si="49"/>
        <v>0</v>
      </c>
      <c r="Q564">
        <f t="shared" si="50"/>
        <v>0</v>
      </c>
      <c r="R564">
        <f t="shared" si="51"/>
        <v>0</v>
      </c>
      <c r="S564">
        <f t="shared" si="52"/>
        <v>0</v>
      </c>
      <c r="T564">
        <f t="shared" si="53"/>
        <v>0</v>
      </c>
      <c r="U564">
        <f t="shared" si="54"/>
        <v>0</v>
      </c>
    </row>
    <row r="565" spans="2:21">
      <c r="B565" s="102">
        <v>44977</v>
      </c>
      <c r="C565">
        <v>2</v>
      </c>
      <c r="D565" t="s">
        <v>120</v>
      </c>
      <c r="E565" t="s">
        <v>120</v>
      </c>
      <c r="F565" t="s">
        <v>121</v>
      </c>
      <c r="G565" t="s">
        <v>121</v>
      </c>
      <c r="H565" t="s">
        <v>121</v>
      </c>
      <c r="I565" t="s">
        <v>121</v>
      </c>
      <c r="P565">
        <f t="shared" si="49"/>
        <v>1</v>
      </c>
      <c r="Q565">
        <f t="shared" si="50"/>
        <v>1</v>
      </c>
      <c r="R565">
        <f t="shared" si="51"/>
        <v>0</v>
      </c>
      <c r="S565">
        <f t="shared" si="52"/>
        <v>0</v>
      </c>
      <c r="T565">
        <f t="shared" si="53"/>
        <v>0</v>
      </c>
      <c r="U565">
        <f t="shared" si="54"/>
        <v>0</v>
      </c>
    </row>
    <row r="566" spans="2:21">
      <c r="B566" s="102">
        <v>44978</v>
      </c>
      <c r="C566">
        <v>2.5</v>
      </c>
      <c r="D566" t="s">
        <v>120</v>
      </c>
      <c r="E566" t="s">
        <v>121</v>
      </c>
      <c r="F566" t="s">
        <v>121</v>
      </c>
      <c r="G566" t="s">
        <v>121</v>
      </c>
      <c r="H566" t="s">
        <v>121</v>
      </c>
      <c r="I566" t="s">
        <v>121</v>
      </c>
      <c r="P566">
        <f t="shared" si="49"/>
        <v>1</v>
      </c>
      <c r="Q566">
        <f t="shared" si="50"/>
        <v>0</v>
      </c>
      <c r="R566">
        <f t="shared" si="51"/>
        <v>0</v>
      </c>
      <c r="S566">
        <f t="shared" si="52"/>
        <v>0</v>
      </c>
      <c r="T566">
        <f t="shared" si="53"/>
        <v>0</v>
      </c>
      <c r="U566">
        <f t="shared" si="54"/>
        <v>0</v>
      </c>
    </row>
    <row r="567" spans="2:21">
      <c r="B567" s="102">
        <v>44979</v>
      </c>
      <c r="C567">
        <v>2.5</v>
      </c>
      <c r="D567" t="s">
        <v>120</v>
      </c>
      <c r="E567" t="s">
        <v>121</v>
      </c>
      <c r="F567" t="s">
        <v>121</v>
      </c>
      <c r="G567" t="s">
        <v>121</v>
      </c>
      <c r="H567" t="s">
        <v>121</v>
      </c>
      <c r="I567" t="s">
        <v>121</v>
      </c>
      <c r="P567">
        <f t="shared" si="49"/>
        <v>1</v>
      </c>
      <c r="Q567">
        <f t="shared" si="50"/>
        <v>0</v>
      </c>
      <c r="R567">
        <f t="shared" si="51"/>
        <v>0</v>
      </c>
      <c r="S567">
        <f t="shared" si="52"/>
        <v>0</v>
      </c>
      <c r="T567">
        <f t="shared" si="53"/>
        <v>0</v>
      </c>
      <c r="U567">
        <f t="shared" si="54"/>
        <v>0</v>
      </c>
    </row>
    <row r="568" spans="2:21">
      <c r="B568" s="102">
        <v>44980</v>
      </c>
      <c r="C568">
        <v>2.5</v>
      </c>
      <c r="D568" t="s">
        <v>120</v>
      </c>
      <c r="E568" t="s">
        <v>121</v>
      </c>
      <c r="F568" t="s">
        <v>121</v>
      </c>
      <c r="G568" t="s">
        <v>121</v>
      </c>
      <c r="H568" t="s">
        <v>121</v>
      </c>
      <c r="I568" t="s">
        <v>121</v>
      </c>
      <c r="P568">
        <f t="shared" si="49"/>
        <v>1</v>
      </c>
      <c r="Q568">
        <f t="shared" si="50"/>
        <v>0</v>
      </c>
      <c r="R568">
        <f t="shared" si="51"/>
        <v>0</v>
      </c>
      <c r="S568">
        <f t="shared" si="52"/>
        <v>0</v>
      </c>
      <c r="T568">
        <f t="shared" si="53"/>
        <v>0</v>
      </c>
      <c r="U568">
        <f t="shared" si="54"/>
        <v>0</v>
      </c>
    </row>
    <row r="569" spans="2:21">
      <c r="B569" s="102">
        <v>44981</v>
      </c>
      <c r="C569">
        <v>3.5</v>
      </c>
      <c r="D569" t="s">
        <v>120</v>
      </c>
      <c r="E569" t="s">
        <v>121</v>
      </c>
      <c r="F569" t="s">
        <v>121</v>
      </c>
      <c r="G569" t="s">
        <v>121</v>
      </c>
      <c r="H569" t="s">
        <v>121</v>
      </c>
      <c r="I569" t="s">
        <v>121</v>
      </c>
      <c r="P569">
        <f t="shared" si="49"/>
        <v>1</v>
      </c>
      <c r="Q569">
        <f t="shared" si="50"/>
        <v>0</v>
      </c>
      <c r="R569">
        <f t="shared" si="51"/>
        <v>0</v>
      </c>
      <c r="S569">
        <f t="shared" si="52"/>
        <v>0</v>
      </c>
      <c r="T569">
        <f t="shared" si="53"/>
        <v>0</v>
      </c>
      <c r="U569">
        <f t="shared" si="54"/>
        <v>0</v>
      </c>
    </row>
    <row r="570" spans="2:21">
      <c r="B570" s="102">
        <v>44982</v>
      </c>
      <c r="C570">
        <v>2.5</v>
      </c>
      <c r="D570" t="s">
        <v>120</v>
      </c>
      <c r="E570" t="s">
        <v>121</v>
      </c>
      <c r="F570" t="s">
        <v>121</v>
      </c>
      <c r="G570" t="s">
        <v>121</v>
      </c>
      <c r="H570" t="s">
        <v>121</v>
      </c>
      <c r="I570" t="s">
        <v>121</v>
      </c>
      <c r="P570">
        <f t="shared" si="49"/>
        <v>1</v>
      </c>
      <c r="Q570">
        <f t="shared" si="50"/>
        <v>0</v>
      </c>
      <c r="R570">
        <f t="shared" si="51"/>
        <v>0</v>
      </c>
      <c r="S570">
        <f t="shared" si="52"/>
        <v>0</v>
      </c>
      <c r="T570">
        <f t="shared" si="53"/>
        <v>0</v>
      </c>
      <c r="U570">
        <f t="shared" si="54"/>
        <v>0</v>
      </c>
    </row>
    <row r="571" spans="2:21">
      <c r="B571" s="102">
        <v>44983</v>
      </c>
      <c r="C571">
        <v>3</v>
      </c>
      <c r="D571" t="s">
        <v>121</v>
      </c>
      <c r="E571" t="s">
        <v>120</v>
      </c>
      <c r="F571" t="s">
        <v>121</v>
      </c>
      <c r="G571" t="s">
        <v>121</v>
      </c>
      <c r="H571" t="s">
        <v>121</v>
      </c>
      <c r="I571" t="s">
        <v>121</v>
      </c>
      <c r="K571">
        <v>175.6</v>
      </c>
      <c r="P571">
        <f t="shared" si="49"/>
        <v>0</v>
      </c>
      <c r="Q571">
        <f t="shared" si="50"/>
        <v>1</v>
      </c>
      <c r="R571">
        <f t="shared" si="51"/>
        <v>0</v>
      </c>
      <c r="S571">
        <f t="shared" si="52"/>
        <v>0</v>
      </c>
      <c r="T571">
        <f t="shared" si="53"/>
        <v>0</v>
      </c>
      <c r="U571">
        <f t="shared" si="54"/>
        <v>0</v>
      </c>
    </row>
    <row r="572" spans="2:21">
      <c r="B572" s="102">
        <v>44984</v>
      </c>
      <c r="C572">
        <v>3</v>
      </c>
      <c r="D572" t="s">
        <v>120</v>
      </c>
      <c r="E572" t="s">
        <v>121</v>
      </c>
      <c r="F572" t="s">
        <v>121</v>
      </c>
      <c r="G572" t="s">
        <v>121</v>
      </c>
      <c r="H572" t="s">
        <v>121</v>
      </c>
      <c r="I572" t="s">
        <v>121</v>
      </c>
      <c r="P572">
        <f t="shared" si="49"/>
        <v>1</v>
      </c>
      <c r="Q572">
        <f t="shared" si="50"/>
        <v>0</v>
      </c>
      <c r="R572">
        <f t="shared" si="51"/>
        <v>0</v>
      </c>
      <c r="S572">
        <f t="shared" si="52"/>
        <v>0</v>
      </c>
      <c r="T572">
        <f t="shared" si="53"/>
        <v>0</v>
      </c>
      <c r="U572">
        <f t="shared" si="54"/>
        <v>0</v>
      </c>
    </row>
    <row r="573" spans="2:21">
      <c r="B573" s="102">
        <v>44985</v>
      </c>
      <c r="C573">
        <v>1.5</v>
      </c>
      <c r="D573" t="s">
        <v>120</v>
      </c>
      <c r="E573" t="s">
        <v>121</v>
      </c>
      <c r="F573" t="s">
        <v>121</v>
      </c>
      <c r="G573" t="s">
        <v>121</v>
      </c>
      <c r="H573" t="s">
        <v>121</v>
      </c>
      <c r="I573" t="s">
        <v>121</v>
      </c>
      <c r="P573">
        <f t="shared" si="49"/>
        <v>1</v>
      </c>
      <c r="Q573">
        <f t="shared" si="50"/>
        <v>0</v>
      </c>
      <c r="R573">
        <f t="shared" si="51"/>
        <v>0</v>
      </c>
      <c r="S573">
        <f t="shared" si="52"/>
        <v>0</v>
      </c>
      <c r="T573">
        <f t="shared" si="53"/>
        <v>0</v>
      </c>
      <c r="U573">
        <f t="shared" si="54"/>
        <v>0</v>
      </c>
    </row>
    <row r="574" spans="2:21">
      <c r="B574" s="102">
        <v>44986</v>
      </c>
      <c r="C574">
        <v>3.5</v>
      </c>
      <c r="D574" t="s">
        <v>120</v>
      </c>
      <c r="E574" t="s">
        <v>121</v>
      </c>
      <c r="F574" t="s">
        <v>121</v>
      </c>
      <c r="G574" t="s">
        <v>121</v>
      </c>
      <c r="H574" t="s">
        <v>121</v>
      </c>
      <c r="I574" t="s">
        <v>121</v>
      </c>
      <c r="P574">
        <f t="shared" si="49"/>
        <v>1</v>
      </c>
      <c r="Q574">
        <f t="shared" si="50"/>
        <v>0</v>
      </c>
      <c r="R574">
        <f t="shared" si="51"/>
        <v>0</v>
      </c>
      <c r="S574">
        <f t="shared" si="52"/>
        <v>0</v>
      </c>
      <c r="T574">
        <f t="shared" si="53"/>
        <v>0</v>
      </c>
      <c r="U574">
        <f t="shared" si="54"/>
        <v>0</v>
      </c>
    </row>
    <row r="575" spans="2:21">
      <c r="B575" s="102">
        <v>44987</v>
      </c>
      <c r="C575">
        <v>2</v>
      </c>
      <c r="D575" t="s">
        <v>120</v>
      </c>
      <c r="E575" t="s">
        <v>121</v>
      </c>
      <c r="F575" t="s">
        <v>121</v>
      </c>
      <c r="G575" t="s">
        <v>121</v>
      </c>
      <c r="H575" t="s">
        <v>121</v>
      </c>
      <c r="I575" t="s">
        <v>121</v>
      </c>
      <c r="P575">
        <f t="shared" si="49"/>
        <v>1</v>
      </c>
      <c r="Q575">
        <f t="shared" si="50"/>
        <v>0</v>
      </c>
      <c r="R575">
        <f t="shared" si="51"/>
        <v>0</v>
      </c>
      <c r="S575">
        <f t="shared" si="52"/>
        <v>0</v>
      </c>
      <c r="T575">
        <f t="shared" si="53"/>
        <v>0</v>
      </c>
      <c r="U575">
        <f t="shared" si="54"/>
        <v>0</v>
      </c>
    </row>
    <row r="576" spans="2:21">
      <c r="B576" s="102">
        <v>44988</v>
      </c>
      <c r="C576">
        <v>3</v>
      </c>
      <c r="D576" t="s">
        <v>120</v>
      </c>
      <c r="E576" t="s">
        <v>121</v>
      </c>
      <c r="F576" t="s">
        <v>121</v>
      </c>
      <c r="G576" t="s">
        <v>121</v>
      </c>
      <c r="H576" t="s">
        <v>121</v>
      </c>
      <c r="I576" t="s">
        <v>121</v>
      </c>
      <c r="P576">
        <f t="shared" si="49"/>
        <v>1</v>
      </c>
      <c r="Q576">
        <f t="shared" si="50"/>
        <v>0</v>
      </c>
      <c r="R576">
        <f t="shared" si="51"/>
        <v>0</v>
      </c>
      <c r="S576">
        <f t="shared" si="52"/>
        <v>0</v>
      </c>
      <c r="T576">
        <f t="shared" si="53"/>
        <v>0</v>
      </c>
      <c r="U576">
        <f t="shared" si="54"/>
        <v>0</v>
      </c>
    </row>
    <row r="577" spans="2:21">
      <c r="B577" s="102">
        <v>44989</v>
      </c>
      <c r="C577">
        <v>2.5</v>
      </c>
      <c r="D577" t="s">
        <v>120</v>
      </c>
      <c r="E577" t="s">
        <v>121</v>
      </c>
      <c r="F577" t="s">
        <v>121</v>
      </c>
      <c r="G577" t="s">
        <v>121</v>
      </c>
      <c r="H577" t="s">
        <v>121</v>
      </c>
      <c r="I577" t="s">
        <v>121</v>
      </c>
      <c r="P577">
        <f t="shared" si="49"/>
        <v>1</v>
      </c>
      <c r="Q577">
        <f t="shared" si="50"/>
        <v>0</v>
      </c>
      <c r="R577">
        <f t="shared" si="51"/>
        <v>0</v>
      </c>
      <c r="S577">
        <f t="shared" si="52"/>
        <v>0</v>
      </c>
      <c r="T577">
        <f t="shared" si="53"/>
        <v>0</v>
      </c>
      <c r="U577">
        <f t="shared" si="54"/>
        <v>0</v>
      </c>
    </row>
    <row r="578" spans="2:21">
      <c r="B578" s="102">
        <v>44990</v>
      </c>
      <c r="C578">
        <v>2</v>
      </c>
      <c r="D578" t="s">
        <v>121</v>
      </c>
      <c r="E578" t="s">
        <v>121</v>
      </c>
      <c r="F578" t="s">
        <v>121</v>
      </c>
      <c r="G578" t="s">
        <v>120</v>
      </c>
      <c r="H578" t="s">
        <v>121</v>
      </c>
      <c r="I578" t="s">
        <v>121</v>
      </c>
      <c r="K578">
        <v>175.6</v>
      </c>
      <c r="P578">
        <f t="shared" si="49"/>
        <v>0</v>
      </c>
      <c r="Q578">
        <f t="shared" si="50"/>
        <v>0</v>
      </c>
      <c r="R578">
        <f t="shared" si="51"/>
        <v>0</v>
      </c>
      <c r="S578">
        <f t="shared" si="52"/>
        <v>1</v>
      </c>
      <c r="T578">
        <f t="shared" si="53"/>
        <v>0</v>
      </c>
      <c r="U578">
        <f t="shared" si="54"/>
        <v>0</v>
      </c>
    </row>
    <row r="579" spans="2:21">
      <c r="B579" s="102">
        <v>44991</v>
      </c>
      <c r="C579">
        <v>2.5</v>
      </c>
      <c r="D579" t="s">
        <v>120</v>
      </c>
      <c r="E579" t="s">
        <v>121</v>
      </c>
      <c r="F579" t="s">
        <v>121</v>
      </c>
      <c r="G579" t="s">
        <v>121</v>
      </c>
      <c r="H579" t="s">
        <v>121</v>
      </c>
      <c r="I579" t="s">
        <v>121</v>
      </c>
      <c r="P579">
        <f t="shared" ref="P579:P642" si="55">IF(D579="YES", 1, 0)</f>
        <v>1</v>
      </c>
      <c r="Q579">
        <f t="shared" ref="Q579:Q642" si="56">IF(E579="YES", 1, 0)</f>
        <v>0</v>
      </c>
      <c r="R579">
        <f t="shared" ref="R579:R642" si="57">IF(F579="YES", 1, 0)</f>
        <v>0</v>
      </c>
      <c r="S579">
        <f t="shared" ref="S579:S642" si="58">IF(G579="YES", 1, 0)</f>
        <v>0</v>
      </c>
      <c r="T579">
        <f t="shared" ref="T579:T642" si="59">IF(H579="YES", 1, 0)</f>
        <v>0</v>
      </c>
      <c r="U579">
        <f t="shared" ref="U579:U642" si="60">IF(I579="YES", 1, 0)</f>
        <v>0</v>
      </c>
    </row>
    <row r="580" spans="2:21">
      <c r="B580" s="102">
        <v>44992</v>
      </c>
      <c r="C580">
        <v>2</v>
      </c>
      <c r="D580" t="s">
        <v>120</v>
      </c>
      <c r="E580" t="s">
        <v>121</v>
      </c>
      <c r="F580" t="s">
        <v>121</v>
      </c>
      <c r="G580" t="s">
        <v>121</v>
      </c>
      <c r="H580" t="s">
        <v>121</v>
      </c>
      <c r="I580" t="s">
        <v>121</v>
      </c>
      <c r="P580">
        <f t="shared" si="55"/>
        <v>1</v>
      </c>
      <c r="Q580">
        <f t="shared" si="56"/>
        <v>0</v>
      </c>
      <c r="R580">
        <f t="shared" si="57"/>
        <v>0</v>
      </c>
      <c r="S580">
        <f t="shared" si="58"/>
        <v>0</v>
      </c>
      <c r="T580">
        <f t="shared" si="59"/>
        <v>0</v>
      </c>
      <c r="U580">
        <f t="shared" si="60"/>
        <v>0</v>
      </c>
    </row>
    <row r="581" spans="2:21">
      <c r="B581" s="102">
        <v>44993</v>
      </c>
      <c r="C581">
        <v>2</v>
      </c>
      <c r="D581" t="s">
        <v>120</v>
      </c>
      <c r="E581" t="s">
        <v>121</v>
      </c>
      <c r="F581" t="s">
        <v>121</v>
      </c>
      <c r="G581" t="s">
        <v>121</v>
      </c>
      <c r="H581" t="s">
        <v>121</v>
      </c>
      <c r="I581" t="s">
        <v>120</v>
      </c>
      <c r="P581">
        <f t="shared" si="55"/>
        <v>1</v>
      </c>
      <c r="Q581">
        <f t="shared" si="56"/>
        <v>0</v>
      </c>
      <c r="R581">
        <f t="shared" si="57"/>
        <v>0</v>
      </c>
      <c r="S581">
        <f t="shared" si="58"/>
        <v>0</v>
      </c>
      <c r="T581">
        <f t="shared" si="59"/>
        <v>0</v>
      </c>
      <c r="U581">
        <f t="shared" si="60"/>
        <v>1</v>
      </c>
    </row>
    <row r="582" spans="2:21">
      <c r="B582" s="102">
        <v>44994</v>
      </c>
      <c r="C582">
        <v>2.5</v>
      </c>
      <c r="D582" t="s">
        <v>120</v>
      </c>
      <c r="E582" t="s">
        <v>121</v>
      </c>
      <c r="F582" t="s">
        <v>121</v>
      </c>
      <c r="G582" t="s">
        <v>121</v>
      </c>
      <c r="H582" t="s">
        <v>121</v>
      </c>
      <c r="I582" t="s">
        <v>121</v>
      </c>
      <c r="P582">
        <f t="shared" si="55"/>
        <v>1</v>
      </c>
      <c r="Q582">
        <f t="shared" si="56"/>
        <v>0</v>
      </c>
      <c r="R582">
        <f t="shared" si="57"/>
        <v>0</v>
      </c>
      <c r="S582">
        <f t="shared" si="58"/>
        <v>0</v>
      </c>
      <c r="T582">
        <f t="shared" si="59"/>
        <v>0</v>
      </c>
      <c r="U582">
        <f t="shared" si="60"/>
        <v>0</v>
      </c>
    </row>
    <row r="583" spans="2:21">
      <c r="B583" s="102">
        <v>44995</v>
      </c>
      <c r="C583">
        <v>2.5</v>
      </c>
      <c r="D583" t="s">
        <v>120</v>
      </c>
      <c r="E583" t="s">
        <v>121</v>
      </c>
      <c r="F583" t="s">
        <v>121</v>
      </c>
      <c r="G583" t="s">
        <v>121</v>
      </c>
      <c r="H583" t="s">
        <v>121</v>
      </c>
      <c r="I583" t="s">
        <v>121</v>
      </c>
      <c r="P583">
        <f t="shared" si="55"/>
        <v>1</v>
      </c>
      <c r="Q583">
        <f t="shared" si="56"/>
        <v>0</v>
      </c>
      <c r="R583">
        <f t="shared" si="57"/>
        <v>0</v>
      </c>
      <c r="S583">
        <f t="shared" si="58"/>
        <v>0</v>
      </c>
      <c r="T583">
        <f t="shared" si="59"/>
        <v>0</v>
      </c>
      <c r="U583">
        <f t="shared" si="60"/>
        <v>0</v>
      </c>
    </row>
    <row r="584" spans="2:21">
      <c r="B584" s="102">
        <v>44996</v>
      </c>
      <c r="C584">
        <v>3</v>
      </c>
      <c r="D584" t="s">
        <v>120</v>
      </c>
      <c r="E584" t="s">
        <v>121</v>
      </c>
      <c r="F584" t="s">
        <v>121</v>
      </c>
      <c r="G584" t="s">
        <v>121</v>
      </c>
      <c r="H584" t="s">
        <v>121</v>
      </c>
      <c r="I584" t="s">
        <v>121</v>
      </c>
      <c r="P584">
        <f t="shared" si="55"/>
        <v>1</v>
      </c>
      <c r="Q584">
        <f t="shared" si="56"/>
        <v>0</v>
      </c>
      <c r="R584">
        <f t="shared" si="57"/>
        <v>0</v>
      </c>
      <c r="S584">
        <f t="shared" si="58"/>
        <v>0</v>
      </c>
      <c r="T584">
        <f t="shared" si="59"/>
        <v>0</v>
      </c>
      <c r="U584">
        <f t="shared" si="60"/>
        <v>0</v>
      </c>
    </row>
    <row r="585" spans="2:21">
      <c r="B585" s="102">
        <v>44997</v>
      </c>
      <c r="C585">
        <v>2.5</v>
      </c>
      <c r="D585" t="s">
        <v>121</v>
      </c>
      <c r="E585" t="s">
        <v>121</v>
      </c>
      <c r="F585" t="s">
        <v>121</v>
      </c>
      <c r="G585" t="s">
        <v>121</v>
      </c>
      <c r="H585" t="s">
        <v>121</v>
      </c>
      <c r="I585" t="s">
        <v>121</v>
      </c>
      <c r="L585">
        <v>175</v>
      </c>
      <c r="P585">
        <f t="shared" si="55"/>
        <v>0</v>
      </c>
      <c r="Q585">
        <f t="shared" si="56"/>
        <v>0</v>
      </c>
      <c r="R585">
        <f t="shared" si="57"/>
        <v>0</v>
      </c>
      <c r="S585">
        <f t="shared" si="58"/>
        <v>0</v>
      </c>
      <c r="T585">
        <f t="shared" si="59"/>
        <v>0</v>
      </c>
      <c r="U585">
        <f t="shared" si="60"/>
        <v>0</v>
      </c>
    </row>
    <row r="586" spans="2:21">
      <c r="B586" s="102">
        <v>44998</v>
      </c>
      <c r="C586">
        <v>2.5</v>
      </c>
      <c r="D586" t="s">
        <v>120</v>
      </c>
      <c r="E586" t="s">
        <v>121</v>
      </c>
      <c r="F586" t="s">
        <v>121</v>
      </c>
      <c r="G586" t="s">
        <v>121</v>
      </c>
      <c r="H586" t="s">
        <v>121</v>
      </c>
      <c r="I586" t="s">
        <v>121</v>
      </c>
      <c r="K586">
        <v>178</v>
      </c>
      <c r="P586">
        <f t="shared" si="55"/>
        <v>1</v>
      </c>
      <c r="Q586">
        <f t="shared" si="56"/>
        <v>0</v>
      </c>
      <c r="R586">
        <f t="shared" si="57"/>
        <v>0</v>
      </c>
      <c r="S586">
        <f t="shared" si="58"/>
        <v>0</v>
      </c>
      <c r="T586">
        <f t="shared" si="59"/>
        <v>0</v>
      </c>
      <c r="U586">
        <f t="shared" si="60"/>
        <v>0</v>
      </c>
    </row>
    <row r="587" spans="2:21">
      <c r="B587" s="102">
        <v>44999</v>
      </c>
      <c r="C587">
        <v>2.5</v>
      </c>
      <c r="D587" t="s">
        <v>120</v>
      </c>
      <c r="E587" t="s">
        <v>121</v>
      </c>
      <c r="F587" t="s">
        <v>120</v>
      </c>
      <c r="G587" t="s">
        <v>121</v>
      </c>
      <c r="H587" t="s">
        <v>121</v>
      </c>
      <c r="I587" t="s">
        <v>121</v>
      </c>
      <c r="P587">
        <f t="shared" si="55"/>
        <v>1</v>
      </c>
      <c r="Q587">
        <f t="shared" si="56"/>
        <v>0</v>
      </c>
      <c r="R587">
        <f t="shared" si="57"/>
        <v>1</v>
      </c>
      <c r="S587">
        <f t="shared" si="58"/>
        <v>0</v>
      </c>
      <c r="T587">
        <f t="shared" si="59"/>
        <v>0</v>
      </c>
      <c r="U587">
        <f t="shared" si="60"/>
        <v>0</v>
      </c>
    </row>
    <row r="588" spans="2:21">
      <c r="B588" s="102">
        <v>45000</v>
      </c>
      <c r="C588">
        <v>2.5</v>
      </c>
      <c r="D588" t="s">
        <v>120</v>
      </c>
      <c r="E588" t="s">
        <v>121</v>
      </c>
      <c r="F588" t="s">
        <v>121</v>
      </c>
      <c r="G588" t="s">
        <v>121</v>
      </c>
      <c r="H588" t="s">
        <v>121</v>
      </c>
      <c r="I588" t="s">
        <v>121</v>
      </c>
      <c r="P588">
        <f t="shared" si="55"/>
        <v>1</v>
      </c>
      <c r="Q588">
        <f t="shared" si="56"/>
        <v>0</v>
      </c>
      <c r="R588">
        <f t="shared" si="57"/>
        <v>0</v>
      </c>
      <c r="S588">
        <f t="shared" si="58"/>
        <v>0</v>
      </c>
      <c r="T588">
        <f t="shared" si="59"/>
        <v>0</v>
      </c>
      <c r="U588">
        <f t="shared" si="60"/>
        <v>0</v>
      </c>
    </row>
    <row r="589" spans="2:21">
      <c r="B589" s="102">
        <v>45001</v>
      </c>
      <c r="C589">
        <v>3</v>
      </c>
      <c r="D589" t="s">
        <v>120</v>
      </c>
      <c r="E589" t="s">
        <v>121</v>
      </c>
      <c r="F589" t="s">
        <v>121</v>
      </c>
      <c r="G589" t="s">
        <v>121</v>
      </c>
      <c r="H589" t="s">
        <v>121</v>
      </c>
      <c r="I589" t="s">
        <v>121</v>
      </c>
      <c r="P589">
        <f t="shared" si="55"/>
        <v>1</v>
      </c>
      <c r="Q589">
        <f t="shared" si="56"/>
        <v>0</v>
      </c>
      <c r="R589">
        <f t="shared" si="57"/>
        <v>0</v>
      </c>
      <c r="S589">
        <f t="shared" si="58"/>
        <v>0</v>
      </c>
      <c r="T589">
        <f t="shared" si="59"/>
        <v>0</v>
      </c>
      <c r="U589">
        <f t="shared" si="60"/>
        <v>0</v>
      </c>
    </row>
    <row r="590" spans="2:21">
      <c r="B590" s="102">
        <v>45002</v>
      </c>
      <c r="C590">
        <v>2.5</v>
      </c>
      <c r="D590" t="s">
        <v>120</v>
      </c>
      <c r="E590" t="s">
        <v>121</v>
      </c>
      <c r="F590" t="s">
        <v>121</v>
      </c>
      <c r="G590" t="s">
        <v>121</v>
      </c>
      <c r="H590" t="s">
        <v>121</v>
      </c>
      <c r="I590" t="s">
        <v>121</v>
      </c>
      <c r="P590">
        <f t="shared" si="55"/>
        <v>1</v>
      </c>
      <c r="Q590">
        <f t="shared" si="56"/>
        <v>0</v>
      </c>
      <c r="R590">
        <f t="shared" si="57"/>
        <v>0</v>
      </c>
      <c r="S590">
        <f t="shared" si="58"/>
        <v>0</v>
      </c>
      <c r="T590">
        <f t="shared" si="59"/>
        <v>0</v>
      </c>
      <c r="U590">
        <f t="shared" si="60"/>
        <v>0</v>
      </c>
    </row>
    <row r="591" spans="2:21">
      <c r="B591" s="102">
        <v>45003</v>
      </c>
      <c r="C591">
        <v>2.5</v>
      </c>
      <c r="D591" t="s">
        <v>121</v>
      </c>
      <c r="E591" t="s">
        <v>120</v>
      </c>
      <c r="F591" t="s">
        <v>121</v>
      </c>
      <c r="G591" t="s">
        <v>121</v>
      </c>
      <c r="H591" t="s">
        <v>121</v>
      </c>
      <c r="I591" t="s">
        <v>121</v>
      </c>
      <c r="P591">
        <f t="shared" si="55"/>
        <v>0</v>
      </c>
      <c r="Q591">
        <f t="shared" si="56"/>
        <v>1</v>
      </c>
      <c r="R591">
        <f t="shared" si="57"/>
        <v>0</v>
      </c>
      <c r="S591">
        <f t="shared" si="58"/>
        <v>0</v>
      </c>
      <c r="T591">
        <f t="shared" si="59"/>
        <v>0</v>
      </c>
      <c r="U591">
        <f t="shared" si="60"/>
        <v>0</v>
      </c>
    </row>
    <row r="592" spans="2:21">
      <c r="B592" s="102">
        <v>45004</v>
      </c>
      <c r="C592">
        <v>2</v>
      </c>
      <c r="D592" t="s">
        <v>121</v>
      </c>
      <c r="E592" t="s">
        <v>121</v>
      </c>
      <c r="F592" t="s">
        <v>121</v>
      </c>
      <c r="G592" t="s">
        <v>121</v>
      </c>
      <c r="H592" t="s">
        <v>121</v>
      </c>
      <c r="I592" t="s">
        <v>121</v>
      </c>
      <c r="K592">
        <v>179.8</v>
      </c>
      <c r="P592">
        <f t="shared" si="55"/>
        <v>0</v>
      </c>
      <c r="Q592">
        <f t="shared" si="56"/>
        <v>0</v>
      </c>
      <c r="R592">
        <f t="shared" si="57"/>
        <v>0</v>
      </c>
      <c r="S592">
        <f t="shared" si="58"/>
        <v>0</v>
      </c>
      <c r="T592">
        <f t="shared" si="59"/>
        <v>0</v>
      </c>
      <c r="U592">
        <f t="shared" si="60"/>
        <v>0</v>
      </c>
    </row>
    <row r="593" spans="2:21">
      <c r="B593" s="102">
        <v>45005</v>
      </c>
      <c r="C593">
        <v>1.5</v>
      </c>
      <c r="D593" t="s">
        <v>120</v>
      </c>
      <c r="E593" t="s">
        <v>121</v>
      </c>
      <c r="F593" t="s">
        <v>121</v>
      </c>
      <c r="G593" t="s">
        <v>121</v>
      </c>
      <c r="H593" t="s">
        <v>121</v>
      </c>
      <c r="I593" t="s">
        <v>121</v>
      </c>
      <c r="P593">
        <f t="shared" si="55"/>
        <v>1</v>
      </c>
      <c r="Q593">
        <f t="shared" si="56"/>
        <v>0</v>
      </c>
      <c r="R593">
        <f t="shared" si="57"/>
        <v>0</v>
      </c>
      <c r="S593">
        <f t="shared" si="58"/>
        <v>0</v>
      </c>
      <c r="T593">
        <f t="shared" si="59"/>
        <v>0</v>
      </c>
      <c r="U593">
        <f t="shared" si="60"/>
        <v>0</v>
      </c>
    </row>
    <row r="594" spans="2:21">
      <c r="B594" s="102">
        <v>45006</v>
      </c>
      <c r="C594">
        <v>1.5</v>
      </c>
      <c r="D594" t="s">
        <v>120</v>
      </c>
      <c r="E594" t="s">
        <v>121</v>
      </c>
      <c r="F594" t="s">
        <v>121</v>
      </c>
      <c r="G594" t="s">
        <v>121</v>
      </c>
      <c r="H594" t="s">
        <v>121</v>
      </c>
      <c r="I594" t="s">
        <v>121</v>
      </c>
      <c r="P594">
        <f t="shared" si="55"/>
        <v>1</v>
      </c>
      <c r="Q594">
        <f t="shared" si="56"/>
        <v>0</v>
      </c>
      <c r="R594">
        <f t="shared" si="57"/>
        <v>0</v>
      </c>
      <c r="S594">
        <f t="shared" si="58"/>
        <v>0</v>
      </c>
      <c r="T594">
        <f t="shared" si="59"/>
        <v>0</v>
      </c>
      <c r="U594">
        <f t="shared" si="60"/>
        <v>0</v>
      </c>
    </row>
    <row r="595" spans="2:21">
      <c r="B595" s="102">
        <v>45007</v>
      </c>
      <c r="C595">
        <v>1.5</v>
      </c>
      <c r="D595" t="s">
        <v>120</v>
      </c>
      <c r="E595" t="s">
        <v>121</v>
      </c>
      <c r="F595" t="s">
        <v>121</v>
      </c>
      <c r="G595" t="s">
        <v>121</v>
      </c>
      <c r="H595" t="s">
        <v>121</v>
      </c>
      <c r="I595" t="s">
        <v>121</v>
      </c>
      <c r="P595">
        <f t="shared" si="55"/>
        <v>1</v>
      </c>
      <c r="Q595">
        <f t="shared" si="56"/>
        <v>0</v>
      </c>
      <c r="R595">
        <f t="shared" si="57"/>
        <v>0</v>
      </c>
      <c r="S595">
        <f t="shared" si="58"/>
        <v>0</v>
      </c>
      <c r="T595">
        <f t="shared" si="59"/>
        <v>0</v>
      </c>
      <c r="U595">
        <f t="shared" si="60"/>
        <v>0</v>
      </c>
    </row>
    <row r="596" spans="2:21">
      <c r="B596" s="102">
        <v>45008</v>
      </c>
      <c r="C596">
        <v>2.5</v>
      </c>
      <c r="D596" t="s">
        <v>120</v>
      </c>
      <c r="E596" t="s">
        <v>121</v>
      </c>
      <c r="F596" t="s">
        <v>121</v>
      </c>
      <c r="G596" t="s">
        <v>121</v>
      </c>
      <c r="H596" t="s">
        <v>121</v>
      </c>
      <c r="I596" t="s">
        <v>121</v>
      </c>
      <c r="P596">
        <f t="shared" si="55"/>
        <v>1</v>
      </c>
      <c r="Q596">
        <f t="shared" si="56"/>
        <v>0</v>
      </c>
      <c r="R596">
        <f t="shared" si="57"/>
        <v>0</v>
      </c>
      <c r="S596">
        <f t="shared" si="58"/>
        <v>0</v>
      </c>
      <c r="T596">
        <f t="shared" si="59"/>
        <v>0</v>
      </c>
      <c r="U596">
        <f t="shared" si="60"/>
        <v>0</v>
      </c>
    </row>
    <row r="597" spans="2:21">
      <c r="B597" s="102">
        <v>45009</v>
      </c>
      <c r="C597">
        <v>2.5</v>
      </c>
      <c r="D597" t="s">
        <v>120</v>
      </c>
      <c r="E597" t="s">
        <v>121</v>
      </c>
      <c r="F597" t="s">
        <v>121</v>
      </c>
      <c r="G597" t="s">
        <v>121</v>
      </c>
      <c r="H597" t="s">
        <v>121</v>
      </c>
      <c r="I597" t="s">
        <v>121</v>
      </c>
      <c r="P597">
        <f t="shared" si="55"/>
        <v>1</v>
      </c>
      <c r="Q597">
        <f t="shared" si="56"/>
        <v>0</v>
      </c>
      <c r="R597">
        <f t="shared" si="57"/>
        <v>0</v>
      </c>
      <c r="S597">
        <f t="shared" si="58"/>
        <v>0</v>
      </c>
      <c r="T597">
        <f t="shared" si="59"/>
        <v>0</v>
      </c>
      <c r="U597">
        <f t="shared" si="60"/>
        <v>0</v>
      </c>
    </row>
    <row r="598" spans="2:21">
      <c r="B598" s="102">
        <v>45010</v>
      </c>
      <c r="C598">
        <v>3</v>
      </c>
      <c r="D598" t="s">
        <v>120</v>
      </c>
      <c r="E598" t="s">
        <v>121</v>
      </c>
      <c r="F598" t="s">
        <v>121</v>
      </c>
      <c r="G598" t="s">
        <v>121</v>
      </c>
      <c r="H598" t="s">
        <v>121</v>
      </c>
      <c r="I598" t="s">
        <v>121</v>
      </c>
      <c r="P598">
        <f t="shared" si="55"/>
        <v>1</v>
      </c>
      <c r="Q598">
        <f t="shared" si="56"/>
        <v>0</v>
      </c>
      <c r="R598">
        <f t="shared" si="57"/>
        <v>0</v>
      </c>
      <c r="S598">
        <f t="shared" si="58"/>
        <v>0</v>
      </c>
      <c r="T598">
        <f t="shared" si="59"/>
        <v>0</v>
      </c>
      <c r="U598">
        <f t="shared" si="60"/>
        <v>0</v>
      </c>
    </row>
    <row r="599" spans="2:21">
      <c r="B599" s="102">
        <v>45011</v>
      </c>
      <c r="C599">
        <v>3</v>
      </c>
      <c r="D599" t="s">
        <v>121</v>
      </c>
      <c r="E599" t="s">
        <v>120</v>
      </c>
      <c r="F599" t="s">
        <v>121</v>
      </c>
      <c r="G599" t="s">
        <v>120</v>
      </c>
      <c r="H599" t="s">
        <v>120</v>
      </c>
      <c r="I599" t="s">
        <v>121</v>
      </c>
      <c r="K599">
        <v>178</v>
      </c>
      <c r="P599">
        <f t="shared" si="55"/>
        <v>0</v>
      </c>
      <c r="Q599">
        <f t="shared" si="56"/>
        <v>1</v>
      </c>
      <c r="R599">
        <f t="shared" si="57"/>
        <v>0</v>
      </c>
      <c r="S599">
        <f t="shared" si="58"/>
        <v>1</v>
      </c>
      <c r="T599">
        <f t="shared" si="59"/>
        <v>1</v>
      </c>
      <c r="U599">
        <f t="shared" si="60"/>
        <v>0</v>
      </c>
    </row>
    <row r="600" spans="2:21">
      <c r="B600" s="102">
        <v>45012</v>
      </c>
      <c r="C600">
        <v>2.5</v>
      </c>
      <c r="D600" t="s">
        <v>120</v>
      </c>
      <c r="E600" t="s">
        <v>121</v>
      </c>
      <c r="F600" t="s">
        <v>121</v>
      </c>
      <c r="G600" t="s">
        <v>121</v>
      </c>
      <c r="H600" t="s">
        <v>121</v>
      </c>
      <c r="I600" t="s">
        <v>121</v>
      </c>
      <c r="P600">
        <f t="shared" si="55"/>
        <v>1</v>
      </c>
      <c r="Q600">
        <f t="shared" si="56"/>
        <v>0</v>
      </c>
      <c r="R600">
        <f t="shared" si="57"/>
        <v>0</v>
      </c>
      <c r="S600">
        <f t="shared" si="58"/>
        <v>0</v>
      </c>
      <c r="T600">
        <f t="shared" si="59"/>
        <v>0</v>
      </c>
      <c r="U600">
        <f t="shared" si="60"/>
        <v>0</v>
      </c>
    </row>
    <row r="601" spans="2:21">
      <c r="B601" s="102">
        <v>45013</v>
      </c>
      <c r="C601">
        <v>2</v>
      </c>
      <c r="D601" t="s">
        <v>120</v>
      </c>
      <c r="E601" t="s">
        <v>121</v>
      </c>
      <c r="F601" t="s">
        <v>121</v>
      </c>
      <c r="G601" t="s">
        <v>121</v>
      </c>
      <c r="H601" t="s">
        <v>121</v>
      </c>
      <c r="I601" t="s">
        <v>121</v>
      </c>
      <c r="P601">
        <f t="shared" si="55"/>
        <v>1</v>
      </c>
      <c r="Q601">
        <f t="shared" si="56"/>
        <v>0</v>
      </c>
      <c r="R601">
        <f t="shared" si="57"/>
        <v>0</v>
      </c>
      <c r="S601">
        <f t="shared" si="58"/>
        <v>0</v>
      </c>
      <c r="T601">
        <f t="shared" si="59"/>
        <v>0</v>
      </c>
      <c r="U601">
        <f t="shared" si="60"/>
        <v>0</v>
      </c>
    </row>
    <row r="602" spans="2:21">
      <c r="B602" s="102">
        <v>45014</v>
      </c>
      <c r="C602">
        <v>1.5</v>
      </c>
      <c r="D602" t="s">
        <v>120</v>
      </c>
      <c r="E602" t="s">
        <v>121</v>
      </c>
      <c r="F602" t="s">
        <v>121</v>
      </c>
      <c r="G602" t="s">
        <v>121</v>
      </c>
      <c r="H602" t="s">
        <v>121</v>
      </c>
      <c r="I602" t="s">
        <v>121</v>
      </c>
      <c r="P602">
        <f t="shared" si="55"/>
        <v>1</v>
      </c>
      <c r="Q602">
        <f t="shared" si="56"/>
        <v>0</v>
      </c>
      <c r="R602">
        <f t="shared" si="57"/>
        <v>0</v>
      </c>
      <c r="S602">
        <f t="shared" si="58"/>
        <v>0</v>
      </c>
      <c r="T602">
        <f t="shared" si="59"/>
        <v>0</v>
      </c>
      <c r="U602">
        <f t="shared" si="60"/>
        <v>0</v>
      </c>
    </row>
    <row r="603" spans="2:21">
      <c r="B603" s="102">
        <v>45015</v>
      </c>
      <c r="C603">
        <v>2.5</v>
      </c>
      <c r="D603" t="s">
        <v>121</v>
      </c>
      <c r="E603" t="s">
        <v>121</v>
      </c>
      <c r="F603" t="s">
        <v>121</v>
      </c>
      <c r="G603" t="s">
        <v>121</v>
      </c>
      <c r="H603" t="s">
        <v>121</v>
      </c>
      <c r="I603" t="s">
        <v>121</v>
      </c>
      <c r="P603">
        <f t="shared" si="55"/>
        <v>0</v>
      </c>
      <c r="Q603">
        <f t="shared" si="56"/>
        <v>0</v>
      </c>
      <c r="R603">
        <f t="shared" si="57"/>
        <v>0</v>
      </c>
      <c r="S603">
        <f t="shared" si="58"/>
        <v>0</v>
      </c>
      <c r="T603">
        <f t="shared" si="59"/>
        <v>0</v>
      </c>
      <c r="U603">
        <f t="shared" si="60"/>
        <v>0</v>
      </c>
    </row>
    <row r="604" spans="2:21">
      <c r="B604" s="102">
        <v>45016</v>
      </c>
      <c r="C604">
        <v>2.5</v>
      </c>
      <c r="D604" t="s">
        <v>120</v>
      </c>
      <c r="E604" t="s">
        <v>121</v>
      </c>
      <c r="F604" t="s">
        <v>121</v>
      </c>
      <c r="G604" t="s">
        <v>121</v>
      </c>
      <c r="H604" t="s">
        <v>121</v>
      </c>
      <c r="I604" t="s">
        <v>121</v>
      </c>
      <c r="P604">
        <f t="shared" si="55"/>
        <v>1</v>
      </c>
      <c r="Q604">
        <f t="shared" si="56"/>
        <v>0</v>
      </c>
      <c r="R604">
        <f t="shared" si="57"/>
        <v>0</v>
      </c>
      <c r="S604">
        <f t="shared" si="58"/>
        <v>0</v>
      </c>
      <c r="T604">
        <f t="shared" si="59"/>
        <v>0</v>
      </c>
      <c r="U604">
        <f t="shared" si="60"/>
        <v>0</v>
      </c>
    </row>
    <row r="605" spans="2:21">
      <c r="B605" s="102">
        <v>45017</v>
      </c>
      <c r="C605">
        <v>3</v>
      </c>
      <c r="D605" t="s">
        <v>120</v>
      </c>
      <c r="E605" t="s">
        <v>121</v>
      </c>
      <c r="F605" t="s">
        <v>121</v>
      </c>
      <c r="G605" t="s">
        <v>121</v>
      </c>
      <c r="H605" t="s">
        <v>121</v>
      </c>
      <c r="I605" t="s">
        <v>121</v>
      </c>
      <c r="P605">
        <f t="shared" si="55"/>
        <v>1</v>
      </c>
      <c r="Q605">
        <f t="shared" si="56"/>
        <v>0</v>
      </c>
      <c r="R605">
        <f t="shared" si="57"/>
        <v>0</v>
      </c>
      <c r="S605">
        <f t="shared" si="58"/>
        <v>0</v>
      </c>
      <c r="T605">
        <f t="shared" si="59"/>
        <v>0</v>
      </c>
      <c r="U605">
        <f t="shared" si="60"/>
        <v>0</v>
      </c>
    </row>
    <row r="606" spans="2:21">
      <c r="B606" s="102">
        <v>45018</v>
      </c>
      <c r="C606">
        <v>2</v>
      </c>
      <c r="D606" t="s">
        <v>120</v>
      </c>
      <c r="E606" t="s">
        <v>121</v>
      </c>
      <c r="F606" t="s">
        <v>121</v>
      </c>
      <c r="G606" t="s">
        <v>121</v>
      </c>
      <c r="H606" t="s">
        <v>121</v>
      </c>
      <c r="I606" t="s">
        <v>121</v>
      </c>
      <c r="K606">
        <v>176.8</v>
      </c>
      <c r="P606">
        <f t="shared" si="55"/>
        <v>1</v>
      </c>
      <c r="Q606">
        <f t="shared" si="56"/>
        <v>0</v>
      </c>
      <c r="R606">
        <f t="shared" si="57"/>
        <v>0</v>
      </c>
      <c r="S606">
        <f t="shared" si="58"/>
        <v>0</v>
      </c>
      <c r="T606">
        <f t="shared" si="59"/>
        <v>0</v>
      </c>
      <c r="U606">
        <f t="shared" si="60"/>
        <v>0</v>
      </c>
    </row>
    <row r="607" spans="2:21">
      <c r="B607" s="102">
        <v>45019</v>
      </c>
      <c r="C607">
        <v>2.5</v>
      </c>
      <c r="D607" t="s">
        <v>120</v>
      </c>
      <c r="E607" t="s">
        <v>120</v>
      </c>
      <c r="F607" t="s">
        <v>121</v>
      </c>
      <c r="G607" t="s">
        <v>121</v>
      </c>
      <c r="H607" t="s">
        <v>121</v>
      </c>
      <c r="I607" t="s">
        <v>121</v>
      </c>
      <c r="P607">
        <f t="shared" si="55"/>
        <v>1</v>
      </c>
      <c r="Q607">
        <f t="shared" si="56"/>
        <v>1</v>
      </c>
      <c r="R607">
        <f t="shared" si="57"/>
        <v>0</v>
      </c>
      <c r="S607">
        <f t="shared" si="58"/>
        <v>0</v>
      </c>
      <c r="T607">
        <f t="shared" si="59"/>
        <v>0</v>
      </c>
      <c r="U607">
        <f t="shared" si="60"/>
        <v>0</v>
      </c>
    </row>
    <row r="608" spans="2:21">
      <c r="B608" s="102">
        <v>45020</v>
      </c>
      <c r="C608">
        <v>2</v>
      </c>
      <c r="D608" t="s">
        <v>120</v>
      </c>
      <c r="E608" t="s">
        <v>121</v>
      </c>
      <c r="F608" t="s">
        <v>211</v>
      </c>
      <c r="G608" t="s">
        <v>121</v>
      </c>
      <c r="H608" t="s">
        <v>121</v>
      </c>
      <c r="I608" t="s">
        <v>121</v>
      </c>
      <c r="P608">
        <f t="shared" si="55"/>
        <v>1</v>
      </c>
      <c r="Q608">
        <f t="shared" si="56"/>
        <v>0</v>
      </c>
      <c r="R608">
        <f t="shared" si="57"/>
        <v>0</v>
      </c>
      <c r="S608">
        <f t="shared" si="58"/>
        <v>0</v>
      </c>
      <c r="T608">
        <f t="shared" si="59"/>
        <v>0</v>
      </c>
      <c r="U608">
        <f t="shared" si="60"/>
        <v>0</v>
      </c>
    </row>
    <row r="609" spans="2:21">
      <c r="B609" s="102">
        <v>45021</v>
      </c>
      <c r="C609">
        <v>3</v>
      </c>
      <c r="D609" t="s">
        <v>120</v>
      </c>
      <c r="E609" t="s">
        <v>121</v>
      </c>
      <c r="F609" t="s">
        <v>211</v>
      </c>
      <c r="G609" t="s">
        <v>121</v>
      </c>
      <c r="H609" t="s">
        <v>121</v>
      </c>
      <c r="I609" t="s">
        <v>121</v>
      </c>
      <c r="P609">
        <f t="shared" si="55"/>
        <v>1</v>
      </c>
      <c r="Q609">
        <f t="shared" si="56"/>
        <v>0</v>
      </c>
      <c r="R609">
        <f t="shared" si="57"/>
        <v>0</v>
      </c>
      <c r="S609">
        <f t="shared" si="58"/>
        <v>0</v>
      </c>
      <c r="T609">
        <f t="shared" si="59"/>
        <v>0</v>
      </c>
      <c r="U609">
        <f t="shared" si="60"/>
        <v>0</v>
      </c>
    </row>
    <row r="610" spans="2:21">
      <c r="B610" s="102">
        <v>45022</v>
      </c>
      <c r="C610">
        <v>2.5</v>
      </c>
      <c r="D610" t="s">
        <v>120</v>
      </c>
      <c r="E610" t="s">
        <v>121</v>
      </c>
      <c r="F610" t="s">
        <v>121</v>
      </c>
      <c r="G610" t="s">
        <v>121</v>
      </c>
      <c r="H610" t="s">
        <v>121</v>
      </c>
      <c r="I610" t="s">
        <v>121</v>
      </c>
      <c r="P610">
        <f t="shared" si="55"/>
        <v>1</v>
      </c>
      <c r="Q610">
        <f t="shared" si="56"/>
        <v>0</v>
      </c>
      <c r="R610">
        <f t="shared" si="57"/>
        <v>0</v>
      </c>
      <c r="S610">
        <f t="shared" si="58"/>
        <v>0</v>
      </c>
      <c r="T610">
        <f t="shared" si="59"/>
        <v>0</v>
      </c>
      <c r="U610">
        <f t="shared" si="60"/>
        <v>0</v>
      </c>
    </row>
    <row r="611" spans="2:21">
      <c r="B611" s="102">
        <v>45023</v>
      </c>
      <c r="C611">
        <v>2.5</v>
      </c>
      <c r="D611" t="s">
        <v>120</v>
      </c>
      <c r="E611" t="s">
        <v>121</v>
      </c>
      <c r="F611" t="s">
        <v>121</v>
      </c>
      <c r="G611" t="s">
        <v>121</v>
      </c>
      <c r="H611" t="s">
        <v>121</v>
      </c>
      <c r="I611" t="s">
        <v>121</v>
      </c>
      <c r="P611">
        <f t="shared" si="55"/>
        <v>1</v>
      </c>
      <c r="Q611">
        <f t="shared" si="56"/>
        <v>0</v>
      </c>
      <c r="R611">
        <f t="shared" si="57"/>
        <v>0</v>
      </c>
      <c r="S611">
        <f t="shared" si="58"/>
        <v>0</v>
      </c>
      <c r="T611">
        <f t="shared" si="59"/>
        <v>0</v>
      </c>
      <c r="U611">
        <f t="shared" si="60"/>
        <v>0</v>
      </c>
    </row>
    <row r="612" spans="2:21">
      <c r="B612" s="102">
        <v>45024</v>
      </c>
      <c r="C612">
        <v>3.5</v>
      </c>
      <c r="D612" t="s">
        <v>120</v>
      </c>
      <c r="E612" t="s">
        <v>120</v>
      </c>
      <c r="F612" t="s">
        <v>121</v>
      </c>
      <c r="G612" t="s">
        <v>120</v>
      </c>
      <c r="H612" t="s">
        <v>121</v>
      </c>
      <c r="I612" t="s">
        <v>121</v>
      </c>
      <c r="P612">
        <f t="shared" si="55"/>
        <v>1</v>
      </c>
      <c r="Q612">
        <f t="shared" si="56"/>
        <v>1</v>
      </c>
      <c r="R612">
        <f t="shared" si="57"/>
        <v>0</v>
      </c>
      <c r="S612">
        <f t="shared" si="58"/>
        <v>1</v>
      </c>
      <c r="T612">
        <f t="shared" si="59"/>
        <v>0</v>
      </c>
      <c r="U612">
        <f t="shared" si="60"/>
        <v>0</v>
      </c>
    </row>
    <row r="613" spans="2:21">
      <c r="B613" s="102">
        <v>45025</v>
      </c>
      <c r="C613">
        <v>2.5</v>
      </c>
      <c r="D613" t="s">
        <v>121</v>
      </c>
      <c r="E613" t="s">
        <v>121</v>
      </c>
      <c r="F613" t="s">
        <v>121</v>
      </c>
      <c r="G613" t="s">
        <v>121</v>
      </c>
      <c r="H613" t="s">
        <v>121</v>
      </c>
      <c r="I613" t="s">
        <v>121</v>
      </c>
      <c r="K613">
        <v>177</v>
      </c>
      <c r="P613">
        <f t="shared" si="55"/>
        <v>0</v>
      </c>
      <c r="Q613">
        <f t="shared" si="56"/>
        <v>0</v>
      </c>
      <c r="R613">
        <f t="shared" si="57"/>
        <v>0</v>
      </c>
      <c r="S613">
        <f t="shared" si="58"/>
        <v>0</v>
      </c>
      <c r="T613">
        <f t="shared" si="59"/>
        <v>0</v>
      </c>
      <c r="U613">
        <f t="shared" si="60"/>
        <v>0</v>
      </c>
    </row>
    <row r="614" spans="2:21">
      <c r="B614" s="102">
        <v>45026</v>
      </c>
      <c r="C614">
        <v>2</v>
      </c>
      <c r="D614" t="s">
        <v>120</v>
      </c>
      <c r="E614" t="s">
        <v>121</v>
      </c>
      <c r="F614" t="s">
        <v>121</v>
      </c>
      <c r="G614" t="s">
        <v>121</v>
      </c>
      <c r="H614" t="s">
        <v>121</v>
      </c>
      <c r="I614" t="s">
        <v>121</v>
      </c>
      <c r="P614">
        <f t="shared" si="55"/>
        <v>1</v>
      </c>
      <c r="Q614">
        <f t="shared" si="56"/>
        <v>0</v>
      </c>
      <c r="R614">
        <f t="shared" si="57"/>
        <v>0</v>
      </c>
      <c r="S614">
        <f t="shared" si="58"/>
        <v>0</v>
      </c>
      <c r="T614">
        <f t="shared" si="59"/>
        <v>0</v>
      </c>
      <c r="U614">
        <f t="shared" si="60"/>
        <v>0</v>
      </c>
    </row>
    <row r="615" spans="2:21">
      <c r="B615" s="102">
        <v>45027</v>
      </c>
      <c r="C615">
        <v>2</v>
      </c>
      <c r="D615" t="s">
        <v>120</v>
      </c>
      <c r="E615" t="s">
        <v>121</v>
      </c>
      <c r="F615" t="s">
        <v>121</v>
      </c>
      <c r="G615" t="s">
        <v>121</v>
      </c>
      <c r="H615" t="s">
        <v>121</v>
      </c>
      <c r="I615" t="s">
        <v>121</v>
      </c>
      <c r="P615">
        <f t="shared" si="55"/>
        <v>1</v>
      </c>
      <c r="Q615">
        <f t="shared" si="56"/>
        <v>0</v>
      </c>
      <c r="R615">
        <f t="shared" si="57"/>
        <v>0</v>
      </c>
      <c r="S615">
        <f t="shared" si="58"/>
        <v>0</v>
      </c>
      <c r="T615">
        <f t="shared" si="59"/>
        <v>0</v>
      </c>
      <c r="U615">
        <f t="shared" si="60"/>
        <v>0</v>
      </c>
    </row>
    <row r="616" spans="2:21">
      <c r="B616" s="102">
        <v>45028</v>
      </c>
      <c r="C616">
        <v>2</v>
      </c>
      <c r="D616" t="s">
        <v>120</v>
      </c>
      <c r="E616" t="s">
        <v>121</v>
      </c>
      <c r="F616" t="s">
        <v>121</v>
      </c>
      <c r="G616" t="s">
        <v>121</v>
      </c>
      <c r="H616" t="s">
        <v>121</v>
      </c>
      <c r="I616" t="s">
        <v>121</v>
      </c>
      <c r="P616">
        <f t="shared" si="55"/>
        <v>1</v>
      </c>
      <c r="Q616">
        <f t="shared" si="56"/>
        <v>0</v>
      </c>
      <c r="R616">
        <f t="shared" si="57"/>
        <v>0</v>
      </c>
      <c r="S616">
        <f t="shared" si="58"/>
        <v>0</v>
      </c>
      <c r="T616">
        <f t="shared" si="59"/>
        <v>0</v>
      </c>
      <c r="U616">
        <f t="shared" si="60"/>
        <v>0</v>
      </c>
    </row>
    <row r="617" spans="2:21">
      <c r="B617" s="102">
        <v>45029</v>
      </c>
      <c r="C617">
        <v>2.5</v>
      </c>
      <c r="D617" t="s">
        <v>120</v>
      </c>
      <c r="E617" t="s">
        <v>121</v>
      </c>
      <c r="F617" t="s">
        <v>121</v>
      </c>
      <c r="G617" t="s">
        <v>121</v>
      </c>
      <c r="H617" t="s">
        <v>121</v>
      </c>
      <c r="I617" t="s">
        <v>121</v>
      </c>
      <c r="P617">
        <f t="shared" si="55"/>
        <v>1</v>
      </c>
      <c r="Q617">
        <f t="shared" si="56"/>
        <v>0</v>
      </c>
      <c r="R617">
        <f t="shared" si="57"/>
        <v>0</v>
      </c>
      <c r="S617">
        <f t="shared" si="58"/>
        <v>0</v>
      </c>
      <c r="T617">
        <f t="shared" si="59"/>
        <v>0</v>
      </c>
      <c r="U617">
        <f t="shared" si="60"/>
        <v>0</v>
      </c>
    </row>
    <row r="618" spans="2:21">
      <c r="B618" s="102">
        <v>45030</v>
      </c>
      <c r="C618">
        <v>2.5</v>
      </c>
      <c r="D618" t="s">
        <v>120</v>
      </c>
      <c r="E618" t="s">
        <v>121</v>
      </c>
      <c r="F618" t="s">
        <v>121</v>
      </c>
      <c r="G618" t="s">
        <v>121</v>
      </c>
      <c r="H618" t="s">
        <v>121</v>
      </c>
      <c r="I618" t="s">
        <v>121</v>
      </c>
      <c r="P618">
        <f t="shared" si="55"/>
        <v>1</v>
      </c>
      <c r="Q618">
        <f t="shared" si="56"/>
        <v>0</v>
      </c>
      <c r="R618">
        <f t="shared" si="57"/>
        <v>0</v>
      </c>
      <c r="S618">
        <f t="shared" si="58"/>
        <v>0</v>
      </c>
      <c r="T618">
        <f t="shared" si="59"/>
        <v>0</v>
      </c>
      <c r="U618">
        <f t="shared" si="60"/>
        <v>0</v>
      </c>
    </row>
    <row r="619" spans="2:21">
      <c r="B619" s="102">
        <v>45031</v>
      </c>
      <c r="C619">
        <v>1.5</v>
      </c>
      <c r="D619" t="s">
        <v>121</v>
      </c>
      <c r="E619" t="s">
        <v>121</v>
      </c>
      <c r="F619" t="s">
        <v>121</v>
      </c>
      <c r="G619" t="s">
        <v>121</v>
      </c>
      <c r="H619" t="s">
        <v>121</v>
      </c>
      <c r="I619" t="s">
        <v>121</v>
      </c>
      <c r="P619">
        <f t="shared" si="55"/>
        <v>0</v>
      </c>
      <c r="Q619">
        <f t="shared" si="56"/>
        <v>0</v>
      </c>
      <c r="R619">
        <f t="shared" si="57"/>
        <v>0</v>
      </c>
      <c r="S619">
        <f t="shared" si="58"/>
        <v>0</v>
      </c>
      <c r="T619">
        <f t="shared" si="59"/>
        <v>0</v>
      </c>
      <c r="U619">
        <f t="shared" si="60"/>
        <v>0</v>
      </c>
    </row>
    <row r="620" spans="2:21">
      <c r="B620" s="102">
        <v>45032</v>
      </c>
      <c r="C620">
        <v>2.5</v>
      </c>
      <c r="D620" t="s">
        <v>121</v>
      </c>
      <c r="E620" t="s">
        <v>120</v>
      </c>
      <c r="F620" t="s">
        <v>121</v>
      </c>
      <c r="G620" t="s">
        <v>121</v>
      </c>
      <c r="H620" t="s">
        <v>121</v>
      </c>
      <c r="I620" t="s">
        <v>121</v>
      </c>
      <c r="K620">
        <v>177.4</v>
      </c>
      <c r="P620">
        <f t="shared" si="55"/>
        <v>0</v>
      </c>
      <c r="Q620">
        <f t="shared" si="56"/>
        <v>1</v>
      </c>
      <c r="R620">
        <f t="shared" si="57"/>
        <v>0</v>
      </c>
      <c r="S620">
        <f t="shared" si="58"/>
        <v>0</v>
      </c>
      <c r="T620">
        <f t="shared" si="59"/>
        <v>0</v>
      </c>
      <c r="U620">
        <f t="shared" si="60"/>
        <v>0</v>
      </c>
    </row>
    <row r="621" spans="2:21">
      <c r="B621" s="102">
        <v>45033</v>
      </c>
      <c r="C621">
        <v>2.5</v>
      </c>
      <c r="D621" t="s">
        <v>120</v>
      </c>
      <c r="E621" t="s">
        <v>121</v>
      </c>
      <c r="F621" t="s">
        <v>121</v>
      </c>
      <c r="G621" t="s">
        <v>121</v>
      </c>
      <c r="H621" t="s">
        <v>121</v>
      </c>
      <c r="I621" t="s">
        <v>121</v>
      </c>
      <c r="P621">
        <f t="shared" si="55"/>
        <v>1</v>
      </c>
      <c r="Q621">
        <f t="shared" si="56"/>
        <v>0</v>
      </c>
      <c r="R621">
        <f t="shared" si="57"/>
        <v>0</v>
      </c>
      <c r="S621">
        <f t="shared" si="58"/>
        <v>0</v>
      </c>
      <c r="T621">
        <f t="shared" si="59"/>
        <v>0</v>
      </c>
      <c r="U621">
        <f t="shared" si="60"/>
        <v>0</v>
      </c>
    </row>
    <row r="622" spans="2:21">
      <c r="B622" s="102">
        <v>45034</v>
      </c>
      <c r="C622">
        <v>2</v>
      </c>
      <c r="D622" t="s">
        <v>120</v>
      </c>
      <c r="E622" t="s">
        <v>121</v>
      </c>
      <c r="F622" t="s">
        <v>121</v>
      </c>
      <c r="G622" t="s">
        <v>121</v>
      </c>
      <c r="H622" t="s">
        <v>121</v>
      </c>
      <c r="I622" t="s">
        <v>121</v>
      </c>
      <c r="P622">
        <f t="shared" si="55"/>
        <v>1</v>
      </c>
      <c r="Q622">
        <f t="shared" si="56"/>
        <v>0</v>
      </c>
      <c r="R622">
        <f t="shared" si="57"/>
        <v>0</v>
      </c>
      <c r="S622">
        <f t="shared" si="58"/>
        <v>0</v>
      </c>
      <c r="T622">
        <f t="shared" si="59"/>
        <v>0</v>
      </c>
      <c r="U622">
        <f t="shared" si="60"/>
        <v>0</v>
      </c>
    </row>
    <row r="623" spans="2:21">
      <c r="B623" s="102">
        <v>45035</v>
      </c>
      <c r="C623">
        <v>1.5</v>
      </c>
      <c r="D623" t="s">
        <v>120</v>
      </c>
      <c r="E623" t="s">
        <v>121</v>
      </c>
      <c r="F623" t="s">
        <v>121</v>
      </c>
      <c r="G623" t="s">
        <v>121</v>
      </c>
      <c r="H623" t="s">
        <v>121</v>
      </c>
      <c r="I623" t="s">
        <v>121</v>
      </c>
      <c r="P623">
        <f t="shared" si="55"/>
        <v>1</v>
      </c>
      <c r="Q623">
        <f t="shared" si="56"/>
        <v>0</v>
      </c>
      <c r="R623">
        <f t="shared" si="57"/>
        <v>0</v>
      </c>
      <c r="S623">
        <f t="shared" si="58"/>
        <v>0</v>
      </c>
      <c r="T623">
        <f t="shared" si="59"/>
        <v>0</v>
      </c>
      <c r="U623">
        <f t="shared" si="60"/>
        <v>0</v>
      </c>
    </row>
    <row r="624" spans="2:21">
      <c r="B624" s="102">
        <v>45036</v>
      </c>
      <c r="C624">
        <v>2.5</v>
      </c>
      <c r="D624" t="s">
        <v>121</v>
      </c>
      <c r="E624" t="s">
        <v>121</v>
      </c>
      <c r="F624" t="s">
        <v>120</v>
      </c>
      <c r="G624" t="s">
        <v>121</v>
      </c>
      <c r="H624" t="s">
        <v>121</v>
      </c>
      <c r="I624" t="s">
        <v>121</v>
      </c>
      <c r="P624">
        <f t="shared" si="55"/>
        <v>0</v>
      </c>
      <c r="Q624">
        <f t="shared" si="56"/>
        <v>0</v>
      </c>
      <c r="R624">
        <f t="shared" si="57"/>
        <v>1</v>
      </c>
      <c r="S624">
        <f t="shared" si="58"/>
        <v>0</v>
      </c>
      <c r="T624">
        <f t="shared" si="59"/>
        <v>0</v>
      </c>
      <c r="U624">
        <f t="shared" si="60"/>
        <v>0</v>
      </c>
    </row>
    <row r="625" spans="2:21">
      <c r="B625" s="102">
        <v>45037</v>
      </c>
      <c r="C625">
        <v>2.5</v>
      </c>
      <c r="D625" t="s">
        <v>120</v>
      </c>
      <c r="E625" t="s">
        <v>121</v>
      </c>
      <c r="F625" t="s">
        <v>121</v>
      </c>
      <c r="G625" t="s">
        <v>121</v>
      </c>
      <c r="H625" t="s">
        <v>121</v>
      </c>
      <c r="I625" t="s">
        <v>121</v>
      </c>
      <c r="P625">
        <f t="shared" si="55"/>
        <v>1</v>
      </c>
      <c r="Q625">
        <f t="shared" si="56"/>
        <v>0</v>
      </c>
      <c r="R625">
        <f t="shared" si="57"/>
        <v>0</v>
      </c>
      <c r="S625">
        <f t="shared" si="58"/>
        <v>0</v>
      </c>
      <c r="T625">
        <f t="shared" si="59"/>
        <v>0</v>
      </c>
      <c r="U625">
        <f t="shared" si="60"/>
        <v>0</v>
      </c>
    </row>
    <row r="626" spans="2:21">
      <c r="B626" s="102">
        <v>45038</v>
      </c>
      <c r="C626">
        <v>3</v>
      </c>
      <c r="D626" t="s">
        <v>121</v>
      </c>
      <c r="E626" t="s">
        <v>121</v>
      </c>
      <c r="F626" t="s">
        <v>121</v>
      </c>
      <c r="G626" t="s">
        <v>120</v>
      </c>
      <c r="H626" t="s">
        <v>121</v>
      </c>
      <c r="I626" t="s">
        <v>121</v>
      </c>
      <c r="P626">
        <f t="shared" si="55"/>
        <v>0</v>
      </c>
      <c r="Q626">
        <f t="shared" si="56"/>
        <v>0</v>
      </c>
      <c r="R626">
        <f t="shared" si="57"/>
        <v>0</v>
      </c>
      <c r="S626">
        <f t="shared" si="58"/>
        <v>1</v>
      </c>
      <c r="T626">
        <f t="shared" si="59"/>
        <v>0</v>
      </c>
      <c r="U626">
        <f t="shared" si="60"/>
        <v>0</v>
      </c>
    </row>
    <row r="627" spans="2:21">
      <c r="B627" s="102">
        <v>45039</v>
      </c>
      <c r="C627">
        <v>2.5</v>
      </c>
      <c r="D627" t="s">
        <v>121</v>
      </c>
      <c r="E627" t="s">
        <v>121</v>
      </c>
      <c r="F627" t="s">
        <v>121</v>
      </c>
      <c r="G627" t="s">
        <v>121</v>
      </c>
      <c r="H627" t="s">
        <v>121</v>
      </c>
      <c r="I627" t="s">
        <v>121</v>
      </c>
      <c r="K627">
        <v>177.4</v>
      </c>
      <c r="P627">
        <f t="shared" si="55"/>
        <v>0</v>
      </c>
      <c r="Q627">
        <f t="shared" si="56"/>
        <v>0</v>
      </c>
      <c r="R627">
        <f t="shared" si="57"/>
        <v>0</v>
      </c>
      <c r="S627">
        <f t="shared" si="58"/>
        <v>0</v>
      </c>
      <c r="T627">
        <f t="shared" si="59"/>
        <v>0</v>
      </c>
      <c r="U627">
        <f t="shared" si="60"/>
        <v>0</v>
      </c>
    </row>
    <row r="628" spans="2:21">
      <c r="B628" s="102">
        <v>45040</v>
      </c>
      <c r="C628">
        <v>2</v>
      </c>
      <c r="D628" t="s">
        <v>120</v>
      </c>
      <c r="E628" t="s">
        <v>121</v>
      </c>
      <c r="F628" t="s">
        <v>121</v>
      </c>
      <c r="G628" t="s">
        <v>121</v>
      </c>
      <c r="H628" t="s">
        <v>121</v>
      </c>
      <c r="I628" t="s">
        <v>121</v>
      </c>
      <c r="P628">
        <f t="shared" si="55"/>
        <v>1</v>
      </c>
      <c r="Q628">
        <f t="shared" si="56"/>
        <v>0</v>
      </c>
      <c r="R628">
        <f t="shared" si="57"/>
        <v>0</v>
      </c>
      <c r="S628">
        <f t="shared" si="58"/>
        <v>0</v>
      </c>
      <c r="T628">
        <f t="shared" si="59"/>
        <v>0</v>
      </c>
      <c r="U628">
        <f t="shared" si="60"/>
        <v>0</v>
      </c>
    </row>
    <row r="629" spans="2:21">
      <c r="B629" s="102">
        <v>45041</v>
      </c>
      <c r="C629">
        <v>2.5</v>
      </c>
      <c r="D629" t="s">
        <v>120</v>
      </c>
      <c r="E629" t="s">
        <v>121</v>
      </c>
      <c r="F629" t="s">
        <v>121</v>
      </c>
      <c r="G629" t="s">
        <v>121</v>
      </c>
      <c r="H629" t="s">
        <v>121</v>
      </c>
      <c r="I629" t="s">
        <v>121</v>
      </c>
      <c r="P629">
        <f t="shared" si="55"/>
        <v>1</v>
      </c>
      <c r="Q629">
        <f t="shared" si="56"/>
        <v>0</v>
      </c>
      <c r="R629">
        <f t="shared" si="57"/>
        <v>0</v>
      </c>
      <c r="S629">
        <f t="shared" si="58"/>
        <v>0</v>
      </c>
      <c r="T629">
        <f t="shared" si="59"/>
        <v>0</v>
      </c>
      <c r="U629">
        <f t="shared" si="60"/>
        <v>0</v>
      </c>
    </row>
    <row r="630" spans="2:21">
      <c r="B630" s="102">
        <v>45042</v>
      </c>
      <c r="C630">
        <v>3</v>
      </c>
      <c r="D630" t="s">
        <v>120</v>
      </c>
      <c r="E630" t="s">
        <v>121</v>
      </c>
      <c r="F630" t="s">
        <v>121</v>
      </c>
      <c r="G630" t="s">
        <v>121</v>
      </c>
      <c r="H630" t="s">
        <v>121</v>
      </c>
      <c r="I630" t="s">
        <v>121</v>
      </c>
      <c r="P630">
        <f t="shared" si="55"/>
        <v>1</v>
      </c>
      <c r="Q630">
        <f t="shared" si="56"/>
        <v>0</v>
      </c>
      <c r="R630">
        <f t="shared" si="57"/>
        <v>0</v>
      </c>
      <c r="S630">
        <f t="shared" si="58"/>
        <v>0</v>
      </c>
      <c r="T630">
        <f t="shared" si="59"/>
        <v>0</v>
      </c>
      <c r="U630">
        <f t="shared" si="60"/>
        <v>0</v>
      </c>
    </row>
    <row r="631" spans="2:21">
      <c r="B631" s="102">
        <v>45043</v>
      </c>
      <c r="C631">
        <v>2</v>
      </c>
      <c r="D631" t="s">
        <v>121</v>
      </c>
      <c r="E631" t="s">
        <v>121</v>
      </c>
      <c r="F631" t="s">
        <v>121</v>
      </c>
      <c r="G631" t="s">
        <v>121</v>
      </c>
      <c r="H631" t="s">
        <v>121</v>
      </c>
      <c r="I631" t="s">
        <v>121</v>
      </c>
      <c r="P631">
        <f t="shared" si="55"/>
        <v>0</v>
      </c>
      <c r="Q631">
        <f t="shared" si="56"/>
        <v>0</v>
      </c>
      <c r="R631">
        <f t="shared" si="57"/>
        <v>0</v>
      </c>
      <c r="S631">
        <f t="shared" si="58"/>
        <v>0</v>
      </c>
      <c r="T631">
        <f t="shared" si="59"/>
        <v>0</v>
      </c>
      <c r="U631">
        <f t="shared" si="60"/>
        <v>0</v>
      </c>
    </row>
    <row r="632" spans="2:21">
      <c r="B632" s="102">
        <v>45044</v>
      </c>
      <c r="C632">
        <v>2.5</v>
      </c>
      <c r="D632" t="s">
        <v>120</v>
      </c>
      <c r="E632" t="s">
        <v>121</v>
      </c>
      <c r="F632" t="s">
        <v>121</v>
      </c>
      <c r="G632" t="s">
        <v>121</v>
      </c>
      <c r="H632" t="s">
        <v>121</v>
      </c>
      <c r="I632" t="s">
        <v>121</v>
      </c>
      <c r="P632">
        <f t="shared" si="55"/>
        <v>1</v>
      </c>
      <c r="Q632">
        <f t="shared" si="56"/>
        <v>0</v>
      </c>
      <c r="R632">
        <f t="shared" si="57"/>
        <v>0</v>
      </c>
      <c r="S632">
        <f t="shared" si="58"/>
        <v>0</v>
      </c>
      <c r="T632">
        <f t="shared" si="59"/>
        <v>0</v>
      </c>
      <c r="U632">
        <f t="shared" si="60"/>
        <v>0</v>
      </c>
    </row>
    <row r="633" spans="2:21">
      <c r="B633" s="102">
        <v>45045</v>
      </c>
      <c r="C633">
        <v>2.5</v>
      </c>
      <c r="D633" t="s">
        <v>121</v>
      </c>
      <c r="E633" t="s">
        <v>120</v>
      </c>
      <c r="F633" t="s">
        <v>121</v>
      </c>
      <c r="G633" t="s">
        <v>121</v>
      </c>
      <c r="H633" t="s">
        <v>121</v>
      </c>
      <c r="I633" t="s">
        <v>121</v>
      </c>
      <c r="P633">
        <f t="shared" si="55"/>
        <v>0</v>
      </c>
      <c r="Q633">
        <f t="shared" si="56"/>
        <v>1</v>
      </c>
      <c r="R633">
        <f t="shared" si="57"/>
        <v>0</v>
      </c>
      <c r="S633">
        <f t="shared" si="58"/>
        <v>0</v>
      </c>
      <c r="T633">
        <f t="shared" si="59"/>
        <v>0</v>
      </c>
      <c r="U633">
        <f t="shared" si="60"/>
        <v>0</v>
      </c>
    </row>
    <row r="634" spans="2:21">
      <c r="B634" s="102">
        <v>45046</v>
      </c>
      <c r="C634">
        <v>2.5</v>
      </c>
      <c r="D634" t="s">
        <v>121</v>
      </c>
      <c r="E634" t="s">
        <v>121</v>
      </c>
      <c r="F634" t="s">
        <v>121</v>
      </c>
      <c r="G634" t="s">
        <v>121</v>
      </c>
      <c r="H634" t="s">
        <v>121</v>
      </c>
      <c r="I634" t="s">
        <v>121</v>
      </c>
      <c r="K634">
        <v>179</v>
      </c>
      <c r="P634">
        <f t="shared" si="55"/>
        <v>0</v>
      </c>
      <c r="Q634">
        <f t="shared" si="56"/>
        <v>0</v>
      </c>
      <c r="R634">
        <f t="shared" si="57"/>
        <v>0</v>
      </c>
      <c r="S634">
        <f t="shared" si="58"/>
        <v>0</v>
      </c>
      <c r="T634">
        <f t="shared" si="59"/>
        <v>0</v>
      </c>
      <c r="U634">
        <f t="shared" si="60"/>
        <v>0</v>
      </c>
    </row>
    <row r="635" spans="2:21">
      <c r="B635" s="102">
        <v>45047</v>
      </c>
      <c r="C635">
        <v>2.5</v>
      </c>
      <c r="D635" t="s">
        <v>120</v>
      </c>
      <c r="E635" t="s">
        <v>121</v>
      </c>
      <c r="F635" t="s">
        <v>121</v>
      </c>
      <c r="G635" t="s">
        <v>121</v>
      </c>
      <c r="H635" t="s">
        <v>121</v>
      </c>
      <c r="I635" t="s">
        <v>121</v>
      </c>
      <c r="P635">
        <f t="shared" si="55"/>
        <v>1</v>
      </c>
      <c r="Q635">
        <f t="shared" si="56"/>
        <v>0</v>
      </c>
      <c r="R635">
        <f t="shared" si="57"/>
        <v>0</v>
      </c>
      <c r="S635">
        <f t="shared" si="58"/>
        <v>0</v>
      </c>
      <c r="T635">
        <f t="shared" si="59"/>
        <v>0</v>
      </c>
      <c r="U635">
        <f t="shared" si="60"/>
        <v>0</v>
      </c>
    </row>
    <row r="636" spans="2:21">
      <c r="B636" s="102">
        <v>45048</v>
      </c>
      <c r="C636">
        <v>1.5</v>
      </c>
      <c r="D636" t="s">
        <v>121</v>
      </c>
      <c r="E636" t="s">
        <v>121</v>
      </c>
      <c r="F636" t="s">
        <v>121</v>
      </c>
      <c r="G636" t="s">
        <v>121</v>
      </c>
      <c r="H636" t="s">
        <v>121</v>
      </c>
      <c r="I636" t="s">
        <v>121</v>
      </c>
      <c r="P636">
        <f t="shared" si="55"/>
        <v>0</v>
      </c>
      <c r="Q636">
        <f t="shared" si="56"/>
        <v>0</v>
      </c>
      <c r="R636">
        <f t="shared" si="57"/>
        <v>0</v>
      </c>
      <c r="S636">
        <f t="shared" si="58"/>
        <v>0</v>
      </c>
      <c r="T636">
        <f t="shared" si="59"/>
        <v>0</v>
      </c>
      <c r="U636">
        <f t="shared" si="60"/>
        <v>0</v>
      </c>
    </row>
    <row r="637" spans="2:21">
      <c r="B637" s="102">
        <v>45049</v>
      </c>
      <c r="C637">
        <v>2</v>
      </c>
      <c r="D637" t="s">
        <v>120</v>
      </c>
      <c r="E637" t="s">
        <v>121</v>
      </c>
      <c r="F637" t="s">
        <v>121</v>
      </c>
      <c r="G637" t="s">
        <v>121</v>
      </c>
      <c r="H637" t="s">
        <v>121</v>
      </c>
      <c r="I637" t="s">
        <v>121</v>
      </c>
      <c r="P637">
        <f t="shared" si="55"/>
        <v>1</v>
      </c>
      <c r="Q637">
        <f t="shared" si="56"/>
        <v>0</v>
      </c>
      <c r="R637">
        <f t="shared" si="57"/>
        <v>0</v>
      </c>
      <c r="S637">
        <f t="shared" si="58"/>
        <v>0</v>
      </c>
      <c r="T637">
        <f t="shared" si="59"/>
        <v>0</v>
      </c>
      <c r="U637">
        <f t="shared" si="60"/>
        <v>0</v>
      </c>
    </row>
    <row r="638" spans="2:21">
      <c r="B638" s="102">
        <v>45050</v>
      </c>
      <c r="C638">
        <v>2.5</v>
      </c>
      <c r="D638" t="s">
        <v>120</v>
      </c>
      <c r="E638" t="s">
        <v>121</v>
      </c>
      <c r="F638" t="s">
        <v>121</v>
      </c>
      <c r="G638" t="s">
        <v>121</v>
      </c>
      <c r="H638" t="s">
        <v>121</v>
      </c>
      <c r="I638" t="s">
        <v>121</v>
      </c>
      <c r="P638">
        <f t="shared" si="55"/>
        <v>1</v>
      </c>
      <c r="Q638">
        <f t="shared" si="56"/>
        <v>0</v>
      </c>
      <c r="R638">
        <f t="shared" si="57"/>
        <v>0</v>
      </c>
      <c r="S638">
        <f t="shared" si="58"/>
        <v>0</v>
      </c>
      <c r="T638">
        <f t="shared" si="59"/>
        <v>0</v>
      </c>
      <c r="U638">
        <f t="shared" si="60"/>
        <v>0</v>
      </c>
    </row>
    <row r="639" spans="2:21">
      <c r="B639" s="102">
        <v>45051</v>
      </c>
      <c r="C639">
        <v>3</v>
      </c>
      <c r="D639" t="s">
        <v>121</v>
      </c>
      <c r="E639" t="s">
        <v>121</v>
      </c>
      <c r="F639" t="s">
        <v>121</v>
      </c>
      <c r="G639" t="s">
        <v>121</v>
      </c>
      <c r="H639" t="s">
        <v>121</v>
      </c>
      <c r="I639" t="s">
        <v>121</v>
      </c>
      <c r="P639">
        <f t="shared" si="55"/>
        <v>0</v>
      </c>
      <c r="Q639">
        <f t="shared" si="56"/>
        <v>0</v>
      </c>
      <c r="R639">
        <f t="shared" si="57"/>
        <v>0</v>
      </c>
      <c r="S639">
        <f t="shared" si="58"/>
        <v>0</v>
      </c>
      <c r="T639">
        <f t="shared" si="59"/>
        <v>0</v>
      </c>
      <c r="U639">
        <f t="shared" si="60"/>
        <v>0</v>
      </c>
    </row>
    <row r="640" spans="2:21">
      <c r="B640" s="102">
        <v>45052</v>
      </c>
      <c r="C640">
        <v>3</v>
      </c>
      <c r="D640" t="s">
        <v>121</v>
      </c>
      <c r="E640" t="s">
        <v>121</v>
      </c>
      <c r="F640" t="s">
        <v>121</v>
      </c>
      <c r="G640" t="s">
        <v>121</v>
      </c>
      <c r="H640" t="s">
        <v>121</v>
      </c>
      <c r="I640" t="s">
        <v>121</v>
      </c>
      <c r="P640">
        <f t="shared" si="55"/>
        <v>0</v>
      </c>
      <c r="Q640">
        <f t="shared" si="56"/>
        <v>0</v>
      </c>
      <c r="R640">
        <f t="shared" si="57"/>
        <v>0</v>
      </c>
      <c r="S640">
        <f t="shared" si="58"/>
        <v>0</v>
      </c>
      <c r="T640">
        <f t="shared" si="59"/>
        <v>0</v>
      </c>
      <c r="U640">
        <f t="shared" si="60"/>
        <v>0</v>
      </c>
    </row>
    <row r="641" spans="2:21">
      <c r="B641" s="102">
        <v>45053</v>
      </c>
      <c r="C641">
        <v>2.5</v>
      </c>
      <c r="D641" t="s">
        <v>120</v>
      </c>
      <c r="E641" t="s">
        <v>120</v>
      </c>
      <c r="F641" t="s">
        <v>121</v>
      </c>
      <c r="G641" t="s">
        <v>120</v>
      </c>
      <c r="H641" t="s">
        <v>120</v>
      </c>
      <c r="I641" t="s">
        <v>121</v>
      </c>
      <c r="K641">
        <v>177.8</v>
      </c>
      <c r="P641">
        <f t="shared" si="55"/>
        <v>1</v>
      </c>
      <c r="Q641">
        <f t="shared" si="56"/>
        <v>1</v>
      </c>
      <c r="R641">
        <f t="shared" si="57"/>
        <v>0</v>
      </c>
      <c r="S641">
        <f t="shared" si="58"/>
        <v>1</v>
      </c>
      <c r="T641">
        <f t="shared" si="59"/>
        <v>1</v>
      </c>
      <c r="U641">
        <f t="shared" si="60"/>
        <v>0</v>
      </c>
    </row>
    <row r="642" spans="2:21">
      <c r="B642" s="102">
        <v>45054</v>
      </c>
      <c r="C642">
        <v>2.5</v>
      </c>
      <c r="D642" t="s">
        <v>120</v>
      </c>
      <c r="E642" t="s">
        <v>121</v>
      </c>
      <c r="F642" t="s">
        <v>121</v>
      </c>
      <c r="G642" t="s">
        <v>121</v>
      </c>
      <c r="H642" t="s">
        <v>121</v>
      </c>
      <c r="I642" t="s">
        <v>121</v>
      </c>
      <c r="P642">
        <f t="shared" si="55"/>
        <v>1</v>
      </c>
      <c r="Q642">
        <f t="shared" si="56"/>
        <v>0</v>
      </c>
      <c r="R642">
        <f t="shared" si="57"/>
        <v>0</v>
      </c>
      <c r="S642">
        <f t="shared" si="58"/>
        <v>0</v>
      </c>
      <c r="T642">
        <f t="shared" si="59"/>
        <v>0</v>
      </c>
      <c r="U642">
        <f t="shared" si="60"/>
        <v>0</v>
      </c>
    </row>
    <row r="643" spans="2:21">
      <c r="B643" s="102">
        <v>45055</v>
      </c>
      <c r="C643">
        <v>1.5</v>
      </c>
      <c r="D643" t="s">
        <v>120</v>
      </c>
      <c r="E643" t="s">
        <v>121</v>
      </c>
      <c r="F643" t="s">
        <v>121</v>
      </c>
      <c r="G643" t="s">
        <v>121</v>
      </c>
      <c r="H643" t="s">
        <v>121</v>
      </c>
      <c r="I643" t="s">
        <v>121</v>
      </c>
      <c r="P643">
        <f t="shared" ref="P643:P706" si="61">IF(D643="YES", 1, 0)</f>
        <v>1</v>
      </c>
      <c r="Q643">
        <f t="shared" ref="Q643:Q706" si="62">IF(E643="YES", 1, 0)</f>
        <v>0</v>
      </c>
      <c r="R643">
        <f t="shared" ref="R643:R706" si="63">IF(F643="YES", 1, 0)</f>
        <v>0</v>
      </c>
      <c r="S643">
        <f t="shared" ref="S643:S706" si="64">IF(G643="YES", 1, 0)</f>
        <v>0</v>
      </c>
      <c r="T643">
        <f t="shared" ref="T643:T706" si="65">IF(H643="YES", 1, 0)</f>
        <v>0</v>
      </c>
      <c r="U643">
        <f t="shared" ref="U643:U706" si="66">IF(I643="YES", 1, 0)</f>
        <v>0</v>
      </c>
    </row>
    <row r="644" spans="2:21">
      <c r="B644" s="102">
        <v>45056</v>
      </c>
      <c r="C644">
        <v>3</v>
      </c>
      <c r="D644" t="s">
        <v>120</v>
      </c>
      <c r="E644" t="s">
        <v>121</v>
      </c>
      <c r="F644" t="s">
        <v>121</v>
      </c>
      <c r="G644" t="s">
        <v>121</v>
      </c>
      <c r="H644" t="s">
        <v>121</v>
      </c>
      <c r="I644" t="s">
        <v>121</v>
      </c>
      <c r="P644">
        <f t="shared" si="61"/>
        <v>1</v>
      </c>
      <c r="Q644">
        <f t="shared" si="62"/>
        <v>0</v>
      </c>
      <c r="R644">
        <f t="shared" si="63"/>
        <v>0</v>
      </c>
      <c r="S644">
        <f t="shared" si="64"/>
        <v>0</v>
      </c>
      <c r="T644">
        <f t="shared" si="65"/>
        <v>0</v>
      </c>
      <c r="U644">
        <f t="shared" si="66"/>
        <v>0</v>
      </c>
    </row>
    <row r="645" spans="2:21">
      <c r="B645" s="102">
        <v>45057</v>
      </c>
      <c r="C645">
        <v>1.5</v>
      </c>
      <c r="D645" t="s">
        <v>120</v>
      </c>
      <c r="E645" t="s">
        <v>121</v>
      </c>
      <c r="F645" t="s">
        <v>121</v>
      </c>
      <c r="G645" t="s">
        <v>121</v>
      </c>
      <c r="H645" t="s">
        <v>121</v>
      </c>
      <c r="I645" t="s">
        <v>121</v>
      </c>
      <c r="P645">
        <f t="shared" si="61"/>
        <v>1</v>
      </c>
      <c r="Q645">
        <f t="shared" si="62"/>
        <v>0</v>
      </c>
      <c r="R645">
        <f t="shared" si="63"/>
        <v>0</v>
      </c>
      <c r="S645">
        <f t="shared" si="64"/>
        <v>0</v>
      </c>
      <c r="T645">
        <f t="shared" si="65"/>
        <v>0</v>
      </c>
      <c r="U645">
        <f t="shared" si="66"/>
        <v>0</v>
      </c>
    </row>
    <row r="646" spans="2:21">
      <c r="B646" s="102">
        <v>45058</v>
      </c>
      <c r="C646">
        <v>2</v>
      </c>
      <c r="D646" t="s">
        <v>121</v>
      </c>
      <c r="E646" t="s">
        <v>121</v>
      </c>
      <c r="F646" t="s">
        <v>121</v>
      </c>
      <c r="G646" t="s">
        <v>121</v>
      </c>
      <c r="H646" t="s">
        <v>121</v>
      </c>
      <c r="I646" t="s">
        <v>121</v>
      </c>
      <c r="P646">
        <f t="shared" si="61"/>
        <v>0</v>
      </c>
      <c r="Q646">
        <f t="shared" si="62"/>
        <v>0</v>
      </c>
      <c r="R646">
        <f t="shared" si="63"/>
        <v>0</v>
      </c>
      <c r="S646">
        <f t="shared" si="64"/>
        <v>0</v>
      </c>
      <c r="T646">
        <f t="shared" si="65"/>
        <v>0</v>
      </c>
      <c r="U646">
        <f t="shared" si="66"/>
        <v>0</v>
      </c>
    </row>
    <row r="647" spans="2:21">
      <c r="B647" s="102">
        <v>45059</v>
      </c>
      <c r="C647">
        <v>2.5</v>
      </c>
      <c r="D647" t="s">
        <v>121</v>
      </c>
      <c r="E647" t="s">
        <v>121</v>
      </c>
      <c r="F647" t="s">
        <v>121</v>
      </c>
      <c r="G647" t="s">
        <v>121</v>
      </c>
      <c r="H647" t="s">
        <v>121</v>
      </c>
      <c r="I647" t="s">
        <v>121</v>
      </c>
      <c r="P647">
        <f t="shared" si="61"/>
        <v>0</v>
      </c>
      <c r="Q647">
        <f t="shared" si="62"/>
        <v>0</v>
      </c>
      <c r="R647">
        <f t="shared" si="63"/>
        <v>0</v>
      </c>
      <c r="S647">
        <f t="shared" si="64"/>
        <v>0</v>
      </c>
      <c r="T647">
        <f t="shared" si="65"/>
        <v>0</v>
      </c>
      <c r="U647">
        <f t="shared" si="66"/>
        <v>0</v>
      </c>
    </row>
    <row r="648" spans="2:21">
      <c r="B648" s="102">
        <v>45060</v>
      </c>
      <c r="C648">
        <v>2.5</v>
      </c>
      <c r="D648" t="s">
        <v>121</v>
      </c>
      <c r="E648" t="s">
        <v>121</v>
      </c>
      <c r="F648" t="s">
        <v>121</v>
      </c>
      <c r="G648" t="s">
        <v>121</v>
      </c>
      <c r="H648" t="s">
        <v>121</v>
      </c>
      <c r="I648" t="s">
        <v>121</v>
      </c>
      <c r="K648">
        <v>178</v>
      </c>
      <c r="P648">
        <f t="shared" si="61"/>
        <v>0</v>
      </c>
      <c r="Q648">
        <f t="shared" si="62"/>
        <v>0</v>
      </c>
      <c r="R648">
        <f t="shared" si="63"/>
        <v>0</v>
      </c>
      <c r="S648">
        <f t="shared" si="64"/>
        <v>0</v>
      </c>
      <c r="T648">
        <f t="shared" si="65"/>
        <v>0</v>
      </c>
      <c r="U648">
        <f t="shared" si="66"/>
        <v>0</v>
      </c>
    </row>
    <row r="649" spans="2:21">
      <c r="B649" s="102">
        <v>45061</v>
      </c>
      <c r="C649">
        <v>2.5</v>
      </c>
      <c r="D649" t="s">
        <v>121</v>
      </c>
      <c r="E649" t="s">
        <v>121</v>
      </c>
      <c r="F649" t="s">
        <v>121</v>
      </c>
      <c r="G649" t="s">
        <v>121</v>
      </c>
      <c r="H649" t="s">
        <v>121</v>
      </c>
      <c r="I649" t="s">
        <v>121</v>
      </c>
      <c r="P649">
        <f t="shared" si="61"/>
        <v>0</v>
      </c>
      <c r="Q649">
        <f t="shared" si="62"/>
        <v>0</v>
      </c>
      <c r="R649">
        <f t="shared" si="63"/>
        <v>0</v>
      </c>
      <c r="S649">
        <f t="shared" si="64"/>
        <v>0</v>
      </c>
      <c r="T649">
        <f t="shared" si="65"/>
        <v>0</v>
      </c>
      <c r="U649">
        <f t="shared" si="66"/>
        <v>0</v>
      </c>
    </row>
    <row r="650" spans="2:21">
      <c r="B650" s="102">
        <v>45062</v>
      </c>
      <c r="C650">
        <v>1.5</v>
      </c>
      <c r="D650" t="s">
        <v>120</v>
      </c>
      <c r="E650" t="s">
        <v>121</v>
      </c>
      <c r="F650" t="s">
        <v>121</v>
      </c>
      <c r="G650" t="s">
        <v>121</v>
      </c>
      <c r="H650" t="s">
        <v>121</v>
      </c>
      <c r="I650" t="s">
        <v>121</v>
      </c>
      <c r="P650">
        <f t="shared" si="61"/>
        <v>1</v>
      </c>
      <c r="Q650">
        <f t="shared" si="62"/>
        <v>0</v>
      </c>
      <c r="R650">
        <f t="shared" si="63"/>
        <v>0</v>
      </c>
      <c r="S650">
        <f t="shared" si="64"/>
        <v>0</v>
      </c>
      <c r="T650">
        <f t="shared" si="65"/>
        <v>0</v>
      </c>
      <c r="U650">
        <f t="shared" si="66"/>
        <v>0</v>
      </c>
    </row>
    <row r="651" spans="2:21">
      <c r="B651" s="102">
        <v>45063</v>
      </c>
      <c r="C651">
        <v>1.5</v>
      </c>
      <c r="D651" t="s">
        <v>120</v>
      </c>
      <c r="E651" t="s">
        <v>120</v>
      </c>
      <c r="F651" t="s">
        <v>121</v>
      </c>
      <c r="G651" t="s">
        <v>121</v>
      </c>
      <c r="H651" t="s">
        <v>121</v>
      </c>
      <c r="I651" t="s">
        <v>121</v>
      </c>
      <c r="P651">
        <f t="shared" si="61"/>
        <v>1</v>
      </c>
      <c r="Q651">
        <f t="shared" si="62"/>
        <v>1</v>
      </c>
      <c r="R651">
        <f t="shared" si="63"/>
        <v>0</v>
      </c>
      <c r="S651">
        <f t="shared" si="64"/>
        <v>0</v>
      </c>
      <c r="T651">
        <f t="shared" si="65"/>
        <v>0</v>
      </c>
      <c r="U651">
        <f t="shared" si="66"/>
        <v>0</v>
      </c>
    </row>
    <row r="652" spans="2:21">
      <c r="B652" s="102">
        <v>45064</v>
      </c>
      <c r="C652">
        <v>1.5</v>
      </c>
      <c r="D652" t="s">
        <v>121</v>
      </c>
      <c r="E652" t="s">
        <v>121</v>
      </c>
      <c r="F652" t="s">
        <v>121</v>
      </c>
      <c r="G652" t="s">
        <v>121</v>
      </c>
      <c r="H652" t="s">
        <v>121</v>
      </c>
      <c r="I652" t="s">
        <v>121</v>
      </c>
      <c r="P652">
        <f t="shared" si="61"/>
        <v>0</v>
      </c>
      <c r="Q652">
        <f t="shared" si="62"/>
        <v>0</v>
      </c>
      <c r="R652">
        <f t="shared" si="63"/>
        <v>0</v>
      </c>
      <c r="S652">
        <f t="shared" si="64"/>
        <v>0</v>
      </c>
      <c r="T652">
        <f t="shared" si="65"/>
        <v>0</v>
      </c>
      <c r="U652">
        <f t="shared" si="66"/>
        <v>0</v>
      </c>
    </row>
    <row r="653" spans="2:21">
      <c r="B653" s="102">
        <v>45065</v>
      </c>
      <c r="C653">
        <v>1.5</v>
      </c>
      <c r="D653" t="s">
        <v>120</v>
      </c>
      <c r="E653" t="s">
        <v>121</v>
      </c>
      <c r="F653" t="s">
        <v>121</v>
      </c>
      <c r="G653" t="s">
        <v>121</v>
      </c>
      <c r="H653" t="s">
        <v>121</v>
      </c>
      <c r="I653" t="s">
        <v>121</v>
      </c>
      <c r="P653">
        <f t="shared" si="61"/>
        <v>1</v>
      </c>
      <c r="Q653">
        <f t="shared" si="62"/>
        <v>0</v>
      </c>
      <c r="R653">
        <f t="shared" si="63"/>
        <v>0</v>
      </c>
      <c r="S653">
        <f t="shared" si="64"/>
        <v>0</v>
      </c>
      <c r="T653">
        <f t="shared" si="65"/>
        <v>0</v>
      </c>
      <c r="U653">
        <f t="shared" si="66"/>
        <v>0</v>
      </c>
    </row>
    <row r="654" spans="2:21">
      <c r="B654" s="102">
        <v>45066</v>
      </c>
      <c r="C654">
        <v>3</v>
      </c>
      <c r="D654" t="s">
        <v>120</v>
      </c>
      <c r="E654" t="s">
        <v>121</v>
      </c>
      <c r="F654" t="s">
        <v>121</v>
      </c>
      <c r="G654" t="s">
        <v>121</v>
      </c>
      <c r="H654" t="s">
        <v>121</v>
      </c>
      <c r="I654" t="s">
        <v>121</v>
      </c>
      <c r="P654">
        <f t="shared" si="61"/>
        <v>1</v>
      </c>
      <c r="Q654">
        <f t="shared" si="62"/>
        <v>0</v>
      </c>
      <c r="R654">
        <f t="shared" si="63"/>
        <v>0</v>
      </c>
      <c r="S654">
        <f t="shared" si="64"/>
        <v>0</v>
      </c>
      <c r="T654">
        <f t="shared" si="65"/>
        <v>0</v>
      </c>
      <c r="U654">
        <f t="shared" si="66"/>
        <v>0</v>
      </c>
    </row>
    <row r="655" spans="2:21">
      <c r="B655" s="102">
        <v>45067</v>
      </c>
      <c r="C655">
        <v>2.5</v>
      </c>
      <c r="D655" t="s">
        <v>121</v>
      </c>
      <c r="E655" t="s">
        <v>121</v>
      </c>
      <c r="F655" t="s">
        <v>121</v>
      </c>
      <c r="G655" t="s">
        <v>121</v>
      </c>
      <c r="H655" t="s">
        <v>121</v>
      </c>
      <c r="I655" t="s">
        <v>121</v>
      </c>
      <c r="K655">
        <v>177.2</v>
      </c>
      <c r="P655">
        <f t="shared" si="61"/>
        <v>0</v>
      </c>
      <c r="Q655">
        <f t="shared" si="62"/>
        <v>0</v>
      </c>
      <c r="R655">
        <f t="shared" si="63"/>
        <v>0</v>
      </c>
      <c r="S655">
        <f t="shared" si="64"/>
        <v>0</v>
      </c>
      <c r="T655">
        <f t="shared" si="65"/>
        <v>0</v>
      </c>
      <c r="U655">
        <f t="shared" si="66"/>
        <v>0</v>
      </c>
    </row>
    <row r="656" spans="2:21">
      <c r="B656" s="102">
        <v>45068</v>
      </c>
      <c r="C656">
        <v>2.5</v>
      </c>
      <c r="D656" t="s">
        <v>120</v>
      </c>
      <c r="E656" t="s">
        <v>121</v>
      </c>
      <c r="F656" t="s">
        <v>121</v>
      </c>
      <c r="G656" t="s">
        <v>121</v>
      </c>
      <c r="H656" t="s">
        <v>121</v>
      </c>
      <c r="I656" t="s">
        <v>121</v>
      </c>
      <c r="P656">
        <f t="shared" si="61"/>
        <v>1</v>
      </c>
      <c r="Q656">
        <f t="shared" si="62"/>
        <v>0</v>
      </c>
      <c r="R656">
        <f t="shared" si="63"/>
        <v>0</v>
      </c>
      <c r="S656">
        <f t="shared" si="64"/>
        <v>0</v>
      </c>
      <c r="T656">
        <f t="shared" si="65"/>
        <v>0</v>
      </c>
      <c r="U656">
        <f t="shared" si="66"/>
        <v>0</v>
      </c>
    </row>
    <row r="657" spans="2:21">
      <c r="B657" s="102">
        <v>45069</v>
      </c>
      <c r="C657">
        <v>2.5</v>
      </c>
      <c r="D657" t="s">
        <v>120</v>
      </c>
      <c r="E657" t="s">
        <v>121</v>
      </c>
      <c r="F657" t="s">
        <v>121</v>
      </c>
      <c r="G657" t="s">
        <v>121</v>
      </c>
      <c r="H657" t="s">
        <v>121</v>
      </c>
      <c r="I657" t="s">
        <v>121</v>
      </c>
      <c r="P657">
        <f t="shared" si="61"/>
        <v>1</v>
      </c>
      <c r="Q657">
        <f t="shared" si="62"/>
        <v>0</v>
      </c>
      <c r="R657">
        <f t="shared" si="63"/>
        <v>0</v>
      </c>
      <c r="S657">
        <f t="shared" si="64"/>
        <v>0</v>
      </c>
      <c r="T657">
        <f t="shared" si="65"/>
        <v>0</v>
      </c>
      <c r="U657">
        <f t="shared" si="66"/>
        <v>0</v>
      </c>
    </row>
    <row r="658" spans="2:21">
      <c r="B658" s="102">
        <v>45070</v>
      </c>
      <c r="C658">
        <v>2</v>
      </c>
      <c r="D658" t="s">
        <v>120</v>
      </c>
      <c r="E658" t="s">
        <v>120</v>
      </c>
      <c r="F658" t="s">
        <v>211</v>
      </c>
      <c r="G658" t="s">
        <v>121</v>
      </c>
      <c r="H658" t="s">
        <v>121</v>
      </c>
      <c r="I658" t="s">
        <v>121</v>
      </c>
      <c r="P658">
        <f t="shared" si="61"/>
        <v>1</v>
      </c>
      <c r="Q658">
        <f t="shared" si="62"/>
        <v>1</v>
      </c>
      <c r="R658">
        <f t="shared" si="63"/>
        <v>0</v>
      </c>
      <c r="S658">
        <f t="shared" si="64"/>
        <v>0</v>
      </c>
      <c r="T658">
        <f t="shared" si="65"/>
        <v>0</v>
      </c>
      <c r="U658">
        <f t="shared" si="66"/>
        <v>0</v>
      </c>
    </row>
    <row r="659" spans="2:21">
      <c r="B659" s="102">
        <v>45071</v>
      </c>
      <c r="C659">
        <v>1.5</v>
      </c>
      <c r="D659" t="s">
        <v>120</v>
      </c>
      <c r="E659" t="s">
        <v>121</v>
      </c>
      <c r="F659" t="s">
        <v>211</v>
      </c>
      <c r="G659" t="s">
        <v>121</v>
      </c>
      <c r="H659" t="s">
        <v>121</v>
      </c>
      <c r="I659" t="s">
        <v>121</v>
      </c>
      <c r="P659">
        <f t="shared" si="61"/>
        <v>1</v>
      </c>
      <c r="Q659">
        <f t="shared" si="62"/>
        <v>0</v>
      </c>
      <c r="R659">
        <f t="shared" si="63"/>
        <v>0</v>
      </c>
      <c r="S659">
        <f t="shared" si="64"/>
        <v>0</v>
      </c>
      <c r="T659">
        <f t="shared" si="65"/>
        <v>0</v>
      </c>
      <c r="U659">
        <f t="shared" si="66"/>
        <v>0</v>
      </c>
    </row>
    <row r="660" spans="2:21">
      <c r="B660" s="102">
        <v>45072</v>
      </c>
      <c r="C660">
        <v>2.5</v>
      </c>
      <c r="D660" t="s">
        <v>120</v>
      </c>
      <c r="E660" t="s">
        <v>121</v>
      </c>
      <c r="F660" t="s">
        <v>121</v>
      </c>
      <c r="G660" t="s">
        <v>121</v>
      </c>
      <c r="H660" t="s">
        <v>121</v>
      </c>
      <c r="I660" t="s">
        <v>121</v>
      </c>
      <c r="P660">
        <f t="shared" si="61"/>
        <v>1</v>
      </c>
      <c r="Q660">
        <f t="shared" si="62"/>
        <v>0</v>
      </c>
      <c r="R660">
        <f t="shared" si="63"/>
        <v>0</v>
      </c>
      <c r="S660">
        <f t="shared" si="64"/>
        <v>0</v>
      </c>
      <c r="T660">
        <f t="shared" si="65"/>
        <v>0</v>
      </c>
      <c r="U660">
        <f t="shared" si="66"/>
        <v>0</v>
      </c>
    </row>
    <row r="661" spans="2:21">
      <c r="B661" s="102">
        <v>45073</v>
      </c>
      <c r="C661">
        <v>3</v>
      </c>
      <c r="D661" t="s">
        <v>121</v>
      </c>
      <c r="E661" t="s">
        <v>121</v>
      </c>
      <c r="F661" t="s">
        <v>121</v>
      </c>
      <c r="G661" t="s">
        <v>121</v>
      </c>
      <c r="H661" t="s">
        <v>121</v>
      </c>
      <c r="I661" t="s">
        <v>121</v>
      </c>
      <c r="P661">
        <f t="shared" si="61"/>
        <v>0</v>
      </c>
      <c r="Q661">
        <f t="shared" si="62"/>
        <v>0</v>
      </c>
      <c r="R661">
        <f t="shared" si="63"/>
        <v>0</v>
      </c>
      <c r="S661">
        <f t="shared" si="64"/>
        <v>0</v>
      </c>
      <c r="T661">
        <f t="shared" si="65"/>
        <v>0</v>
      </c>
      <c r="U661">
        <f t="shared" si="66"/>
        <v>0</v>
      </c>
    </row>
    <row r="662" spans="2:21">
      <c r="B662" s="102">
        <v>45074</v>
      </c>
      <c r="C662">
        <v>1.5</v>
      </c>
      <c r="D662" t="s">
        <v>121</v>
      </c>
      <c r="E662" t="s">
        <v>121</v>
      </c>
      <c r="F662" t="s">
        <v>121</v>
      </c>
      <c r="G662" t="s">
        <v>121</v>
      </c>
      <c r="H662" t="s">
        <v>121</v>
      </c>
      <c r="I662" t="s">
        <v>121</v>
      </c>
      <c r="P662">
        <f t="shared" si="61"/>
        <v>0</v>
      </c>
      <c r="Q662">
        <f t="shared" si="62"/>
        <v>0</v>
      </c>
      <c r="R662">
        <f t="shared" si="63"/>
        <v>0</v>
      </c>
      <c r="S662">
        <f t="shared" si="64"/>
        <v>0</v>
      </c>
      <c r="T662">
        <f t="shared" si="65"/>
        <v>0</v>
      </c>
      <c r="U662">
        <f t="shared" si="66"/>
        <v>0</v>
      </c>
    </row>
    <row r="663" spans="2:21">
      <c r="B663" s="102">
        <v>45075</v>
      </c>
      <c r="C663">
        <v>2</v>
      </c>
      <c r="D663" t="s">
        <v>121</v>
      </c>
      <c r="E663" t="s">
        <v>121</v>
      </c>
      <c r="F663" t="s">
        <v>121</v>
      </c>
      <c r="G663" t="s">
        <v>121</v>
      </c>
      <c r="H663" t="s">
        <v>121</v>
      </c>
      <c r="I663" t="s">
        <v>121</v>
      </c>
      <c r="K663">
        <v>176.4</v>
      </c>
      <c r="P663">
        <f t="shared" si="61"/>
        <v>0</v>
      </c>
      <c r="Q663">
        <f t="shared" si="62"/>
        <v>0</v>
      </c>
      <c r="R663">
        <f t="shared" si="63"/>
        <v>0</v>
      </c>
      <c r="S663">
        <f t="shared" si="64"/>
        <v>0</v>
      </c>
      <c r="T663">
        <f t="shared" si="65"/>
        <v>0</v>
      </c>
      <c r="U663">
        <f t="shared" si="66"/>
        <v>0</v>
      </c>
    </row>
    <row r="664" spans="2:21">
      <c r="B664" s="102">
        <v>45076</v>
      </c>
      <c r="C664">
        <v>2</v>
      </c>
      <c r="D664" t="s">
        <v>120</v>
      </c>
      <c r="E664" t="s">
        <v>120</v>
      </c>
      <c r="F664" t="s">
        <v>120</v>
      </c>
      <c r="G664" t="s">
        <v>121</v>
      </c>
      <c r="H664" t="s">
        <v>121</v>
      </c>
      <c r="I664" t="s">
        <v>121</v>
      </c>
      <c r="P664">
        <f t="shared" si="61"/>
        <v>1</v>
      </c>
      <c r="Q664">
        <f t="shared" si="62"/>
        <v>1</v>
      </c>
      <c r="R664">
        <f t="shared" si="63"/>
        <v>1</v>
      </c>
      <c r="S664">
        <f t="shared" si="64"/>
        <v>0</v>
      </c>
      <c r="T664">
        <f t="shared" si="65"/>
        <v>0</v>
      </c>
      <c r="U664">
        <f t="shared" si="66"/>
        <v>0</v>
      </c>
    </row>
    <row r="665" spans="2:21">
      <c r="B665" s="102">
        <v>45077</v>
      </c>
      <c r="C665">
        <v>2.5</v>
      </c>
      <c r="D665" t="s">
        <v>120</v>
      </c>
      <c r="E665" t="s">
        <v>121</v>
      </c>
      <c r="F665" t="s">
        <v>121</v>
      </c>
      <c r="G665" t="s">
        <v>121</v>
      </c>
      <c r="H665" t="s">
        <v>121</v>
      </c>
      <c r="I665" t="s">
        <v>121</v>
      </c>
      <c r="P665">
        <f t="shared" si="61"/>
        <v>1</v>
      </c>
      <c r="Q665">
        <f t="shared" si="62"/>
        <v>0</v>
      </c>
      <c r="R665">
        <f t="shared" si="63"/>
        <v>0</v>
      </c>
      <c r="S665">
        <f t="shared" si="64"/>
        <v>0</v>
      </c>
      <c r="T665">
        <f t="shared" si="65"/>
        <v>0</v>
      </c>
      <c r="U665">
        <f t="shared" si="66"/>
        <v>0</v>
      </c>
    </row>
    <row r="666" spans="2:21">
      <c r="B666" s="102">
        <v>45078</v>
      </c>
      <c r="C666">
        <v>1.5</v>
      </c>
      <c r="D666" t="s">
        <v>121</v>
      </c>
      <c r="E666" t="s">
        <v>121</v>
      </c>
      <c r="F666" t="s">
        <v>121</v>
      </c>
      <c r="G666" t="s">
        <v>121</v>
      </c>
      <c r="H666" t="s">
        <v>121</v>
      </c>
      <c r="I666" t="s">
        <v>121</v>
      </c>
      <c r="P666">
        <f t="shared" si="61"/>
        <v>0</v>
      </c>
      <c r="Q666">
        <f t="shared" si="62"/>
        <v>0</v>
      </c>
      <c r="R666">
        <f t="shared" si="63"/>
        <v>0</v>
      </c>
      <c r="S666">
        <f t="shared" si="64"/>
        <v>0</v>
      </c>
      <c r="T666">
        <f t="shared" si="65"/>
        <v>0</v>
      </c>
      <c r="U666">
        <f t="shared" si="66"/>
        <v>0</v>
      </c>
    </row>
    <row r="667" spans="2:21">
      <c r="B667" s="102">
        <v>45079</v>
      </c>
      <c r="C667">
        <v>2</v>
      </c>
      <c r="D667" t="s">
        <v>120</v>
      </c>
      <c r="E667" t="s">
        <v>121</v>
      </c>
      <c r="F667" t="s">
        <v>121</v>
      </c>
      <c r="G667" t="s">
        <v>120</v>
      </c>
      <c r="H667" t="s">
        <v>121</v>
      </c>
      <c r="I667" t="s">
        <v>121</v>
      </c>
      <c r="P667">
        <f t="shared" si="61"/>
        <v>1</v>
      </c>
      <c r="Q667">
        <f t="shared" si="62"/>
        <v>0</v>
      </c>
      <c r="R667">
        <f t="shared" si="63"/>
        <v>0</v>
      </c>
      <c r="S667">
        <f t="shared" si="64"/>
        <v>1</v>
      </c>
      <c r="T667">
        <f t="shared" si="65"/>
        <v>0</v>
      </c>
      <c r="U667">
        <f t="shared" si="66"/>
        <v>0</v>
      </c>
    </row>
    <row r="668" spans="2:21">
      <c r="B668" s="102">
        <v>45080</v>
      </c>
      <c r="C668">
        <v>2</v>
      </c>
      <c r="D668" t="s">
        <v>120</v>
      </c>
      <c r="E668" t="s">
        <v>121</v>
      </c>
      <c r="F668" t="s">
        <v>121</v>
      </c>
      <c r="G668" t="s">
        <v>121</v>
      </c>
      <c r="H668" t="s">
        <v>121</v>
      </c>
      <c r="I668" t="s">
        <v>121</v>
      </c>
      <c r="P668">
        <f t="shared" si="61"/>
        <v>1</v>
      </c>
      <c r="Q668">
        <f t="shared" si="62"/>
        <v>0</v>
      </c>
      <c r="R668">
        <f t="shared" si="63"/>
        <v>0</v>
      </c>
      <c r="S668">
        <f t="shared" si="64"/>
        <v>0</v>
      </c>
      <c r="T668">
        <f t="shared" si="65"/>
        <v>0</v>
      </c>
      <c r="U668">
        <f t="shared" si="66"/>
        <v>0</v>
      </c>
    </row>
    <row r="669" spans="2:21">
      <c r="B669" s="102">
        <v>45081</v>
      </c>
      <c r="C669">
        <v>2.5</v>
      </c>
      <c r="D669" t="s">
        <v>121</v>
      </c>
      <c r="E669" t="s">
        <v>121</v>
      </c>
      <c r="F669" t="s">
        <v>121</v>
      </c>
      <c r="G669" t="s">
        <v>121</v>
      </c>
      <c r="H669" t="s">
        <v>121</v>
      </c>
      <c r="I669" t="s">
        <v>121</v>
      </c>
      <c r="K669">
        <v>176.8</v>
      </c>
      <c r="P669">
        <f t="shared" si="61"/>
        <v>0</v>
      </c>
      <c r="Q669">
        <f t="shared" si="62"/>
        <v>0</v>
      </c>
      <c r="R669">
        <f t="shared" si="63"/>
        <v>0</v>
      </c>
      <c r="S669">
        <f t="shared" si="64"/>
        <v>0</v>
      </c>
      <c r="T669">
        <f t="shared" si="65"/>
        <v>0</v>
      </c>
      <c r="U669">
        <f t="shared" si="66"/>
        <v>0</v>
      </c>
    </row>
    <row r="670" spans="2:21">
      <c r="B670" s="102">
        <v>45082</v>
      </c>
      <c r="C670">
        <v>1.5</v>
      </c>
      <c r="D670" t="s">
        <v>120</v>
      </c>
      <c r="E670" t="s">
        <v>121</v>
      </c>
      <c r="F670" t="s">
        <v>121</v>
      </c>
      <c r="G670" t="s">
        <v>121</v>
      </c>
      <c r="H670" t="s">
        <v>121</v>
      </c>
      <c r="I670" t="s">
        <v>121</v>
      </c>
      <c r="P670">
        <f t="shared" si="61"/>
        <v>1</v>
      </c>
      <c r="Q670">
        <f t="shared" si="62"/>
        <v>0</v>
      </c>
      <c r="R670">
        <f t="shared" si="63"/>
        <v>0</v>
      </c>
      <c r="S670">
        <f t="shared" si="64"/>
        <v>0</v>
      </c>
      <c r="T670">
        <f t="shared" si="65"/>
        <v>0</v>
      </c>
      <c r="U670">
        <f t="shared" si="66"/>
        <v>0</v>
      </c>
    </row>
    <row r="671" spans="2:21">
      <c r="B671" s="102">
        <v>45083</v>
      </c>
      <c r="C671">
        <v>2</v>
      </c>
      <c r="D671" t="s">
        <v>120</v>
      </c>
      <c r="E671" t="s">
        <v>121</v>
      </c>
      <c r="F671" t="s">
        <v>121</v>
      </c>
      <c r="G671" t="s">
        <v>121</v>
      </c>
      <c r="H671" t="s">
        <v>121</v>
      </c>
      <c r="I671" t="s">
        <v>121</v>
      </c>
      <c r="P671">
        <f t="shared" si="61"/>
        <v>1</v>
      </c>
      <c r="Q671">
        <f t="shared" si="62"/>
        <v>0</v>
      </c>
      <c r="R671">
        <f t="shared" si="63"/>
        <v>0</v>
      </c>
      <c r="S671">
        <f t="shared" si="64"/>
        <v>0</v>
      </c>
      <c r="T671">
        <f t="shared" si="65"/>
        <v>0</v>
      </c>
      <c r="U671">
        <f t="shared" si="66"/>
        <v>0</v>
      </c>
    </row>
    <row r="672" spans="2:21">
      <c r="B672" s="102">
        <v>45084</v>
      </c>
      <c r="C672">
        <v>1.5</v>
      </c>
      <c r="D672" t="s">
        <v>120</v>
      </c>
      <c r="E672" t="s">
        <v>121</v>
      </c>
      <c r="F672" t="s">
        <v>121</v>
      </c>
      <c r="G672" t="s">
        <v>121</v>
      </c>
      <c r="H672" t="s">
        <v>121</v>
      </c>
      <c r="I672" t="s">
        <v>121</v>
      </c>
      <c r="P672">
        <f t="shared" si="61"/>
        <v>1</v>
      </c>
      <c r="Q672">
        <f t="shared" si="62"/>
        <v>0</v>
      </c>
      <c r="R672">
        <f t="shared" si="63"/>
        <v>0</v>
      </c>
      <c r="S672">
        <f t="shared" si="64"/>
        <v>0</v>
      </c>
      <c r="T672">
        <f t="shared" si="65"/>
        <v>0</v>
      </c>
      <c r="U672">
        <f t="shared" si="66"/>
        <v>0</v>
      </c>
    </row>
    <row r="673" spans="2:21">
      <c r="B673" s="102">
        <v>45085</v>
      </c>
      <c r="C673">
        <v>2.5</v>
      </c>
      <c r="D673" t="s">
        <v>120</v>
      </c>
      <c r="E673" t="s">
        <v>121</v>
      </c>
      <c r="F673" t="s">
        <v>121</v>
      </c>
      <c r="G673" t="s">
        <v>121</v>
      </c>
      <c r="H673" t="s">
        <v>121</v>
      </c>
      <c r="I673" t="s">
        <v>121</v>
      </c>
      <c r="P673">
        <f t="shared" si="61"/>
        <v>1</v>
      </c>
      <c r="Q673">
        <f t="shared" si="62"/>
        <v>0</v>
      </c>
      <c r="R673">
        <f t="shared" si="63"/>
        <v>0</v>
      </c>
      <c r="S673">
        <f t="shared" si="64"/>
        <v>0</v>
      </c>
      <c r="T673">
        <f t="shared" si="65"/>
        <v>0</v>
      </c>
      <c r="U673">
        <f t="shared" si="66"/>
        <v>0</v>
      </c>
    </row>
    <row r="674" spans="2:21">
      <c r="B674" s="102">
        <v>45086</v>
      </c>
      <c r="C674">
        <v>2</v>
      </c>
      <c r="D674" t="s">
        <v>120</v>
      </c>
      <c r="E674" t="s">
        <v>120</v>
      </c>
      <c r="F674" t="s">
        <v>121</v>
      </c>
      <c r="G674" t="s">
        <v>121</v>
      </c>
      <c r="H674" t="s">
        <v>121</v>
      </c>
      <c r="I674" t="s">
        <v>121</v>
      </c>
      <c r="P674">
        <f t="shared" si="61"/>
        <v>1</v>
      </c>
      <c r="Q674">
        <f t="shared" si="62"/>
        <v>1</v>
      </c>
      <c r="R674">
        <f t="shared" si="63"/>
        <v>0</v>
      </c>
      <c r="S674">
        <f t="shared" si="64"/>
        <v>0</v>
      </c>
      <c r="T674">
        <f t="shared" si="65"/>
        <v>0</v>
      </c>
      <c r="U674">
        <f t="shared" si="66"/>
        <v>0</v>
      </c>
    </row>
    <row r="675" spans="2:21">
      <c r="B675" s="102">
        <v>45087</v>
      </c>
      <c r="C675">
        <v>1.5</v>
      </c>
      <c r="D675" t="s">
        <v>121</v>
      </c>
      <c r="E675" t="s">
        <v>121</v>
      </c>
      <c r="F675" t="s">
        <v>121</v>
      </c>
      <c r="G675" t="s">
        <v>121</v>
      </c>
      <c r="H675" t="s">
        <v>121</v>
      </c>
      <c r="I675" t="s">
        <v>121</v>
      </c>
      <c r="P675">
        <f t="shared" si="61"/>
        <v>0</v>
      </c>
      <c r="Q675">
        <f t="shared" si="62"/>
        <v>0</v>
      </c>
      <c r="R675">
        <f t="shared" si="63"/>
        <v>0</v>
      </c>
      <c r="S675">
        <f t="shared" si="64"/>
        <v>0</v>
      </c>
      <c r="T675">
        <f t="shared" si="65"/>
        <v>0</v>
      </c>
      <c r="U675">
        <f t="shared" si="66"/>
        <v>0</v>
      </c>
    </row>
    <row r="676" spans="2:21">
      <c r="B676" s="102">
        <v>45088</v>
      </c>
      <c r="C676">
        <v>1.5</v>
      </c>
      <c r="D676" t="s">
        <v>121</v>
      </c>
      <c r="E676" t="s">
        <v>121</v>
      </c>
      <c r="F676" t="s">
        <v>121</v>
      </c>
      <c r="G676" t="s">
        <v>121</v>
      </c>
      <c r="H676" t="s">
        <v>121</v>
      </c>
      <c r="I676" t="s">
        <v>121</v>
      </c>
      <c r="P676">
        <f t="shared" si="61"/>
        <v>0</v>
      </c>
      <c r="Q676">
        <f t="shared" si="62"/>
        <v>0</v>
      </c>
      <c r="R676">
        <f t="shared" si="63"/>
        <v>0</v>
      </c>
      <c r="S676">
        <f t="shared" si="64"/>
        <v>0</v>
      </c>
      <c r="T676">
        <f t="shared" si="65"/>
        <v>0</v>
      </c>
      <c r="U676">
        <f t="shared" si="66"/>
        <v>0</v>
      </c>
    </row>
    <row r="677" spans="2:21">
      <c r="B677" s="102">
        <v>45089</v>
      </c>
      <c r="C677">
        <v>1.5</v>
      </c>
      <c r="D677" t="s">
        <v>120</v>
      </c>
      <c r="E677" t="s">
        <v>121</v>
      </c>
      <c r="F677" t="s">
        <v>121</v>
      </c>
      <c r="G677" t="s">
        <v>121</v>
      </c>
      <c r="H677" t="s">
        <v>121</v>
      </c>
      <c r="I677" t="s">
        <v>121</v>
      </c>
      <c r="P677">
        <f t="shared" si="61"/>
        <v>1</v>
      </c>
      <c r="Q677">
        <f t="shared" si="62"/>
        <v>0</v>
      </c>
      <c r="R677">
        <f t="shared" si="63"/>
        <v>0</v>
      </c>
      <c r="S677">
        <f t="shared" si="64"/>
        <v>0</v>
      </c>
      <c r="T677">
        <f t="shared" si="65"/>
        <v>0</v>
      </c>
      <c r="U677">
        <f t="shared" si="66"/>
        <v>0</v>
      </c>
    </row>
    <row r="678" spans="2:21">
      <c r="B678" s="102">
        <v>45090</v>
      </c>
      <c r="C678">
        <v>2.5</v>
      </c>
      <c r="D678" t="s">
        <v>121</v>
      </c>
      <c r="E678" t="s">
        <v>121</v>
      </c>
      <c r="F678" t="s">
        <v>121</v>
      </c>
      <c r="G678" t="s">
        <v>121</v>
      </c>
      <c r="H678" t="s">
        <v>121</v>
      </c>
      <c r="I678" t="s">
        <v>121</v>
      </c>
      <c r="P678">
        <f t="shared" si="61"/>
        <v>0</v>
      </c>
      <c r="Q678">
        <f t="shared" si="62"/>
        <v>0</v>
      </c>
      <c r="R678">
        <f t="shared" si="63"/>
        <v>0</v>
      </c>
      <c r="S678">
        <f t="shared" si="64"/>
        <v>0</v>
      </c>
      <c r="T678">
        <f t="shared" si="65"/>
        <v>0</v>
      </c>
      <c r="U678">
        <f t="shared" si="66"/>
        <v>0</v>
      </c>
    </row>
    <row r="679" spans="2:21">
      <c r="B679" s="102">
        <v>45091</v>
      </c>
      <c r="C679">
        <v>1.5</v>
      </c>
      <c r="D679" t="s">
        <v>120</v>
      </c>
      <c r="E679" t="s">
        <v>121</v>
      </c>
      <c r="F679" t="s">
        <v>121</v>
      </c>
      <c r="G679" t="s">
        <v>121</v>
      </c>
      <c r="H679" t="s">
        <v>121</v>
      </c>
      <c r="I679" t="s">
        <v>121</v>
      </c>
      <c r="P679">
        <f t="shared" si="61"/>
        <v>1</v>
      </c>
      <c r="Q679">
        <f t="shared" si="62"/>
        <v>0</v>
      </c>
      <c r="R679">
        <f t="shared" si="63"/>
        <v>0</v>
      </c>
      <c r="S679">
        <f t="shared" si="64"/>
        <v>0</v>
      </c>
      <c r="T679">
        <f t="shared" si="65"/>
        <v>0</v>
      </c>
      <c r="U679">
        <f t="shared" si="66"/>
        <v>0</v>
      </c>
    </row>
    <row r="680" spans="2:21">
      <c r="B680" s="102">
        <v>45092</v>
      </c>
      <c r="C680">
        <v>2.5</v>
      </c>
      <c r="D680" t="s">
        <v>120</v>
      </c>
      <c r="E680" t="s">
        <v>121</v>
      </c>
      <c r="F680" t="s">
        <v>121</v>
      </c>
      <c r="G680" t="s">
        <v>121</v>
      </c>
      <c r="H680" t="s">
        <v>121</v>
      </c>
      <c r="I680" t="s">
        <v>121</v>
      </c>
      <c r="P680">
        <f t="shared" si="61"/>
        <v>1</v>
      </c>
      <c r="Q680">
        <f t="shared" si="62"/>
        <v>0</v>
      </c>
      <c r="R680">
        <f t="shared" si="63"/>
        <v>0</v>
      </c>
      <c r="S680">
        <f t="shared" si="64"/>
        <v>0</v>
      </c>
      <c r="T680">
        <f t="shared" si="65"/>
        <v>0</v>
      </c>
      <c r="U680">
        <f t="shared" si="66"/>
        <v>0</v>
      </c>
    </row>
    <row r="681" spans="2:21">
      <c r="B681" s="102">
        <v>45093</v>
      </c>
      <c r="C681">
        <v>2.5</v>
      </c>
      <c r="D681" t="s">
        <v>120</v>
      </c>
      <c r="E681" t="s">
        <v>120</v>
      </c>
      <c r="F681" t="s">
        <v>121</v>
      </c>
      <c r="G681" t="s">
        <v>120</v>
      </c>
      <c r="H681" t="s">
        <v>120</v>
      </c>
      <c r="I681" t="s">
        <v>121</v>
      </c>
      <c r="P681">
        <f t="shared" si="61"/>
        <v>1</v>
      </c>
      <c r="Q681">
        <f t="shared" si="62"/>
        <v>1</v>
      </c>
      <c r="R681">
        <f t="shared" si="63"/>
        <v>0</v>
      </c>
      <c r="S681">
        <f t="shared" si="64"/>
        <v>1</v>
      </c>
      <c r="T681">
        <f t="shared" si="65"/>
        <v>1</v>
      </c>
      <c r="U681">
        <f t="shared" si="66"/>
        <v>0</v>
      </c>
    </row>
    <row r="682" spans="2:21">
      <c r="B682" s="102">
        <v>45094</v>
      </c>
      <c r="C682">
        <v>2.5</v>
      </c>
      <c r="D682" t="s">
        <v>121</v>
      </c>
      <c r="E682" t="s">
        <v>121</v>
      </c>
      <c r="F682" t="s">
        <v>121</v>
      </c>
      <c r="G682" t="s">
        <v>121</v>
      </c>
      <c r="H682" t="s">
        <v>121</v>
      </c>
      <c r="I682" t="s">
        <v>121</v>
      </c>
      <c r="P682">
        <f t="shared" si="61"/>
        <v>0</v>
      </c>
      <c r="Q682">
        <f t="shared" si="62"/>
        <v>0</v>
      </c>
      <c r="R682">
        <f t="shared" si="63"/>
        <v>0</v>
      </c>
      <c r="S682">
        <f t="shared" si="64"/>
        <v>0</v>
      </c>
      <c r="T682">
        <f t="shared" si="65"/>
        <v>0</v>
      </c>
      <c r="U682">
        <f t="shared" si="66"/>
        <v>0</v>
      </c>
    </row>
    <row r="683" spans="2:21">
      <c r="B683" s="102">
        <v>45095</v>
      </c>
      <c r="C683">
        <v>2</v>
      </c>
      <c r="D683" t="s">
        <v>121</v>
      </c>
      <c r="E683" t="s">
        <v>121</v>
      </c>
      <c r="F683" t="s">
        <v>121</v>
      </c>
      <c r="G683" t="s">
        <v>121</v>
      </c>
      <c r="H683" t="s">
        <v>121</v>
      </c>
      <c r="I683" t="s">
        <v>121</v>
      </c>
      <c r="K683">
        <v>173.4</v>
      </c>
      <c r="P683">
        <f t="shared" si="61"/>
        <v>0</v>
      </c>
      <c r="Q683">
        <f t="shared" si="62"/>
        <v>0</v>
      </c>
      <c r="R683">
        <f t="shared" si="63"/>
        <v>0</v>
      </c>
      <c r="S683">
        <f t="shared" si="64"/>
        <v>0</v>
      </c>
      <c r="T683">
        <f t="shared" si="65"/>
        <v>0</v>
      </c>
      <c r="U683">
        <f t="shared" si="66"/>
        <v>0</v>
      </c>
    </row>
    <row r="684" spans="2:21">
      <c r="B684" s="102">
        <v>45096</v>
      </c>
      <c r="C684">
        <v>1</v>
      </c>
      <c r="D684" t="s">
        <v>121</v>
      </c>
      <c r="E684" t="s">
        <v>121</v>
      </c>
      <c r="F684" t="s">
        <v>121</v>
      </c>
      <c r="G684" t="s">
        <v>121</v>
      </c>
      <c r="H684" t="s">
        <v>121</v>
      </c>
      <c r="I684" t="s">
        <v>121</v>
      </c>
      <c r="P684">
        <f t="shared" si="61"/>
        <v>0</v>
      </c>
      <c r="Q684">
        <f t="shared" si="62"/>
        <v>0</v>
      </c>
      <c r="R684">
        <f t="shared" si="63"/>
        <v>0</v>
      </c>
      <c r="S684">
        <f t="shared" si="64"/>
        <v>0</v>
      </c>
      <c r="T684">
        <f t="shared" si="65"/>
        <v>0</v>
      </c>
      <c r="U684">
        <f t="shared" si="66"/>
        <v>0</v>
      </c>
    </row>
    <row r="685" spans="2:21">
      <c r="B685" s="102">
        <v>45097</v>
      </c>
      <c r="C685">
        <v>2</v>
      </c>
      <c r="D685" t="s">
        <v>120</v>
      </c>
      <c r="E685" t="s">
        <v>121</v>
      </c>
      <c r="F685" t="s">
        <v>121</v>
      </c>
      <c r="G685" t="s">
        <v>121</v>
      </c>
      <c r="H685" t="s">
        <v>121</v>
      </c>
      <c r="I685" t="s">
        <v>121</v>
      </c>
      <c r="P685">
        <f t="shared" si="61"/>
        <v>1</v>
      </c>
      <c r="Q685">
        <f t="shared" si="62"/>
        <v>0</v>
      </c>
      <c r="R685">
        <f t="shared" si="63"/>
        <v>0</v>
      </c>
      <c r="S685">
        <f t="shared" si="64"/>
        <v>0</v>
      </c>
      <c r="T685">
        <f t="shared" si="65"/>
        <v>0</v>
      </c>
      <c r="U685">
        <f t="shared" si="66"/>
        <v>0</v>
      </c>
    </row>
    <row r="686" spans="2:21">
      <c r="B686" s="102">
        <v>45098</v>
      </c>
      <c r="C686">
        <v>2.5</v>
      </c>
      <c r="D686" t="s">
        <v>121</v>
      </c>
      <c r="E686" t="s">
        <v>121</v>
      </c>
      <c r="F686" t="s">
        <v>121</v>
      </c>
      <c r="G686" t="s">
        <v>121</v>
      </c>
      <c r="H686" t="s">
        <v>121</v>
      </c>
      <c r="I686" t="s">
        <v>121</v>
      </c>
      <c r="P686">
        <f t="shared" si="61"/>
        <v>0</v>
      </c>
      <c r="Q686">
        <f t="shared" si="62"/>
        <v>0</v>
      </c>
      <c r="R686">
        <f t="shared" si="63"/>
        <v>0</v>
      </c>
      <c r="S686">
        <f t="shared" si="64"/>
        <v>0</v>
      </c>
      <c r="T686">
        <f t="shared" si="65"/>
        <v>0</v>
      </c>
      <c r="U686">
        <f t="shared" si="66"/>
        <v>0</v>
      </c>
    </row>
    <row r="687" spans="2:21">
      <c r="B687" s="102">
        <v>45099</v>
      </c>
      <c r="C687">
        <v>1.5</v>
      </c>
      <c r="D687" t="s">
        <v>121</v>
      </c>
      <c r="E687" t="s">
        <v>121</v>
      </c>
      <c r="F687" t="s">
        <v>121</v>
      </c>
      <c r="G687" t="s">
        <v>121</v>
      </c>
      <c r="H687" t="s">
        <v>121</v>
      </c>
      <c r="I687" t="s">
        <v>121</v>
      </c>
      <c r="P687">
        <f t="shared" si="61"/>
        <v>0</v>
      </c>
      <c r="Q687">
        <f t="shared" si="62"/>
        <v>0</v>
      </c>
      <c r="R687">
        <f t="shared" si="63"/>
        <v>0</v>
      </c>
      <c r="S687">
        <f t="shared" si="64"/>
        <v>0</v>
      </c>
      <c r="T687">
        <f t="shared" si="65"/>
        <v>0</v>
      </c>
      <c r="U687">
        <f t="shared" si="66"/>
        <v>0</v>
      </c>
    </row>
    <row r="688" spans="2:21">
      <c r="B688" s="102">
        <v>45100</v>
      </c>
      <c r="C688">
        <v>2.5</v>
      </c>
      <c r="D688" t="s">
        <v>121</v>
      </c>
      <c r="E688" t="s">
        <v>121</v>
      </c>
      <c r="F688" t="s">
        <v>121</v>
      </c>
      <c r="G688" t="s">
        <v>121</v>
      </c>
      <c r="H688" t="s">
        <v>121</v>
      </c>
      <c r="I688" t="s">
        <v>121</v>
      </c>
      <c r="P688">
        <f t="shared" si="61"/>
        <v>0</v>
      </c>
      <c r="Q688">
        <f t="shared" si="62"/>
        <v>0</v>
      </c>
      <c r="R688">
        <f t="shared" si="63"/>
        <v>0</v>
      </c>
      <c r="S688">
        <f t="shared" si="64"/>
        <v>0</v>
      </c>
      <c r="T688">
        <f t="shared" si="65"/>
        <v>0</v>
      </c>
      <c r="U688">
        <f t="shared" si="66"/>
        <v>0</v>
      </c>
    </row>
    <row r="689" spans="2:21">
      <c r="B689" s="102">
        <v>45101</v>
      </c>
      <c r="C689">
        <v>3</v>
      </c>
      <c r="D689" t="s">
        <v>120</v>
      </c>
      <c r="E689" t="s">
        <v>121</v>
      </c>
      <c r="F689" t="s">
        <v>121</v>
      </c>
      <c r="G689" t="s">
        <v>121</v>
      </c>
      <c r="H689" t="s">
        <v>121</v>
      </c>
      <c r="I689" t="s">
        <v>121</v>
      </c>
      <c r="P689">
        <f t="shared" si="61"/>
        <v>1</v>
      </c>
      <c r="Q689">
        <f t="shared" si="62"/>
        <v>0</v>
      </c>
      <c r="R689">
        <f t="shared" si="63"/>
        <v>0</v>
      </c>
      <c r="S689">
        <f t="shared" si="64"/>
        <v>0</v>
      </c>
      <c r="T689">
        <f t="shared" si="65"/>
        <v>0</v>
      </c>
      <c r="U689">
        <f t="shared" si="66"/>
        <v>0</v>
      </c>
    </row>
    <row r="690" spans="2:21">
      <c r="B690" s="102">
        <v>45102</v>
      </c>
      <c r="C690">
        <v>1.5</v>
      </c>
      <c r="D690" t="s">
        <v>121</v>
      </c>
      <c r="E690" t="s">
        <v>121</v>
      </c>
      <c r="F690" t="s">
        <v>121</v>
      </c>
      <c r="G690" t="s">
        <v>121</v>
      </c>
      <c r="H690" t="s">
        <v>121</v>
      </c>
      <c r="I690" t="s">
        <v>121</v>
      </c>
      <c r="P690">
        <f t="shared" si="61"/>
        <v>0</v>
      </c>
      <c r="Q690">
        <f t="shared" si="62"/>
        <v>0</v>
      </c>
      <c r="R690">
        <f t="shared" si="63"/>
        <v>0</v>
      </c>
      <c r="S690">
        <f t="shared" si="64"/>
        <v>0</v>
      </c>
      <c r="T690">
        <f t="shared" si="65"/>
        <v>0</v>
      </c>
      <c r="U690">
        <f t="shared" si="66"/>
        <v>0</v>
      </c>
    </row>
    <row r="691" spans="2:21">
      <c r="B691" s="102">
        <v>45103</v>
      </c>
      <c r="C691">
        <v>2.5</v>
      </c>
      <c r="D691" t="s">
        <v>120</v>
      </c>
      <c r="E691" t="s">
        <v>121</v>
      </c>
      <c r="F691" t="s">
        <v>121</v>
      </c>
      <c r="G691" t="s">
        <v>121</v>
      </c>
      <c r="H691" t="s">
        <v>121</v>
      </c>
      <c r="I691" t="s">
        <v>121</v>
      </c>
      <c r="P691">
        <f t="shared" si="61"/>
        <v>1</v>
      </c>
      <c r="Q691">
        <f t="shared" si="62"/>
        <v>0</v>
      </c>
      <c r="R691">
        <f t="shared" si="63"/>
        <v>0</v>
      </c>
      <c r="S691">
        <f t="shared" si="64"/>
        <v>0</v>
      </c>
      <c r="T691">
        <f t="shared" si="65"/>
        <v>0</v>
      </c>
      <c r="U691">
        <f t="shared" si="66"/>
        <v>0</v>
      </c>
    </row>
    <row r="692" spans="2:21">
      <c r="B692" s="102">
        <v>45104</v>
      </c>
      <c r="C692">
        <v>2.5</v>
      </c>
      <c r="D692" t="s">
        <v>121</v>
      </c>
      <c r="E692" t="s">
        <v>121</v>
      </c>
      <c r="F692" t="s">
        <v>121</v>
      </c>
      <c r="G692" t="s">
        <v>121</v>
      </c>
      <c r="H692" t="s">
        <v>121</v>
      </c>
      <c r="I692" t="s">
        <v>121</v>
      </c>
      <c r="P692">
        <f t="shared" si="61"/>
        <v>0</v>
      </c>
      <c r="Q692">
        <f t="shared" si="62"/>
        <v>0</v>
      </c>
      <c r="R692">
        <f t="shared" si="63"/>
        <v>0</v>
      </c>
      <c r="S692">
        <f t="shared" si="64"/>
        <v>0</v>
      </c>
      <c r="T692">
        <f t="shared" si="65"/>
        <v>0</v>
      </c>
      <c r="U692">
        <f t="shared" si="66"/>
        <v>0</v>
      </c>
    </row>
    <row r="693" spans="2:21">
      <c r="B693" s="102">
        <v>45105</v>
      </c>
      <c r="C693">
        <v>2.5</v>
      </c>
      <c r="D693" t="s">
        <v>120</v>
      </c>
      <c r="E693" t="s">
        <v>121</v>
      </c>
      <c r="F693" t="s">
        <v>121</v>
      </c>
      <c r="G693" t="s">
        <v>121</v>
      </c>
      <c r="H693" t="s">
        <v>121</v>
      </c>
      <c r="I693" t="s">
        <v>121</v>
      </c>
      <c r="P693">
        <f t="shared" si="61"/>
        <v>1</v>
      </c>
      <c r="Q693">
        <f t="shared" si="62"/>
        <v>0</v>
      </c>
      <c r="R693">
        <f t="shared" si="63"/>
        <v>0</v>
      </c>
      <c r="S693">
        <f t="shared" si="64"/>
        <v>0</v>
      </c>
      <c r="T693">
        <f t="shared" si="65"/>
        <v>0</v>
      </c>
      <c r="U693">
        <f t="shared" si="66"/>
        <v>0</v>
      </c>
    </row>
    <row r="694" spans="2:21">
      <c r="B694" s="102">
        <v>45106</v>
      </c>
      <c r="C694">
        <v>2.5</v>
      </c>
      <c r="D694" t="s">
        <v>121</v>
      </c>
      <c r="E694" t="s">
        <v>121</v>
      </c>
      <c r="F694" t="s">
        <v>121</v>
      </c>
      <c r="G694" t="s">
        <v>121</v>
      </c>
      <c r="H694" t="s">
        <v>121</v>
      </c>
      <c r="I694" t="s">
        <v>121</v>
      </c>
      <c r="P694">
        <f t="shared" si="61"/>
        <v>0</v>
      </c>
      <c r="Q694">
        <f t="shared" si="62"/>
        <v>0</v>
      </c>
      <c r="R694">
        <f t="shared" si="63"/>
        <v>0</v>
      </c>
      <c r="S694">
        <f t="shared" si="64"/>
        <v>0</v>
      </c>
      <c r="T694">
        <f t="shared" si="65"/>
        <v>0</v>
      </c>
      <c r="U694">
        <f t="shared" si="66"/>
        <v>0</v>
      </c>
    </row>
    <row r="695" spans="2:21">
      <c r="B695" s="102">
        <v>45107</v>
      </c>
      <c r="C695">
        <v>3</v>
      </c>
      <c r="D695" t="s">
        <v>120</v>
      </c>
      <c r="E695" t="s">
        <v>120</v>
      </c>
      <c r="F695" t="s">
        <v>121</v>
      </c>
      <c r="G695" t="s">
        <v>120</v>
      </c>
      <c r="H695" t="s">
        <v>121</v>
      </c>
      <c r="I695" t="s">
        <v>121</v>
      </c>
      <c r="P695">
        <f t="shared" si="61"/>
        <v>1</v>
      </c>
      <c r="Q695">
        <f t="shared" si="62"/>
        <v>1</v>
      </c>
      <c r="R695">
        <f t="shared" si="63"/>
        <v>0</v>
      </c>
      <c r="S695">
        <f t="shared" si="64"/>
        <v>1</v>
      </c>
      <c r="T695">
        <f t="shared" si="65"/>
        <v>0</v>
      </c>
      <c r="U695">
        <f t="shared" si="66"/>
        <v>0</v>
      </c>
    </row>
    <row r="696" spans="2:21">
      <c r="B696" s="102">
        <v>45108</v>
      </c>
      <c r="C696">
        <v>2.5</v>
      </c>
      <c r="D696" t="s">
        <v>121</v>
      </c>
      <c r="E696" t="s">
        <v>121</v>
      </c>
      <c r="F696" t="s">
        <v>121</v>
      </c>
      <c r="G696" t="s">
        <v>121</v>
      </c>
      <c r="H696" t="s">
        <v>121</v>
      </c>
      <c r="I696" t="s">
        <v>121</v>
      </c>
      <c r="P696">
        <f t="shared" si="61"/>
        <v>0</v>
      </c>
      <c r="Q696">
        <f t="shared" si="62"/>
        <v>0</v>
      </c>
      <c r="R696">
        <f t="shared" si="63"/>
        <v>0</v>
      </c>
      <c r="S696">
        <f t="shared" si="64"/>
        <v>0</v>
      </c>
      <c r="T696">
        <f t="shared" si="65"/>
        <v>0</v>
      </c>
      <c r="U696">
        <f t="shared" si="66"/>
        <v>0</v>
      </c>
    </row>
    <row r="697" spans="2:21">
      <c r="B697" s="102">
        <v>45109</v>
      </c>
      <c r="C697">
        <v>2</v>
      </c>
      <c r="D697" t="s">
        <v>121</v>
      </c>
      <c r="E697" t="s">
        <v>121</v>
      </c>
      <c r="F697" t="s">
        <v>121</v>
      </c>
      <c r="G697" t="s">
        <v>121</v>
      </c>
      <c r="H697" t="s">
        <v>121</v>
      </c>
      <c r="I697" t="s">
        <v>121</v>
      </c>
      <c r="K697">
        <v>174.4</v>
      </c>
      <c r="P697">
        <f t="shared" si="61"/>
        <v>0</v>
      </c>
      <c r="Q697">
        <f t="shared" si="62"/>
        <v>0</v>
      </c>
      <c r="R697">
        <f t="shared" si="63"/>
        <v>0</v>
      </c>
      <c r="S697">
        <f t="shared" si="64"/>
        <v>0</v>
      </c>
      <c r="T697">
        <f t="shared" si="65"/>
        <v>0</v>
      </c>
      <c r="U697">
        <f t="shared" si="66"/>
        <v>0</v>
      </c>
    </row>
    <row r="698" spans="2:21">
      <c r="B698" s="102">
        <v>45110</v>
      </c>
      <c r="C698">
        <v>2</v>
      </c>
      <c r="D698" t="s">
        <v>120</v>
      </c>
      <c r="E698" t="s">
        <v>121</v>
      </c>
      <c r="F698" t="s">
        <v>121</v>
      </c>
      <c r="G698" t="s">
        <v>121</v>
      </c>
      <c r="H698" t="s">
        <v>121</v>
      </c>
      <c r="I698" t="s">
        <v>121</v>
      </c>
      <c r="P698">
        <f t="shared" si="61"/>
        <v>1</v>
      </c>
      <c r="Q698">
        <f t="shared" si="62"/>
        <v>0</v>
      </c>
      <c r="R698">
        <f t="shared" si="63"/>
        <v>0</v>
      </c>
      <c r="S698">
        <f t="shared" si="64"/>
        <v>0</v>
      </c>
      <c r="T698">
        <f t="shared" si="65"/>
        <v>0</v>
      </c>
      <c r="U698">
        <f t="shared" si="66"/>
        <v>0</v>
      </c>
    </row>
    <row r="699" spans="2:21">
      <c r="B699" s="102">
        <v>45111</v>
      </c>
      <c r="C699">
        <v>2</v>
      </c>
      <c r="D699" t="s">
        <v>121</v>
      </c>
      <c r="E699" t="s">
        <v>121</v>
      </c>
      <c r="F699" t="s">
        <v>121</v>
      </c>
      <c r="G699" t="s">
        <v>121</v>
      </c>
      <c r="H699" t="s">
        <v>121</v>
      </c>
      <c r="I699" t="s">
        <v>121</v>
      </c>
      <c r="P699">
        <f t="shared" si="61"/>
        <v>0</v>
      </c>
      <c r="Q699">
        <f t="shared" si="62"/>
        <v>0</v>
      </c>
      <c r="R699">
        <f t="shared" si="63"/>
        <v>0</v>
      </c>
      <c r="S699">
        <f t="shared" si="64"/>
        <v>0</v>
      </c>
      <c r="T699">
        <f t="shared" si="65"/>
        <v>0</v>
      </c>
      <c r="U699">
        <f t="shared" si="66"/>
        <v>0</v>
      </c>
    </row>
    <row r="700" spans="2:21">
      <c r="B700" s="102">
        <v>45112</v>
      </c>
      <c r="C700">
        <v>1.5</v>
      </c>
      <c r="D700" t="s">
        <v>121</v>
      </c>
      <c r="E700" t="s">
        <v>121</v>
      </c>
      <c r="F700" t="s">
        <v>120</v>
      </c>
      <c r="G700" t="s">
        <v>121</v>
      </c>
      <c r="H700" t="s">
        <v>121</v>
      </c>
      <c r="I700" t="s">
        <v>121</v>
      </c>
      <c r="P700">
        <f t="shared" si="61"/>
        <v>0</v>
      </c>
      <c r="Q700">
        <f t="shared" si="62"/>
        <v>0</v>
      </c>
      <c r="R700">
        <f t="shared" si="63"/>
        <v>1</v>
      </c>
      <c r="S700">
        <f t="shared" si="64"/>
        <v>0</v>
      </c>
      <c r="T700">
        <f t="shared" si="65"/>
        <v>0</v>
      </c>
      <c r="U700">
        <f t="shared" si="66"/>
        <v>0</v>
      </c>
    </row>
    <row r="701" spans="2:21">
      <c r="B701" s="102">
        <v>45113</v>
      </c>
      <c r="C701">
        <v>2</v>
      </c>
      <c r="D701" t="s">
        <v>121</v>
      </c>
      <c r="E701" t="s">
        <v>120</v>
      </c>
      <c r="F701" t="s">
        <v>121</v>
      </c>
      <c r="G701" t="s">
        <v>121</v>
      </c>
      <c r="H701" t="s">
        <v>121</v>
      </c>
      <c r="I701" t="s">
        <v>120</v>
      </c>
      <c r="P701">
        <f t="shared" si="61"/>
        <v>0</v>
      </c>
      <c r="Q701">
        <f t="shared" si="62"/>
        <v>1</v>
      </c>
      <c r="R701">
        <f t="shared" si="63"/>
        <v>0</v>
      </c>
      <c r="S701">
        <f t="shared" si="64"/>
        <v>0</v>
      </c>
      <c r="T701">
        <f t="shared" si="65"/>
        <v>0</v>
      </c>
      <c r="U701">
        <f t="shared" si="66"/>
        <v>1</v>
      </c>
    </row>
    <row r="702" spans="2:21">
      <c r="B702" s="102">
        <v>45114</v>
      </c>
      <c r="C702">
        <v>2.5</v>
      </c>
      <c r="D702" t="s">
        <v>120</v>
      </c>
      <c r="E702" t="s">
        <v>121</v>
      </c>
      <c r="F702" t="s">
        <v>121</v>
      </c>
      <c r="G702" t="s">
        <v>121</v>
      </c>
      <c r="H702" t="s">
        <v>121</v>
      </c>
      <c r="I702" t="s">
        <v>121</v>
      </c>
      <c r="P702">
        <f t="shared" si="61"/>
        <v>1</v>
      </c>
      <c r="Q702">
        <f t="shared" si="62"/>
        <v>0</v>
      </c>
      <c r="R702">
        <f t="shared" si="63"/>
        <v>0</v>
      </c>
      <c r="S702">
        <f t="shared" si="64"/>
        <v>0</v>
      </c>
      <c r="T702">
        <f t="shared" si="65"/>
        <v>0</v>
      </c>
      <c r="U702">
        <f t="shared" si="66"/>
        <v>0</v>
      </c>
    </row>
    <row r="703" spans="2:21">
      <c r="B703" s="102">
        <v>45115</v>
      </c>
      <c r="C703">
        <v>1.5</v>
      </c>
      <c r="D703" t="s">
        <v>121</v>
      </c>
      <c r="E703" t="s">
        <v>121</v>
      </c>
      <c r="F703" t="s">
        <v>121</v>
      </c>
      <c r="G703" t="s">
        <v>121</v>
      </c>
      <c r="H703" t="s">
        <v>121</v>
      </c>
      <c r="I703" t="s">
        <v>121</v>
      </c>
      <c r="P703">
        <f t="shared" si="61"/>
        <v>0</v>
      </c>
      <c r="Q703">
        <f t="shared" si="62"/>
        <v>0</v>
      </c>
      <c r="R703">
        <f t="shared" si="63"/>
        <v>0</v>
      </c>
      <c r="S703">
        <f t="shared" si="64"/>
        <v>0</v>
      </c>
      <c r="T703">
        <f t="shared" si="65"/>
        <v>0</v>
      </c>
      <c r="U703">
        <f t="shared" si="66"/>
        <v>0</v>
      </c>
    </row>
    <row r="704" spans="2:21">
      <c r="B704" s="102">
        <v>45116</v>
      </c>
      <c r="C704">
        <v>3</v>
      </c>
      <c r="D704" t="s">
        <v>121</v>
      </c>
      <c r="E704" t="s">
        <v>121</v>
      </c>
      <c r="F704" t="s">
        <v>121</v>
      </c>
      <c r="G704" t="s">
        <v>121</v>
      </c>
      <c r="H704" t="s">
        <v>121</v>
      </c>
      <c r="I704" t="s">
        <v>121</v>
      </c>
      <c r="P704">
        <f t="shared" si="61"/>
        <v>0</v>
      </c>
      <c r="Q704">
        <f t="shared" si="62"/>
        <v>0</v>
      </c>
      <c r="R704">
        <f t="shared" si="63"/>
        <v>0</v>
      </c>
      <c r="S704">
        <f t="shared" si="64"/>
        <v>0</v>
      </c>
      <c r="T704">
        <f t="shared" si="65"/>
        <v>0</v>
      </c>
      <c r="U704">
        <f t="shared" si="66"/>
        <v>0</v>
      </c>
    </row>
    <row r="705" spans="2:21">
      <c r="B705" s="102">
        <v>45117</v>
      </c>
      <c r="C705">
        <v>2.5</v>
      </c>
      <c r="D705" t="s">
        <v>120</v>
      </c>
      <c r="E705" t="s">
        <v>121</v>
      </c>
      <c r="F705" t="s">
        <v>121</v>
      </c>
      <c r="G705" t="s">
        <v>121</v>
      </c>
      <c r="H705" t="s">
        <v>121</v>
      </c>
      <c r="I705" t="s">
        <v>121</v>
      </c>
      <c r="P705">
        <f t="shared" si="61"/>
        <v>1</v>
      </c>
      <c r="Q705">
        <f t="shared" si="62"/>
        <v>0</v>
      </c>
      <c r="R705">
        <f t="shared" si="63"/>
        <v>0</v>
      </c>
      <c r="S705">
        <f t="shared" si="64"/>
        <v>0</v>
      </c>
      <c r="T705">
        <f t="shared" si="65"/>
        <v>0</v>
      </c>
      <c r="U705">
        <f t="shared" si="66"/>
        <v>0</v>
      </c>
    </row>
    <row r="706" spans="2:21">
      <c r="B706" s="102">
        <v>45118</v>
      </c>
      <c r="C706">
        <v>2</v>
      </c>
      <c r="D706" t="s">
        <v>121</v>
      </c>
      <c r="E706" t="s">
        <v>121</v>
      </c>
      <c r="F706" t="s">
        <v>121</v>
      </c>
      <c r="G706" t="s">
        <v>121</v>
      </c>
      <c r="H706" t="s">
        <v>121</v>
      </c>
      <c r="I706" t="s">
        <v>121</v>
      </c>
      <c r="P706">
        <f t="shared" si="61"/>
        <v>0</v>
      </c>
      <c r="Q706">
        <f t="shared" si="62"/>
        <v>0</v>
      </c>
      <c r="R706">
        <f t="shared" si="63"/>
        <v>0</v>
      </c>
      <c r="S706">
        <f t="shared" si="64"/>
        <v>0</v>
      </c>
      <c r="T706">
        <f t="shared" si="65"/>
        <v>0</v>
      </c>
      <c r="U706">
        <f t="shared" si="66"/>
        <v>0</v>
      </c>
    </row>
    <row r="707" spans="2:21">
      <c r="B707" s="102">
        <v>45119</v>
      </c>
      <c r="C707">
        <v>2.5</v>
      </c>
      <c r="D707" t="s">
        <v>120</v>
      </c>
      <c r="E707" t="s">
        <v>121</v>
      </c>
      <c r="F707" t="s">
        <v>121</v>
      </c>
      <c r="G707" t="s">
        <v>121</v>
      </c>
      <c r="H707" t="s">
        <v>121</v>
      </c>
      <c r="I707" t="s">
        <v>121</v>
      </c>
      <c r="P707">
        <f t="shared" ref="P707:P770" si="67">IF(D707="YES", 1, 0)</f>
        <v>1</v>
      </c>
      <c r="Q707">
        <f t="shared" ref="Q707:Q770" si="68">IF(E707="YES", 1, 0)</f>
        <v>0</v>
      </c>
      <c r="R707">
        <f t="shared" ref="R707:R770" si="69">IF(F707="YES", 1, 0)</f>
        <v>0</v>
      </c>
      <c r="S707">
        <f t="shared" ref="S707:S770" si="70">IF(G707="YES", 1, 0)</f>
        <v>0</v>
      </c>
      <c r="T707">
        <f t="shared" ref="T707:T770" si="71">IF(H707="YES", 1, 0)</f>
        <v>0</v>
      </c>
      <c r="U707">
        <f t="shared" ref="U707:U770" si="72">IF(I707="YES", 1, 0)</f>
        <v>0</v>
      </c>
    </row>
    <row r="708" spans="2:21">
      <c r="B708" s="102">
        <v>45120</v>
      </c>
      <c r="C708">
        <v>2.5</v>
      </c>
      <c r="D708" t="s">
        <v>120</v>
      </c>
      <c r="E708" t="s">
        <v>121</v>
      </c>
      <c r="F708" t="s">
        <v>211</v>
      </c>
      <c r="G708" t="s">
        <v>121</v>
      </c>
      <c r="H708" t="s">
        <v>121</v>
      </c>
      <c r="I708" t="s">
        <v>121</v>
      </c>
      <c r="P708">
        <f t="shared" si="67"/>
        <v>1</v>
      </c>
      <c r="Q708">
        <f t="shared" si="68"/>
        <v>0</v>
      </c>
      <c r="R708">
        <f t="shared" si="69"/>
        <v>0</v>
      </c>
      <c r="S708">
        <f t="shared" si="70"/>
        <v>0</v>
      </c>
      <c r="T708">
        <f t="shared" si="71"/>
        <v>0</v>
      </c>
      <c r="U708">
        <f t="shared" si="72"/>
        <v>0</v>
      </c>
    </row>
    <row r="709" spans="2:21">
      <c r="B709" s="102">
        <v>45121</v>
      </c>
      <c r="C709">
        <v>3</v>
      </c>
      <c r="D709" t="s">
        <v>120</v>
      </c>
      <c r="E709" t="s">
        <v>121</v>
      </c>
      <c r="F709" t="s">
        <v>211</v>
      </c>
      <c r="G709" t="s">
        <v>121</v>
      </c>
      <c r="H709" t="s">
        <v>121</v>
      </c>
      <c r="I709" t="s">
        <v>121</v>
      </c>
      <c r="P709">
        <f t="shared" si="67"/>
        <v>1</v>
      </c>
      <c r="Q709">
        <f t="shared" si="68"/>
        <v>0</v>
      </c>
      <c r="R709">
        <f t="shared" si="69"/>
        <v>0</v>
      </c>
      <c r="S709">
        <f t="shared" si="70"/>
        <v>0</v>
      </c>
      <c r="T709">
        <f t="shared" si="71"/>
        <v>0</v>
      </c>
      <c r="U709">
        <f t="shared" si="72"/>
        <v>0</v>
      </c>
    </row>
    <row r="710" spans="2:21">
      <c r="B710" s="102">
        <v>45122</v>
      </c>
      <c r="C710">
        <v>2.5</v>
      </c>
      <c r="D710" t="s">
        <v>121</v>
      </c>
      <c r="E710" t="s">
        <v>121</v>
      </c>
      <c r="F710" t="s">
        <v>121</v>
      </c>
      <c r="G710" t="s">
        <v>120</v>
      </c>
      <c r="H710" t="s">
        <v>121</v>
      </c>
      <c r="I710" t="s">
        <v>121</v>
      </c>
      <c r="P710">
        <f t="shared" si="67"/>
        <v>0</v>
      </c>
      <c r="Q710">
        <f t="shared" si="68"/>
        <v>0</v>
      </c>
      <c r="R710">
        <f t="shared" si="69"/>
        <v>0</v>
      </c>
      <c r="S710">
        <f t="shared" si="70"/>
        <v>1</v>
      </c>
      <c r="T710">
        <f t="shared" si="71"/>
        <v>0</v>
      </c>
      <c r="U710">
        <f t="shared" si="72"/>
        <v>0</v>
      </c>
    </row>
    <row r="711" spans="2:21">
      <c r="B711" s="102">
        <v>45123</v>
      </c>
      <c r="C711">
        <v>2.5</v>
      </c>
      <c r="D711" t="s">
        <v>120</v>
      </c>
      <c r="E711" t="s">
        <v>121</v>
      </c>
      <c r="F711" t="s">
        <v>121</v>
      </c>
      <c r="G711" t="s">
        <v>121</v>
      </c>
      <c r="H711" t="s">
        <v>121</v>
      </c>
      <c r="I711" t="s">
        <v>121</v>
      </c>
      <c r="K711">
        <v>169</v>
      </c>
      <c r="P711">
        <f t="shared" si="67"/>
        <v>1</v>
      </c>
      <c r="Q711">
        <f t="shared" si="68"/>
        <v>0</v>
      </c>
      <c r="R711">
        <f t="shared" si="69"/>
        <v>0</v>
      </c>
      <c r="S711">
        <f t="shared" si="70"/>
        <v>0</v>
      </c>
      <c r="T711">
        <f t="shared" si="71"/>
        <v>0</v>
      </c>
      <c r="U711">
        <f t="shared" si="72"/>
        <v>0</v>
      </c>
    </row>
    <row r="712" spans="2:21">
      <c r="B712" s="102">
        <v>45124</v>
      </c>
      <c r="C712">
        <v>2</v>
      </c>
      <c r="D712" t="s">
        <v>120</v>
      </c>
      <c r="E712" t="s">
        <v>120</v>
      </c>
      <c r="F712" t="s">
        <v>121</v>
      </c>
      <c r="G712" t="s">
        <v>121</v>
      </c>
      <c r="H712" t="s">
        <v>121</v>
      </c>
      <c r="I712" t="s">
        <v>121</v>
      </c>
      <c r="P712">
        <f t="shared" si="67"/>
        <v>1</v>
      </c>
      <c r="Q712">
        <f t="shared" si="68"/>
        <v>1</v>
      </c>
      <c r="R712">
        <f t="shared" si="69"/>
        <v>0</v>
      </c>
      <c r="S712">
        <f t="shared" si="70"/>
        <v>0</v>
      </c>
      <c r="T712">
        <f t="shared" si="71"/>
        <v>0</v>
      </c>
      <c r="U712">
        <f t="shared" si="72"/>
        <v>0</v>
      </c>
    </row>
    <row r="713" spans="2:21">
      <c r="B713" s="102">
        <v>45125</v>
      </c>
      <c r="C713">
        <v>2</v>
      </c>
      <c r="D713" t="s">
        <v>120</v>
      </c>
      <c r="E713" t="s">
        <v>121</v>
      </c>
      <c r="F713" t="s">
        <v>121</v>
      </c>
      <c r="G713" t="s">
        <v>121</v>
      </c>
      <c r="H713" t="s">
        <v>121</v>
      </c>
      <c r="I713" t="s">
        <v>121</v>
      </c>
      <c r="P713">
        <f t="shared" si="67"/>
        <v>1</v>
      </c>
      <c r="Q713">
        <f t="shared" si="68"/>
        <v>0</v>
      </c>
      <c r="R713">
        <f t="shared" si="69"/>
        <v>0</v>
      </c>
      <c r="S713">
        <f t="shared" si="70"/>
        <v>0</v>
      </c>
      <c r="T713">
        <f t="shared" si="71"/>
        <v>0</v>
      </c>
      <c r="U713">
        <f t="shared" si="72"/>
        <v>0</v>
      </c>
    </row>
    <row r="714" spans="2:21">
      <c r="B714" s="102">
        <v>45126</v>
      </c>
      <c r="C714">
        <v>2.5</v>
      </c>
      <c r="D714" t="s">
        <v>120</v>
      </c>
      <c r="E714" t="s">
        <v>121</v>
      </c>
      <c r="F714" t="s">
        <v>121</v>
      </c>
      <c r="G714" t="s">
        <v>121</v>
      </c>
      <c r="H714" t="s">
        <v>121</v>
      </c>
      <c r="I714" t="s">
        <v>121</v>
      </c>
      <c r="P714">
        <f t="shared" si="67"/>
        <v>1</v>
      </c>
      <c r="Q714">
        <f t="shared" si="68"/>
        <v>0</v>
      </c>
      <c r="R714">
        <f t="shared" si="69"/>
        <v>0</v>
      </c>
      <c r="S714">
        <f t="shared" si="70"/>
        <v>0</v>
      </c>
      <c r="T714">
        <f t="shared" si="71"/>
        <v>0</v>
      </c>
      <c r="U714">
        <f t="shared" si="72"/>
        <v>0</v>
      </c>
    </row>
    <row r="715" spans="2:21">
      <c r="B715" s="102">
        <v>45127</v>
      </c>
      <c r="C715">
        <v>2.5</v>
      </c>
      <c r="D715" t="s">
        <v>120</v>
      </c>
      <c r="E715" t="s">
        <v>121</v>
      </c>
      <c r="F715" t="s">
        <v>121</v>
      </c>
      <c r="G715" t="s">
        <v>121</v>
      </c>
      <c r="H715" t="s">
        <v>121</v>
      </c>
      <c r="I715" t="s">
        <v>121</v>
      </c>
      <c r="P715">
        <f t="shared" si="67"/>
        <v>1</v>
      </c>
      <c r="Q715">
        <f t="shared" si="68"/>
        <v>0</v>
      </c>
      <c r="R715">
        <f t="shared" si="69"/>
        <v>0</v>
      </c>
      <c r="S715">
        <f t="shared" si="70"/>
        <v>0</v>
      </c>
      <c r="T715">
        <f t="shared" si="71"/>
        <v>0</v>
      </c>
      <c r="U715">
        <f t="shared" si="72"/>
        <v>0</v>
      </c>
    </row>
    <row r="716" spans="2:21">
      <c r="B716" s="102">
        <v>45128</v>
      </c>
      <c r="C716">
        <v>2</v>
      </c>
      <c r="D716" t="s">
        <v>120</v>
      </c>
      <c r="E716" t="s">
        <v>121</v>
      </c>
      <c r="F716" t="s">
        <v>121</v>
      </c>
      <c r="G716" t="s">
        <v>121</v>
      </c>
      <c r="H716" t="s">
        <v>121</v>
      </c>
      <c r="I716" t="s">
        <v>121</v>
      </c>
      <c r="P716">
        <f t="shared" si="67"/>
        <v>1</v>
      </c>
      <c r="Q716">
        <f t="shared" si="68"/>
        <v>0</v>
      </c>
      <c r="R716">
        <f t="shared" si="69"/>
        <v>0</v>
      </c>
      <c r="S716">
        <f t="shared" si="70"/>
        <v>0</v>
      </c>
      <c r="T716">
        <f t="shared" si="71"/>
        <v>0</v>
      </c>
      <c r="U716">
        <f t="shared" si="72"/>
        <v>0</v>
      </c>
    </row>
    <row r="717" spans="2:21">
      <c r="B717" s="102">
        <v>45129</v>
      </c>
      <c r="C717">
        <v>2.5</v>
      </c>
      <c r="D717" t="s">
        <v>121</v>
      </c>
      <c r="E717" t="s">
        <v>121</v>
      </c>
      <c r="F717" t="s">
        <v>121</v>
      </c>
      <c r="G717" t="s">
        <v>121</v>
      </c>
      <c r="H717" t="s">
        <v>121</v>
      </c>
      <c r="I717" t="s">
        <v>121</v>
      </c>
      <c r="P717">
        <f t="shared" si="67"/>
        <v>0</v>
      </c>
      <c r="Q717">
        <f t="shared" si="68"/>
        <v>0</v>
      </c>
      <c r="R717">
        <f t="shared" si="69"/>
        <v>0</v>
      </c>
      <c r="S717">
        <f t="shared" si="70"/>
        <v>0</v>
      </c>
      <c r="T717">
        <f t="shared" si="71"/>
        <v>0</v>
      </c>
      <c r="U717">
        <f t="shared" si="72"/>
        <v>0</v>
      </c>
    </row>
    <row r="718" spans="2:21">
      <c r="B718" s="102">
        <v>45130</v>
      </c>
      <c r="C718">
        <v>2.5</v>
      </c>
      <c r="D718" t="s">
        <v>121</v>
      </c>
      <c r="E718" t="s">
        <v>121</v>
      </c>
      <c r="F718" t="s">
        <v>121</v>
      </c>
      <c r="G718" t="s">
        <v>121</v>
      </c>
      <c r="H718" t="s">
        <v>121</v>
      </c>
      <c r="I718" t="s">
        <v>121</v>
      </c>
      <c r="K718">
        <v>165.4</v>
      </c>
      <c r="P718">
        <f t="shared" si="67"/>
        <v>0</v>
      </c>
      <c r="Q718">
        <f t="shared" si="68"/>
        <v>0</v>
      </c>
      <c r="R718">
        <f t="shared" si="69"/>
        <v>0</v>
      </c>
      <c r="S718">
        <f t="shared" si="70"/>
        <v>0</v>
      </c>
      <c r="T718">
        <f t="shared" si="71"/>
        <v>0</v>
      </c>
      <c r="U718">
        <f t="shared" si="72"/>
        <v>0</v>
      </c>
    </row>
    <row r="719" spans="2:21">
      <c r="B719" s="102">
        <v>45131</v>
      </c>
      <c r="C719">
        <v>2.5</v>
      </c>
      <c r="D719" t="s">
        <v>120</v>
      </c>
      <c r="E719" t="s">
        <v>120</v>
      </c>
      <c r="F719" t="s">
        <v>121</v>
      </c>
      <c r="G719" t="s">
        <v>121</v>
      </c>
      <c r="H719" t="s">
        <v>121</v>
      </c>
      <c r="I719" t="s">
        <v>121</v>
      </c>
      <c r="P719">
        <f t="shared" si="67"/>
        <v>1</v>
      </c>
      <c r="Q719">
        <f t="shared" si="68"/>
        <v>1</v>
      </c>
      <c r="R719">
        <f t="shared" si="69"/>
        <v>0</v>
      </c>
      <c r="S719">
        <f t="shared" si="70"/>
        <v>0</v>
      </c>
      <c r="T719">
        <f t="shared" si="71"/>
        <v>0</v>
      </c>
      <c r="U719">
        <f t="shared" si="72"/>
        <v>0</v>
      </c>
    </row>
    <row r="720" spans="2:21">
      <c r="B720" s="102">
        <v>45132</v>
      </c>
      <c r="C720">
        <v>2</v>
      </c>
      <c r="D720" t="s">
        <v>120</v>
      </c>
      <c r="E720" t="s">
        <v>121</v>
      </c>
      <c r="F720" t="s">
        <v>121</v>
      </c>
      <c r="G720" t="s">
        <v>121</v>
      </c>
      <c r="H720" t="s">
        <v>121</v>
      </c>
      <c r="I720" t="s">
        <v>121</v>
      </c>
      <c r="P720">
        <f t="shared" si="67"/>
        <v>1</v>
      </c>
      <c r="Q720">
        <f t="shared" si="68"/>
        <v>0</v>
      </c>
      <c r="R720">
        <f t="shared" si="69"/>
        <v>0</v>
      </c>
      <c r="S720">
        <f t="shared" si="70"/>
        <v>0</v>
      </c>
      <c r="T720">
        <f t="shared" si="71"/>
        <v>0</v>
      </c>
      <c r="U720">
        <f t="shared" si="72"/>
        <v>0</v>
      </c>
    </row>
    <row r="721" spans="2:21">
      <c r="B721" s="102">
        <v>45133</v>
      </c>
      <c r="C721">
        <v>2.5</v>
      </c>
      <c r="D721" t="s">
        <v>120</v>
      </c>
      <c r="E721" t="s">
        <v>121</v>
      </c>
      <c r="F721" t="s">
        <v>121</v>
      </c>
      <c r="G721" t="s">
        <v>121</v>
      </c>
      <c r="H721" t="s">
        <v>121</v>
      </c>
      <c r="I721" t="s">
        <v>121</v>
      </c>
      <c r="P721">
        <f t="shared" si="67"/>
        <v>1</v>
      </c>
      <c r="Q721">
        <f t="shared" si="68"/>
        <v>0</v>
      </c>
      <c r="R721">
        <f t="shared" si="69"/>
        <v>0</v>
      </c>
      <c r="S721">
        <f t="shared" si="70"/>
        <v>0</v>
      </c>
      <c r="T721">
        <f t="shared" si="71"/>
        <v>0</v>
      </c>
      <c r="U721">
        <f t="shared" si="72"/>
        <v>0</v>
      </c>
    </row>
    <row r="722" spans="2:21">
      <c r="B722" s="102">
        <v>45134</v>
      </c>
      <c r="C722">
        <v>2.5</v>
      </c>
      <c r="D722" t="s">
        <v>120</v>
      </c>
      <c r="E722" t="s">
        <v>121</v>
      </c>
      <c r="F722" t="s">
        <v>121</v>
      </c>
      <c r="G722" t="s">
        <v>120</v>
      </c>
      <c r="H722" t="s">
        <v>121</v>
      </c>
      <c r="I722" t="s">
        <v>121</v>
      </c>
      <c r="P722">
        <f t="shared" si="67"/>
        <v>1</v>
      </c>
      <c r="Q722">
        <f t="shared" si="68"/>
        <v>0</v>
      </c>
      <c r="R722">
        <f t="shared" si="69"/>
        <v>0</v>
      </c>
      <c r="S722">
        <f t="shared" si="70"/>
        <v>1</v>
      </c>
      <c r="T722">
        <f t="shared" si="71"/>
        <v>0</v>
      </c>
      <c r="U722">
        <f t="shared" si="72"/>
        <v>0</v>
      </c>
    </row>
    <row r="723" spans="2:21">
      <c r="B723" s="102">
        <v>45135</v>
      </c>
      <c r="C723">
        <v>2.5</v>
      </c>
      <c r="D723" t="s">
        <v>120</v>
      </c>
      <c r="E723" t="s">
        <v>121</v>
      </c>
      <c r="F723" t="s">
        <v>121</v>
      </c>
      <c r="G723" t="s">
        <v>121</v>
      </c>
      <c r="H723" t="s">
        <v>121</v>
      </c>
      <c r="I723" t="s">
        <v>121</v>
      </c>
      <c r="P723">
        <f t="shared" si="67"/>
        <v>1</v>
      </c>
      <c r="Q723">
        <f t="shared" si="68"/>
        <v>0</v>
      </c>
      <c r="R723">
        <f t="shared" si="69"/>
        <v>0</v>
      </c>
      <c r="S723">
        <f t="shared" si="70"/>
        <v>0</v>
      </c>
      <c r="T723">
        <f t="shared" si="71"/>
        <v>0</v>
      </c>
      <c r="U723">
        <f t="shared" si="72"/>
        <v>0</v>
      </c>
    </row>
    <row r="724" spans="2:21">
      <c r="B724" s="102">
        <v>45136</v>
      </c>
      <c r="C724">
        <v>2</v>
      </c>
      <c r="D724" t="s">
        <v>120</v>
      </c>
      <c r="E724" t="s">
        <v>121</v>
      </c>
      <c r="F724" t="s">
        <v>121</v>
      </c>
      <c r="G724" t="s">
        <v>121</v>
      </c>
      <c r="H724" t="s">
        <v>121</v>
      </c>
      <c r="I724" t="s">
        <v>121</v>
      </c>
      <c r="P724">
        <f t="shared" si="67"/>
        <v>1</v>
      </c>
      <c r="Q724">
        <f t="shared" si="68"/>
        <v>0</v>
      </c>
      <c r="R724">
        <f t="shared" si="69"/>
        <v>0</v>
      </c>
      <c r="S724">
        <f t="shared" si="70"/>
        <v>0</v>
      </c>
      <c r="T724">
        <f t="shared" si="71"/>
        <v>0</v>
      </c>
      <c r="U724">
        <f t="shared" si="72"/>
        <v>0</v>
      </c>
    </row>
    <row r="725" spans="2:21">
      <c r="B725" s="102">
        <v>45137</v>
      </c>
      <c r="C725">
        <v>2.5</v>
      </c>
      <c r="D725" t="s">
        <v>121</v>
      </c>
      <c r="E725" t="s">
        <v>121</v>
      </c>
      <c r="F725" t="s">
        <v>121</v>
      </c>
      <c r="G725" t="s">
        <v>121</v>
      </c>
      <c r="H725" t="s">
        <v>121</v>
      </c>
      <c r="I725" t="s">
        <v>121</v>
      </c>
      <c r="K725">
        <v>172.6</v>
      </c>
      <c r="P725">
        <f t="shared" si="67"/>
        <v>0</v>
      </c>
      <c r="Q725">
        <f t="shared" si="68"/>
        <v>0</v>
      </c>
      <c r="R725">
        <f t="shared" si="69"/>
        <v>0</v>
      </c>
      <c r="S725">
        <f t="shared" si="70"/>
        <v>0</v>
      </c>
      <c r="T725">
        <f t="shared" si="71"/>
        <v>0</v>
      </c>
      <c r="U725">
        <f t="shared" si="72"/>
        <v>0</v>
      </c>
    </row>
    <row r="726" spans="2:21">
      <c r="B726" s="102">
        <v>45138</v>
      </c>
      <c r="C726">
        <v>1.5</v>
      </c>
      <c r="D726" t="s">
        <v>120</v>
      </c>
      <c r="E726" t="s">
        <v>120</v>
      </c>
      <c r="F726" t="s">
        <v>121</v>
      </c>
      <c r="G726" t="s">
        <v>121</v>
      </c>
      <c r="H726" t="s">
        <v>121</v>
      </c>
      <c r="I726" t="s">
        <v>121</v>
      </c>
      <c r="P726">
        <f t="shared" si="67"/>
        <v>1</v>
      </c>
      <c r="Q726">
        <f t="shared" si="68"/>
        <v>1</v>
      </c>
      <c r="R726">
        <f t="shared" si="69"/>
        <v>0</v>
      </c>
      <c r="S726">
        <f t="shared" si="70"/>
        <v>0</v>
      </c>
      <c r="T726">
        <f t="shared" si="71"/>
        <v>0</v>
      </c>
      <c r="U726">
        <f t="shared" si="72"/>
        <v>0</v>
      </c>
    </row>
    <row r="727" spans="2:21">
      <c r="B727" s="102">
        <v>45139</v>
      </c>
      <c r="C727">
        <v>2.5</v>
      </c>
      <c r="D727" t="s">
        <v>120</v>
      </c>
      <c r="E727" t="s">
        <v>121</v>
      </c>
      <c r="F727" t="s">
        <v>121</v>
      </c>
      <c r="G727" t="s">
        <v>121</v>
      </c>
      <c r="H727" t="s">
        <v>121</v>
      </c>
      <c r="I727" t="s">
        <v>121</v>
      </c>
      <c r="P727">
        <f t="shared" si="67"/>
        <v>1</v>
      </c>
      <c r="Q727">
        <f t="shared" si="68"/>
        <v>0</v>
      </c>
      <c r="R727">
        <f t="shared" si="69"/>
        <v>0</v>
      </c>
      <c r="S727">
        <f t="shared" si="70"/>
        <v>0</v>
      </c>
      <c r="T727">
        <f t="shared" si="71"/>
        <v>0</v>
      </c>
      <c r="U727">
        <f t="shared" si="72"/>
        <v>0</v>
      </c>
    </row>
    <row r="728" spans="2:21">
      <c r="B728" s="102">
        <v>45140</v>
      </c>
      <c r="C728">
        <v>1.5</v>
      </c>
      <c r="D728" t="s">
        <v>120</v>
      </c>
      <c r="E728" t="s">
        <v>121</v>
      </c>
      <c r="F728" t="s">
        <v>121</v>
      </c>
      <c r="G728" t="s">
        <v>121</v>
      </c>
      <c r="H728" t="s">
        <v>121</v>
      </c>
      <c r="I728" t="s">
        <v>121</v>
      </c>
      <c r="P728">
        <f t="shared" si="67"/>
        <v>1</v>
      </c>
      <c r="Q728">
        <f t="shared" si="68"/>
        <v>0</v>
      </c>
      <c r="R728">
        <f t="shared" si="69"/>
        <v>0</v>
      </c>
      <c r="S728">
        <f t="shared" si="70"/>
        <v>0</v>
      </c>
      <c r="T728">
        <f t="shared" si="71"/>
        <v>0</v>
      </c>
      <c r="U728">
        <f t="shared" si="72"/>
        <v>0</v>
      </c>
    </row>
    <row r="729" spans="2:21">
      <c r="B729" s="102">
        <v>45141</v>
      </c>
      <c r="C729">
        <v>2</v>
      </c>
      <c r="D729" t="s">
        <v>120</v>
      </c>
      <c r="E729" t="s">
        <v>121</v>
      </c>
      <c r="F729" t="s">
        <v>121</v>
      </c>
      <c r="G729" t="s">
        <v>121</v>
      </c>
      <c r="H729" t="s">
        <v>121</v>
      </c>
      <c r="I729" t="s">
        <v>121</v>
      </c>
      <c r="P729">
        <f t="shared" si="67"/>
        <v>1</v>
      </c>
      <c r="Q729">
        <f t="shared" si="68"/>
        <v>0</v>
      </c>
      <c r="R729">
        <f t="shared" si="69"/>
        <v>0</v>
      </c>
      <c r="S729">
        <f t="shared" si="70"/>
        <v>0</v>
      </c>
      <c r="T729">
        <f t="shared" si="71"/>
        <v>0</v>
      </c>
      <c r="U729">
        <f t="shared" si="72"/>
        <v>0</v>
      </c>
    </row>
    <row r="730" spans="2:21">
      <c r="B730" s="102">
        <v>45142</v>
      </c>
      <c r="C730">
        <v>2.5</v>
      </c>
      <c r="D730" t="s">
        <v>120</v>
      </c>
      <c r="E730" t="s">
        <v>121</v>
      </c>
      <c r="F730" t="s">
        <v>121</v>
      </c>
      <c r="G730" t="s">
        <v>121</v>
      </c>
      <c r="H730" t="s">
        <v>121</v>
      </c>
      <c r="I730" t="s">
        <v>121</v>
      </c>
      <c r="P730">
        <f t="shared" si="67"/>
        <v>1</v>
      </c>
      <c r="Q730">
        <f t="shared" si="68"/>
        <v>0</v>
      </c>
      <c r="R730">
        <f t="shared" si="69"/>
        <v>0</v>
      </c>
      <c r="S730">
        <f t="shared" si="70"/>
        <v>0</v>
      </c>
      <c r="T730">
        <f t="shared" si="71"/>
        <v>0</v>
      </c>
      <c r="U730">
        <f t="shared" si="72"/>
        <v>0</v>
      </c>
    </row>
    <row r="731" spans="2:21">
      <c r="B731" s="102">
        <v>45143</v>
      </c>
      <c r="C731">
        <v>2.5</v>
      </c>
      <c r="D731" t="s">
        <v>120</v>
      </c>
      <c r="E731" t="s">
        <v>121</v>
      </c>
      <c r="F731" t="s">
        <v>121</v>
      </c>
      <c r="G731" t="s">
        <v>121</v>
      </c>
      <c r="H731" t="s">
        <v>121</v>
      </c>
      <c r="I731" t="s">
        <v>121</v>
      </c>
      <c r="P731">
        <f t="shared" si="67"/>
        <v>1</v>
      </c>
      <c r="Q731">
        <f t="shared" si="68"/>
        <v>0</v>
      </c>
      <c r="R731">
        <f t="shared" si="69"/>
        <v>0</v>
      </c>
      <c r="S731">
        <f t="shared" si="70"/>
        <v>0</v>
      </c>
      <c r="T731">
        <f t="shared" si="71"/>
        <v>0</v>
      </c>
      <c r="U731">
        <f t="shared" si="72"/>
        <v>0</v>
      </c>
    </row>
    <row r="732" spans="2:21">
      <c r="B732" s="102">
        <v>45144</v>
      </c>
      <c r="C732">
        <v>2.5</v>
      </c>
      <c r="D732" t="s">
        <v>121</v>
      </c>
      <c r="E732" t="s">
        <v>121</v>
      </c>
      <c r="F732" t="s">
        <v>121</v>
      </c>
      <c r="G732" t="s">
        <v>120</v>
      </c>
      <c r="H732" t="s">
        <v>120</v>
      </c>
      <c r="I732" t="s">
        <v>121</v>
      </c>
      <c r="K732">
        <v>173.4</v>
      </c>
      <c r="P732">
        <f t="shared" si="67"/>
        <v>0</v>
      </c>
      <c r="Q732">
        <f t="shared" si="68"/>
        <v>0</v>
      </c>
      <c r="R732">
        <f t="shared" si="69"/>
        <v>0</v>
      </c>
      <c r="S732">
        <f t="shared" si="70"/>
        <v>1</v>
      </c>
      <c r="T732">
        <f t="shared" si="71"/>
        <v>1</v>
      </c>
      <c r="U732">
        <f t="shared" si="72"/>
        <v>0</v>
      </c>
    </row>
    <row r="733" spans="2:21">
      <c r="B733" s="102">
        <v>45145</v>
      </c>
      <c r="C733">
        <v>2.5</v>
      </c>
      <c r="D733" t="s">
        <v>120</v>
      </c>
      <c r="E733" t="s">
        <v>120</v>
      </c>
      <c r="F733" t="s">
        <v>121</v>
      </c>
      <c r="G733" t="s">
        <v>121</v>
      </c>
      <c r="H733" t="s">
        <v>121</v>
      </c>
      <c r="I733" t="s">
        <v>121</v>
      </c>
      <c r="P733">
        <f t="shared" si="67"/>
        <v>1</v>
      </c>
      <c r="Q733">
        <f t="shared" si="68"/>
        <v>1</v>
      </c>
      <c r="R733">
        <f t="shared" si="69"/>
        <v>0</v>
      </c>
      <c r="S733">
        <f t="shared" si="70"/>
        <v>0</v>
      </c>
      <c r="T733">
        <f t="shared" si="71"/>
        <v>0</v>
      </c>
      <c r="U733">
        <f t="shared" si="72"/>
        <v>0</v>
      </c>
    </row>
    <row r="734" spans="2:21">
      <c r="B734" s="102">
        <v>45146</v>
      </c>
      <c r="C734">
        <v>2</v>
      </c>
      <c r="D734" t="s">
        <v>120</v>
      </c>
      <c r="E734" t="s">
        <v>121</v>
      </c>
      <c r="F734" t="s">
        <v>121</v>
      </c>
      <c r="G734" t="s">
        <v>121</v>
      </c>
      <c r="H734" t="s">
        <v>121</v>
      </c>
      <c r="I734" t="s">
        <v>121</v>
      </c>
      <c r="P734">
        <f t="shared" si="67"/>
        <v>1</v>
      </c>
      <c r="Q734">
        <f t="shared" si="68"/>
        <v>0</v>
      </c>
      <c r="R734">
        <f t="shared" si="69"/>
        <v>0</v>
      </c>
      <c r="S734">
        <f t="shared" si="70"/>
        <v>0</v>
      </c>
      <c r="T734">
        <f t="shared" si="71"/>
        <v>0</v>
      </c>
      <c r="U734">
        <f t="shared" si="72"/>
        <v>0</v>
      </c>
    </row>
    <row r="735" spans="2:21">
      <c r="B735" s="102">
        <v>45147</v>
      </c>
      <c r="C735">
        <v>2.5</v>
      </c>
      <c r="D735" t="s">
        <v>120</v>
      </c>
      <c r="E735" t="s">
        <v>121</v>
      </c>
      <c r="F735" t="s">
        <v>121</v>
      </c>
      <c r="G735" t="s">
        <v>121</v>
      </c>
      <c r="H735" t="s">
        <v>121</v>
      </c>
      <c r="I735" t="s">
        <v>121</v>
      </c>
      <c r="P735">
        <f t="shared" si="67"/>
        <v>1</v>
      </c>
      <c r="Q735">
        <f t="shared" si="68"/>
        <v>0</v>
      </c>
      <c r="R735">
        <f t="shared" si="69"/>
        <v>0</v>
      </c>
      <c r="S735">
        <f t="shared" si="70"/>
        <v>0</v>
      </c>
      <c r="T735">
        <f t="shared" si="71"/>
        <v>0</v>
      </c>
      <c r="U735">
        <f t="shared" si="72"/>
        <v>0</v>
      </c>
    </row>
    <row r="736" spans="2:21">
      <c r="B736" s="102">
        <v>45148</v>
      </c>
      <c r="C736">
        <v>1.5</v>
      </c>
      <c r="D736" t="s">
        <v>120</v>
      </c>
      <c r="E736" t="s">
        <v>121</v>
      </c>
      <c r="F736" t="s">
        <v>121</v>
      </c>
      <c r="G736" t="s">
        <v>121</v>
      </c>
      <c r="H736" t="s">
        <v>121</v>
      </c>
      <c r="I736" t="s">
        <v>121</v>
      </c>
      <c r="P736">
        <f t="shared" si="67"/>
        <v>1</v>
      </c>
      <c r="Q736">
        <f t="shared" si="68"/>
        <v>0</v>
      </c>
      <c r="R736">
        <f t="shared" si="69"/>
        <v>0</v>
      </c>
      <c r="S736">
        <f t="shared" si="70"/>
        <v>0</v>
      </c>
      <c r="T736">
        <f t="shared" si="71"/>
        <v>0</v>
      </c>
      <c r="U736">
        <f t="shared" si="72"/>
        <v>0</v>
      </c>
    </row>
    <row r="737" spans="2:21">
      <c r="B737" s="102">
        <v>45149</v>
      </c>
      <c r="C737">
        <v>2.5</v>
      </c>
      <c r="D737" t="s">
        <v>120</v>
      </c>
      <c r="E737" t="s">
        <v>121</v>
      </c>
      <c r="F737" t="s">
        <v>121</v>
      </c>
      <c r="G737" t="s">
        <v>121</v>
      </c>
      <c r="H737" t="s">
        <v>121</v>
      </c>
      <c r="I737" t="s">
        <v>121</v>
      </c>
      <c r="P737">
        <f t="shared" si="67"/>
        <v>1</v>
      </c>
      <c r="Q737">
        <f t="shared" si="68"/>
        <v>0</v>
      </c>
      <c r="R737">
        <f t="shared" si="69"/>
        <v>0</v>
      </c>
      <c r="S737">
        <f t="shared" si="70"/>
        <v>0</v>
      </c>
      <c r="T737">
        <f t="shared" si="71"/>
        <v>0</v>
      </c>
      <c r="U737">
        <f t="shared" si="72"/>
        <v>0</v>
      </c>
    </row>
    <row r="738" spans="2:21">
      <c r="B738" s="102">
        <v>45150</v>
      </c>
      <c r="C738">
        <v>3</v>
      </c>
      <c r="D738" t="s">
        <v>120</v>
      </c>
      <c r="E738" t="s">
        <v>121</v>
      </c>
      <c r="F738" t="s">
        <v>121</v>
      </c>
      <c r="G738" t="s">
        <v>121</v>
      </c>
      <c r="H738" t="s">
        <v>121</v>
      </c>
      <c r="I738" t="s">
        <v>121</v>
      </c>
      <c r="P738">
        <f t="shared" si="67"/>
        <v>1</v>
      </c>
      <c r="Q738">
        <f t="shared" si="68"/>
        <v>0</v>
      </c>
      <c r="R738">
        <f t="shared" si="69"/>
        <v>0</v>
      </c>
      <c r="S738">
        <f t="shared" si="70"/>
        <v>0</v>
      </c>
      <c r="T738">
        <f t="shared" si="71"/>
        <v>0</v>
      </c>
      <c r="U738">
        <f t="shared" si="72"/>
        <v>0</v>
      </c>
    </row>
    <row r="739" spans="2:21">
      <c r="B739" s="102">
        <v>45151</v>
      </c>
      <c r="C739">
        <v>1.5</v>
      </c>
      <c r="D739" t="s">
        <v>121</v>
      </c>
      <c r="E739" t="s">
        <v>121</v>
      </c>
      <c r="F739" t="s">
        <v>121</v>
      </c>
      <c r="G739" t="s">
        <v>121</v>
      </c>
      <c r="H739" t="s">
        <v>121</v>
      </c>
      <c r="I739" t="s">
        <v>121</v>
      </c>
      <c r="K739">
        <v>175.8</v>
      </c>
      <c r="P739">
        <f t="shared" si="67"/>
        <v>0</v>
      </c>
      <c r="Q739">
        <f t="shared" si="68"/>
        <v>0</v>
      </c>
      <c r="R739">
        <f t="shared" si="69"/>
        <v>0</v>
      </c>
      <c r="S739">
        <f t="shared" si="70"/>
        <v>0</v>
      </c>
      <c r="T739">
        <f t="shared" si="71"/>
        <v>0</v>
      </c>
      <c r="U739">
        <f t="shared" si="72"/>
        <v>0</v>
      </c>
    </row>
    <row r="740" spans="2:21">
      <c r="B740" s="102">
        <v>45152</v>
      </c>
      <c r="C740">
        <v>2.5</v>
      </c>
      <c r="D740" t="s">
        <v>120</v>
      </c>
      <c r="E740" t="s">
        <v>121</v>
      </c>
      <c r="F740" t="s">
        <v>121</v>
      </c>
      <c r="G740" t="s">
        <v>121</v>
      </c>
      <c r="H740" t="s">
        <v>121</v>
      </c>
      <c r="I740" t="s">
        <v>121</v>
      </c>
      <c r="P740">
        <f t="shared" si="67"/>
        <v>1</v>
      </c>
      <c r="Q740">
        <f t="shared" si="68"/>
        <v>0</v>
      </c>
      <c r="R740">
        <f t="shared" si="69"/>
        <v>0</v>
      </c>
      <c r="S740">
        <f t="shared" si="70"/>
        <v>0</v>
      </c>
      <c r="T740">
        <f t="shared" si="71"/>
        <v>0</v>
      </c>
      <c r="U740">
        <f t="shared" si="72"/>
        <v>0</v>
      </c>
    </row>
    <row r="741" spans="2:21">
      <c r="B741" s="102">
        <v>45153</v>
      </c>
      <c r="C741">
        <v>2.5</v>
      </c>
      <c r="D741" t="s">
        <v>120</v>
      </c>
      <c r="E741" t="s">
        <v>121</v>
      </c>
      <c r="F741" t="s">
        <v>120</v>
      </c>
      <c r="G741" t="s">
        <v>121</v>
      </c>
      <c r="H741" t="s">
        <v>121</v>
      </c>
      <c r="I741" t="s">
        <v>121</v>
      </c>
      <c r="P741">
        <f t="shared" si="67"/>
        <v>1</v>
      </c>
      <c r="Q741">
        <f t="shared" si="68"/>
        <v>0</v>
      </c>
      <c r="R741">
        <f t="shared" si="69"/>
        <v>1</v>
      </c>
      <c r="S741">
        <f t="shared" si="70"/>
        <v>0</v>
      </c>
      <c r="T741">
        <f t="shared" si="71"/>
        <v>0</v>
      </c>
      <c r="U741">
        <f t="shared" si="72"/>
        <v>0</v>
      </c>
    </row>
    <row r="742" spans="2:21">
      <c r="B742" s="102">
        <v>45154</v>
      </c>
      <c r="C742">
        <v>2.5</v>
      </c>
      <c r="D742" t="s">
        <v>120</v>
      </c>
      <c r="E742" t="s">
        <v>121</v>
      </c>
      <c r="F742" t="s">
        <v>121</v>
      </c>
      <c r="G742" t="s">
        <v>121</v>
      </c>
      <c r="H742" t="s">
        <v>121</v>
      </c>
      <c r="I742" t="s">
        <v>121</v>
      </c>
      <c r="P742">
        <f t="shared" si="67"/>
        <v>1</v>
      </c>
      <c r="Q742">
        <f t="shared" si="68"/>
        <v>0</v>
      </c>
      <c r="R742">
        <f t="shared" si="69"/>
        <v>0</v>
      </c>
      <c r="S742">
        <f t="shared" si="70"/>
        <v>0</v>
      </c>
      <c r="T742">
        <f t="shared" si="71"/>
        <v>0</v>
      </c>
      <c r="U742">
        <f t="shared" si="72"/>
        <v>0</v>
      </c>
    </row>
    <row r="743" spans="2:21">
      <c r="B743" s="102">
        <v>45155</v>
      </c>
      <c r="C743">
        <v>2.5</v>
      </c>
      <c r="D743" t="s">
        <v>120</v>
      </c>
      <c r="E743" t="s">
        <v>121</v>
      </c>
      <c r="F743" t="s">
        <v>121</v>
      </c>
      <c r="G743" t="s">
        <v>121</v>
      </c>
      <c r="H743" t="s">
        <v>121</v>
      </c>
      <c r="I743" t="s">
        <v>121</v>
      </c>
      <c r="P743">
        <f t="shared" si="67"/>
        <v>1</v>
      </c>
      <c r="Q743">
        <f t="shared" si="68"/>
        <v>0</v>
      </c>
      <c r="R743">
        <f t="shared" si="69"/>
        <v>0</v>
      </c>
      <c r="S743">
        <f t="shared" si="70"/>
        <v>0</v>
      </c>
      <c r="T743">
        <f t="shared" si="71"/>
        <v>0</v>
      </c>
      <c r="U743">
        <f t="shared" si="72"/>
        <v>0</v>
      </c>
    </row>
    <row r="744" spans="2:21">
      <c r="B744" s="102">
        <v>45156</v>
      </c>
      <c r="C744">
        <v>3</v>
      </c>
      <c r="D744" t="s">
        <v>120</v>
      </c>
      <c r="E744" t="s">
        <v>121</v>
      </c>
      <c r="F744" t="s">
        <v>121</v>
      </c>
      <c r="G744" t="s">
        <v>120</v>
      </c>
      <c r="H744" t="s">
        <v>121</v>
      </c>
      <c r="I744" t="s">
        <v>121</v>
      </c>
      <c r="P744">
        <f t="shared" si="67"/>
        <v>1</v>
      </c>
      <c r="Q744">
        <f t="shared" si="68"/>
        <v>0</v>
      </c>
      <c r="R744">
        <f t="shared" si="69"/>
        <v>0</v>
      </c>
      <c r="S744">
        <f t="shared" si="70"/>
        <v>1</v>
      </c>
      <c r="T744">
        <f t="shared" si="71"/>
        <v>0</v>
      </c>
      <c r="U744">
        <f t="shared" si="72"/>
        <v>0</v>
      </c>
    </row>
    <row r="745" spans="2:21">
      <c r="B745" s="102">
        <v>45157</v>
      </c>
      <c r="C745">
        <v>3</v>
      </c>
      <c r="D745" t="s">
        <v>120</v>
      </c>
      <c r="E745" t="s">
        <v>121</v>
      </c>
      <c r="F745" t="s">
        <v>121</v>
      </c>
      <c r="G745" t="s">
        <v>121</v>
      </c>
      <c r="H745" t="s">
        <v>121</v>
      </c>
      <c r="I745" t="s">
        <v>121</v>
      </c>
      <c r="P745">
        <f t="shared" si="67"/>
        <v>1</v>
      </c>
      <c r="Q745">
        <f t="shared" si="68"/>
        <v>0</v>
      </c>
      <c r="R745">
        <f t="shared" si="69"/>
        <v>0</v>
      </c>
      <c r="S745">
        <f t="shared" si="70"/>
        <v>0</v>
      </c>
      <c r="T745">
        <f t="shared" si="71"/>
        <v>0</v>
      </c>
      <c r="U745">
        <f t="shared" si="72"/>
        <v>0</v>
      </c>
    </row>
    <row r="746" spans="2:21">
      <c r="B746" s="102">
        <v>45158</v>
      </c>
      <c r="C746">
        <v>2</v>
      </c>
      <c r="D746" t="s">
        <v>121</v>
      </c>
      <c r="E746" t="s">
        <v>120</v>
      </c>
      <c r="F746" t="s">
        <v>121</v>
      </c>
      <c r="G746" t="s">
        <v>121</v>
      </c>
      <c r="H746" t="s">
        <v>121</v>
      </c>
      <c r="I746" t="s">
        <v>121</v>
      </c>
      <c r="K746">
        <v>176.4</v>
      </c>
      <c r="P746">
        <f t="shared" si="67"/>
        <v>0</v>
      </c>
      <c r="Q746">
        <f t="shared" si="68"/>
        <v>1</v>
      </c>
      <c r="R746">
        <f t="shared" si="69"/>
        <v>0</v>
      </c>
      <c r="S746">
        <f t="shared" si="70"/>
        <v>0</v>
      </c>
      <c r="T746">
        <f t="shared" si="71"/>
        <v>0</v>
      </c>
      <c r="U746">
        <f t="shared" si="72"/>
        <v>0</v>
      </c>
    </row>
    <row r="747" spans="2:21">
      <c r="B747" s="102">
        <v>45159</v>
      </c>
      <c r="C747">
        <v>3</v>
      </c>
      <c r="D747" t="s">
        <v>120</v>
      </c>
      <c r="E747" t="s">
        <v>121</v>
      </c>
      <c r="F747" t="s">
        <v>121</v>
      </c>
      <c r="G747" t="s">
        <v>121</v>
      </c>
      <c r="H747" t="s">
        <v>121</v>
      </c>
      <c r="I747" t="s">
        <v>121</v>
      </c>
      <c r="P747">
        <f t="shared" si="67"/>
        <v>1</v>
      </c>
      <c r="Q747">
        <f t="shared" si="68"/>
        <v>0</v>
      </c>
      <c r="R747">
        <f t="shared" si="69"/>
        <v>0</v>
      </c>
      <c r="S747">
        <f t="shared" si="70"/>
        <v>0</v>
      </c>
      <c r="T747">
        <f t="shared" si="71"/>
        <v>0</v>
      </c>
      <c r="U747">
        <f t="shared" si="72"/>
        <v>0</v>
      </c>
    </row>
    <row r="748" spans="2:21">
      <c r="B748" s="102">
        <v>45160</v>
      </c>
      <c r="C748">
        <v>2.5</v>
      </c>
      <c r="D748" t="s">
        <v>120</v>
      </c>
      <c r="E748" t="s">
        <v>121</v>
      </c>
      <c r="F748" t="s">
        <v>121</v>
      </c>
      <c r="G748" t="s">
        <v>121</v>
      </c>
      <c r="H748" t="s">
        <v>121</v>
      </c>
      <c r="I748" t="s">
        <v>121</v>
      </c>
      <c r="P748">
        <f t="shared" si="67"/>
        <v>1</v>
      </c>
      <c r="Q748">
        <f t="shared" si="68"/>
        <v>0</v>
      </c>
      <c r="R748">
        <f t="shared" si="69"/>
        <v>0</v>
      </c>
      <c r="S748">
        <f t="shared" si="70"/>
        <v>0</v>
      </c>
      <c r="T748">
        <f t="shared" si="71"/>
        <v>0</v>
      </c>
      <c r="U748">
        <f t="shared" si="72"/>
        <v>0</v>
      </c>
    </row>
    <row r="749" spans="2:21">
      <c r="B749" s="102">
        <v>45161</v>
      </c>
      <c r="C749">
        <v>2.5</v>
      </c>
      <c r="D749" t="s">
        <v>120</v>
      </c>
      <c r="E749" t="s">
        <v>121</v>
      </c>
      <c r="F749" t="s">
        <v>121</v>
      </c>
      <c r="G749" t="s">
        <v>121</v>
      </c>
      <c r="H749" t="s">
        <v>121</v>
      </c>
      <c r="I749" t="s">
        <v>121</v>
      </c>
      <c r="P749">
        <f t="shared" si="67"/>
        <v>1</v>
      </c>
      <c r="Q749">
        <f t="shared" si="68"/>
        <v>0</v>
      </c>
      <c r="R749">
        <f t="shared" si="69"/>
        <v>0</v>
      </c>
      <c r="S749">
        <f t="shared" si="70"/>
        <v>0</v>
      </c>
      <c r="T749">
        <f t="shared" si="71"/>
        <v>0</v>
      </c>
      <c r="U749">
        <f t="shared" si="72"/>
        <v>0</v>
      </c>
    </row>
    <row r="750" spans="2:21">
      <c r="B750" s="102">
        <v>45162</v>
      </c>
      <c r="C750">
        <v>2.5</v>
      </c>
      <c r="D750" t="s">
        <v>120</v>
      </c>
      <c r="E750" t="s">
        <v>121</v>
      </c>
      <c r="F750" t="s">
        <v>121</v>
      </c>
      <c r="G750" t="s">
        <v>121</v>
      </c>
      <c r="H750" t="s">
        <v>121</v>
      </c>
      <c r="I750" t="s">
        <v>121</v>
      </c>
      <c r="P750">
        <f t="shared" si="67"/>
        <v>1</v>
      </c>
      <c r="Q750">
        <f t="shared" si="68"/>
        <v>0</v>
      </c>
      <c r="R750">
        <f t="shared" si="69"/>
        <v>0</v>
      </c>
      <c r="S750">
        <f t="shared" si="70"/>
        <v>0</v>
      </c>
      <c r="T750">
        <f t="shared" si="71"/>
        <v>0</v>
      </c>
      <c r="U750">
        <f t="shared" si="72"/>
        <v>0</v>
      </c>
    </row>
    <row r="751" spans="2:21">
      <c r="B751" s="102">
        <v>45163</v>
      </c>
      <c r="C751">
        <v>2.5</v>
      </c>
      <c r="D751" t="s">
        <v>120</v>
      </c>
      <c r="E751" t="s">
        <v>121</v>
      </c>
      <c r="F751" t="s">
        <v>121</v>
      </c>
      <c r="G751" t="s">
        <v>121</v>
      </c>
      <c r="H751" t="s">
        <v>121</v>
      </c>
      <c r="I751" t="s">
        <v>121</v>
      </c>
      <c r="P751">
        <f t="shared" si="67"/>
        <v>1</v>
      </c>
      <c r="Q751">
        <f t="shared" si="68"/>
        <v>0</v>
      </c>
      <c r="R751">
        <f t="shared" si="69"/>
        <v>0</v>
      </c>
      <c r="S751">
        <f t="shared" si="70"/>
        <v>0</v>
      </c>
      <c r="T751">
        <f t="shared" si="71"/>
        <v>0</v>
      </c>
      <c r="U751">
        <f t="shared" si="72"/>
        <v>0</v>
      </c>
    </row>
    <row r="752" spans="2:21">
      <c r="B752" s="102">
        <v>45164</v>
      </c>
      <c r="C752">
        <v>3</v>
      </c>
      <c r="D752" t="s">
        <v>120</v>
      </c>
      <c r="E752" t="s">
        <v>121</v>
      </c>
      <c r="F752" t="s">
        <v>121</v>
      </c>
      <c r="G752" t="s">
        <v>121</v>
      </c>
      <c r="H752" t="s">
        <v>121</v>
      </c>
      <c r="I752" t="s">
        <v>121</v>
      </c>
      <c r="P752">
        <f t="shared" si="67"/>
        <v>1</v>
      </c>
      <c r="Q752">
        <f t="shared" si="68"/>
        <v>0</v>
      </c>
      <c r="R752">
        <f t="shared" si="69"/>
        <v>0</v>
      </c>
      <c r="S752">
        <f t="shared" si="70"/>
        <v>0</v>
      </c>
      <c r="T752">
        <f t="shared" si="71"/>
        <v>0</v>
      </c>
      <c r="U752">
        <f t="shared" si="72"/>
        <v>0</v>
      </c>
    </row>
    <row r="753" spans="2:21">
      <c r="B753" s="102">
        <v>45165</v>
      </c>
      <c r="C753">
        <v>3</v>
      </c>
      <c r="D753" t="s">
        <v>121</v>
      </c>
      <c r="E753" t="s">
        <v>121</v>
      </c>
      <c r="F753" t="s">
        <v>121</v>
      </c>
      <c r="G753" t="s">
        <v>121</v>
      </c>
      <c r="H753" t="s">
        <v>121</v>
      </c>
      <c r="I753" t="s">
        <v>121</v>
      </c>
      <c r="K753">
        <v>172.2</v>
      </c>
      <c r="P753">
        <f t="shared" si="67"/>
        <v>0</v>
      </c>
      <c r="Q753">
        <f t="shared" si="68"/>
        <v>0</v>
      </c>
      <c r="R753">
        <f t="shared" si="69"/>
        <v>0</v>
      </c>
      <c r="S753">
        <f t="shared" si="70"/>
        <v>0</v>
      </c>
      <c r="T753">
        <f t="shared" si="71"/>
        <v>0</v>
      </c>
      <c r="U753">
        <f t="shared" si="72"/>
        <v>0</v>
      </c>
    </row>
    <row r="754" spans="2:21">
      <c r="B754" s="102">
        <v>45166</v>
      </c>
      <c r="C754">
        <v>2.5</v>
      </c>
      <c r="D754" t="s">
        <v>120</v>
      </c>
      <c r="E754" t="s">
        <v>121</v>
      </c>
      <c r="F754" t="s">
        <v>121</v>
      </c>
      <c r="G754" t="s">
        <v>121</v>
      </c>
      <c r="H754" t="s">
        <v>121</v>
      </c>
      <c r="I754" t="s">
        <v>121</v>
      </c>
      <c r="P754">
        <f t="shared" si="67"/>
        <v>1</v>
      </c>
      <c r="Q754">
        <f t="shared" si="68"/>
        <v>0</v>
      </c>
      <c r="R754">
        <f t="shared" si="69"/>
        <v>0</v>
      </c>
      <c r="S754">
        <f t="shared" si="70"/>
        <v>0</v>
      </c>
      <c r="T754">
        <f t="shared" si="71"/>
        <v>0</v>
      </c>
      <c r="U754">
        <f t="shared" si="72"/>
        <v>0</v>
      </c>
    </row>
    <row r="755" spans="2:21">
      <c r="B755" s="102">
        <v>45167</v>
      </c>
      <c r="C755">
        <v>2.5</v>
      </c>
      <c r="D755" t="s">
        <v>120</v>
      </c>
      <c r="E755" t="s">
        <v>121</v>
      </c>
      <c r="F755" t="s">
        <v>121</v>
      </c>
      <c r="G755" t="s">
        <v>121</v>
      </c>
      <c r="H755" t="s">
        <v>121</v>
      </c>
      <c r="I755" t="s">
        <v>121</v>
      </c>
      <c r="P755">
        <f t="shared" si="67"/>
        <v>1</v>
      </c>
      <c r="Q755">
        <f t="shared" si="68"/>
        <v>0</v>
      </c>
      <c r="R755">
        <f t="shared" si="69"/>
        <v>0</v>
      </c>
      <c r="S755">
        <f t="shared" si="70"/>
        <v>0</v>
      </c>
      <c r="T755">
        <f t="shared" si="71"/>
        <v>0</v>
      </c>
      <c r="U755">
        <f t="shared" si="72"/>
        <v>0</v>
      </c>
    </row>
    <row r="756" spans="2:21">
      <c r="B756" s="102">
        <v>45168</v>
      </c>
      <c r="C756">
        <v>2.5</v>
      </c>
      <c r="D756" t="s">
        <v>120</v>
      </c>
      <c r="E756" t="s">
        <v>121</v>
      </c>
      <c r="F756" t="s">
        <v>121</v>
      </c>
      <c r="G756" t="s">
        <v>121</v>
      </c>
      <c r="H756" t="s">
        <v>121</v>
      </c>
      <c r="I756" t="s">
        <v>121</v>
      </c>
      <c r="P756">
        <f t="shared" si="67"/>
        <v>1</v>
      </c>
      <c r="Q756">
        <f t="shared" si="68"/>
        <v>0</v>
      </c>
      <c r="R756">
        <f t="shared" si="69"/>
        <v>0</v>
      </c>
      <c r="S756">
        <f t="shared" si="70"/>
        <v>0</v>
      </c>
      <c r="T756">
        <f t="shared" si="71"/>
        <v>0</v>
      </c>
      <c r="U756">
        <f t="shared" si="72"/>
        <v>0</v>
      </c>
    </row>
    <row r="757" spans="2:21">
      <c r="B757" s="102">
        <v>45169</v>
      </c>
      <c r="C757">
        <v>2.5</v>
      </c>
      <c r="D757" t="s">
        <v>120</v>
      </c>
      <c r="E757" t="s">
        <v>121</v>
      </c>
      <c r="F757" t="s">
        <v>121</v>
      </c>
      <c r="G757" t="s">
        <v>121</v>
      </c>
      <c r="H757" t="s">
        <v>121</v>
      </c>
      <c r="I757" t="s">
        <v>121</v>
      </c>
      <c r="P757">
        <f t="shared" si="67"/>
        <v>1</v>
      </c>
      <c r="Q757">
        <f t="shared" si="68"/>
        <v>0</v>
      </c>
      <c r="R757">
        <f t="shared" si="69"/>
        <v>0</v>
      </c>
      <c r="S757">
        <f t="shared" si="70"/>
        <v>0</v>
      </c>
      <c r="T757">
        <f t="shared" si="71"/>
        <v>0</v>
      </c>
      <c r="U757">
        <f t="shared" si="72"/>
        <v>0</v>
      </c>
    </row>
    <row r="758" spans="2:21">
      <c r="B758" s="102">
        <v>45170</v>
      </c>
      <c r="C758">
        <v>4.5</v>
      </c>
      <c r="D758" t="s">
        <v>120</v>
      </c>
      <c r="E758" t="s">
        <v>121</v>
      </c>
      <c r="F758" t="s">
        <v>121</v>
      </c>
      <c r="G758" t="s">
        <v>121</v>
      </c>
      <c r="H758" t="s">
        <v>121</v>
      </c>
      <c r="I758" t="s">
        <v>121</v>
      </c>
      <c r="P758">
        <f t="shared" si="67"/>
        <v>1</v>
      </c>
      <c r="Q758">
        <f t="shared" si="68"/>
        <v>0</v>
      </c>
      <c r="R758">
        <f t="shared" si="69"/>
        <v>0</v>
      </c>
      <c r="S758">
        <f t="shared" si="70"/>
        <v>0</v>
      </c>
      <c r="T758">
        <f t="shared" si="71"/>
        <v>0</v>
      </c>
      <c r="U758">
        <f t="shared" si="72"/>
        <v>0</v>
      </c>
    </row>
    <row r="759" spans="2:21">
      <c r="B759" s="102">
        <v>45171</v>
      </c>
      <c r="C759">
        <v>3</v>
      </c>
      <c r="D759" t="s">
        <v>120</v>
      </c>
      <c r="E759" t="s">
        <v>121</v>
      </c>
      <c r="F759" t="s">
        <v>121</v>
      </c>
      <c r="G759" t="s">
        <v>120</v>
      </c>
      <c r="H759" t="s">
        <v>121</v>
      </c>
      <c r="I759" t="s">
        <v>121</v>
      </c>
      <c r="P759">
        <f t="shared" si="67"/>
        <v>1</v>
      </c>
      <c r="Q759">
        <f t="shared" si="68"/>
        <v>0</v>
      </c>
      <c r="R759">
        <f t="shared" si="69"/>
        <v>0</v>
      </c>
      <c r="S759">
        <f t="shared" si="70"/>
        <v>1</v>
      </c>
      <c r="T759">
        <f t="shared" si="71"/>
        <v>0</v>
      </c>
      <c r="U759">
        <f t="shared" si="72"/>
        <v>0</v>
      </c>
    </row>
    <row r="760" spans="2:21">
      <c r="B760" s="102">
        <v>45172</v>
      </c>
      <c r="C760">
        <v>2</v>
      </c>
      <c r="D760" t="s">
        <v>121</v>
      </c>
      <c r="E760" t="s">
        <v>121</v>
      </c>
      <c r="F760" t="s">
        <v>121</v>
      </c>
      <c r="G760" t="s">
        <v>121</v>
      </c>
      <c r="H760" t="s">
        <v>121</v>
      </c>
      <c r="I760" t="s">
        <v>121</v>
      </c>
      <c r="K760">
        <v>177.8</v>
      </c>
      <c r="P760">
        <f t="shared" si="67"/>
        <v>0</v>
      </c>
      <c r="Q760">
        <f t="shared" si="68"/>
        <v>0</v>
      </c>
      <c r="R760">
        <f t="shared" si="69"/>
        <v>0</v>
      </c>
      <c r="S760">
        <f t="shared" si="70"/>
        <v>0</v>
      </c>
      <c r="T760">
        <f t="shared" si="71"/>
        <v>0</v>
      </c>
      <c r="U760">
        <f t="shared" si="72"/>
        <v>0</v>
      </c>
    </row>
    <row r="761" spans="2:21">
      <c r="B761" s="102">
        <v>45173</v>
      </c>
      <c r="C761">
        <v>2</v>
      </c>
      <c r="D761" t="s">
        <v>121</v>
      </c>
      <c r="E761" t="s">
        <v>120</v>
      </c>
      <c r="F761" t="s">
        <v>121</v>
      </c>
      <c r="G761" t="s">
        <v>121</v>
      </c>
      <c r="H761" t="s">
        <v>121</v>
      </c>
      <c r="I761" t="s">
        <v>121</v>
      </c>
      <c r="P761">
        <f t="shared" si="67"/>
        <v>0</v>
      </c>
      <c r="Q761">
        <f t="shared" si="68"/>
        <v>1</v>
      </c>
      <c r="R761">
        <f t="shared" si="69"/>
        <v>0</v>
      </c>
      <c r="S761">
        <f t="shared" si="70"/>
        <v>0</v>
      </c>
      <c r="T761">
        <f t="shared" si="71"/>
        <v>0</v>
      </c>
      <c r="U761">
        <f t="shared" si="72"/>
        <v>0</v>
      </c>
    </row>
    <row r="762" spans="2:21">
      <c r="B762" s="102">
        <v>45174</v>
      </c>
      <c r="C762">
        <v>2.5</v>
      </c>
      <c r="D762" t="s">
        <v>120</v>
      </c>
      <c r="E762" t="s">
        <v>121</v>
      </c>
      <c r="F762" t="s">
        <v>121</v>
      </c>
      <c r="G762" t="s">
        <v>121</v>
      </c>
      <c r="H762" t="s">
        <v>121</v>
      </c>
      <c r="I762" t="s">
        <v>121</v>
      </c>
      <c r="P762">
        <f t="shared" si="67"/>
        <v>1</v>
      </c>
      <c r="Q762">
        <f t="shared" si="68"/>
        <v>0</v>
      </c>
      <c r="R762">
        <f t="shared" si="69"/>
        <v>0</v>
      </c>
      <c r="S762">
        <f t="shared" si="70"/>
        <v>0</v>
      </c>
      <c r="T762">
        <f t="shared" si="71"/>
        <v>0</v>
      </c>
      <c r="U762">
        <f t="shared" si="72"/>
        <v>0</v>
      </c>
    </row>
    <row r="763" spans="2:21">
      <c r="B763" s="102">
        <v>45175</v>
      </c>
      <c r="C763">
        <v>2.5</v>
      </c>
      <c r="D763" t="s">
        <v>120</v>
      </c>
      <c r="E763" t="s">
        <v>121</v>
      </c>
      <c r="F763" t="s">
        <v>121</v>
      </c>
      <c r="G763" t="s">
        <v>121</v>
      </c>
      <c r="H763" t="s">
        <v>121</v>
      </c>
      <c r="I763" t="s">
        <v>121</v>
      </c>
      <c r="P763">
        <f t="shared" si="67"/>
        <v>1</v>
      </c>
      <c r="Q763">
        <f t="shared" si="68"/>
        <v>0</v>
      </c>
      <c r="R763">
        <f t="shared" si="69"/>
        <v>0</v>
      </c>
      <c r="S763">
        <f t="shared" si="70"/>
        <v>0</v>
      </c>
      <c r="T763">
        <f t="shared" si="71"/>
        <v>0</v>
      </c>
      <c r="U763">
        <f t="shared" si="72"/>
        <v>0</v>
      </c>
    </row>
    <row r="764" spans="2:21">
      <c r="B764" s="102">
        <v>45176</v>
      </c>
      <c r="C764">
        <v>2.5</v>
      </c>
      <c r="D764" t="s">
        <v>120</v>
      </c>
      <c r="E764" t="s">
        <v>121</v>
      </c>
      <c r="F764" t="s">
        <v>121</v>
      </c>
      <c r="G764" t="s">
        <v>121</v>
      </c>
      <c r="H764" t="s">
        <v>121</v>
      </c>
      <c r="I764" t="s">
        <v>121</v>
      </c>
      <c r="P764">
        <f t="shared" si="67"/>
        <v>1</v>
      </c>
      <c r="Q764">
        <f t="shared" si="68"/>
        <v>0</v>
      </c>
      <c r="R764">
        <f t="shared" si="69"/>
        <v>0</v>
      </c>
      <c r="S764">
        <f t="shared" si="70"/>
        <v>0</v>
      </c>
      <c r="T764">
        <f t="shared" si="71"/>
        <v>0</v>
      </c>
      <c r="U764">
        <f t="shared" si="72"/>
        <v>0</v>
      </c>
    </row>
    <row r="765" spans="2:21">
      <c r="B765" s="102">
        <v>45177</v>
      </c>
      <c r="C765">
        <v>2.5</v>
      </c>
      <c r="D765" t="s">
        <v>120</v>
      </c>
      <c r="E765" t="s">
        <v>121</v>
      </c>
      <c r="F765" t="s">
        <v>121</v>
      </c>
      <c r="G765" t="s">
        <v>121</v>
      </c>
      <c r="H765" t="s">
        <v>121</v>
      </c>
      <c r="I765" t="s">
        <v>121</v>
      </c>
      <c r="P765">
        <f t="shared" si="67"/>
        <v>1</v>
      </c>
      <c r="Q765">
        <f t="shared" si="68"/>
        <v>0</v>
      </c>
      <c r="R765">
        <f t="shared" si="69"/>
        <v>0</v>
      </c>
      <c r="S765">
        <f t="shared" si="70"/>
        <v>0</v>
      </c>
      <c r="T765">
        <f t="shared" si="71"/>
        <v>0</v>
      </c>
      <c r="U765">
        <f t="shared" si="72"/>
        <v>0</v>
      </c>
    </row>
    <row r="766" spans="2:21">
      <c r="B766" s="102">
        <v>45178</v>
      </c>
      <c r="C766">
        <v>2.5</v>
      </c>
      <c r="D766" t="s">
        <v>120</v>
      </c>
      <c r="E766" t="s">
        <v>121</v>
      </c>
      <c r="F766" t="s">
        <v>121</v>
      </c>
      <c r="G766" t="s">
        <v>121</v>
      </c>
      <c r="H766" t="s">
        <v>121</v>
      </c>
      <c r="I766" t="s">
        <v>121</v>
      </c>
      <c r="P766">
        <f t="shared" si="67"/>
        <v>1</v>
      </c>
      <c r="Q766">
        <f t="shared" si="68"/>
        <v>0</v>
      </c>
      <c r="R766">
        <f t="shared" si="69"/>
        <v>0</v>
      </c>
      <c r="S766">
        <f t="shared" si="70"/>
        <v>0</v>
      </c>
      <c r="T766">
        <f t="shared" si="71"/>
        <v>0</v>
      </c>
      <c r="U766">
        <f t="shared" si="72"/>
        <v>0</v>
      </c>
    </row>
    <row r="767" spans="2:21">
      <c r="B767" s="102">
        <v>45179</v>
      </c>
      <c r="C767">
        <v>1.5</v>
      </c>
      <c r="D767" t="s">
        <v>121</v>
      </c>
      <c r="E767" t="s">
        <v>121</v>
      </c>
      <c r="F767" t="s">
        <v>121</v>
      </c>
      <c r="G767" t="s">
        <v>121</v>
      </c>
      <c r="H767" t="s">
        <v>121</v>
      </c>
      <c r="I767" t="s">
        <v>121</v>
      </c>
      <c r="K767">
        <v>176</v>
      </c>
      <c r="P767">
        <f t="shared" si="67"/>
        <v>0</v>
      </c>
      <c r="Q767">
        <f t="shared" si="68"/>
        <v>0</v>
      </c>
      <c r="R767">
        <f t="shared" si="69"/>
        <v>0</v>
      </c>
      <c r="S767">
        <f t="shared" si="70"/>
        <v>0</v>
      </c>
      <c r="T767">
        <f t="shared" si="71"/>
        <v>0</v>
      </c>
      <c r="U767">
        <f t="shared" si="72"/>
        <v>0</v>
      </c>
    </row>
    <row r="768" spans="2:21">
      <c r="B768" s="102">
        <v>45180</v>
      </c>
      <c r="C768">
        <v>2.5</v>
      </c>
      <c r="D768" t="s">
        <v>120</v>
      </c>
      <c r="E768" t="s">
        <v>120</v>
      </c>
      <c r="F768" t="s">
        <v>121</v>
      </c>
      <c r="G768" t="s">
        <v>121</v>
      </c>
      <c r="H768" t="s">
        <v>121</v>
      </c>
      <c r="I768" t="s">
        <v>121</v>
      </c>
      <c r="P768">
        <f t="shared" si="67"/>
        <v>1</v>
      </c>
      <c r="Q768">
        <f t="shared" si="68"/>
        <v>1</v>
      </c>
      <c r="R768">
        <f t="shared" si="69"/>
        <v>0</v>
      </c>
      <c r="S768">
        <f t="shared" si="70"/>
        <v>0</v>
      </c>
      <c r="T768">
        <f t="shared" si="71"/>
        <v>0</v>
      </c>
      <c r="U768">
        <f t="shared" si="72"/>
        <v>0</v>
      </c>
    </row>
    <row r="769" spans="2:21">
      <c r="B769" s="102">
        <v>45181</v>
      </c>
      <c r="C769">
        <v>2.5</v>
      </c>
      <c r="D769" t="s">
        <v>120</v>
      </c>
      <c r="E769" t="s">
        <v>121</v>
      </c>
      <c r="F769" t="s">
        <v>121</v>
      </c>
      <c r="G769" t="s">
        <v>121</v>
      </c>
      <c r="H769" t="s">
        <v>121</v>
      </c>
      <c r="I769" t="s">
        <v>121</v>
      </c>
      <c r="P769">
        <f t="shared" si="67"/>
        <v>1</v>
      </c>
      <c r="Q769">
        <f t="shared" si="68"/>
        <v>0</v>
      </c>
      <c r="R769">
        <f t="shared" si="69"/>
        <v>0</v>
      </c>
      <c r="S769">
        <f t="shared" si="70"/>
        <v>0</v>
      </c>
      <c r="T769">
        <f t="shared" si="71"/>
        <v>0</v>
      </c>
      <c r="U769">
        <f t="shared" si="72"/>
        <v>0</v>
      </c>
    </row>
    <row r="770" spans="2:21">
      <c r="B770" s="102">
        <v>45182</v>
      </c>
      <c r="C770">
        <v>2</v>
      </c>
      <c r="D770" t="s">
        <v>120</v>
      </c>
      <c r="E770" t="s">
        <v>121</v>
      </c>
      <c r="F770" t="s">
        <v>121</v>
      </c>
      <c r="G770" t="s">
        <v>121</v>
      </c>
      <c r="H770" t="s">
        <v>121</v>
      </c>
      <c r="I770" t="s">
        <v>121</v>
      </c>
      <c r="P770">
        <f t="shared" si="67"/>
        <v>1</v>
      </c>
      <c r="Q770">
        <f t="shared" si="68"/>
        <v>0</v>
      </c>
      <c r="R770">
        <f t="shared" si="69"/>
        <v>0</v>
      </c>
      <c r="S770">
        <f t="shared" si="70"/>
        <v>0</v>
      </c>
      <c r="T770">
        <f t="shared" si="71"/>
        <v>0</v>
      </c>
      <c r="U770">
        <f t="shared" si="72"/>
        <v>0</v>
      </c>
    </row>
    <row r="771" spans="2:21">
      <c r="B771" s="102">
        <v>45183</v>
      </c>
      <c r="C771">
        <v>2.5</v>
      </c>
      <c r="D771" t="s">
        <v>120</v>
      </c>
      <c r="E771" t="s">
        <v>121</v>
      </c>
      <c r="F771" t="s">
        <v>121</v>
      </c>
      <c r="G771" t="s">
        <v>121</v>
      </c>
      <c r="H771" t="s">
        <v>121</v>
      </c>
      <c r="I771" t="s">
        <v>121</v>
      </c>
      <c r="P771">
        <f t="shared" ref="P771:P834" si="73">IF(D771="YES", 1, 0)</f>
        <v>1</v>
      </c>
      <c r="Q771">
        <f t="shared" ref="Q771:Q834" si="74">IF(E771="YES", 1, 0)</f>
        <v>0</v>
      </c>
      <c r="R771">
        <f t="shared" ref="R771:R834" si="75">IF(F771="YES", 1, 0)</f>
        <v>0</v>
      </c>
      <c r="S771">
        <f t="shared" ref="S771:S834" si="76">IF(G771="YES", 1, 0)</f>
        <v>0</v>
      </c>
      <c r="T771">
        <f t="shared" ref="T771:T834" si="77">IF(H771="YES", 1, 0)</f>
        <v>0</v>
      </c>
      <c r="U771">
        <f t="shared" ref="U771:U834" si="78">IF(I771="YES", 1, 0)</f>
        <v>0</v>
      </c>
    </row>
    <row r="772" spans="2:21">
      <c r="B772" s="102">
        <v>45184</v>
      </c>
      <c r="C772">
        <v>2</v>
      </c>
      <c r="D772" t="s">
        <v>120</v>
      </c>
      <c r="E772" t="s">
        <v>121</v>
      </c>
      <c r="F772" t="s">
        <v>121</v>
      </c>
      <c r="G772" t="s">
        <v>121</v>
      </c>
      <c r="H772" t="s">
        <v>121</v>
      </c>
      <c r="I772" t="s">
        <v>121</v>
      </c>
      <c r="P772">
        <f t="shared" si="73"/>
        <v>1</v>
      </c>
      <c r="Q772">
        <f t="shared" si="74"/>
        <v>0</v>
      </c>
      <c r="R772">
        <f t="shared" si="75"/>
        <v>0</v>
      </c>
      <c r="S772">
        <f t="shared" si="76"/>
        <v>0</v>
      </c>
      <c r="T772">
        <f t="shared" si="77"/>
        <v>0</v>
      </c>
      <c r="U772">
        <f t="shared" si="78"/>
        <v>0</v>
      </c>
    </row>
    <row r="773" spans="2:21">
      <c r="B773" s="102">
        <v>45185</v>
      </c>
      <c r="C773">
        <v>1.5</v>
      </c>
      <c r="D773" t="s">
        <v>120</v>
      </c>
      <c r="E773" t="s">
        <v>121</v>
      </c>
      <c r="F773" t="s">
        <v>121</v>
      </c>
      <c r="G773" t="s">
        <v>120</v>
      </c>
      <c r="H773" t="s">
        <v>121</v>
      </c>
      <c r="I773" t="s">
        <v>121</v>
      </c>
      <c r="P773">
        <f t="shared" si="73"/>
        <v>1</v>
      </c>
      <c r="Q773">
        <f t="shared" si="74"/>
        <v>0</v>
      </c>
      <c r="R773">
        <f t="shared" si="75"/>
        <v>0</v>
      </c>
      <c r="S773">
        <f t="shared" si="76"/>
        <v>1</v>
      </c>
      <c r="T773">
        <f t="shared" si="77"/>
        <v>0</v>
      </c>
      <c r="U773">
        <f t="shared" si="78"/>
        <v>0</v>
      </c>
    </row>
    <row r="774" spans="2:21">
      <c r="B774" s="102">
        <v>45186</v>
      </c>
      <c r="C774">
        <v>2.5</v>
      </c>
      <c r="D774" t="s">
        <v>121</v>
      </c>
      <c r="E774" t="s">
        <v>121</v>
      </c>
      <c r="F774" t="s">
        <v>121</v>
      </c>
      <c r="G774" t="s">
        <v>121</v>
      </c>
      <c r="H774" t="s">
        <v>120</v>
      </c>
      <c r="I774" t="s">
        <v>121</v>
      </c>
      <c r="K774">
        <v>177.8</v>
      </c>
      <c r="P774">
        <f t="shared" si="73"/>
        <v>0</v>
      </c>
      <c r="Q774">
        <f t="shared" si="74"/>
        <v>0</v>
      </c>
      <c r="R774">
        <f t="shared" si="75"/>
        <v>0</v>
      </c>
      <c r="S774">
        <f t="shared" si="76"/>
        <v>0</v>
      </c>
      <c r="T774">
        <f t="shared" si="77"/>
        <v>1</v>
      </c>
      <c r="U774">
        <f t="shared" si="78"/>
        <v>0</v>
      </c>
    </row>
    <row r="775" spans="2:21">
      <c r="B775" s="102">
        <v>45187</v>
      </c>
      <c r="C775">
        <v>2.5</v>
      </c>
      <c r="D775" t="s">
        <v>120</v>
      </c>
      <c r="E775" t="s">
        <v>121</v>
      </c>
      <c r="F775" t="s">
        <v>121</v>
      </c>
      <c r="G775" t="s">
        <v>121</v>
      </c>
      <c r="H775" t="s">
        <v>121</v>
      </c>
      <c r="I775" t="s">
        <v>121</v>
      </c>
      <c r="P775">
        <f t="shared" si="73"/>
        <v>1</v>
      </c>
      <c r="Q775">
        <f t="shared" si="74"/>
        <v>0</v>
      </c>
      <c r="R775">
        <f t="shared" si="75"/>
        <v>0</v>
      </c>
      <c r="S775">
        <f t="shared" si="76"/>
        <v>0</v>
      </c>
      <c r="T775">
        <f t="shared" si="77"/>
        <v>0</v>
      </c>
      <c r="U775">
        <f t="shared" si="78"/>
        <v>0</v>
      </c>
    </row>
    <row r="776" spans="2:21">
      <c r="B776" s="102">
        <v>45188</v>
      </c>
      <c r="C776">
        <v>2.5</v>
      </c>
      <c r="D776" t="s">
        <v>120</v>
      </c>
      <c r="E776" t="s">
        <v>121</v>
      </c>
      <c r="F776" t="s">
        <v>121</v>
      </c>
      <c r="G776" t="s">
        <v>121</v>
      </c>
      <c r="H776" t="s">
        <v>121</v>
      </c>
      <c r="I776" t="s">
        <v>121</v>
      </c>
      <c r="P776">
        <f t="shared" si="73"/>
        <v>1</v>
      </c>
      <c r="Q776">
        <f t="shared" si="74"/>
        <v>0</v>
      </c>
      <c r="R776">
        <f t="shared" si="75"/>
        <v>0</v>
      </c>
      <c r="S776">
        <f t="shared" si="76"/>
        <v>0</v>
      </c>
      <c r="T776">
        <f t="shared" si="77"/>
        <v>0</v>
      </c>
      <c r="U776">
        <f t="shared" si="78"/>
        <v>0</v>
      </c>
    </row>
    <row r="777" spans="2:21">
      <c r="B777" s="102">
        <v>45189</v>
      </c>
      <c r="C777">
        <v>2.5</v>
      </c>
      <c r="D777" t="s">
        <v>120</v>
      </c>
      <c r="E777" t="s">
        <v>121</v>
      </c>
      <c r="F777" t="s">
        <v>121</v>
      </c>
      <c r="G777" t="s">
        <v>121</v>
      </c>
      <c r="H777" t="s">
        <v>121</v>
      </c>
      <c r="I777" t="s">
        <v>121</v>
      </c>
      <c r="P777">
        <f t="shared" si="73"/>
        <v>1</v>
      </c>
      <c r="Q777">
        <f t="shared" si="74"/>
        <v>0</v>
      </c>
      <c r="R777">
        <f t="shared" si="75"/>
        <v>0</v>
      </c>
      <c r="S777">
        <f t="shared" si="76"/>
        <v>0</v>
      </c>
      <c r="T777">
        <f t="shared" si="77"/>
        <v>0</v>
      </c>
      <c r="U777">
        <f t="shared" si="78"/>
        <v>0</v>
      </c>
    </row>
    <row r="778" spans="2:21">
      <c r="B778" s="102">
        <v>45190</v>
      </c>
      <c r="C778">
        <v>2.5</v>
      </c>
      <c r="D778" t="s">
        <v>120</v>
      </c>
      <c r="E778" t="s">
        <v>120</v>
      </c>
      <c r="F778" t="s">
        <v>121</v>
      </c>
      <c r="G778" t="s">
        <v>121</v>
      </c>
      <c r="H778" t="s">
        <v>121</v>
      </c>
      <c r="I778" t="s">
        <v>120</v>
      </c>
      <c r="P778">
        <f t="shared" si="73"/>
        <v>1</v>
      </c>
      <c r="Q778">
        <f t="shared" si="74"/>
        <v>1</v>
      </c>
      <c r="R778">
        <f t="shared" si="75"/>
        <v>0</v>
      </c>
      <c r="S778">
        <f t="shared" si="76"/>
        <v>0</v>
      </c>
      <c r="T778">
        <f t="shared" si="77"/>
        <v>0</v>
      </c>
      <c r="U778">
        <f t="shared" si="78"/>
        <v>1</v>
      </c>
    </row>
    <row r="779" spans="2:21">
      <c r="B779" s="102">
        <v>45191</v>
      </c>
      <c r="C779">
        <v>2.5</v>
      </c>
      <c r="D779" t="s">
        <v>120</v>
      </c>
      <c r="E779" t="s">
        <v>121</v>
      </c>
      <c r="F779" t="s">
        <v>121</v>
      </c>
      <c r="G779" t="s">
        <v>121</v>
      </c>
      <c r="H779" t="s">
        <v>121</v>
      </c>
      <c r="I779" t="s">
        <v>121</v>
      </c>
      <c r="P779">
        <f t="shared" si="73"/>
        <v>1</v>
      </c>
      <c r="Q779">
        <f t="shared" si="74"/>
        <v>0</v>
      </c>
      <c r="R779">
        <f t="shared" si="75"/>
        <v>0</v>
      </c>
      <c r="S779">
        <f t="shared" si="76"/>
        <v>0</v>
      </c>
      <c r="T779">
        <f t="shared" si="77"/>
        <v>0</v>
      </c>
      <c r="U779">
        <f t="shared" si="78"/>
        <v>0</v>
      </c>
    </row>
    <row r="780" spans="2:21">
      <c r="B780" s="102">
        <v>45192</v>
      </c>
      <c r="C780">
        <v>2</v>
      </c>
      <c r="D780" t="s">
        <v>121</v>
      </c>
      <c r="E780" t="s">
        <v>121</v>
      </c>
      <c r="F780" t="s">
        <v>121</v>
      </c>
      <c r="G780" t="s">
        <v>121</v>
      </c>
      <c r="H780" t="s">
        <v>121</v>
      </c>
      <c r="I780" t="s">
        <v>121</v>
      </c>
      <c r="P780">
        <f t="shared" si="73"/>
        <v>0</v>
      </c>
      <c r="Q780">
        <f t="shared" si="74"/>
        <v>0</v>
      </c>
      <c r="R780">
        <f t="shared" si="75"/>
        <v>0</v>
      </c>
      <c r="S780">
        <f t="shared" si="76"/>
        <v>0</v>
      </c>
      <c r="T780">
        <f t="shared" si="77"/>
        <v>0</v>
      </c>
      <c r="U780">
        <f t="shared" si="78"/>
        <v>0</v>
      </c>
    </row>
    <row r="781" spans="2:21">
      <c r="B781" s="102">
        <v>45193</v>
      </c>
      <c r="C781">
        <v>2.5</v>
      </c>
      <c r="D781" t="s">
        <v>121</v>
      </c>
      <c r="E781" t="s">
        <v>121</v>
      </c>
      <c r="F781" t="s">
        <v>121</v>
      </c>
      <c r="G781" t="s">
        <v>121</v>
      </c>
      <c r="H781" t="s">
        <v>121</v>
      </c>
      <c r="I781" t="s">
        <v>121</v>
      </c>
      <c r="P781">
        <f t="shared" si="73"/>
        <v>0</v>
      </c>
      <c r="Q781">
        <f t="shared" si="74"/>
        <v>0</v>
      </c>
      <c r="R781">
        <f t="shared" si="75"/>
        <v>0</v>
      </c>
      <c r="S781">
        <f t="shared" si="76"/>
        <v>0</v>
      </c>
      <c r="T781">
        <f t="shared" si="77"/>
        <v>0</v>
      </c>
      <c r="U781">
        <f t="shared" si="78"/>
        <v>0</v>
      </c>
    </row>
    <row r="782" spans="2:21">
      <c r="B782" s="102">
        <v>45194</v>
      </c>
      <c r="C782">
        <v>2.5</v>
      </c>
      <c r="D782" t="s">
        <v>120</v>
      </c>
      <c r="E782" t="s">
        <v>121</v>
      </c>
      <c r="F782" t="s">
        <v>121</v>
      </c>
      <c r="G782" t="s">
        <v>121</v>
      </c>
      <c r="H782" t="s">
        <v>121</v>
      </c>
      <c r="I782" t="s">
        <v>121</v>
      </c>
      <c r="P782">
        <f t="shared" si="73"/>
        <v>1</v>
      </c>
      <c r="Q782">
        <f t="shared" si="74"/>
        <v>0</v>
      </c>
      <c r="R782">
        <f t="shared" si="75"/>
        <v>0</v>
      </c>
      <c r="S782">
        <f t="shared" si="76"/>
        <v>0</v>
      </c>
      <c r="T782">
        <f t="shared" si="77"/>
        <v>0</v>
      </c>
      <c r="U782">
        <f t="shared" si="78"/>
        <v>0</v>
      </c>
    </row>
    <row r="783" spans="2:21">
      <c r="B783" s="102">
        <v>45195</v>
      </c>
      <c r="C783">
        <v>1.5</v>
      </c>
      <c r="D783" t="s">
        <v>120</v>
      </c>
      <c r="E783" t="s">
        <v>121</v>
      </c>
      <c r="F783" t="s">
        <v>120</v>
      </c>
      <c r="G783" t="s">
        <v>121</v>
      </c>
      <c r="H783" t="s">
        <v>121</v>
      </c>
      <c r="I783" t="s">
        <v>121</v>
      </c>
      <c r="P783">
        <f t="shared" si="73"/>
        <v>1</v>
      </c>
      <c r="Q783">
        <f t="shared" si="74"/>
        <v>0</v>
      </c>
      <c r="R783">
        <f t="shared" si="75"/>
        <v>1</v>
      </c>
      <c r="S783">
        <f t="shared" si="76"/>
        <v>0</v>
      </c>
      <c r="T783">
        <f t="shared" si="77"/>
        <v>0</v>
      </c>
      <c r="U783">
        <f t="shared" si="78"/>
        <v>0</v>
      </c>
    </row>
    <row r="784" spans="2:21">
      <c r="B784" s="102">
        <v>45196</v>
      </c>
      <c r="C784">
        <v>2.5</v>
      </c>
      <c r="D784" t="s">
        <v>120</v>
      </c>
      <c r="E784" t="s">
        <v>121</v>
      </c>
      <c r="F784" t="s">
        <v>121</v>
      </c>
      <c r="G784" t="s">
        <v>121</v>
      </c>
      <c r="H784" t="s">
        <v>121</v>
      </c>
      <c r="I784" t="s">
        <v>121</v>
      </c>
      <c r="P784">
        <f t="shared" si="73"/>
        <v>1</v>
      </c>
      <c r="Q784">
        <f t="shared" si="74"/>
        <v>0</v>
      </c>
      <c r="R784">
        <f t="shared" si="75"/>
        <v>0</v>
      </c>
      <c r="S784">
        <f t="shared" si="76"/>
        <v>0</v>
      </c>
      <c r="T784">
        <f t="shared" si="77"/>
        <v>0</v>
      </c>
      <c r="U784">
        <f t="shared" si="78"/>
        <v>0</v>
      </c>
    </row>
    <row r="785" spans="2:21">
      <c r="B785" s="102">
        <v>45197</v>
      </c>
      <c r="C785">
        <v>2.5</v>
      </c>
      <c r="D785" t="s">
        <v>120</v>
      </c>
      <c r="E785" t="s">
        <v>121</v>
      </c>
      <c r="F785" t="s">
        <v>121</v>
      </c>
      <c r="G785" t="s">
        <v>121</v>
      </c>
      <c r="H785" t="s">
        <v>121</v>
      </c>
      <c r="I785" t="s">
        <v>121</v>
      </c>
      <c r="P785">
        <f t="shared" si="73"/>
        <v>1</v>
      </c>
      <c r="Q785">
        <f t="shared" si="74"/>
        <v>0</v>
      </c>
      <c r="R785">
        <f t="shared" si="75"/>
        <v>0</v>
      </c>
      <c r="S785">
        <f t="shared" si="76"/>
        <v>0</v>
      </c>
      <c r="T785">
        <f t="shared" si="77"/>
        <v>0</v>
      </c>
      <c r="U785">
        <f t="shared" si="78"/>
        <v>0</v>
      </c>
    </row>
    <row r="786" spans="2:21">
      <c r="B786" s="102">
        <v>45198</v>
      </c>
      <c r="C786">
        <v>2.5</v>
      </c>
      <c r="D786" t="s">
        <v>120</v>
      </c>
      <c r="E786" t="s">
        <v>120</v>
      </c>
      <c r="F786" t="s">
        <v>121</v>
      </c>
      <c r="G786" t="s">
        <v>121</v>
      </c>
      <c r="H786" t="s">
        <v>121</v>
      </c>
      <c r="I786" t="s">
        <v>121</v>
      </c>
      <c r="P786">
        <f t="shared" si="73"/>
        <v>1</v>
      </c>
      <c r="Q786">
        <f t="shared" si="74"/>
        <v>1</v>
      </c>
      <c r="R786">
        <f t="shared" si="75"/>
        <v>0</v>
      </c>
      <c r="S786">
        <f t="shared" si="76"/>
        <v>0</v>
      </c>
      <c r="T786">
        <f t="shared" si="77"/>
        <v>0</v>
      </c>
      <c r="U786">
        <f t="shared" si="78"/>
        <v>0</v>
      </c>
    </row>
    <row r="787" spans="2:21">
      <c r="B787" s="102">
        <v>45199</v>
      </c>
      <c r="C787">
        <v>3</v>
      </c>
      <c r="D787" t="s">
        <v>121</v>
      </c>
      <c r="E787" t="s">
        <v>121</v>
      </c>
      <c r="F787" t="s">
        <v>121</v>
      </c>
      <c r="G787" t="s">
        <v>120</v>
      </c>
      <c r="H787" t="s">
        <v>121</v>
      </c>
      <c r="I787" t="s">
        <v>121</v>
      </c>
      <c r="P787">
        <f t="shared" si="73"/>
        <v>0</v>
      </c>
      <c r="Q787">
        <f t="shared" si="74"/>
        <v>0</v>
      </c>
      <c r="R787">
        <f t="shared" si="75"/>
        <v>0</v>
      </c>
      <c r="S787">
        <f t="shared" si="76"/>
        <v>1</v>
      </c>
      <c r="T787">
        <f t="shared" si="77"/>
        <v>0</v>
      </c>
      <c r="U787">
        <f t="shared" si="78"/>
        <v>0</v>
      </c>
    </row>
    <row r="788" spans="2:21">
      <c r="B788" s="102">
        <v>45200</v>
      </c>
      <c r="C788">
        <v>2.5</v>
      </c>
      <c r="D788" t="s">
        <v>121</v>
      </c>
      <c r="E788" t="s">
        <v>121</v>
      </c>
      <c r="F788" t="s">
        <v>121</v>
      </c>
      <c r="G788" t="s">
        <v>121</v>
      </c>
      <c r="H788" t="s">
        <v>121</v>
      </c>
      <c r="I788" t="s">
        <v>121</v>
      </c>
      <c r="K788">
        <v>178.6</v>
      </c>
      <c r="P788">
        <f t="shared" si="73"/>
        <v>0</v>
      </c>
      <c r="Q788">
        <f t="shared" si="74"/>
        <v>0</v>
      </c>
      <c r="R788">
        <f t="shared" si="75"/>
        <v>0</v>
      </c>
      <c r="S788">
        <f t="shared" si="76"/>
        <v>0</v>
      </c>
      <c r="T788">
        <f t="shared" si="77"/>
        <v>0</v>
      </c>
      <c r="U788">
        <f t="shared" si="78"/>
        <v>0</v>
      </c>
    </row>
    <row r="789" spans="2:21">
      <c r="B789" s="102">
        <v>45201</v>
      </c>
      <c r="C789">
        <v>1.5</v>
      </c>
      <c r="D789" t="s">
        <v>120</v>
      </c>
      <c r="E789" t="s">
        <v>120</v>
      </c>
      <c r="F789" t="s">
        <v>121</v>
      </c>
      <c r="G789" t="s">
        <v>121</v>
      </c>
      <c r="H789" t="s">
        <v>121</v>
      </c>
      <c r="I789" t="s">
        <v>120</v>
      </c>
      <c r="P789">
        <f t="shared" si="73"/>
        <v>1</v>
      </c>
      <c r="Q789">
        <f t="shared" si="74"/>
        <v>1</v>
      </c>
      <c r="R789">
        <f t="shared" si="75"/>
        <v>0</v>
      </c>
      <c r="S789">
        <f t="shared" si="76"/>
        <v>0</v>
      </c>
      <c r="T789">
        <f t="shared" si="77"/>
        <v>0</v>
      </c>
      <c r="U789">
        <f t="shared" si="78"/>
        <v>1</v>
      </c>
    </row>
    <row r="790" spans="2:21">
      <c r="B790" s="102">
        <v>45202</v>
      </c>
      <c r="C790">
        <v>1.5</v>
      </c>
      <c r="D790" t="s">
        <v>121</v>
      </c>
      <c r="E790" t="s">
        <v>121</v>
      </c>
      <c r="F790" t="s">
        <v>121</v>
      </c>
      <c r="G790" t="s">
        <v>121</v>
      </c>
      <c r="H790" t="s">
        <v>121</v>
      </c>
      <c r="I790" t="s">
        <v>121</v>
      </c>
      <c r="P790">
        <f t="shared" si="73"/>
        <v>0</v>
      </c>
      <c r="Q790">
        <f t="shared" si="74"/>
        <v>0</v>
      </c>
      <c r="R790">
        <f t="shared" si="75"/>
        <v>0</v>
      </c>
      <c r="S790">
        <f t="shared" si="76"/>
        <v>0</v>
      </c>
      <c r="T790">
        <f t="shared" si="77"/>
        <v>0</v>
      </c>
      <c r="U790">
        <f t="shared" si="78"/>
        <v>0</v>
      </c>
    </row>
    <row r="791" spans="2:21">
      <c r="B791" s="102">
        <v>45203</v>
      </c>
      <c r="C791">
        <v>3</v>
      </c>
      <c r="D791" t="s">
        <v>120</v>
      </c>
      <c r="E791" t="s">
        <v>121</v>
      </c>
      <c r="F791" t="s">
        <v>121</v>
      </c>
      <c r="G791" t="s">
        <v>121</v>
      </c>
      <c r="H791" t="s">
        <v>121</v>
      </c>
      <c r="I791" t="s">
        <v>121</v>
      </c>
      <c r="P791">
        <f t="shared" si="73"/>
        <v>1</v>
      </c>
      <c r="Q791">
        <f t="shared" si="74"/>
        <v>0</v>
      </c>
      <c r="R791">
        <f t="shared" si="75"/>
        <v>0</v>
      </c>
      <c r="S791">
        <f t="shared" si="76"/>
        <v>0</v>
      </c>
      <c r="T791">
        <f t="shared" si="77"/>
        <v>0</v>
      </c>
      <c r="U791">
        <f t="shared" si="78"/>
        <v>0</v>
      </c>
    </row>
    <row r="792" spans="2:21">
      <c r="B792" s="102">
        <v>45204</v>
      </c>
      <c r="C792">
        <v>2.5</v>
      </c>
      <c r="D792" t="s">
        <v>120</v>
      </c>
      <c r="E792" t="s">
        <v>121</v>
      </c>
      <c r="F792" t="s">
        <v>121</v>
      </c>
      <c r="G792" t="s">
        <v>121</v>
      </c>
      <c r="H792" t="s">
        <v>121</v>
      </c>
      <c r="I792" t="s">
        <v>121</v>
      </c>
      <c r="P792">
        <f t="shared" si="73"/>
        <v>1</v>
      </c>
      <c r="Q792">
        <f t="shared" si="74"/>
        <v>0</v>
      </c>
      <c r="R792">
        <f t="shared" si="75"/>
        <v>0</v>
      </c>
      <c r="S792">
        <f t="shared" si="76"/>
        <v>0</v>
      </c>
      <c r="T792">
        <f t="shared" si="77"/>
        <v>0</v>
      </c>
      <c r="U792">
        <f t="shared" si="78"/>
        <v>0</v>
      </c>
    </row>
    <row r="793" spans="2:21">
      <c r="B793" s="102">
        <v>45205</v>
      </c>
      <c r="C793">
        <v>3</v>
      </c>
      <c r="D793" t="s">
        <v>120</v>
      </c>
      <c r="E793" t="s">
        <v>121</v>
      </c>
      <c r="F793" t="s">
        <v>121</v>
      </c>
      <c r="G793" t="s">
        <v>121</v>
      </c>
      <c r="H793" t="s">
        <v>121</v>
      </c>
      <c r="I793" t="s">
        <v>121</v>
      </c>
      <c r="P793">
        <f t="shared" si="73"/>
        <v>1</v>
      </c>
      <c r="Q793">
        <f t="shared" si="74"/>
        <v>0</v>
      </c>
      <c r="R793">
        <f t="shared" si="75"/>
        <v>0</v>
      </c>
      <c r="S793">
        <f t="shared" si="76"/>
        <v>0</v>
      </c>
      <c r="T793">
        <f t="shared" si="77"/>
        <v>0</v>
      </c>
      <c r="U793">
        <f t="shared" si="78"/>
        <v>0</v>
      </c>
    </row>
    <row r="794" spans="2:21">
      <c r="B794" s="102">
        <v>45206</v>
      </c>
      <c r="C794">
        <v>2</v>
      </c>
      <c r="D794" t="s">
        <v>120</v>
      </c>
      <c r="E794" t="s">
        <v>121</v>
      </c>
      <c r="F794" t="s">
        <v>121</v>
      </c>
      <c r="G794" t="s">
        <v>121</v>
      </c>
      <c r="H794" t="s">
        <v>121</v>
      </c>
      <c r="I794" t="s">
        <v>121</v>
      </c>
      <c r="P794">
        <f t="shared" si="73"/>
        <v>1</v>
      </c>
      <c r="Q794">
        <f t="shared" si="74"/>
        <v>0</v>
      </c>
      <c r="R794">
        <f t="shared" si="75"/>
        <v>0</v>
      </c>
      <c r="S794">
        <f t="shared" si="76"/>
        <v>0</v>
      </c>
      <c r="T794">
        <f t="shared" si="77"/>
        <v>0</v>
      </c>
      <c r="U794">
        <f t="shared" si="78"/>
        <v>0</v>
      </c>
    </row>
    <row r="795" spans="2:21">
      <c r="B795" s="102">
        <v>45207</v>
      </c>
      <c r="C795">
        <v>2.5</v>
      </c>
      <c r="D795" t="s">
        <v>121</v>
      </c>
      <c r="E795" t="s">
        <v>121</v>
      </c>
      <c r="F795" t="s">
        <v>121</v>
      </c>
      <c r="G795" t="s">
        <v>121</v>
      </c>
      <c r="H795" t="s">
        <v>121</v>
      </c>
      <c r="I795" t="s">
        <v>121</v>
      </c>
      <c r="K795">
        <v>177.8</v>
      </c>
      <c r="P795">
        <f t="shared" si="73"/>
        <v>0</v>
      </c>
      <c r="Q795">
        <f t="shared" si="74"/>
        <v>0</v>
      </c>
      <c r="R795">
        <f t="shared" si="75"/>
        <v>0</v>
      </c>
      <c r="S795">
        <f t="shared" si="76"/>
        <v>0</v>
      </c>
      <c r="T795">
        <f t="shared" si="77"/>
        <v>0</v>
      </c>
      <c r="U795">
        <f t="shared" si="78"/>
        <v>0</v>
      </c>
    </row>
    <row r="796" spans="2:21">
      <c r="B796" s="102">
        <v>45208</v>
      </c>
      <c r="C796">
        <v>1.5</v>
      </c>
      <c r="D796" t="s">
        <v>120</v>
      </c>
      <c r="E796" t="s">
        <v>121</v>
      </c>
      <c r="F796" t="s">
        <v>121</v>
      </c>
      <c r="G796" t="s">
        <v>121</v>
      </c>
      <c r="H796" t="s">
        <v>121</v>
      </c>
      <c r="I796" t="s">
        <v>121</v>
      </c>
      <c r="P796">
        <f t="shared" si="73"/>
        <v>1</v>
      </c>
      <c r="Q796">
        <f t="shared" si="74"/>
        <v>0</v>
      </c>
      <c r="R796">
        <f t="shared" si="75"/>
        <v>0</v>
      </c>
      <c r="S796">
        <f t="shared" si="76"/>
        <v>0</v>
      </c>
      <c r="T796">
        <f t="shared" si="77"/>
        <v>0</v>
      </c>
      <c r="U796">
        <f t="shared" si="78"/>
        <v>0</v>
      </c>
    </row>
    <row r="797" spans="2:21">
      <c r="B797" s="102">
        <v>45209</v>
      </c>
      <c r="C797">
        <v>2</v>
      </c>
      <c r="D797" t="s">
        <v>120</v>
      </c>
      <c r="E797" t="s">
        <v>121</v>
      </c>
      <c r="F797" t="s">
        <v>121</v>
      </c>
      <c r="G797" t="s">
        <v>121</v>
      </c>
      <c r="H797" t="s">
        <v>121</v>
      </c>
      <c r="I797" t="s">
        <v>121</v>
      </c>
      <c r="P797">
        <f t="shared" si="73"/>
        <v>1</v>
      </c>
      <c r="Q797">
        <f t="shared" si="74"/>
        <v>0</v>
      </c>
      <c r="R797">
        <f t="shared" si="75"/>
        <v>0</v>
      </c>
      <c r="S797">
        <f t="shared" si="76"/>
        <v>0</v>
      </c>
      <c r="T797">
        <f t="shared" si="77"/>
        <v>0</v>
      </c>
      <c r="U797">
        <f t="shared" si="78"/>
        <v>0</v>
      </c>
    </row>
    <row r="798" spans="2:21">
      <c r="B798" s="102">
        <v>45210</v>
      </c>
      <c r="C798">
        <v>2.5</v>
      </c>
      <c r="D798" t="s">
        <v>120</v>
      </c>
      <c r="E798" t="s">
        <v>121</v>
      </c>
      <c r="F798" t="s">
        <v>121</v>
      </c>
      <c r="G798" t="s">
        <v>121</v>
      </c>
      <c r="H798" t="s">
        <v>121</v>
      </c>
      <c r="I798" t="s">
        <v>121</v>
      </c>
      <c r="P798">
        <f t="shared" si="73"/>
        <v>1</v>
      </c>
      <c r="Q798">
        <f t="shared" si="74"/>
        <v>0</v>
      </c>
      <c r="R798">
        <f t="shared" si="75"/>
        <v>0</v>
      </c>
      <c r="S798">
        <f t="shared" si="76"/>
        <v>0</v>
      </c>
      <c r="T798">
        <f t="shared" si="77"/>
        <v>0</v>
      </c>
      <c r="U798">
        <f t="shared" si="78"/>
        <v>0</v>
      </c>
    </row>
    <row r="799" spans="2:21">
      <c r="B799" s="102">
        <v>45211</v>
      </c>
      <c r="C799">
        <v>2.5</v>
      </c>
      <c r="D799" t="s">
        <v>120</v>
      </c>
      <c r="E799" t="s">
        <v>121</v>
      </c>
      <c r="F799" t="s">
        <v>121</v>
      </c>
      <c r="G799" t="s">
        <v>121</v>
      </c>
      <c r="H799" t="s">
        <v>121</v>
      </c>
      <c r="I799" t="s">
        <v>121</v>
      </c>
      <c r="P799">
        <f t="shared" si="73"/>
        <v>1</v>
      </c>
      <c r="Q799">
        <f t="shared" si="74"/>
        <v>0</v>
      </c>
      <c r="R799">
        <f t="shared" si="75"/>
        <v>0</v>
      </c>
      <c r="S799">
        <f t="shared" si="76"/>
        <v>0</v>
      </c>
      <c r="T799">
        <f t="shared" si="77"/>
        <v>0</v>
      </c>
      <c r="U799">
        <f t="shared" si="78"/>
        <v>0</v>
      </c>
    </row>
    <row r="800" spans="2:21">
      <c r="B800" s="102">
        <v>45212</v>
      </c>
      <c r="C800">
        <v>3</v>
      </c>
      <c r="D800" t="s">
        <v>120</v>
      </c>
      <c r="E800" t="s">
        <v>121</v>
      </c>
      <c r="F800" t="s">
        <v>121</v>
      </c>
      <c r="G800" t="s">
        <v>121</v>
      </c>
      <c r="H800" t="s">
        <v>121</v>
      </c>
      <c r="I800" t="s">
        <v>121</v>
      </c>
      <c r="P800">
        <f t="shared" si="73"/>
        <v>1</v>
      </c>
      <c r="Q800">
        <f t="shared" si="74"/>
        <v>0</v>
      </c>
      <c r="R800">
        <f t="shared" si="75"/>
        <v>0</v>
      </c>
      <c r="S800">
        <f t="shared" si="76"/>
        <v>0</v>
      </c>
      <c r="T800">
        <f t="shared" si="77"/>
        <v>0</v>
      </c>
      <c r="U800">
        <f t="shared" si="78"/>
        <v>0</v>
      </c>
    </row>
    <row r="801" spans="2:21">
      <c r="B801" s="102">
        <v>45213</v>
      </c>
      <c r="C801">
        <v>3</v>
      </c>
      <c r="D801" t="s">
        <v>121</v>
      </c>
      <c r="E801" t="s">
        <v>120</v>
      </c>
      <c r="F801" t="s">
        <v>121</v>
      </c>
      <c r="G801" t="s">
        <v>120</v>
      </c>
      <c r="H801" t="s">
        <v>121</v>
      </c>
      <c r="I801" t="s">
        <v>121</v>
      </c>
      <c r="P801">
        <f t="shared" si="73"/>
        <v>0</v>
      </c>
      <c r="Q801">
        <f t="shared" si="74"/>
        <v>1</v>
      </c>
      <c r="R801">
        <f t="shared" si="75"/>
        <v>0</v>
      </c>
      <c r="S801">
        <f t="shared" si="76"/>
        <v>1</v>
      </c>
      <c r="T801">
        <f t="shared" si="77"/>
        <v>0</v>
      </c>
      <c r="U801">
        <f t="shared" si="78"/>
        <v>0</v>
      </c>
    </row>
    <row r="802" spans="2:21">
      <c r="B802" s="102">
        <v>45214</v>
      </c>
      <c r="C802">
        <v>2</v>
      </c>
      <c r="D802" t="s">
        <v>121</v>
      </c>
      <c r="E802" t="s">
        <v>121</v>
      </c>
      <c r="F802" t="s">
        <v>121</v>
      </c>
      <c r="G802" t="s">
        <v>121</v>
      </c>
      <c r="H802" t="s">
        <v>121</v>
      </c>
      <c r="I802" t="s">
        <v>121</v>
      </c>
      <c r="K802">
        <v>182.8</v>
      </c>
      <c r="P802">
        <f t="shared" si="73"/>
        <v>0</v>
      </c>
      <c r="Q802">
        <f t="shared" si="74"/>
        <v>0</v>
      </c>
      <c r="R802">
        <f t="shared" si="75"/>
        <v>0</v>
      </c>
      <c r="S802">
        <f t="shared" si="76"/>
        <v>0</v>
      </c>
      <c r="T802">
        <f t="shared" si="77"/>
        <v>0</v>
      </c>
      <c r="U802">
        <f t="shared" si="78"/>
        <v>0</v>
      </c>
    </row>
    <row r="803" spans="2:21">
      <c r="B803" s="102">
        <v>45215</v>
      </c>
      <c r="C803">
        <v>2.5</v>
      </c>
      <c r="D803" t="s">
        <v>120</v>
      </c>
      <c r="E803" t="s">
        <v>121</v>
      </c>
      <c r="F803" t="s">
        <v>121</v>
      </c>
      <c r="G803" t="s">
        <v>121</v>
      </c>
      <c r="H803" t="s">
        <v>121</v>
      </c>
      <c r="I803" t="s">
        <v>121</v>
      </c>
      <c r="P803">
        <f t="shared" si="73"/>
        <v>1</v>
      </c>
      <c r="Q803">
        <f t="shared" si="74"/>
        <v>0</v>
      </c>
      <c r="R803">
        <f t="shared" si="75"/>
        <v>0</v>
      </c>
      <c r="S803">
        <f t="shared" si="76"/>
        <v>0</v>
      </c>
      <c r="T803">
        <f t="shared" si="77"/>
        <v>0</v>
      </c>
      <c r="U803">
        <f t="shared" si="78"/>
        <v>0</v>
      </c>
    </row>
    <row r="804" spans="2:21">
      <c r="B804" s="102">
        <v>45216</v>
      </c>
      <c r="C804">
        <v>3</v>
      </c>
      <c r="D804" t="s">
        <v>120</v>
      </c>
      <c r="E804" t="s">
        <v>121</v>
      </c>
      <c r="F804" t="s">
        <v>121</v>
      </c>
      <c r="G804" t="s">
        <v>121</v>
      </c>
      <c r="H804" t="s">
        <v>121</v>
      </c>
      <c r="I804" t="s">
        <v>121</v>
      </c>
      <c r="P804">
        <f t="shared" si="73"/>
        <v>1</v>
      </c>
      <c r="Q804">
        <f t="shared" si="74"/>
        <v>0</v>
      </c>
      <c r="R804">
        <f t="shared" si="75"/>
        <v>0</v>
      </c>
      <c r="S804">
        <f t="shared" si="76"/>
        <v>0</v>
      </c>
      <c r="T804">
        <f t="shared" si="77"/>
        <v>0</v>
      </c>
      <c r="U804">
        <f t="shared" si="78"/>
        <v>0</v>
      </c>
    </row>
    <row r="805" spans="2:21">
      <c r="B805" s="102">
        <v>45217</v>
      </c>
      <c r="C805">
        <v>3</v>
      </c>
      <c r="D805" t="s">
        <v>121</v>
      </c>
      <c r="E805" t="s">
        <v>121</v>
      </c>
      <c r="F805" t="s">
        <v>121</v>
      </c>
      <c r="G805" t="s">
        <v>121</v>
      </c>
      <c r="H805" t="s">
        <v>121</v>
      </c>
      <c r="I805" t="s">
        <v>121</v>
      </c>
      <c r="P805">
        <f t="shared" si="73"/>
        <v>0</v>
      </c>
      <c r="Q805">
        <f t="shared" si="74"/>
        <v>0</v>
      </c>
      <c r="R805">
        <f t="shared" si="75"/>
        <v>0</v>
      </c>
      <c r="S805">
        <f t="shared" si="76"/>
        <v>0</v>
      </c>
      <c r="T805">
        <f t="shared" si="77"/>
        <v>0</v>
      </c>
      <c r="U805">
        <f t="shared" si="78"/>
        <v>0</v>
      </c>
    </row>
    <row r="806" spans="2:21">
      <c r="B806" s="102">
        <v>45218</v>
      </c>
      <c r="C806">
        <v>2.5</v>
      </c>
      <c r="D806" t="s">
        <v>120</v>
      </c>
      <c r="E806" t="s">
        <v>121</v>
      </c>
      <c r="F806" t="s">
        <v>121</v>
      </c>
      <c r="G806" t="s">
        <v>121</v>
      </c>
      <c r="H806" t="s">
        <v>121</v>
      </c>
      <c r="I806" t="s">
        <v>121</v>
      </c>
      <c r="P806">
        <f t="shared" si="73"/>
        <v>1</v>
      </c>
      <c r="Q806">
        <f t="shared" si="74"/>
        <v>0</v>
      </c>
      <c r="R806">
        <f t="shared" si="75"/>
        <v>0</v>
      </c>
      <c r="S806">
        <f t="shared" si="76"/>
        <v>0</v>
      </c>
      <c r="T806">
        <f t="shared" si="77"/>
        <v>0</v>
      </c>
      <c r="U806">
        <f t="shared" si="78"/>
        <v>0</v>
      </c>
    </row>
    <row r="807" spans="2:21">
      <c r="B807" s="102">
        <v>45219</v>
      </c>
      <c r="C807">
        <v>2</v>
      </c>
      <c r="D807" t="s">
        <v>120</v>
      </c>
      <c r="E807" t="s">
        <v>121</v>
      </c>
      <c r="F807" t="s">
        <v>121</v>
      </c>
      <c r="G807" t="s">
        <v>121</v>
      </c>
      <c r="H807" t="s">
        <v>121</v>
      </c>
      <c r="I807" t="s">
        <v>121</v>
      </c>
      <c r="P807">
        <f t="shared" si="73"/>
        <v>1</v>
      </c>
      <c r="Q807">
        <f t="shared" si="74"/>
        <v>0</v>
      </c>
      <c r="R807">
        <f t="shared" si="75"/>
        <v>0</v>
      </c>
      <c r="S807">
        <f t="shared" si="76"/>
        <v>0</v>
      </c>
      <c r="T807">
        <f t="shared" si="77"/>
        <v>0</v>
      </c>
      <c r="U807">
        <f t="shared" si="78"/>
        <v>0</v>
      </c>
    </row>
    <row r="808" spans="2:21">
      <c r="B808" s="102">
        <v>45220</v>
      </c>
      <c r="C808">
        <v>2.5</v>
      </c>
      <c r="D808" t="s">
        <v>121</v>
      </c>
      <c r="E808" t="s">
        <v>121</v>
      </c>
      <c r="F808" t="s">
        <v>121</v>
      </c>
      <c r="G808" t="s">
        <v>121</v>
      </c>
      <c r="H808" t="s">
        <v>121</v>
      </c>
      <c r="I808" t="s">
        <v>121</v>
      </c>
      <c r="P808">
        <f t="shared" si="73"/>
        <v>0</v>
      </c>
      <c r="Q808">
        <f t="shared" si="74"/>
        <v>0</v>
      </c>
      <c r="R808">
        <f t="shared" si="75"/>
        <v>0</v>
      </c>
      <c r="S808">
        <f t="shared" si="76"/>
        <v>0</v>
      </c>
      <c r="T808">
        <f t="shared" si="77"/>
        <v>0</v>
      </c>
      <c r="U808">
        <f t="shared" si="78"/>
        <v>0</v>
      </c>
    </row>
    <row r="809" spans="2:21">
      <c r="B809" s="102">
        <v>45221</v>
      </c>
      <c r="C809">
        <v>2</v>
      </c>
      <c r="D809" t="s">
        <v>121</v>
      </c>
      <c r="E809" t="s">
        <v>120</v>
      </c>
      <c r="F809" t="s">
        <v>121</v>
      </c>
      <c r="G809" t="s">
        <v>121</v>
      </c>
      <c r="H809" t="s">
        <v>121</v>
      </c>
      <c r="I809" t="s">
        <v>121</v>
      </c>
      <c r="K809">
        <v>183</v>
      </c>
      <c r="P809">
        <f t="shared" si="73"/>
        <v>0</v>
      </c>
      <c r="Q809">
        <f t="shared" si="74"/>
        <v>1</v>
      </c>
      <c r="R809">
        <f t="shared" si="75"/>
        <v>0</v>
      </c>
      <c r="S809">
        <f t="shared" si="76"/>
        <v>0</v>
      </c>
      <c r="T809">
        <f t="shared" si="77"/>
        <v>0</v>
      </c>
      <c r="U809">
        <f t="shared" si="78"/>
        <v>0</v>
      </c>
    </row>
    <row r="810" spans="2:21">
      <c r="B810" s="102">
        <v>45222</v>
      </c>
      <c r="C810">
        <v>1.5</v>
      </c>
      <c r="D810" t="s">
        <v>120</v>
      </c>
      <c r="E810" t="s">
        <v>121</v>
      </c>
      <c r="F810" t="s">
        <v>121</v>
      </c>
      <c r="G810" t="s">
        <v>121</v>
      </c>
      <c r="H810" t="s">
        <v>121</v>
      </c>
      <c r="I810" t="s">
        <v>121</v>
      </c>
      <c r="P810">
        <f t="shared" si="73"/>
        <v>1</v>
      </c>
      <c r="Q810">
        <f t="shared" si="74"/>
        <v>0</v>
      </c>
      <c r="R810">
        <f t="shared" si="75"/>
        <v>0</v>
      </c>
      <c r="S810">
        <f t="shared" si="76"/>
        <v>0</v>
      </c>
      <c r="T810">
        <f t="shared" si="77"/>
        <v>0</v>
      </c>
      <c r="U810">
        <f t="shared" si="78"/>
        <v>0</v>
      </c>
    </row>
    <row r="811" spans="2:21">
      <c r="B811" s="102">
        <v>45223</v>
      </c>
      <c r="C811">
        <v>2.5</v>
      </c>
      <c r="D811" t="s">
        <v>120</v>
      </c>
      <c r="E811" t="s">
        <v>121</v>
      </c>
      <c r="F811" t="s">
        <v>121</v>
      </c>
      <c r="G811" t="s">
        <v>121</v>
      </c>
      <c r="H811" t="s">
        <v>121</v>
      </c>
      <c r="I811" t="s">
        <v>121</v>
      </c>
      <c r="P811">
        <f t="shared" si="73"/>
        <v>1</v>
      </c>
      <c r="Q811">
        <f t="shared" si="74"/>
        <v>0</v>
      </c>
      <c r="R811">
        <f t="shared" si="75"/>
        <v>0</v>
      </c>
      <c r="S811">
        <f t="shared" si="76"/>
        <v>0</v>
      </c>
      <c r="T811">
        <f t="shared" si="77"/>
        <v>0</v>
      </c>
      <c r="U811">
        <f t="shared" si="78"/>
        <v>0</v>
      </c>
    </row>
    <row r="812" spans="2:21">
      <c r="B812" s="102">
        <v>45224</v>
      </c>
      <c r="C812">
        <v>3</v>
      </c>
      <c r="D812" t="s">
        <v>120</v>
      </c>
      <c r="E812" t="s">
        <v>121</v>
      </c>
      <c r="F812" t="s">
        <v>121</v>
      </c>
      <c r="G812" t="s">
        <v>121</v>
      </c>
      <c r="H812" t="s">
        <v>121</v>
      </c>
      <c r="I812" t="s">
        <v>121</v>
      </c>
      <c r="P812">
        <f t="shared" si="73"/>
        <v>1</v>
      </c>
      <c r="Q812">
        <f t="shared" si="74"/>
        <v>0</v>
      </c>
      <c r="R812">
        <f t="shared" si="75"/>
        <v>0</v>
      </c>
      <c r="S812">
        <f t="shared" si="76"/>
        <v>0</v>
      </c>
      <c r="T812">
        <f t="shared" si="77"/>
        <v>0</v>
      </c>
      <c r="U812">
        <f t="shared" si="78"/>
        <v>0</v>
      </c>
    </row>
    <row r="813" spans="2:21">
      <c r="B813" s="102">
        <v>45225</v>
      </c>
      <c r="C813">
        <v>1.5</v>
      </c>
      <c r="D813" t="s">
        <v>121</v>
      </c>
      <c r="E813" t="s">
        <v>121</v>
      </c>
      <c r="F813" t="s">
        <v>121</v>
      </c>
      <c r="G813" t="s">
        <v>121</v>
      </c>
      <c r="H813" t="s">
        <v>121</v>
      </c>
      <c r="I813" t="s">
        <v>121</v>
      </c>
      <c r="P813">
        <f t="shared" si="73"/>
        <v>0</v>
      </c>
      <c r="Q813">
        <f t="shared" si="74"/>
        <v>0</v>
      </c>
      <c r="R813">
        <f t="shared" si="75"/>
        <v>0</v>
      </c>
      <c r="S813">
        <f t="shared" si="76"/>
        <v>0</v>
      </c>
      <c r="T813">
        <f t="shared" si="77"/>
        <v>0</v>
      </c>
      <c r="U813">
        <f t="shared" si="78"/>
        <v>0</v>
      </c>
    </row>
    <row r="814" spans="2:21">
      <c r="B814" s="102">
        <v>45226</v>
      </c>
      <c r="C814">
        <v>2.5</v>
      </c>
      <c r="D814" t="s">
        <v>120</v>
      </c>
      <c r="E814" t="s">
        <v>121</v>
      </c>
      <c r="F814" t="s">
        <v>121</v>
      </c>
      <c r="G814" t="s">
        <v>121</v>
      </c>
      <c r="H814" t="s">
        <v>121</v>
      </c>
      <c r="I814" t="s">
        <v>121</v>
      </c>
      <c r="P814">
        <f t="shared" si="73"/>
        <v>1</v>
      </c>
      <c r="Q814">
        <f t="shared" si="74"/>
        <v>0</v>
      </c>
      <c r="R814">
        <f t="shared" si="75"/>
        <v>0</v>
      </c>
      <c r="S814">
        <f t="shared" si="76"/>
        <v>0</v>
      </c>
      <c r="T814">
        <f t="shared" si="77"/>
        <v>0</v>
      </c>
      <c r="U814">
        <f t="shared" si="78"/>
        <v>0</v>
      </c>
    </row>
    <row r="815" spans="2:21">
      <c r="B815" s="102">
        <v>45227</v>
      </c>
      <c r="C815">
        <v>1.5</v>
      </c>
      <c r="D815" t="s">
        <v>120</v>
      </c>
      <c r="E815" t="s">
        <v>121</v>
      </c>
      <c r="F815" t="s">
        <v>121</v>
      </c>
      <c r="G815" t="s">
        <v>120</v>
      </c>
      <c r="H815" t="s">
        <v>120</v>
      </c>
      <c r="I815" t="s">
        <v>121</v>
      </c>
      <c r="P815">
        <f t="shared" si="73"/>
        <v>1</v>
      </c>
      <c r="Q815">
        <f t="shared" si="74"/>
        <v>0</v>
      </c>
      <c r="R815">
        <f t="shared" si="75"/>
        <v>0</v>
      </c>
      <c r="S815">
        <f t="shared" si="76"/>
        <v>1</v>
      </c>
      <c r="T815">
        <f t="shared" si="77"/>
        <v>1</v>
      </c>
      <c r="U815">
        <f t="shared" si="78"/>
        <v>0</v>
      </c>
    </row>
    <row r="816" spans="2:21">
      <c r="B816" s="102">
        <v>45228</v>
      </c>
      <c r="C816">
        <v>2.5</v>
      </c>
      <c r="D816" t="s">
        <v>121</v>
      </c>
      <c r="E816" t="s">
        <v>121</v>
      </c>
      <c r="F816" t="s">
        <v>121</v>
      </c>
      <c r="G816" t="s">
        <v>121</v>
      </c>
      <c r="H816" t="s">
        <v>121</v>
      </c>
      <c r="I816" t="s">
        <v>121</v>
      </c>
      <c r="K816">
        <v>181.4</v>
      </c>
      <c r="P816">
        <f t="shared" si="73"/>
        <v>0</v>
      </c>
      <c r="Q816">
        <f t="shared" si="74"/>
        <v>0</v>
      </c>
      <c r="R816">
        <f t="shared" si="75"/>
        <v>0</v>
      </c>
      <c r="S816">
        <f t="shared" si="76"/>
        <v>0</v>
      </c>
      <c r="T816">
        <f t="shared" si="77"/>
        <v>0</v>
      </c>
      <c r="U816">
        <f t="shared" si="78"/>
        <v>0</v>
      </c>
    </row>
    <row r="817" spans="2:21">
      <c r="B817" s="102">
        <v>45229</v>
      </c>
      <c r="C817">
        <v>1.5</v>
      </c>
      <c r="D817" t="s">
        <v>120</v>
      </c>
      <c r="E817" t="s">
        <v>121</v>
      </c>
      <c r="F817" t="s">
        <v>121</v>
      </c>
      <c r="G817" t="s">
        <v>121</v>
      </c>
      <c r="H817" t="s">
        <v>121</v>
      </c>
      <c r="I817" t="s">
        <v>121</v>
      </c>
      <c r="P817">
        <f t="shared" si="73"/>
        <v>1</v>
      </c>
      <c r="Q817">
        <f t="shared" si="74"/>
        <v>0</v>
      </c>
      <c r="R817">
        <f t="shared" si="75"/>
        <v>0</v>
      </c>
      <c r="S817">
        <f t="shared" si="76"/>
        <v>0</v>
      </c>
      <c r="T817">
        <f t="shared" si="77"/>
        <v>0</v>
      </c>
      <c r="U817">
        <f t="shared" si="78"/>
        <v>0</v>
      </c>
    </row>
    <row r="818" spans="2:21">
      <c r="B818" s="102">
        <v>45230</v>
      </c>
      <c r="C818">
        <v>1.5</v>
      </c>
      <c r="D818" t="s">
        <v>120</v>
      </c>
      <c r="E818" t="s">
        <v>121</v>
      </c>
      <c r="F818" t="s">
        <v>120</v>
      </c>
      <c r="G818" t="s">
        <v>121</v>
      </c>
      <c r="H818" t="s">
        <v>121</v>
      </c>
      <c r="I818" t="s">
        <v>121</v>
      </c>
      <c r="P818">
        <f t="shared" si="73"/>
        <v>1</v>
      </c>
      <c r="Q818">
        <f t="shared" si="74"/>
        <v>0</v>
      </c>
      <c r="R818">
        <f t="shared" si="75"/>
        <v>1</v>
      </c>
      <c r="S818">
        <f t="shared" si="76"/>
        <v>0</v>
      </c>
      <c r="T818">
        <f t="shared" si="77"/>
        <v>0</v>
      </c>
      <c r="U818">
        <f t="shared" si="78"/>
        <v>0</v>
      </c>
    </row>
    <row r="819" spans="2:21">
      <c r="B819" s="102">
        <v>45231</v>
      </c>
      <c r="C819">
        <v>3</v>
      </c>
      <c r="D819" t="s">
        <v>121</v>
      </c>
      <c r="E819" t="s">
        <v>121</v>
      </c>
      <c r="F819" t="s">
        <v>121</v>
      </c>
      <c r="G819" t="s">
        <v>121</v>
      </c>
      <c r="H819" t="s">
        <v>121</v>
      </c>
      <c r="I819" t="s">
        <v>121</v>
      </c>
      <c r="P819">
        <f t="shared" si="73"/>
        <v>0</v>
      </c>
      <c r="Q819">
        <f t="shared" si="74"/>
        <v>0</v>
      </c>
      <c r="R819">
        <f t="shared" si="75"/>
        <v>0</v>
      </c>
      <c r="S819">
        <f t="shared" si="76"/>
        <v>0</v>
      </c>
      <c r="T819">
        <f t="shared" si="77"/>
        <v>0</v>
      </c>
      <c r="U819">
        <f t="shared" si="78"/>
        <v>0</v>
      </c>
    </row>
    <row r="820" spans="2:21">
      <c r="B820" s="102">
        <v>45232</v>
      </c>
      <c r="C820">
        <v>2.5</v>
      </c>
      <c r="D820" t="s">
        <v>121</v>
      </c>
      <c r="E820" t="s">
        <v>121</v>
      </c>
      <c r="F820" t="s">
        <v>121</v>
      </c>
      <c r="G820" t="s">
        <v>121</v>
      </c>
      <c r="H820" t="s">
        <v>121</v>
      </c>
      <c r="I820" t="s">
        <v>121</v>
      </c>
      <c r="P820">
        <f t="shared" si="73"/>
        <v>0</v>
      </c>
      <c r="Q820">
        <f t="shared" si="74"/>
        <v>0</v>
      </c>
      <c r="R820">
        <f t="shared" si="75"/>
        <v>0</v>
      </c>
      <c r="S820">
        <f t="shared" si="76"/>
        <v>0</v>
      </c>
      <c r="T820">
        <f t="shared" si="77"/>
        <v>0</v>
      </c>
      <c r="U820">
        <f t="shared" si="78"/>
        <v>0</v>
      </c>
    </row>
    <row r="821" spans="2:21">
      <c r="B821" s="102">
        <v>45233</v>
      </c>
      <c r="C821">
        <v>3</v>
      </c>
      <c r="D821" t="s">
        <v>120</v>
      </c>
      <c r="E821" t="s">
        <v>121</v>
      </c>
      <c r="F821" t="s">
        <v>121</v>
      </c>
      <c r="G821" t="s">
        <v>121</v>
      </c>
      <c r="H821" t="s">
        <v>121</v>
      </c>
      <c r="I821" t="s">
        <v>121</v>
      </c>
      <c r="P821">
        <f t="shared" si="73"/>
        <v>1</v>
      </c>
      <c r="Q821">
        <f t="shared" si="74"/>
        <v>0</v>
      </c>
      <c r="R821">
        <f t="shared" si="75"/>
        <v>0</v>
      </c>
      <c r="S821">
        <f t="shared" si="76"/>
        <v>0</v>
      </c>
      <c r="T821">
        <f t="shared" si="77"/>
        <v>0</v>
      </c>
      <c r="U821">
        <f t="shared" si="78"/>
        <v>0</v>
      </c>
    </row>
    <row r="822" spans="2:21">
      <c r="B822" s="102">
        <v>45234</v>
      </c>
      <c r="C822">
        <v>2.5</v>
      </c>
      <c r="D822" t="s">
        <v>120</v>
      </c>
      <c r="E822" t="s">
        <v>121</v>
      </c>
      <c r="F822" t="s">
        <v>121</v>
      </c>
      <c r="G822" t="s">
        <v>121</v>
      </c>
      <c r="H822" t="s">
        <v>121</v>
      </c>
      <c r="I822" t="s">
        <v>121</v>
      </c>
      <c r="P822">
        <f t="shared" si="73"/>
        <v>1</v>
      </c>
      <c r="Q822">
        <f t="shared" si="74"/>
        <v>0</v>
      </c>
      <c r="R822">
        <f t="shared" si="75"/>
        <v>0</v>
      </c>
      <c r="S822">
        <f t="shared" si="76"/>
        <v>0</v>
      </c>
      <c r="T822">
        <f t="shared" si="77"/>
        <v>0</v>
      </c>
      <c r="U822">
        <f t="shared" si="78"/>
        <v>0</v>
      </c>
    </row>
    <row r="823" spans="2:21">
      <c r="B823" s="102">
        <v>45235</v>
      </c>
      <c r="C823">
        <v>3</v>
      </c>
      <c r="D823" t="s">
        <v>121</v>
      </c>
      <c r="E823" t="s">
        <v>121</v>
      </c>
      <c r="F823" t="s">
        <v>121</v>
      </c>
      <c r="G823" t="s">
        <v>121</v>
      </c>
      <c r="H823" t="s">
        <v>121</v>
      </c>
      <c r="I823" t="s">
        <v>121</v>
      </c>
      <c r="K823">
        <v>185</v>
      </c>
      <c r="L823">
        <v>192.6</v>
      </c>
      <c r="P823">
        <f t="shared" si="73"/>
        <v>0</v>
      </c>
      <c r="Q823">
        <f t="shared" si="74"/>
        <v>0</v>
      </c>
      <c r="R823">
        <f t="shared" si="75"/>
        <v>0</v>
      </c>
      <c r="S823">
        <f t="shared" si="76"/>
        <v>0</v>
      </c>
      <c r="T823">
        <f t="shared" si="77"/>
        <v>0</v>
      </c>
      <c r="U823">
        <f t="shared" si="78"/>
        <v>0</v>
      </c>
    </row>
    <row r="824" spans="2:21">
      <c r="B824" s="102">
        <v>45236</v>
      </c>
      <c r="C824">
        <v>1.5</v>
      </c>
      <c r="D824" t="s">
        <v>120</v>
      </c>
      <c r="E824" t="s">
        <v>121</v>
      </c>
      <c r="F824" t="s">
        <v>121</v>
      </c>
      <c r="G824" t="s">
        <v>121</v>
      </c>
      <c r="H824" t="s">
        <v>121</v>
      </c>
      <c r="I824" t="s">
        <v>121</v>
      </c>
      <c r="P824">
        <f t="shared" si="73"/>
        <v>1</v>
      </c>
      <c r="Q824">
        <f t="shared" si="74"/>
        <v>0</v>
      </c>
      <c r="R824">
        <f t="shared" si="75"/>
        <v>0</v>
      </c>
      <c r="S824">
        <f t="shared" si="76"/>
        <v>0</v>
      </c>
      <c r="T824">
        <f t="shared" si="77"/>
        <v>0</v>
      </c>
      <c r="U824">
        <f t="shared" si="78"/>
        <v>0</v>
      </c>
    </row>
    <row r="825" spans="2:21">
      <c r="B825" s="102">
        <v>45237</v>
      </c>
      <c r="C825">
        <v>1.5</v>
      </c>
      <c r="D825" t="s">
        <v>120</v>
      </c>
      <c r="E825" t="s">
        <v>120</v>
      </c>
      <c r="F825" t="s">
        <v>121</v>
      </c>
      <c r="G825" t="s">
        <v>121</v>
      </c>
      <c r="H825" t="s">
        <v>121</v>
      </c>
      <c r="I825" t="s">
        <v>121</v>
      </c>
      <c r="P825">
        <f t="shared" si="73"/>
        <v>1</v>
      </c>
      <c r="Q825">
        <f t="shared" si="74"/>
        <v>1</v>
      </c>
      <c r="R825">
        <f t="shared" si="75"/>
        <v>0</v>
      </c>
      <c r="S825">
        <f t="shared" si="76"/>
        <v>0</v>
      </c>
      <c r="T825">
        <f t="shared" si="77"/>
        <v>0</v>
      </c>
      <c r="U825">
        <f t="shared" si="78"/>
        <v>0</v>
      </c>
    </row>
    <row r="826" spans="2:21">
      <c r="B826" s="102">
        <v>45238</v>
      </c>
      <c r="C826">
        <v>2</v>
      </c>
      <c r="D826" t="s">
        <v>120</v>
      </c>
      <c r="E826" t="s">
        <v>121</v>
      </c>
      <c r="F826" t="s">
        <v>121</v>
      </c>
      <c r="G826" t="s">
        <v>121</v>
      </c>
      <c r="H826" t="s">
        <v>121</v>
      </c>
      <c r="I826" t="s">
        <v>121</v>
      </c>
      <c r="P826">
        <f t="shared" si="73"/>
        <v>1</v>
      </c>
      <c r="Q826">
        <f t="shared" si="74"/>
        <v>0</v>
      </c>
      <c r="R826">
        <f t="shared" si="75"/>
        <v>0</v>
      </c>
      <c r="S826">
        <f t="shared" si="76"/>
        <v>0</v>
      </c>
      <c r="T826">
        <f t="shared" si="77"/>
        <v>0</v>
      </c>
      <c r="U826">
        <f t="shared" si="78"/>
        <v>0</v>
      </c>
    </row>
    <row r="827" spans="2:21">
      <c r="B827" s="102">
        <v>45239</v>
      </c>
      <c r="C827">
        <v>2.5</v>
      </c>
      <c r="D827" t="s">
        <v>120</v>
      </c>
      <c r="E827" t="s">
        <v>121</v>
      </c>
      <c r="F827" t="s">
        <v>121</v>
      </c>
      <c r="G827" t="s">
        <v>121</v>
      </c>
      <c r="H827" t="s">
        <v>121</v>
      </c>
      <c r="I827" t="s">
        <v>121</v>
      </c>
      <c r="P827">
        <f t="shared" si="73"/>
        <v>1</v>
      </c>
      <c r="Q827">
        <f t="shared" si="74"/>
        <v>0</v>
      </c>
      <c r="R827">
        <f t="shared" si="75"/>
        <v>0</v>
      </c>
      <c r="S827">
        <f t="shared" si="76"/>
        <v>0</v>
      </c>
      <c r="T827">
        <f t="shared" si="77"/>
        <v>0</v>
      </c>
      <c r="U827">
        <f t="shared" si="78"/>
        <v>0</v>
      </c>
    </row>
    <row r="828" spans="2:21">
      <c r="B828" s="102">
        <v>45240</v>
      </c>
      <c r="C828">
        <v>2.5</v>
      </c>
      <c r="D828" t="s">
        <v>120</v>
      </c>
      <c r="E828" t="s">
        <v>121</v>
      </c>
      <c r="F828" t="s">
        <v>121</v>
      </c>
      <c r="G828" t="s">
        <v>121</v>
      </c>
      <c r="H828" t="s">
        <v>121</v>
      </c>
      <c r="I828" t="s">
        <v>121</v>
      </c>
      <c r="P828">
        <f t="shared" si="73"/>
        <v>1</v>
      </c>
      <c r="Q828">
        <f t="shared" si="74"/>
        <v>0</v>
      </c>
      <c r="R828">
        <f t="shared" si="75"/>
        <v>0</v>
      </c>
      <c r="S828">
        <f t="shared" si="76"/>
        <v>0</v>
      </c>
      <c r="T828">
        <f t="shared" si="77"/>
        <v>0</v>
      </c>
      <c r="U828">
        <f t="shared" si="78"/>
        <v>0</v>
      </c>
    </row>
    <row r="829" spans="2:21">
      <c r="B829" s="102">
        <v>45241</v>
      </c>
      <c r="C829">
        <v>2.5</v>
      </c>
      <c r="D829" t="s">
        <v>120</v>
      </c>
      <c r="E829" t="s">
        <v>121</v>
      </c>
      <c r="F829" t="s">
        <v>121</v>
      </c>
      <c r="G829" t="s">
        <v>120</v>
      </c>
      <c r="H829" t="s">
        <v>121</v>
      </c>
      <c r="I829" t="s">
        <v>121</v>
      </c>
      <c r="P829">
        <f t="shared" si="73"/>
        <v>1</v>
      </c>
      <c r="Q829">
        <f t="shared" si="74"/>
        <v>0</v>
      </c>
      <c r="R829">
        <f t="shared" si="75"/>
        <v>0</v>
      </c>
      <c r="S829">
        <f t="shared" si="76"/>
        <v>1</v>
      </c>
      <c r="T829">
        <f t="shared" si="77"/>
        <v>0</v>
      </c>
      <c r="U829">
        <f t="shared" si="78"/>
        <v>0</v>
      </c>
    </row>
    <row r="830" spans="2:21">
      <c r="B830" s="102">
        <v>45242</v>
      </c>
      <c r="C830">
        <v>2</v>
      </c>
      <c r="D830" t="s">
        <v>121</v>
      </c>
      <c r="E830" t="s">
        <v>121</v>
      </c>
      <c r="F830" t="s">
        <v>121</v>
      </c>
      <c r="G830" t="s">
        <v>121</v>
      </c>
      <c r="H830" t="s">
        <v>121</v>
      </c>
      <c r="I830" t="s">
        <v>121</v>
      </c>
      <c r="K830">
        <v>185.2</v>
      </c>
      <c r="P830">
        <f t="shared" si="73"/>
        <v>0</v>
      </c>
      <c r="Q830">
        <f t="shared" si="74"/>
        <v>0</v>
      </c>
      <c r="R830">
        <f t="shared" si="75"/>
        <v>0</v>
      </c>
      <c r="S830">
        <f t="shared" si="76"/>
        <v>0</v>
      </c>
      <c r="T830">
        <f t="shared" si="77"/>
        <v>0</v>
      </c>
      <c r="U830">
        <f t="shared" si="78"/>
        <v>0</v>
      </c>
    </row>
    <row r="831" spans="2:21">
      <c r="B831" s="102">
        <v>45243</v>
      </c>
      <c r="C831">
        <v>2.5</v>
      </c>
      <c r="D831" t="s">
        <v>121</v>
      </c>
      <c r="E831" t="s">
        <v>120</v>
      </c>
      <c r="F831" t="s">
        <v>121</v>
      </c>
      <c r="G831" t="s">
        <v>121</v>
      </c>
      <c r="H831" t="s">
        <v>121</v>
      </c>
      <c r="I831" t="s">
        <v>121</v>
      </c>
      <c r="P831">
        <f t="shared" si="73"/>
        <v>0</v>
      </c>
      <c r="Q831">
        <f t="shared" si="74"/>
        <v>1</v>
      </c>
      <c r="R831">
        <f t="shared" si="75"/>
        <v>0</v>
      </c>
      <c r="S831">
        <f t="shared" si="76"/>
        <v>0</v>
      </c>
      <c r="T831">
        <f t="shared" si="77"/>
        <v>0</v>
      </c>
      <c r="U831">
        <f t="shared" si="78"/>
        <v>0</v>
      </c>
    </row>
    <row r="832" spans="2:21">
      <c r="B832" s="102">
        <v>45244</v>
      </c>
      <c r="C832">
        <v>2.5</v>
      </c>
      <c r="D832" t="s">
        <v>120</v>
      </c>
      <c r="E832" t="s">
        <v>121</v>
      </c>
      <c r="F832" t="s">
        <v>121</v>
      </c>
      <c r="G832" t="s">
        <v>121</v>
      </c>
      <c r="H832" t="s">
        <v>121</v>
      </c>
      <c r="I832" t="s">
        <v>121</v>
      </c>
      <c r="P832">
        <f t="shared" si="73"/>
        <v>1</v>
      </c>
      <c r="Q832">
        <f t="shared" si="74"/>
        <v>0</v>
      </c>
      <c r="R832">
        <f t="shared" si="75"/>
        <v>0</v>
      </c>
      <c r="S832">
        <f t="shared" si="76"/>
        <v>0</v>
      </c>
      <c r="T832">
        <f t="shared" si="77"/>
        <v>0</v>
      </c>
      <c r="U832">
        <f t="shared" si="78"/>
        <v>0</v>
      </c>
    </row>
    <row r="833" spans="2:21">
      <c r="B833" s="102">
        <v>45245</v>
      </c>
      <c r="C833">
        <v>1.5</v>
      </c>
      <c r="D833" t="s">
        <v>120</v>
      </c>
      <c r="E833" t="s">
        <v>121</v>
      </c>
      <c r="F833" t="s">
        <v>121</v>
      </c>
      <c r="G833" t="s">
        <v>121</v>
      </c>
      <c r="H833" t="s">
        <v>121</v>
      </c>
      <c r="I833" t="s">
        <v>121</v>
      </c>
      <c r="P833">
        <f t="shared" si="73"/>
        <v>1</v>
      </c>
      <c r="Q833">
        <f t="shared" si="74"/>
        <v>0</v>
      </c>
      <c r="R833">
        <f t="shared" si="75"/>
        <v>0</v>
      </c>
      <c r="S833">
        <f t="shared" si="76"/>
        <v>0</v>
      </c>
      <c r="T833">
        <f t="shared" si="77"/>
        <v>0</v>
      </c>
      <c r="U833">
        <f t="shared" si="78"/>
        <v>0</v>
      </c>
    </row>
    <row r="834" spans="2:21">
      <c r="B834" s="102">
        <v>45246</v>
      </c>
      <c r="C834">
        <v>2</v>
      </c>
      <c r="D834" t="s">
        <v>120</v>
      </c>
      <c r="E834" t="s">
        <v>121</v>
      </c>
      <c r="F834" t="s">
        <v>121</v>
      </c>
      <c r="G834" t="s">
        <v>121</v>
      </c>
      <c r="H834" t="s">
        <v>121</v>
      </c>
      <c r="I834" t="s">
        <v>121</v>
      </c>
      <c r="P834">
        <f t="shared" si="73"/>
        <v>1</v>
      </c>
      <c r="Q834">
        <f t="shared" si="74"/>
        <v>0</v>
      </c>
      <c r="R834">
        <f t="shared" si="75"/>
        <v>0</v>
      </c>
      <c r="S834">
        <f t="shared" si="76"/>
        <v>0</v>
      </c>
      <c r="T834">
        <f t="shared" si="77"/>
        <v>0</v>
      </c>
      <c r="U834">
        <f t="shared" si="78"/>
        <v>0</v>
      </c>
    </row>
    <row r="835" spans="2:21">
      <c r="B835" s="102">
        <v>45247</v>
      </c>
      <c r="C835">
        <v>2.5</v>
      </c>
      <c r="D835" t="s">
        <v>120</v>
      </c>
      <c r="E835" t="s">
        <v>121</v>
      </c>
      <c r="F835" t="s">
        <v>121</v>
      </c>
      <c r="G835" t="s">
        <v>121</v>
      </c>
      <c r="H835" t="s">
        <v>121</v>
      </c>
      <c r="I835" t="s">
        <v>121</v>
      </c>
      <c r="P835">
        <f t="shared" ref="P835:P861" si="79">IF(D835="YES", 1, 0)</f>
        <v>1</v>
      </c>
      <c r="Q835">
        <f t="shared" ref="Q835:Q861" si="80">IF(E835="YES", 1, 0)</f>
        <v>0</v>
      </c>
      <c r="R835">
        <f t="shared" ref="R835:R861" si="81">IF(F835="YES", 1, 0)</f>
        <v>0</v>
      </c>
      <c r="S835">
        <f t="shared" ref="S835:S861" si="82">IF(G835="YES", 1, 0)</f>
        <v>0</v>
      </c>
      <c r="T835">
        <f t="shared" ref="T835:T861" si="83">IF(H835="YES", 1, 0)</f>
        <v>0</v>
      </c>
      <c r="U835">
        <f t="shared" ref="U835:U861" si="84">IF(I835="YES", 1, 0)</f>
        <v>0</v>
      </c>
    </row>
    <row r="836" spans="2:21">
      <c r="B836" s="102">
        <v>45248</v>
      </c>
      <c r="C836">
        <v>2.5</v>
      </c>
      <c r="D836" t="s">
        <v>120</v>
      </c>
      <c r="E836" t="s">
        <v>121</v>
      </c>
      <c r="F836" t="s">
        <v>121</v>
      </c>
      <c r="G836" t="s">
        <v>121</v>
      </c>
      <c r="H836" t="s">
        <v>121</v>
      </c>
      <c r="I836" t="s">
        <v>121</v>
      </c>
      <c r="P836">
        <f t="shared" si="79"/>
        <v>1</v>
      </c>
      <c r="Q836">
        <f t="shared" si="80"/>
        <v>0</v>
      </c>
      <c r="R836">
        <f t="shared" si="81"/>
        <v>0</v>
      </c>
      <c r="S836">
        <f t="shared" si="82"/>
        <v>0</v>
      </c>
      <c r="T836">
        <f t="shared" si="83"/>
        <v>0</v>
      </c>
      <c r="U836">
        <f t="shared" si="84"/>
        <v>0</v>
      </c>
    </row>
    <row r="837" spans="2:21">
      <c r="B837" s="102">
        <v>45249</v>
      </c>
      <c r="C837">
        <v>2.5</v>
      </c>
      <c r="D837" t="s">
        <v>121</v>
      </c>
      <c r="E837" t="s">
        <v>120</v>
      </c>
      <c r="F837" t="s">
        <v>121</v>
      </c>
      <c r="G837" t="s">
        <v>121</v>
      </c>
      <c r="H837" t="s">
        <v>121</v>
      </c>
      <c r="I837" t="s">
        <v>121</v>
      </c>
      <c r="K837">
        <v>184.6</v>
      </c>
      <c r="P837">
        <f t="shared" si="79"/>
        <v>0</v>
      </c>
      <c r="Q837">
        <f t="shared" si="80"/>
        <v>1</v>
      </c>
      <c r="R837">
        <f t="shared" si="81"/>
        <v>0</v>
      </c>
      <c r="S837">
        <f t="shared" si="82"/>
        <v>0</v>
      </c>
      <c r="T837">
        <f t="shared" si="83"/>
        <v>0</v>
      </c>
      <c r="U837">
        <f t="shared" si="84"/>
        <v>0</v>
      </c>
    </row>
    <row r="838" spans="2:21">
      <c r="B838" s="102">
        <v>45250</v>
      </c>
      <c r="C838">
        <v>2.5</v>
      </c>
      <c r="D838" t="s">
        <v>120</v>
      </c>
      <c r="E838" t="s">
        <v>121</v>
      </c>
      <c r="F838" t="s">
        <v>121</v>
      </c>
      <c r="G838" t="s">
        <v>121</v>
      </c>
      <c r="H838" t="s">
        <v>121</v>
      </c>
      <c r="I838" t="s">
        <v>121</v>
      </c>
      <c r="P838">
        <f t="shared" si="79"/>
        <v>1</v>
      </c>
      <c r="Q838">
        <f t="shared" si="80"/>
        <v>0</v>
      </c>
      <c r="R838">
        <f t="shared" si="81"/>
        <v>0</v>
      </c>
      <c r="S838">
        <f t="shared" si="82"/>
        <v>0</v>
      </c>
      <c r="T838">
        <f t="shared" si="83"/>
        <v>0</v>
      </c>
      <c r="U838">
        <f t="shared" si="84"/>
        <v>0</v>
      </c>
    </row>
    <row r="839" spans="2:21">
      <c r="B839" s="102">
        <v>45251</v>
      </c>
      <c r="C839">
        <v>1.5</v>
      </c>
      <c r="D839" t="s">
        <v>120</v>
      </c>
      <c r="E839" t="s">
        <v>121</v>
      </c>
      <c r="F839" t="s">
        <v>121</v>
      </c>
      <c r="G839" t="s">
        <v>121</v>
      </c>
      <c r="H839" t="s">
        <v>121</v>
      </c>
      <c r="I839" t="s">
        <v>121</v>
      </c>
      <c r="P839">
        <f t="shared" si="79"/>
        <v>1</v>
      </c>
      <c r="Q839">
        <f t="shared" si="80"/>
        <v>0</v>
      </c>
      <c r="R839">
        <f t="shared" si="81"/>
        <v>0</v>
      </c>
      <c r="S839">
        <f t="shared" si="82"/>
        <v>0</v>
      </c>
      <c r="T839">
        <f t="shared" si="83"/>
        <v>0</v>
      </c>
      <c r="U839">
        <f t="shared" si="84"/>
        <v>0</v>
      </c>
    </row>
    <row r="840" spans="2:21">
      <c r="B840" s="102">
        <v>45252</v>
      </c>
      <c r="C840">
        <v>1.5</v>
      </c>
      <c r="D840" t="s">
        <v>121</v>
      </c>
      <c r="E840" t="s">
        <v>121</v>
      </c>
      <c r="F840" t="s">
        <v>121</v>
      </c>
      <c r="G840" t="s">
        <v>121</v>
      </c>
      <c r="H840" t="s">
        <v>121</v>
      </c>
      <c r="I840" t="s">
        <v>121</v>
      </c>
      <c r="P840">
        <f t="shared" si="79"/>
        <v>0</v>
      </c>
      <c r="Q840">
        <f t="shared" si="80"/>
        <v>0</v>
      </c>
      <c r="R840">
        <f t="shared" si="81"/>
        <v>0</v>
      </c>
      <c r="S840">
        <f t="shared" si="82"/>
        <v>0</v>
      </c>
      <c r="T840">
        <f t="shared" si="83"/>
        <v>0</v>
      </c>
      <c r="U840">
        <f t="shared" si="84"/>
        <v>0</v>
      </c>
    </row>
    <row r="841" spans="2:21">
      <c r="B841" s="102">
        <v>45253</v>
      </c>
      <c r="C841">
        <v>2.5</v>
      </c>
      <c r="D841" t="s">
        <v>121</v>
      </c>
      <c r="E841" t="s">
        <v>121</v>
      </c>
      <c r="F841" t="s">
        <v>121</v>
      </c>
      <c r="G841" t="s">
        <v>121</v>
      </c>
      <c r="H841" t="s">
        <v>121</v>
      </c>
      <c r="I841" t="s">
        <v>121</v>
      </c>
      <c r="P841">
        <f t="shared" si="79"/>
        <v>0</v>
      </c>
      <c r="Q841">
        <f t="shared" si="80"/>
        <v>0</v>
      </c>
      <c r="R841">
        <f t="shared" si="81"/>
        <v>0</v>
      </c>
      <c r="S841">
        <f t="shared" si="82"/>
        <v>0</v>
      </c>
      <c r="T841">
        <f t="shared" si="83"/>
        <v>0</v>
      </c>
      <c r="U841">
        <f t="shared" si="84"/>
        <v>0</v>
      </c>
    </row>
    <row r="842" spans="2:21">
      <c r="B842" s="102">
        <v>45254</v>
      </c>
      <c r="C842">
        <v>3</v>
      </c>
      <c r="D842" t="s">
        <v>121</v>
      </c>
      <c r="E842" t="s">
        <v>121</v>
      </c>
      <c r="F842" t="s">
        <v>121</v>
      </c>
      <c r="G842" t="s">
        <v>121</v>
      </c>
      <c r="H842" t="s">
        <v>121</v>
      </c>
      <c r="I842" t="s">
        <v>121</v>
      </c>
      <c r="P842">
        <f t="shared" si="79"/>
        <v>0</v>
      </c>
      <c r="Q842">
        <f t="shared" si="80"/>
        <v>0</v>
      </c>
      <c r="R842">
        <f t="shared" si="81"/>
        <v>0</v>
      </c>
      <c r="S842">
        <f t="shared" si="82"/>
        <v>0</v>
      </c>
      <c r="T842">
        <f t="shared" si="83"/>
        <v>0</v>
      </c>
      <c r="U842">
        <f t="shared" si="84"/>
        <v>0</v>
      </c>
    </row>
    <row r="843" spans="2:21">
      <c r="B843" s="102">
        <v>45255</v>
      </c>
      <c r="C843">
        <v>3</v>
      </c>
      <c r="D843" t="s">
        <v>121</v>
      </c>
      <c r="E843" t="s">
        <v>121</v>
      </c>
      <c r="F843" t="s">
        <v>121</v>
      </c>
      <c r="G843" t="s">
        <v>121</v>
      </c>
      <c r="H843" t="s">
        <v>121</v>
      </c>
      <c r="I843" t="s">
        <v>121</v>
      </c>
      <c r="P843">
        <f t="shared" si="79"/>
        <v>0</v>
      </c>
      <c r="Q843">
        <f t="shared" si="80"/>
        <v>0</v>
      </c>
      <c r="R843">
        <f t="shared" si="81"/>
        <v>0</v>
      </c>
      <c r="S843">
        <f t="shared" si="82"/>
        <v>0</v>
      </c>
      <c r="T843">
        <f t="shared" si="83"/>
        <v>0</v>
      </c>
      <c r="U843">
        <f t="shared" si="84"/>
        <v>0</v>
      </c>
    </row>
    <row r="844" spans="2:21">
      <c r="B844" s="102">
        <v>45256</v>
      </c>
      <c r="C844">
        <v>2.5</v>
      </c>
      <c r="D844" t="s">
        <v>121</v>
      </c>
      <c r="E844" t="s">
        <v>121</v>
      </c>
      <c r="F844" t="s">
        <v>121</v>
      </c>
      <c r="G844" t="s">
        <v>121</v>
      </c>
      <c r="H844" t="s">
        <v>121</v>
      </c>
      <c r="I844" t="s">
        <v>121</v>
      </c>
      <c r="K844">
        <v>191</v>
      </c>
      <c r="P844">
        <f t="shared" si="79"/>
        <v>0</v>
      </c>
      <c r="Q844">
        <f t="shared" si="80"/>
        <v>0</v>
      </c>
      <c r="R844">
        <f t="shared" si="81"/>
        <v>0</v>
      </c>
      <c r="S844">
        <f t="shared" si="82"/>
        <v>0</v>
      </c>
      <c r="T844">
        <f t="shared" si="83"/>
        <v>0</v>
      </c>
      <c r="U844">
        <f t="shared" si="84"/>
        <v>0</v>
      </c>
    </row>
    <row r="845" spans="2:21">
      <c r="B845" s="102">
        <v>45257</v>
      </c>
      <c r="C845">
        <v>1.5</v>
      </c>
      <c r="D845" t="s">
        <v>120</v>
      </c>
      <c r="E845" t="s">
        <v>120</v>
      </c>
      <c r="F845" t="s">
        <v>121</v>
      </c>
      <c r="G845" t="s">
        <v>121</v>
      </c>
      <c r="H845" t="s">
        <v>121</v>
      </c>
      <c r="I845" t="s">
        <v>121</v>
      </c>
      <c r="P845">
        <f t="shared" si="79"/>
        <v>1</v>
      </c>
      <c r="Q845">
        <f t="shared" si="80"/>
        <v>1</v>
      </c>
      <c r="R845">
        <f t="shared" si="81"/>
        <v>0</v>
      </c>
      <c r="S845">
        <f t="shared" si="82"/>
        <v>0</v>
      </c>
      <c r="T845">
        <f t="shared" si="83"/>
        <v>0</v>
      </c>
      <c r="U845">
        <f t="shared" si="84"/>
        <v>0</v>
      </c>
    </row>
    <row r="846" spans="2:21">
      <c r="B846" s="102">
        <v>45258</v>
      </c>
      <c r="C846">
        <v>2</v>
      </c>
      <c r="D846" t="s">
        <v>120</v>
      </c>
      <c r="E846" t="s">
        <v>121</v>
      </c>
      <c r="F846" t="s">
        <v>121</v>
      </c>
      <c r="G846" t="s">
        <v>121</v>
      </c>
      <c r="H846" t="s">
        <v>121</v>
      </c>
      <c r="I846" t="s">
        <v>121</v>
      </c>
      <c r="P846">
        <f t="shared" si="79"/>
        <v>1</v>
      </c>
      <c r="Q846">
        <f t="shared" si="80"/>
        <v>0</v>
      </c>
      <c r="R846">
        <f t="shared" si="81"/>
        <v>0</v>
      </c>
      <c r="S846">
        <f t="shared" si="82"/>
        <v>0</v>
      </c>
      <c r="T846">
        <f t="shared" si="83"/>
        <v>0</v>
      </c>
      <c r="U846">
        <f t="shared" si="84"/>
        <v>0</v>
      </c>
    </row>
    <row r="847" spans="2:21">
      <c r="B847" s="102">
        <v>45259</v>
      </c>
      <c r="C847">
        <v>2</v>
      </c>
      <c r="D847" t="s">
        <v>120</v>
      </c>
      <c r="E847" t="s">
        <v>121</v>
      </c>
      <c r="F847" t="s">
        <v>121</v>
      </c>
      <c r="G847" t="s">
        <v>120</v>
      </c>
      <c r="H847" t="s">
        <v>121</v>
      </c>
      <c r="I847" t="s">
        <v>121</v>
      </c>
      <c r="P847">
        <f t="shared" si="79"/>
        <v>1</v>
      </c>
      <c r="Q847">
        <f t="shared" si="80"/>
        <v>0</v>
      </c>
      <c r="R847">
        <f t="shared" si="81"/>
        <v>0</v>
      </c>
      <c r="S847">
        <f t="shared" si="82"/>
        <v>1</v>
      </c>
      <c r="T847">
        <f t="shared" si="83"/>
        <v>0</v>
      </c>
      <c r="U847">
        <f t="shared" si="84"/>
        <v>0</v>
      </c>
    </row>
    <row r="848" spans="2:21">
      <c r="B848" s="102">
        <v>45260</v>
      </c>
      <c r="C848">
        <v>2</v>
      </c>
      <c r="D848" t="s">
        <v>120</v>
      </c>
      <c r="E848" t="s">
        <v>121</v>
      </c>
      <c r="F848" t="s">
        <v>121</v>
      </c>
      <c r="G848" t="s">
        <v>121</v>
      </c>
      <c r="H848" t="s">
        <v>121</v>
      </c>
      <c r="I848" t="s">
        <v>121</v>
      </c>
      <c r="P848">
        <f t="shared" si="79"/>
        <v>1</v>
      </c>
      <c r="Q848">
        <f t="shared" si="80"/>
        <v>0</v>
      </c>
      <c r="R848">
        <f t="shared" si="81"/>
        <v>0</v>
      </c>
      <c r="S848">
        <f t="shared" si="82"/>
        <v>0</v>
      </c>
      <c r="T848">
        <f t="shared" si="83"/>
        <v>0</v>
      </c>
      <c r="U848">
        <f t="shared" si="84"/>
        <v>0</v>
      </c>
    </row>
    <row r="849" spans="2:21">
      <c r="B849" s="102">
        <v>45261</v>
      </c>
      <c r="C849">
        <v>2.5</v>
      </c>
      <c r="D849" t="s">
        <v>120</v>
      </c>
      <c r="E849" t="s">
        <v>121</v>
      </c>
      <c r="F849" t="s">
        <v>121</v>
      </c>
      <c r="G849" t="s">
        <v>121</v>
      </c>
      <c r="H849" t="s">
        <v>121</v>
      </c>
      <c r="I849" t="s">
        <v>121</v>
      </c>
      <c r="P849">
        <f t="shared" si="79"/>
        <v>1</v>
      </c>
      <c r="Q849">
        <f t="shared" si="80"/>
        <v>0</v>
      </c>
      <c r="R849">
        <f t="shared" si="81"/>
        <v>0</v>
      </c>
      <c r="S849">
        <f t="shared" si="82"/>
        <v>0</v>
      </c>
      <c r="T849">
        <f t="shared" si="83"/>
        <v>0</v>
      </c>
      <c r="U849">
        <f t="shared" si="84"/>
        <v>0</v>
      </c>
    </row>
    <row r="850" spans="2:21">
      <c r="B850" s="102">
        <v>45262</v>
      </c>
      <c r="C850">
        <v>2.5</v>
      </c>
      <c r="D850" t="s">
        <v>121</v>
      </c>
      <c r="E850" t="s">
        <v>121</v>
      </c>
      <c r="F850" t="s">
        <v>121</v>
      </c>
      <c r="G850" t="s">
        <v>121</v>
      </c>
      <c r="H850" t="s">
        <v>121</v>
      </c>
      <c r="I850" t="s">
        <v>121</v>
      </c>
      <c r="P850">
        <f t="shared" si="79"/>
        <v>0</v>
      </c>
      <c r="Q850">
        <f t="shared" si="80"/>
        <v>0</v>
      </c>
      <c r="R850">
        <f t="shared" si="81"/>
        <v>0</v>
      </c>
      <c r="S850">
        <f t="shared" si="82"/>
        <v>0</v>
      </c>
      <c r="T850">
        <f t="shared" si="83"/>
        <v>0</v>
      </c>
      <c r="U850">
        <f t="shared" si="84"/>
        <v>0</v>
      </c>
    </row>
    <row r="851" spans="2:21">
      <c r="B851" s="102">
        <v>45263</v>
      </c>
      <c r="C851">
        <v>1</v>
      </c>
      <c r="D851" t="s">
        <v>121</v>
      </c>
      <c r="E851" t="s">
        <v>121</v>
      </c>
      <c r="F851" t="s">
        <v>121</v>
      </c>
      <c r="G851" t="s">
        <v>121</v>
      </c>
      <c r="H851" t="s">
        <v>121</v>
      </c>
      <c r="I851" t="s">
        <v>121</v>
      </c>
      <c r="K851">
        <v>190.6</v>
      </c>
      <c r="P851">
        <f t="shared" si="79"/>
        <v>0</v>
      </c>
      <c r="Q851">
        <f t="shared" si="80"/>
        <v>0</v>
      </c>
      <c r="R851">
        <f t="shared" si="81"/>
        <v>0</v>
      </c>
      <c r="S851">
        <f t="shared" si="82"/>
        <v>0</v>
      </c>
      <c r="T851">
        <f t="shared" si="83"/>
        <v>0</v>
      </c>
      <c r="U851">
        <f t="shared" si="84"/>
        <v>0</v>
      </c>
    </row>
    <row r="852" spans="2:21">
      <c r="B852" s="102">
        <v>45264</v>
      </c>
      <c r="C852">
        <v>1.5</v>
      </c>
      <c r="D852" t="s">
        <v>120</v>
      </c>
      <c r="E852" t="s">
        <v>120</v>
      </c>
      <c r="F852" t="s">
        <v>121</v>
      </c>
      <c r="G852" t="s">
        <v>121</v>
      </c>
      <c r="H852" t="s">
        <v>121</v>
      </c>
      <c r="I852" t="s">
        <v>121</v>
      </c>
      <c r="P852">
        <f t="shared" si="79"/>
        <v>1</v>
      </c>
      <c r="Q852">
        <f t="shared" si="80"/>
        <v>1</v>
      </c>
      <c r="R852">
        <f t="shared" si="81"/>
        <v>0</v>
      </c>
      <c r="S852">
        <f t="shared" si="82"/>
        <v>0</v>
      </c>
      <c r="T852">
        <f t="shared" si="83"/>
        <v>0</v>
      </c>
      <c r="U852">
        <f t="shared" si="84"/>
        <v>0</v>
      </c>
    </row>
    <row r="853" spans="2:21">
      <c r="B853" s="102">
        <v>45265</v>
      </c>
      <c r="C853">
        <v>3</v>
      </c>
      <c r="D853" t="s">
        <v>120</v>
      </c>
      <c r="E853" t="s">
        <v>121</v>
      </c>
      <c r="F853" t="s">
        <v>120</v>
      </c>
      <c r="G853" t="s">
        <v>121</v>
      </c>
      <c r="H853" t="s">
        <v>121</v>
      </c>
      <c r="I853" t="s">
        <v>121</v>
      </c>
      <c r="P853">
        <f t="shared" si="79"/>
        <v>1</v>
      </c>
      <c r="Q853">
        <f t="shared" si="80"/>
        <v>0</v>
      </c>
      <c r="R853">
        <f t="shared" si="81"/>
        <v>1</v>
      </c>
      <c r="S853">
        <f t="shared" si="82"/>
        <v>0</v>
      </c>
      <c r="T853">
        <f t="shared" si="83"/>
        <v>0</v>
      </c>
      <c r="U853">
        <f t="shared" si="84"/>
        <v>0</v>
      </c>
    </row>
    <row r="854" spans="2:21">
      <c r="B854" s="102">
        <v>45266</v>
      </c>
      <c r="C854">
        <v>1.5</v>
      </c>
      <c r="D854" t="s">
        <v>120</v>
      </c>
      <c r="E854" t="s">
        <v>121</v>
      </c>
      <c r="F854" t="s">
        <v>121</v>
      </c>
      <c r="G854" t="s">
        <v>121</v>
      </c>
      <c r="H854" t="s">
        <v>121</v>
      </c>
      <c r="I854" t="s">
        <v>121</v>
      </c>
      <c r="P854">
        <f t="shared" si="79"/>
        <v>1</v>
      </c>
      <c r="Q854">
        <f t="shared" si="80"/>
        <v>0</v>
      </c>
      <c r="R854">
        <f t="shared" si="81"/>
        <v>0</v>
      </c>
      <c r="S854">
        <f t="shared" si="82"/>
        <v>0</v>
      </c>
      <c r="T854">
        <f t="shared" si="83"/>
        <v>0</v>
      </c>
      <c r="U854">
        <f t="shared" si="84"/>
        <v>0</v>
      </c>
    </row>
    <row r="855" spans="2:21">
      <c r="B855" s="102">
        <v>45267</v>
      </c>
      <c r="C855">
        <v>2</v>
      </c>
      <c r="D855" t="s">
        <v>121</v>
      </c>
      <c r="E855" t="s">
        <v>121</v>
      </c>
      <c r="F855" t="s">
        <v>121</v>
      </c>
      <c r="G855" t="s">
        <v>121</v>
      </c>
      <c r="H855" t="s">
        <v>121</v>
      </c>
      <c r="I855" t="s">
        <v>121</v>
      </c>
      <c r="P855">
        <f t="shared" si="79"/>
        <v>0</v>
      </c>
      <c r="Q855">
        <f t="shared" si="80"/>
        <v>0</v>
      </c>
      <c r="R855">
        <f t="shared" si="81"/>
        <v>0</v>
      </c>
      <c r="S855">
        <f t="shared" si="82"/>
        <v>0</v>
      </c>
      <c r="T855">
        <f t="shared" si="83"/>
        <v>0</v>
      </c>
      <c r="U855">
        <f t="shared" si="84"/>
        <v>0</v>
      </c>
    </row>
    <row r="856" spans="2:21">
      <c r="B856" s="102">
        <v>45268</v>
      </c>
      <c r="C856">
        <v>2</v>
      </c>
      <c r="D856" t="s">
        <v>120</v>
      </c>
      <c r="E856" t="s">
        <v>121</v>
      </c>
      <c r="F856" t="s">
        <v>121</v>
      </c>
      <c r="G856" t="s">
        <v>121</v>
      </c>
      <c r="H856" t="s">
        <v>121</v>
      </c>
      <c r="I856" t="s">
        <v>121</v>
      </c>
      <c r="P856">
        <f t="shared" si="79"/>
        <v>1</v>
      </c>
      <c r="Q856">
        <f t="shared" si="80"/>
        <v>0</v>
      </c>
      <c r="R856">
        <f t="shared" si="81"/>
        <v>0</v>
      </c>
      <c r="S856">
        <f t="shared" si="82"/>
        <v>0</v>
      </c>
      <c r="T856">
        <f t="shared" si="83"/>
        <v>0</v>
      </c>
      <c r="U856">
        <f t="shared" si="84"/>
        <v>0</v>
      </c>
    </row>
    <row r="857" spans="2:21">
      <c r="B857" s="102">
        <v>45269</v>
      </c>
      <c r="C857">
        <v>3</v>
      </c>
      <c r="D857" t="s">
        <v>121</v>
      </c>
      <c r="E857" t="s">
        <v>121</v>
      </c>
      <c r="F857" t="s">
        <v>121</v>
      </c>
      <c r="G857" t="s">
        <v>121</v>
      </c>
      <c r="H857" t="s">
        <v>121</v>
      </c>
      <c r="I857" t="s">
        <v>121</v>
      </c>
      <c r="P857">
        <f t="shared" si="79"/>
        <v>0</v>
      </c>
      <c r="Q857">
        <f t="shared" si="80"/>
        <v>0</v>
      </c>
      <c r="R857">
        <f t="shared" si="81"/>
        <v>0</v>
      </c>
      <c r="S857">
        <f t="shared" si="82"/>
        <v>0</v>
      </c>
      <c r="T857">
        <f t="shared" si="83"/>
        <v>0</v>
      </c>
      <c r="U857">
        <f t="shared" si="84"/>
        <v>0</v>
      </c>
    </row>
    <row r="858" spans="2:21">
      <c r="B858" s="102">
        <v>45270</v>
      </c>
      <c r="C858">
        <v>1.5</v>
      </c>
      <c r="D858" t="s">
        <v>120</v>
      </c>
      <c r="E858" t="s">
        <v>121</v>
      </c>
      <c r="F858" t="s">
        <v>121</v>
      </c>
      <c r="G858" t="s">
        <v>121</v>
      </c>
      <c r="H858" t="s">
        <v>121</v>
      </c>
      <c r="I858" t="s">
        <v>121</v>
      </c>
      <c r="K858">
        <v>188</v>
      </c>
      <c r="P858">
        <f t="shared" si="79"/>
        <v>1</v>
      </c>
      <c r="Q858">
        <f t="shared" si="80"/>
        <v>0</v>
      </c>
      <c r="R858">
        <f t="shared" si="81"/>
        <v>0</v>
      </c>
      <c r="S858">
        <f t="shared" si="82"/>
        <v>0</v>
      </c>
      <c r="T858">
        <f t="shared" si="83"/>
        <v>0</v>
      </c>
      <c r="U858">
        <f t="shared" si="84"/>
        <v>0</v>
      </c>
    </row>
    <row r="859" spans="2:21">
      <c r="B859" s="102">
        <v>45271</v>
      </c>
      <c r="C859">
        <v>1.5</v>
      </c>
      <c r="D859" t="s">
        <v>120</v>
      </c>
      <c r="E859" t="s">
        <v>121</v>
      </c>
      <c r="F859" t="s">
        <v>121</v>
      </c>
      <c r="G859" t="s">
        <v>121</v>
      </c>
      <c r="H859" t="s">
        <v>121</v>
      </c>
      <c r="I859" t="s">
        <v>121</v>
      </c>
      <c r="P859">
        <f t="shared" si="79"/>
        <v>1</v>
      </c>
      <c r="Q859">
        <f t="shared" si="80"/>
        <v>0</v>
      </c>
      <c r="R859">
        <f t="shared" si="81"/>
        <v>0</v>
      </c>
      <c r="S859">
        <f t="shared" si="82"/>
        <v>0</v>
      </c>
      <c r="T859">
        <f t="shared" si="83"/>
        <v>0</v>
      </c>
      <c r="U859">
        <f t="shared" si="84"/>
        <v>0</v>
      </c>
    </row>
    <row r="860" spans="2:21">
      <c r="B860" s="102">
        <v>45272</v>
      </c>
      <c r="C860">
        <v>2.5</v>
      </c>
      <c r="D860" t="s">
        <v>120</v>
      </c>
      <c r="E860" t="s">
        <v>121</v>
      </c>
      <c r="F860" t="s">
        <v>121</v>
      </c>
      <c r="G860" t="s">
        <v>121</v>
      </c>
      <c r="H860" t="s">
        <v>121</v>
      </c>
      <c r="I860" t="s">
        <v>121</v>
      </c>
      <c r="P860">
        <f t="shared" si="79"/>
        <v>1</v>
      </c>
      <c r="Q860">
        <f t="shared" si="80"/>
        <v>0</v>
      </c>
      <c r="R860">
        <f t="shared" si="81"/>
        <v>0</v>
      </c>
      <c r="S860">
        <f t="shared" si="82"/>
        <v>0</v>
      </c>
      <c r="T860">
        <f t="shared" si="83"/>
        <v>0</v>
      </c>
      <c r="U860">
        <f t="shared" si="84"/>
        <v>0</v>
      </c>
    </row>
    <row r="861" spans="2:21">
      <c r="B861" s="102">
        <v>45273</v>
      </c>
      <c r="C861">
        <v>1.5</v>
      </c>
      <c r="D861" t="s">
        <v>120</v>
      </c>
      <c r="E861" t="s">
        <v>120</v>
      </c>
      <c r="F861" t="s">
        <v>121</v>
      </c>
      <c r="G861" t="s">
        <v>121</v>
      </c>
      <c r="H861" t="s">
        <v>121</v>
      </c>
      <c r="I861" t="s">
        <v>121</v>
      </c>
      <c r="P861">
        <f t="shared" si="79"/>
        <v>1</v>
      </c>
      <c r="Q861">
        <f t="shared" si="80"/>
        <v>1</v>
      </c>
      <c r="R861">
        <f t="shared" si="81"/>
        <v>0</v>
      </c>
      <c r="S861">
        <f t="shared" si="82"/>
        <v>0</v>
      </c>
      <c r="T861">
        <f t="shared" si="83"/>
        <v>0</v>
      </c>
      <c r="U861">
        <f t="shared" si="84"/>
        <v>0</v>
      </c>
    </row>
    <row r="862" spans="2:21">
      <c r="B862" s="102">
        <v>45274</v>
      </c>
      <c r="C862">
        <v>2</v>
      </c>
      <c r="D862" t="s">
        <v>121</v>
      </c>
      <c r="E862" t="s">
        <v>121</v>
      </c>
      <c r="F862" t="s">
        <v>121</v>
      </c>
      <c r="G862" t="s">
        <v>121</v>
      </c>
      <c r="H862" t="s">
        <v>121</v>
      </c>
      <c r="I862" t="s">
        <v>121</v>
      </c>
      <c r="P862">
        <f t="shared" ref="P862:P867" si="85">IF(D862="YES", 1, 0)</f>
        <v>0</v>
      </c>
      <c r="Q862">
        <f t="shared" ref="Q862:U867" si="86">IF(E862="YES", 1, 0)</f>
        <v>0</v>
      </c>
      <c r="R862">
        <f t="shared" si="86"/>
        <v>0</v>
      </c>
      <c r="S862">
        <f t="shared" si="86"/>
        <v>0</v>
      </c>
      <c r="T862">
        <f t="shared" si="86"/>
        <v>0</v>
      </c>
      <c r="U862">
        <f t="shared" si="86"/>
        <v>0</v>
      </c>
    </row>
    <row r="863" spans="2:21">
      <c r="B863" s="102">
        <v>45275</v>
      </c>
      <c r="C863">
        <v>2.5</v>
      </c>
      <c r="D863" t="s">
        <v>120</v>
      </c>
      <c r="E863" t="s">
        <v>121</v>
      </c>
      <c r="F863" t="s">
        <v>121</v>
      </c>
      <c r="G863" t="s">
        <v>121</v>
      </c>
      <c r="H863" t="s">
        <v>121</v>
      </c>
      <c r="I863" t="s">
        <v>121</v>
      </c>
      <c r="P863">
        <f t="shared" si="85"/>
        <v>1</v>
      </c>
      <c r="Q863">
        <f t="shared" si="86"/>
        <v>0</v>
      </c>
      <c r="R863">
        <f t="shared" si="86"/>
        <v>0</v>
      </c>
      <c r="S863">
        <f t="shared" si="86"/>
        <v>0</v>
      </c>
      <c r="T863">
        <f t="shared" si="86"/>
        <v>0</v>
      </c>
      <c r="U863">
        <f t="shared" si="86"/>
        <v>0</v>
      </c>
    </row>
    <row r="864" spans="2:21">
      <c r="B864" s="102">
        <v>45276</v>
      </c>
      <c r="C864">
        <v>3</v>
      </c>
      <c r="D864" t="s">
        <v>121</v>
      </c>
      <c r="E864" t="s">
        <v>121</v>
      </c>
      <c r="F864" t="s">
        <v>121</v>
      </c>
      <c r="G864" t="s">
        <v>120</v>
      </c>
      <c r="H864" t="s">
        <v>120</v>
      </c>
      <c r="I864" t="s">
        <v>121</v>
      </c>
      <c r="P864">
        <f t="shared" si="85"/>
        <v>0</v>
      </c>
      <c r="Q864">
        <f t="shared" si="86"/>
        <v>0</v>
      </c>
      <c r="R864">
        <f t="shared" si="86"/>
        <v>0</v>
      </c>
      <c r="S864">
        <f t="shared" si="86"/>
        <v>1</v>
      </c>
      <c r="T864">
        <f t="shared" si="86"/>
        <v>1</v>
      </c>
      <c r="U864">
        <f t="shared" si="86"/>
        <v>0</v>
      </c>
    </row>
    <row r="865" spans="2:21">
      <c r="B865" s="102">
        <v>45277</v>
      </c>
      <c r="C865">
        <v>3</v>
      </c>
      <c r="D865" t="s">
        <v>121</v>
      </c>
      <c r="E865" t="s">
        <v>121</v>
      </c>
      <c r="F865" t="s">
        <v>121</v>
      </c>
      <c r="G865" t="s">
        <v>121</v>
      </c>
      <c r="H865" t="s">
        <v>121</v>
      </c>
      <c r="I865" t="s">
        <v>121</v>
      </c>
      <c r="K865">
        <v>185.6</v>
      </c>
      <c r="P865">
        <f t="shared" si="85"/>
        <v>0</v>
      </c>
      <c r="Q865">
        <f t="shared" si="86"/>
        <v>0</v>
      </c>
      <c r="R865">
        <f t="shared" si="86"/>
        <v>0</v>
      </c>
      <c r="S865">
        <f t="shared" si="86"/>
        <v>0</v>
      </c>
      <c r="T865">
        <f t="shared" si="86"/>
        <v>0</v>
      </c>
      <c r="U865">
        <f t="shared" si="86"/>
        <v>0</v>
      </c>
    </row>
    <row r="866" spans="2:21">
      <c r="B866" s="102">
        <v>45278</v>
      </c>
      <c r="C866">
        <v>2</v>
      </c>
      <c r="D866" t="s">
        <v>121</v>
      </c>
      <c r="E866" t="s">
        <v>121</v>
      </c>
      <c r="F866" t="s">
        <v>121</v>
      </c>
      <c r="G866" t="s">
        <v>121</v>
      </c>
      <c r="H866" t="s">
        <v>121</v>
      </c>
      <c r="I866" t="s">
        <v>121</v>
      </c>
      <c r="P866">
        <f t="shared" si="85"/>
        <v>0</v>
      </c>
      <c r="Q866">
        <f t="shared" si="86"/>
        <v>0</v>
      </c>
      <c r="R866">
        <f t="shared" si="86"/>
        <v>0</v>
      </c>
      <c r="S866">
        <f t="shared" si="86"/>
        <v>0</v>
      </c>
      <c r="T866">
        <f t="shared" si="86"/>
        <v>0</v>
      </c>
      <c r="U866">
        <f t="shared" si="86"/>
        <v>0</v>
      </c>
    </row>
    <row r="867" spans="2:21">
      <c r="B867" s="102">
        <v>45279</v>
      </c>
      <c r="C867">
        <v>1.5</v>
      </c>
      <c r="D867" t="s">
        <v>120</v>
      </c>
      <c r="E867" t="s">
        <v>121</v>
      </c>
      <c r="F867" t="s">
        <v>121</v>
      </c>
      <c r="G867" t="s">
        <v>121</v>
      </c>
      <c r="H867" t="s">
        <v>121</v>
      </c>
      <c r="I867" t="s">
        <v>121</v>
      </c>
      <c r="P867">
        <f t="shared" si="85"/>
        <v>1</v>
      </c>
      <c r="Q867">
        <f t="shared" si="86"/>
        <v>0</v>
      </c>
      <c r="R867">
        <f t="shared" si="86"/>
        <v>0</v>
      </c>
      <c r="S867">
        <f t="shared" si="86"/>
        <v>0</v>
      </c>
      <c r="T867">
        <f t="shared" si="86"/>
        <v>0</v>
      </c>
      <c r="U867">
        <f t="shared" si="86"/>
        <v>0</v>
      </c>
    </row>
    <row r="868" spans="2:21">
      <c r="B868" s="102">
        <v>45280</v>
      </c>
      <c r="C868">
        <v>2.5</v>
      </c>
      <c r="D868" t="s">
        <v>120</v>
      </c>
      <c r="E868" t="s">
        <v>121</v>
      </c>
      <c r="F868" t="s">
        <v>121</v>
      </c>
      <c r="G868" t="s">
        <v>121</v>
      </c>
      <c r="H868" t="s">
        <v>121</v>
      </c>
      <c r="I868" t="s">
        <v>121</v>
      </c>
      <c r="P868">
        <f t="shared" ref="P868:P876" si="87">IF(D868="YES", 1, 0)</f>
        <v>1</v>
      </c>
      <c r="Q868">
        <f t="shared" ref="Q868:Q876" si="88">IF(E868="YES", 1, 0)</f>
        <v>0</v>
      </c>
      <c r="R868">
        <f t="shared" ref="R868:R876" si="89">IF(F868="YES", 1, 0)</f>
        <v>0</v>
      </c>
      <c r="S868">
        <f t="shared" ref="S868:S876" si="90">IF(G868="YES", 1, 0)</f>
        <v>0</v>
      </c>
      <c r="T868">
        <f t="shared" ref="T868:T876" si="91">IF(H868="YES", 1, 0)</f>
        <v>0</v>
      </c>
      <c r="U868">
        <f t="shared" ref="U868:U876" si="92">IF(I868="YES", 1, 0)</f>
        <v>0</v>
      </c>
    </row>
    <row r="869" spans="2:21">
      <c r="B869" s="102">
        <v>45281</v>
      </c>
      <c r="C869">
        <v>1.5</v>
      </c>
      <c r="D869" t="s">
        <v>120</v>
      </c>
      <c r="E869" t="s">
        <v>120</v>
      </c>
      <c r="F869" t="s">
        <v>121</v>
      </c>
      <c r="G869" t="s">
        <v>121</v>
      </c>
      <c r="H869" t="s">
        <v>121</v>
      </c>
      <c r="I869" t="s">
        <v>120</v>
      </c>
      <c r="P869">
        <f t="shared" si="87"/>
        <v>1</v>
      </c>
      <c r="Q869">
        <f t="shared" si="88"/>
        <v>1</v>
      </c>
      <c r="R869">
        <f t="shared" si="89"/>
        <v>0</v>
      </c>
      <c r="S869">
        <f t="shared" si="90"/>
        <v>0</v>
      </c>
      <c r="T869">
        <f t="shared" si="91"/>
        <v>0</v>
      </c>
      <c r="U869">
        <f t="shared" si="92"/>
        <v>1</v>
      </c>
    </row>
    <row r="870" spans="2:21">
      <c r="B870" s="102">
        <v>45282</v>
      </c>
      <c r="C870">
        <v>2.5</v>
      </c>
      <c r="D870" t="s">
        <v>120</v>
      </c>
      <c r="E870" t="s">
        <v>121</v>
      </c>
      <c r="F870" t="s">
        <v>121</v>
      </c>
      <c r="G870" t="s">
        <v>121</v>
      </c>
      <c r="H870" t="s">
        <v>121</v>
      </c>
      <c r="I870" t="s">
        <v>121</v>
      </c>
      <c r="P870">
        <f t="shared" si="87"/>
        <v>1</v>
      </c>
      <c r="Q870">
        <f t="shared" si="88"/>
        <v>0</v>
      </c>
      <c r="R870">
        <f t="shared" si="89"/>
        <v>0</v>
      </c>
      <c r="S870">
        <f t="shared" si="90"/>
        <v>0</v>
      </c>
      <c r="T870">
        <f t="shared" si="91"/>
        <v>0</v>
      </c>
      <c r="U870">
        <f t="shared" si="92"/>
        <v>0</v>
      </c>
    </row>
    <row r="871" spans="2:21">
      <c r="B871" s="102">
        <v>45283</v>
      </c>
      <c r="C871">
        <v>2.5</v>
      </c>
      <c r="D871" t="s">
        <v>120</v>
      </c>
      <c r="E871" t="s">
        <v>121</v>
      </c>
      <c r="F871" t="s">
        <v>121</v>
      </c>
      <c r="G871" t="s">
        <v>121</v>
      </c>
      <c r="H871" t="s">
        <v>121</v>
      </c>
      <c r="I871" t="s">
        <v>121</v>
      </c>
      <c r="P871">
        <f t="shared" si="87"/>
        <v>1</v>
      </c>
      <c r="Q871">
        <f t="shared" si="88"/>
        <v>0</v>
      </c>
      <c r="R871">
        <f t="shared" si="89"/>
        <v>0</v>
      </c>
      <c r="S871">
        <f t="shared" si="90"/>
        <v>0</v>
      </c>
      <c r="T871">
        <f t="shared" si="91"/>
        <v>0</v>
      </c>
      <c r="U871">
        <f t="shared" si="92"/>
        <v>0</v>
      </c>
    </row>
    <row r="872" spans="2:21">
      <c r="B872" s="102">
        <v>45284</v>
      </c>
      <c r="C872">
        <v>1</v>
      </c>
      <c r="D872" t="s">
        <v>121</v>
      </c>
      <c r="E872" t="s">
        <v>121</v>
      </c>
      <c r="F872" t="s">
        <v>121</v>
      </c>
      <c r="G872" t="s">
        <v>121</v>
      </c>
      <c r="H872" t="s">
        <v>121</v>
      </c>
      <c r="I872" t="s">
        <v>121</v>
      </c>
      <c r="K872">
        <v>186.6</v>
      </c>
      <c r="P872">
        <f t="shared" si="87"/>
        <v>0</v>
      </c>
      <c r="Q872">
        <f t="shared" si="88"/>
        <v>0</v>
      </c>
      <c r="R872">
        <f t="shared" si="89"/>
        <v>0</v>
      </c>
      <c r="S872">
        <f t="shared" si="90"/>
        <v>0</v>
      </c>
      <c r="T872">
        <f t="shared" si="91"/>
        <v>0</v>
      </c>
      <c r="U872">
        <f t="shared" si="92"/>
        <v>0</v>
      </c>
    </row>
    <row r="873" spans="2:21">
      <c r="B873" s="102">
        <v>45285</v>
      </c>
      <c r="C873">
        <v>2.5</v>
      </c>
      <c r="D873" t="s">
        <v>121</v>
      </c>
      <c r="E873" t="s">
        <v>121</v>
      </c>
      <c r="F873" t="s">
        <v>121</v>
      </c>
      <c r="G873" t="s">
        <v>121</v>
      </c>
      <c r="H873" t="s">
        <v>121</v>
      </c>
      <c r="I873" t="s">
        <v>121</v>
      </c>
      <c r="P873">
        <f t="shared" si="87"/>
        <v>0</v>
      </c>
      <c r="Q873">
        <f t="shared" si="88"/>
        <v>0</v>
      </c>
      <c r="R873">
        <f t="shared" si="89"/>
        <v>0</v>
      </c>
      <c r="S873">
        <f t="shared" si="90"/>
        <v>0</v>
      </c>
      <c r="T873">
        <f t="shared" si="91"/>
        <v>0</v>
      </c>
      <c r="U873">
        <f t="shared" si="92"/>
        <v>0</v>
      </c>
    </row>
    <row r="874" spans="2:21">
      <c r="B874" s="102">
        <v>45286</v>
      </c>
      <c r="C874">
        <v>3</v>
      </c>
      <c r="D874" t="s">
        <v>121</v>
      </c>
      <c r="E874" t="s">
        <v>121</v>
      </c>
      <c r="F874" t="s">
        <v>121</v>
      </c>
      <c r="G874" t="s">
        <v>121</v>
      </c>
      <c r="H874" t="s">
        <v>121</v>
      </c>
      <c r="I874" t="s">
        <v>121</v>
      </c>
      <c r="P874">
        <f t="shared" si="87"/>
        <v>0</v>
      </c>
      <c r="Q874">
        <f t="shared" si="88"/>
        <v>0</v>
      </c>
      <c r="R874">
        <f t="shared" si="89"/>
        <v>0</v>
      </c>
      <c r="S874">
        <f t="shared" si="90"/>
        <v>0</v>
      </c>
      <c r="T874">
        <f t="shared" si="91"/>
        <v>0</v>
      </c>
      <c r="U874">
        <f t="shared" si="92"/>
        <v>0</v>
      </c>
    </row>
    <row r="875" spans="2:21">
      <c r="B875" s="102">
        <v>45287</v>
      </c>
      <c r="C875">
        <v>1.5</v>
      </c>
      <c r="D875" t="s">
        <v>121</v>
      </c>
      <c r="E875" t="s">
        <v>121</v>
      </c>
      <c r="F875" t="s">
        <v>121</v>
      </c>
      <c r="G875" t="s">
        <v>121</v>
      </c>
      <c r="H875" t="s">
        <v>121</v>
      </c>
      <c r="I875" t="s">
        <v>121</v>
      </c>
      <c r="P875">
        <f t="shared" si="87"/>
        <v>0</v>
      </c>
      <c r="Q875">
        <f t="shared" si="88"/>
        <v>0</v>
      </c>
      <c r="R875">
        <f t="shared" si="89"/>
        <v>0</v>
      </c>
      <c r="S875">
        <f t="shared" si="90"/>
        <v>0</v>
      </c>
      <c r="T875">
        <f t="shared" si="91"/>
        <v>0</v>
      </c>
      <c r="U875">
        <f t="shared" si="92"/>
        <v>0</v>
      </c>
    </row>
    <row r="876" spans="2:21">
      <c r="B876" s="102">
        <v>45288</v>
      </c>
      <c r="C876">
        <v>2</v>
      </c>
      <c r="D876" t="s">
        <v>120</v>
      </c>
      <c r="E876" t="s">
        <v>121</v>
      </c>
      <c r="F876" t="s">
        <v>121</v>
      </c>
      <c r="G876" t="s">
        <v>121</v>
      </c>
      <c r="H876" t="s">
        <v>121</v>
      </c>
      <c r="I876" t="s">
        <v>121</v>
      </c>
      <c r="P876">
        <f t="shared" si="87"/>
        <v>1</v>
      </c>
      <c r="Q876">
        <f t="shared" si="88"/>
        <v>0</v>
      </c>
      <c r="R876">
        <f t="shared" si="89"/>
        <v>0</v>
      </c>
      <c r="S876">
        <f t="shared" si="90"/>
        <v>0</v>
      </c>
      <c r="T876">
        <f t="shared" si="91"/>
        <v>0</v>
      </c>
      <c r="U876">
        <f t="shared" si="92"/>
        <v>0</v>
      </c>
    </row>
    <row r="877" spans="2:21">
      <c r="B877" s="102">
        <v>45289</v>
      </c>
      <c r="C877">
        <v>2.5</v>
      </c>
      <c r="D877" t="s">
        <v>120</v>
      </c>
      <c r="E877" t="s">
        <v>120</v>
      </c>
      <c r="F877" t="s">
        <v>121</v>
      </c>
      <c r="G877" t="s">
        <v>121</v>
      </c>
      <c r="H877" t="s">
        <v>121</v>
      </c>
      <c r="I877" t="s">
        <v>121</v>
      </c>
      <c r="P877">
        <f t="shared" ref="P877:P883" si="93">IF(D877="YES", 1, 0)</f>
        <v>1</v>
      </c>
      <c r="Q877">
        <f t="shared" ref="Q877:Q883" si="94">IF(E877="YES", 1, 0)</f>
        <v>1</v>
      </c>
      <c r="R877">
        <f t="shared" ref="R877:R883" si="95">IF(F877="YES", 1, 0)</f>
        <v>0</v>
      </c>
      <c r="S877">
        <f t="shared" ref="S877:S883" si="96">IF(G877="YES", 1, 0)</f>
        <v>0</v>
      </c>
      <c r="T877">
        <f t="shared" ref="T877:T883" si="97">IF(H877="YES", 1, 0)</f>
        <v>0</v>
      </c>
      <c r="U877">
        <f t="shared" ref="U877:U883" si="98">IF(I877="YES", 1, 0)</f>
        <v>0</v>
      </c>
    </row>
    <row r="878" spans="2:21">
      <c r="B878" s="102">
        <v>45290</v>
      </c>
      <c r="C878">
        <v>1</v>
      </c>
      <c r="D878" t="s">
        <v>120</v>
      </c>
      <c r="E878" t="s">
        <v>121</v>
      </c>
      <c r="F878" t="s">
        <v>121</v>
      </c>
      <c r="G878" t="s">
        <v>121</v>
      </c>
      <c r="H878" t="s">
        <v>121</v>
      </c>
      <c r="I878" t="s">
        <v>121</v>
      </c>
      <c r="P878">
        <f t="shared" si="93"/>
        <v>1</v>
      </c>
      <c r="Q878">
        <f t="shared" si="94"/>
        <v>0</v>
      </c>
      <c r="R878">
        <f t="shared" si="95"/>
        <v>0</v>
      </c>
      <c r="S878">
        <f t="shared" si="96"/>
        <v>0</v>
      </c>
      <c r="T878">
        <f t="shared" si="97"/>
        <v>0</v>
      </c>
      <c r="U878">
        <f t="shared" si="98"/>
        <v>0</v>
      </c>
    </row>
    <row r="879" spans="2:21">
      <c r="B879" s="102">
        <v>45291</v>
      </c>
      <c r="C879">
        <v>1.5</v>
      </c>
      <c r="D879" t="s">
        <v>121</v>
      </c>
      <c r="E879" t="s">
        <v>121</v>
      </c>
      <c r="F879" t="s">
        <v>121</v>
      </c>
      <c r="G879" t="s">
        <v>121</v>
      </c>
      <c r="H879" t="s">
        <v>121</v>
      </c>
      <c r="I879" t="s">
        <v>121</v>
      </c>
      <c r="P879">
        <f t="shared" si="93"/>
        <v>0</v>
      </c>
      <c r="Q879">
        <f t="shared" si="94"/>
        <v>0</v>
      </c>
      <c r="R879">
        <f t="shared" si="95"/>
        <v>0</v>
      </c>
      <c r="S879">
        <f t="shared" si="96"/>
        <v>0</v>
      </c>
      <c r="T879">
        <f t="shared" si="97"/>
        <v>0</v>
      </c>
      <c r="U879">
        <f t="shared" si="98"/>
        <v>0</v>
      </c>
    </row>
    <row r="880" spans="2:21">
      <c r="B880" s="102">
        <v>45292</v>
      </c>
      <c r="C880">
        <v>2.5</v>
      </c>
      <c r="D880" t="s">
        <v>121</v>
      </c>
      <c r="E880" t="s">
        <v>121</v>
      </c>
      <c r="F880" t="s">
        <v>121</v>
      </c>
      <c r="G880" t="s">
        <v>121</v>
      </c>
      <c r="H880" t="s">
        <v>121</v>
      </c>
      <c r="I880" t="s">
        <v>121</v>
      </c>
      <c r="P880">
        <f t="shared" si="93"/>
        <v>0</v>
      </c>
      <c r="Q880">
        <f t="shared" si="94"/>
        <v>0</v>
      </c>
      <c r="R880">
        <f t="shared" si="95"/>
        <v>0</v>
      </c>
      <c r="S880">
        <f t="shared" si="96"/>
        <v>0</v>
      </c>
      <c r="T880">
        <f t="shared" si="97"/>
        <v>0</v>
      </c>
      <c r="U880">
        <f t="shared" si="98"/>
        <v>0</v>
      </c>
    </row>
    <row r="881" spans="2:21">
      <c r="B881" s="102">
        <v>45293</v>
      </c>
      <c r="C881">
        <v>2.5</v>
      </c>
      <c r="D881" t="s">
        <v>121</v>
      </c>
      <c r="E881" t="s">
        <v>121</v>
      </c>
      <c r="F881" t="s">
        <v>121</v>
      </c>
      <c r="G881" t="s">
        <v>121</v>
      </c>
      <c r="H881" t="s">
        <v>121</v>
      </c>
      <c r="I881" t="s">
        <v>121</v>
      </c>
      <c r="P881">
        <f t="shared" si="93"/>
        <v>0</v>
      </c>
      <c r="Q881">
        <f t="shared" si="94"/>
        <v>0</v>
      </c>
      <c r="R881">
        <f t="shared" si="95"/>
        <v>0</v>
      </c>
      <c r="S881">
        <f t="shared" si="96"/>
        <v>0</v>
      </c>
      <c r="T881">
        <f t="shared" si="97"/>
        <v>0</v>
      </c>
      <c r="U881">
        <f t="shared" si="98"/>
        <v>0</v>
      </c>
    </row>
    <row r="882" spans="2:21">
      <c r="B882" s="102">
        <v>45294</v>
      </c>
      <c r="C882">
        <v>1.5</v>
      </c>
      <c r="D882" t="s">
        <v>120</v>
      </c>
      <c r="E882" t="s">
        <v>121</v>
      </c>
      <c r="F882" t="s">
        <v>121</v>
      </c>
      <c r="G882" t="s">
        <v>121</v>
      </c>
      <c r="H882" t="s">
        <v>121</v>
      </c>
      <c r="I882" t="s">
        <v>121</v>
      </c>
      <c r="K882">
        <v>187.8</v>
      </c>
      <c r="P882">
        <f t="shared" si="93"/>
        <v>1</v>
      </c>
      <c r="Q882">
        <f t="shared" si="94"/>
        <v>0</v>
      </c>
      <c r="R882">
        <f t="shared" si="95"/>
        <v>0</v>
      </c>
      <c r="S882">
        <f t="shared" si="96"/>
        <v>0</v>
      </c>
      <c r="T882">
        <f t="shared" si="97"/>
        <v>0</v>
      </c>
      <c r="U882">
        <f t="shared" si="98"/>
        <v>0</v>
      </c>
    </row>
    <row r="883" spans="2:21">
      <c r="B883" s="102">
        <v>45295</v>
      </c>
      <c r="C883">
        <v>1.5</v>
      </c>
      <c r="D883" t="s">
        <v>120</v>
      </c>
      <c r="E883" t="s">
        <v>121</v>
      </c>
      <c r="F883" t="s">
        <v>121</v>
      </c>
      <c r="G883" t="s">
        <v>121</v>
      </c>
      <c r="H883" t="s">
        <v>121</v>
      </c>
      <c r="I883" t="s">
        <v>121</v>
      </c>
      <c r="P883">
        <f t="shared" si="93"/>
        <v>1</v>
      </c>
      <c r="Q883">
        <f t="shared" si="94"/>
        <v>0</v>
      </c>
      <c r="R883">
        <f t="shared" si="95"/>
        <v>0</v>
      </c>
      <c r="S883">
        <f t="shared" si="96"/>
        <v>0</v>
      </c>
      <c r="T883">
        <f t="shared" si="97"/>
        <v>0</v>
      </c>
      <c r="U883">
        <f t="shared" si="98"/>
        <v>0</v>
      </c>
    </row>
    <row r="884" spans="2:21">
      <c r="B884" s="102">
        <v>45296</v>
      </c>
      <c r="C884">
        <v>2.5</v>
      </c>
      <c r="D884" t="s">
        <v>120</v>
      </c>
      <c r="E884" t="s">
        <v>121</v>
      </c>
      <c r="F884" t="s">
        <v>121</v>
      </c>
      <c r="G884" t="s">
        <v>121</v>
      </c>
      <c r="H884" t="s">
        <v>121</v>
      </c>
      <c r="I884" t="s">
        <v>121</v>
      </c>
      <c r="P884">
        <f t="shared" ref="P884:P892" si="99">IF(D884="YES", 1, 0)</f>
        <v>1</v>
      </c>
      <c r="Q884">
        <f t="shared" ref="Q884:Q892" si="100">IF(E884="YES", 1, 0)</f>
        <v>0</v>
      </c>
      <c r="R884">
        <f t="shared" ref="R884:R892" si="101">IF(F884="YES", 1, 0)</f>
        <v>0</v>
      </c>
      <c r="S884">
        <f t="shared" ref="S884:S892" si="102">IF(G884="YES", 1, 0)</f>
        <v>0</v>
      </c>
      <c r="T884">
        <f t="shared" ref="T884:T892" si="103">IF(H884="YES", 1, 0)</f>
        <v>0</v>
      </c>
      <c r="U884">
        <f t="shared" ref="U884:U892" si="104">IF(I884="YES", 1, 0)</f>
        <v>0</v>
      </c>
    </row>
    <row r="885" spans="2:21">
      <c r="B885" s="102">
        <v>45297</v>
      </c>
      <c r="C885">
        <v>1.5</v>
      </c>
      <c r="D885" t="s">
        <v>120</v>
      </c>
      <c r="E885" t="s">
        <v>121</v>
      </c>
      <c r="F885" t="s">
        <v>121</v>
      </c>
      <c r="G885" t="s">
        <v>121</v>
      </c>
      <c r="H885" t="s">
        <v>121</v>
      </c>
      <c r="I885" t="s">
        <v>121</v>
      </c>
      <c r="P885">
        <f t="shared" si="99"/>
        <v>1</v>
      </c>
      <c r="Q885">
        <f t="shared" si="100"/>
        <v>0</v>
      </c>
      <c r="R885">
        <f t="shared" si="101"/>
        <v>0</v>
      </c>
      <c r="S885">
        <f t="shared" si="102"/>
        <v>0</v>
      </c>
      <c r="T885">
        <f t="shared" si="103"/>
        <v>0</v>
      </c>
      <c r="U885">
        <f t="shared" si="104"/>
        <v>0</v>
      </c>
    </row>
    <row r="886" spans="2:21">
      <c r="B886" s="102">
        <v>45298</v>
      </c>
      <c r="C886">
        <v>1.5</v>
      </c>
      <c r="D886" t="s">
        <v>120</v>
      </c>
      <c r="E886" t="s">
        <v>121</v>
      </c>
      <c r="F886" t="s">
        <v>121</v>
      </c>
      <c r="G886" t="s">
        <v>121</v>
      </c>
      <c r="H886" t="s">
        <v>121</v>
      </c>
      <c r="I886" t="s">
        <v>121</v>
      </c>
      <c r="P886">
        <f t="shared" si="99"/>
        <v>1</v>
      </c>
      <c r="Q886">
        <f t="shared" si="100"/>
        <v>0</v>
      </c>
      <c r="R886">
        <f t="shared" si="101"/>
        <v>0</v>
      </c>
      <c r="S886">
        <f t="shared" si="102"/>
        <v>0</v>
      </c>
      <c r="T886">
        <f t="shared" si="103"/>
        <v>0</v>
      </c>
      <c r="U886">
        <f t="shared" si="104"/>
        <v>0</v>
      </c>
    </row>
    <row r="887" spans="2:21">
      <c r="B887" s="102">
        <v>45299</v>
      </c>
      <c r="C887">
        <v>2</v>
      </c>
      <c r="D887" t="s">
        <v>120</v>
      </c>
      <c r="E887" t="s">
        <v>121</v>
      </c>
      <c r="F887" t="s">
        <v>121</v>
      </c>
      <c r="G887" t="s">
        <v>121</v>
      </c>
      <c r="H887" t="s">
        <v>121</v>
      </c>
      <c r="I887" t="s">
        <v>121</v>
      </c>
      <c r="K887">
        <v>185.2</v>
      </c>
      <c r="P887">
        <f t="shared" si="99"/>
        <v>1</v>
      </c>
      <c r="Q887">
        <f t="shared" si="100"/>
        <v>0</v>
      </c>
      <c r="R887">
        <f t="shared" si="101"/>
        <v>0</v>
      </c>
      <c r="S887">
        <f t="shared" si="102"/>
        <v>0</v>
      </c>
      <c r="T887">
        <f t="shared" si="103"/>
        <v>0</v>
      </c>
      <c r="U887">
        <f t="shared" si="104"/>
        <v>0</v>
      </c>
    </row>
    <row r="888" spans="2:21">
      <c r="B888" s="102">
        <v>45300</v>
      </c>
      <c r="C888">
        <v>1.5</v>
      </c>
      <c r="D888" t="s">
        <v>120</v>
      </c>
      <c r="E888" t="s">
        <v>121</v>
      </c>
      <c r="F888" t="s">
        <v>121</v>
      </c>
      <c r="G888" t="s">
        <v>121</v>
      </c>
      <c r="H888" t="s">
        <v>121</v>
      </c>
      <c r="I888" t="s">
        <v>121</v>
      </c>
      <c r="P888">
        <f t="shared" si="99"/>
        <v>1</v>
      </c>
      <c r="Q888">
        <f t="shared" si="100"/>
        <v>0</v>
      </c>
      <c r="R888">
        <f t="shared" si="101"/>
        <v>0</v>
      </c>
      <c r="S888">
        <f t="shared" si="102"/>
        <v>0</v>
      </c>
      <c r="T888">
        <f t="shared" si="103"/>
        <v>0</v>
      </c>
      <c r="U888">
        <f t="shared" si="104"/>
        <v>0</v>
      </c>
    </row>
    <row r="889" spans="2:21">
      <c r="B889" s="102">
        <v>45301</v>
      </c>
      <c r="C889">
        <v>1</v>
      </c>
      <c r="D889" t="s">
        <v>120</v>
      </c>
      <c r="E889" t="s">
        <v>120</v>
      </c>
      <c r="F889" t="s">
        <v>121</v>
      </c>
      <c r="G889" t="s">
        <v>121</v>
      </c>
      <c r="H889" t="s">
        <v>121</v>
      </c>
      <c r="I889" t="s">
        <v>120</v>
      </c>
      <c r="P889">
        <f t="shared" si="99"/>
        <v>1</v>
      </c>
      <c r="Q889">
        <f t="shared" si="100"/>
        <v>1</v>
      </c>
      <c r="R889">
        <f t="shared" si="101"/>
        <v>0</v>
      </c>
      <c r="S889">
        <f t="shared" si="102"/>
        <v>0</v>
      </c>
      <c r="T889">
        <f t="shared" si="103"/>
        <v>0</v>
      </c>
      <c r="U889">
        <f t="shared" si="104"/>
        <v>1</v>
      </c>
    </row>
    <row r="890" spans="2:21">
      <c r="B890" s="102">
        <v>45302</v>
      </c>
      <c r="C890">
        <v>2.5</v>
      </c>
      <c r="D890" t="s">
        <v>120</v>
      </c>
      <c r="E890" t="s">
        <v>121</v>
      </c>
      <c r="F890" t="s">
        <v>121</v>
      </c>
      <c r="G890" t="s">
        <v>121</v>
      </c>
      <c r="H890" t="s">
        <v>121</v>
      </c>
      <c r="I890" t="s">
        <v>121</v>
      </c>
      <c r="P890">
        <f t="shared" si="99"/>
        <v>1</v>
      </c>
      <c r="Q890">
        <f t="shared" si="100"/>
        <v>0</v>
      </c>
      <c r="R890">
        <f t="shared" si="101"/>
        <v>0</v>
      </c>
      <c r="S890">
        <f t="shared" si="102"/>
        <v>0</v>
      </c>
      <c r="T890">
        <f t="shared" si="103"/>
        <v>0</v>
      </c>
      <c r="U890">
        <f t="shared" si="104"/>
        <v>0</v>
      </c>
    </row>
    <row r="891" spans="2:21">
      <c r="B891" s="102">
        <v>45303</v>
      </c>
      <c r="C891">
        <v>2.5</v>
      </c>
      <c r="D891" t="s">
        <v>120</v>
      </c>
      <c r="E891" t="s">
        <v>121</v>
      </c>
      <c r="F891" t="s">
        <v>120</v>
      </c>
      <c r="G891" t="s">
        <v>121</v>
      </c>
      <c r="H891" t="s">
        <v>121</v>
      </c>
      <c r="I891" t="s">
        <v>121</v>
      </c>
      <c r="P891">
        <f t="shared" si="99"/>
        <v>1</v>
      </c>
      <c r="Q891">
        <f t="shared" si="100"/>
        <v>0</v>
      </c>
      <c r="R891">
        <f t="shared" si="101"/>
        <v>1</v>
      </c>
      <c r="S891">
        <f t="shared" si="102"/>
        <v>0</v>
      </c>
      <c r="T891">
        <f t="shared" si="103"/>
        <v>0</v>
      </c>
      <c r="U891">
        <f t="shared" si="104"/>
        <v>0</v>
      </c>
    </row>
    <row r="892" spans="2:21">
      <c r="B892" s="102">
        <v>45304</v>
      </c>
      <c r="C892">
        <v>1</v>
      </c>
      <c r="D892" t="s">
        <v>120</v>
      </c>
      <c r="E892" t="s">
        <v>121</v>
      </c>
      <c r="F892" t="s">
        <v>121</v>
      </c>
      <c r="G892" t="s">
        <v>121</v>
      </c>
      <c r="H892" t="s">
        <v>121</v>
      </c>
      <c r="I892" t="s">
        <v>121</v>
      </c>
      <c r="P892">
        <f t="shared" si="99"/>
        <v>1</v>
      </c>
      <c r="Q892">
        <f t="shared" si="100"/>
        <v>0</v>
      </c>
      <c r="R892">
        <f t="shared" si="101"/>
        <v>0</v>
      </c>
      <c r="S892">
        <f t="shared" si="102"/>
        <v>0</v>
      </c>
      <c r="T892">
        <f t="shared" si="103"/>
        <v>0</v>
      </c>
      <c r="U892">
        <f t="shared" si="104"/>
        <v>0</v>
      </c>
    </row>
    <row r="893" spans="2:21">
      <c r="B893" s="102">
        <v>45305</v>
      </c>
      <c r="C893">
        <v>2</v>
      </c>
      <c r="D893" t="s">
        <v>121</v>
      </c>
      <c r="E893" t="s">
        <v>121</v>
      </c>
      <c r="F893" t="s">
        <v>121</v>
      </c>
      <c r="G893" t="s">
        <v>121</v>
      </c>
      <c r="H893" t="s">
        <v>121</v>
      </c>
      <c r="I893" t="s">
        <v>121</v>
      </c>
      <c r="P893">
        <f t="shared" ref="P893:P905" si="105">IF(D893="YES", 1, 0)</f>
        <v>0</v>
      </c>
      <c r="Q893">
        <f t="shared" ref="Q893:Q905" si="106">IF(E893="YES", 1, 0)</f>
        <v>0</v>
      </c>
      <c r="R893">
        <f t="shared" ref="R893:R905" si="107">IF(F893="YES", 1, 0)</f>
        <v>0</v>
      </c>
      <c r="S893">
        <f t="shared" ref="S893:S905" si="108">IF(G893="YES", 1, 0)</f>
        <v>0</v>
      </c>
      <c r="T893">
        <f t="shared" ref="T893:T905" si="109">IF(H893="YES", 1, 0)</f>
        <v>0</v>
      </c>
      <c r="U893">
        <f t="shared" ref="U893:U905" si="110">IF(I893="YES", 1, 0)</f>
        <v>0</v>
      </c>
    </row>
    <row r="894" spans="2:21">
      <c r="B894" s="102">
        <v>45306</v>
      </c>
      <c r="D894" t="s">
        <v>120</v>
      </c>
      <c r="E894" t="s">
        <v>121</v>
      </c>
      <c r="F894" t="s">
        <v>121</v>
      </c>
      <c r="G894" t="s">
        <v>121</v>
      </c>
      <c r="H894" t="s">
        <v>121</v>
      </c>
      <c r="I894" t="s">
        <v>121</v>
      </c>
      <c r="P894">
        <f t="shared" si="105"/>
        <v>1</v>
      </c>
      <c r="Q894">
        <f t="shared" si="106"/>
        <v>0</v>
      </c>
      <c r="R894">
        <f t="shared" si="107"/>
        <v>0</v>
      </c>
      <c r="S894">
        <f t="shared" si="108"/>
        <v>0</v>
      </c>
      <c r="T894">
        <f t="shared" si="109"/>
        <v>0</v>
      </c>
      <c r="U894">
        <f t="shared" si="110"/>
        <v>0</v>
      </c>
    </row>
    <row r="895" spans="2:21">
      <c r="B895" s="102">
        <v>45307</v>
      </c>
      <c r="C895">
        <v>1.5</v>
      </c>
      <c r="D895" t="s">
        <v>121</v>
      </c>
      <c r="E895" t="s">
        <v>120</v>
      </c>
      <c r="F895" t="s">
        <v>121</v>
      </c>
      <c r="G895" t="s">
        <v>121</v>
      </c>
      <c r="H895" t="s">
        <v>121</v>
      </c>
      <c r="I895" t="s">
        <v>121</v>
      </c>
      <c r="P895">
        <f t="shared" si="105"/>
        <v>0</v>
      </c>
      <c r="Q895">
        <f t="shared" si="106"/>
        <v>1</v>
      </c>
      <c r="R895">
        <f t="shared" si="107"/>
        <v>0</v>
      </c>
      <c r="S895">
        <f t="shared" si="108"/>
        <v>0</v>
      </c>
      <c r="T895">
        <f t="shared" si="109"/>
        <v>0</v>
      </c>
      <c r="U895">
        <f t="shared" si="110"/>
        <v>0</v>
      </c>
    </row>
    <row r="896" spans="2:21">
      <c r="B896" s="102">
        <v>45308</v>
      </c>
      <c r="C896">
        <v>1</v>
      </c>
      <c r="D896" t="s">
        <v>120</v>
      </c>
      <c r="E896" t="s">
        <v>121</v>
      </c>
      <c r="F896" t="s">
        <v>121</v>
      </c>
      <c r="G896" t="s">
        <v>121</v>
      </c>
      <c r="H896" t="s">
        <v>121</v>
      </c>
      <c r="I896" t="s">
        <v>121</v>
      </c>
      <c r="P896">
        <f t="shared" si="105"/>
        <v>1</v>
      </c>
      <c r="Q896">
        <f t="shared" si="106"/>
        <v>0</v>
      </c>
      <c r="R896">
        <f t="shared" si="107"/>
        <v>0</v>
      </c>
      <c r="S896">
        <f t="shared" si="108"/>
        <v>0</v>
      </c>
      <c r="T896">
        <f t="shared" si="109"/>
        <v>0</v>
      </c>
      <c r="U896">
        <f t="shared" si="110"/>
        <v>0</v>
      </c>
    </row>
    <row r="897" spans="2:21">
      <c r="B897" s="102">
        <v>45309</v>
      </c>
      <c r="C897">
        <v>1.5</v>
      </c>
      <c r="D897" t="s">
        <v>120</v>
      </c>
      <c r="E897" t="s">
        <v>121</v>
      </c>
      <c r="F897" t="s">
        <v>121</v>
      </c>
      <c r="G897" t="s">
        <v>120</v>
      </c>
      <c r="H897" t="s">
        <v>121</v>
      </c>
      <c r="I897" t="s">
        <v>121</v>
      </c>
      <c r="P897">
        <f t="shared" si="105"/>
        <v>1</v>
      </c>
      <c r="Q897">
        <f t="shared" si="106"/>
        <v>0</v>
      </c>
      <c r="R897">
        <f t="shared" si="107"/>
        <v>0</v>
      </c>
      <c r="S897">
        <f t="shared" si="108"/>
        <v>1</v>
      </c>
      <c r="T897">
        <f t="shared" si="109"/>
        <v>0</v>
      </c>
      <c r="U897">
        <f t="shared" si="110"/>
        <v>0</v>
      </c>
    </row>
    <row r="898" spans="2:21">
      <c r="B898" s="102">
        <v>45310</v>
      </c>
      <c r="C898">
        <v>2</v>
      </c>
      <c r="D898" t="s">
        <v>120</v>
      </c>
      <c r="E898" t="s">
        <v>121</v>
      </c>
      <c r="F898" t="s">
        <v>121</v>
      </c>
      <c r="G898" t="s">
        <v>121</v>
      </c>
      <c r="H898" t="s">
        <v>121</v>
      </c>
      <c r="I898" t="s">
        <v>121</v>
      </c>
      <c r="P898">
        <f t="shared" si="105"/>
        <v>1</v>
      </c>
      <c r="Q898">
        <f t="shared" si="106"/>
        <v>0</v>
      </c>
      <c r="R898">
        <f t="shared" si="107"/>
        <v>0</v>
      </c>
      <c r="S898">
        <f t="shared" si="108"/>
        <v>0</v>
      </c>
      <c r="T898">
        <f t="shared" si="109"/>
        <v>0</v>
      </c>
      <c r="U898">
        <f t="shared" si="110"/>
        <v>0</v>
      </c>
    </row>
    <row r="899" spans="2:21">
      <c r="B899" s="102">
        <v>45311</v>
      </c>
      <c r="C899">
        <v>3.5</v>
      </c>
      <c r="D899" t="s">
        <v>121</v>
      </c>
      <c r="E899" t="s">
        <v>121</v>
      </c>
      <c r="F899" t="s">
        <v>121</v>
      </c>
      <c r="G899" t="s">
        <v>121</v>
      </c>
      <c r="H899" t="s">
        <v>121</v>
      </c>
      <c r="I899" t="s">
        <v>121</v>
      </c>
      <c r="P899">
        <f t="shared" si="105"/>
        <v>0</v>
      </c>
      <c r="Q899">
        <f t="shared" si="106"/>
        <v>0</v>
      </c>
      <c r="R899">
        <f t="shared" si="107"/>
        <v>0</v>
      </c>
      <c r="S899">
        <f t="shared" si="108"/>
        <v>0</v>
      </c>
      <c r="T899">
        <f t="shared" si="109"/>
        <v>0</v>
      </c>
      <c r="U899">
        <f t="shared" si="110"/>
        <v>0</v>
      </c>
    </row>
    <row r="900" spans="2:21">
      <c r="B900" s="102">
        <v>45312</v>
      </c>
      <c r="C900">
        <v>1.5</v>
      </c>
      <c r="D900" t="s">
        <v>121</v>
      </c>
      <c r="E900" t="s">
        <v>121</v>
      </c>
      <c r="F900" t="s">
        <v>121</v>
      </c>
      <c r="G900" t="s">
        <v>121</v>
      </c>
      <c r="H900" t="s">
        <v>121</v>
      </c>
      <c r="I900" t="s">
        <v>121</v>
      </c>
      <c r="K900">
        <v>185.8</v>
      </c>
      <c r="P900">
        <f t="shared" si="105"/>
        <v>0</v>
      </c>
      <c r="Q900">
        <f t="shared" si="106"/>
        <v>0</v>
      </c>
      <c r="R900">
        <f t="shared" si="107"/>
        <v>0</v>
      </c>
      <c r="S900">
        <f t="shared" si="108"/>
        <v>0</v>
      </c>
      <c r="T900">
        <f t="shared" si="109"/>
        <v>0</v>
      </c>
      <c r="U900">
        <f t="shared" si="110"/>
        <v>0</v>
      </c>
    </row>
    <row r="901" spans="2:21">
      <c r="B901" s="102">
        <v>45313</v>
      </c>
      <c r="C901">
        <v>2.5</v>
      </c>
      <c r="D901" t="s">
        <v>120</v>
      </c>
      <c r="E901" t="s">
        <v>121</v>
      </c>
      <c r="F901" t="s">
        <v>121</v>
      </c>
      <c r="G901" t="s">
        <v>121</v>
      </c>
      <c r="H901" t="s">
        <v>121</v>
      </c>
      <c r="I901" t="s">
        <v>121</v>
      </c>
      <c r="P901">
        <f t="shared" si="105"/>
        <v>1</v>
      </c>
      <c r="Q901">
        <f t="shared" si="106"/>
        <v>0</v>
      </c>
      <c r="R901">
        <f t="shared" si="107"/>
        <v>0</v>
      </c>
      <c r="S901">
        <f t="shared" si="108"/>
        <v>0</v>
      </c>
      <c r="T901">
        <f t="shared" si="109"/>
        <v>0</v>
      </c>
      <c r="U901">
        <f t="shared" si="110"/>
        <v>0</v>
      </c>
    </row>
    <row r="902" spans="2:21">
      <c r="B902" s="102">
        <v>45314</v>
      </c>
      <c r="C902">
        <v>1.5</v>
      </c>
      <c r="D902" t="s">
        <v>121</v>
      </c>
      <c r="E902" t="s">
        <v>120</v>
      </c>
      <c r="F902" t="s">
        <v>121</v>
      </c>
      <c r="G902" t="s">
        <v>121</v>
      </c>
      <c r="H902" t="s">
        <v>121</v>
      </c>
      <c r="I902" t="s">
        <v>121</v>
      </c>
      <c r="P902">
        <f t="shared" si="105"/>
        <v>0</v>
      </c>
      <c r="Q902">
        <f t="shared" si="106"/>
        <v>1</v>
      </c>
      <c r="R902">
        <f t="shared" si="107"/>
        <v>0</v>
      </c>
      <c r="S902">
        <f t="shared" si="108"/>
        <v>0</v>
      </c>
      <c r="T902">
        <f t="shared" si="109"/>
        <v>0</v>
      </c>
      <c r="U902">
        <f t="shared" si="110"/>
        <v>0</v>
      </c>
    </row>
    <row r="903" spans="2:21">
      <c r="B903" s="102">
        <v>45315</v>
      </c>
      <c r="C903">
        <v>2</v>
      </c>
      <c r="D903" t="s">
        <v>120</v>
      </c>
      <c r="E903" t="s">
        <v>121</v>
      </c>
      <c r="F903" t="s">
        <v>121</v>
      </c>
      <c r="G903" t="s">
        <v>121</v>
      </c>
      <c r="H903" t="s">
        <v>121</v>
      </c>
      <c r="I903" t="s">
        <v>121</v>
      </c>
      <c r="P903">
        <f t="shared" si="105"/>
        <v>1</v>
      </c>
      <c r="Q903">
        <f t="shared" si="106"/>
        <v>0</v>
      </c>
      <c r="R903">
        <f t="shared" si="107"/>
        <v>0</v>
      </c>
      <c r="S903">
        <f t="shared" si="108"/>
        <v>0</v>
      </c>
      <c r="T903">
        <f t="shared" si="109"/>
        <v>0</v>
      </c>
      <c r="U903">
        <f t="shared" si="110"/>
        <v>0</v>
      </c>
    </row>
    <row r="904" spans="2:21">
      <c r="B904" s="102">
        <v>45316</v>
      </c>
      <c r="C904">
        <v>3</v>
      </c>
      <c r="D904" t="s">
        <v>120</v>
      </c>
      <c r="E904" t="s">
        <v>121</v>
      </c>
      <c r="F904" t="s">
        <v>121</v>
      </c>
      <c r="G904" t="s">
        <v>121</v>
      </c>
      <c r="H904" t="s">
        <v>121</v>
      </c>
      <c r="I904" t="s">
        <v>121</v>
      </c>
      <c r="P904">
        <f t="shared" si="105"/>
        <v>1</v>
      </c>
      <c r="Q904">
        <f t="shared" si="106"/>
        <v>0</v>
      </c>
      <c r="R904">
        <f t="shared" si="107"/>
        <v>0</v>
      </c>
      <c r="S904">
        <f t="shared" si="108"/>
        <v>0</v>
      </c>
      <c r="T904">
        <f t="shared" si="109"/>
        <v>0</v>
      </c>
      <c r="U904">
        <f t="shared" si="110"/>
        <v>0</v>
      </c>
    </row>
    <row r="905" spans="2:21">
      <c r="B905" s="102">
        <v>45317</v>
      </c>
      <c r="C905">
        <v>3.5</v>
      </c>
      <c r="D905" t="s">
        <v>120</v>
      </c>
      <c r="E905" t="s">
        <v>121</v>
      </c>
      <c r="F905" t="s">
        <v>121</v>
      </c>
      <c r="G905" t="s">
        <v>121</v>
      </c>
      <c r="H905" t="s">
        <v>121</v>
      </c>
      <c r="I905" t="s">
        <v>121</v>
      </c>
      <c r="P905">
        <f t="shared" si="105"/>
        <v>1</v>
      </c>
      <c r="Q905">
        <f t="shared" si="106"/>
        <v>0</v>
      </c>
      <c r="R905">
        <f t="shared" si="107"/>
        <v>0</v>
      </c>
      <c r="S905">
        <f t="shared" si="108"/>
        <v>0</v>
      </c>
      <c r="T905">
        <f t="shared" si="109"/>
        <v>0</v>
      </c>
      <c r="U905">
        <f t="shared" si="110"/>
        <v>0</v>
      </c>
    </row>
    <row r="906" spans="2:21">
      <c r="B906" s="102">
        <v>45318</v>
      </c>
      <c r="C906">
        <v>2.5</v>
      </c>
      <c r="D906" t="s">
        <v>120</v>
      </c>
      <c r="E906" t="s">
        <v>120</v>
      </c>
      <c r="F906" t="s">
        <v>121</v>
      </c>
      <c r="G906" t="s">
        <v>121</v>
      </c>
      <c r="H906" t="s">
        <v>121</v>
      </c>
      <c r="I906" t="s">
        <v>120</v>
      </c>
      <c r="P906">
        <f t="shared" ref="P906:P912" si="111">IF(D906="YES", 1, 0)</f>
        <v>1</v>
      </c>
      <c r="Q906">
        <f t="shared" ref="Q906:Q912" si="112">IF(E906="YES", 1, 0)</f>
        <v>1</v>
      </c>
      <c r="R906">
        <f t="shared" ref="R906:R912" si="113">IF(F906="YES", 1, 0)</f>
        <v>0</v>
      </c>
      <c r="S906">
        <f t="shared" ref="S906:S912" si="114">IF(G906="YES", 1, 0)</f>
        <v>0</v>
      </c>
      <c r="T906">
        <f t="shared" ref="T906:T912" si="115">IF(H906="YES", 1, 0)</f>
        <v>0</v>
      </c>
      <c r="U906">
        <f t="shared" ref="U906:U912" si="116">IF(I906="YES", 1, 0)</f>
        <v>1</v>
      </c>
    </row>
    <row r="907" spans="2:21">
      <c r="B907" s="102">
        <v>45319</v>
      </c>
      <c r="C907">
        <v>2.5</v>
      </c>
      <c r="D907" t="s">
        <v>121</v>
      </c>
      <c r="E907" t="s">
        <v>121</v>
      </c>
      <c r="F907" t="s">
        <v>121</v>
      </c>
      <c r="G907" t="s">
        <v>121</v>
      </c>
      <c r="H907" t="s">
        <v>121</v>
      </c>
      <c r="I907" t="s">
        <v>121</v>
      </c>
      <c r="K907">
        <v>184.6</v>
      </c>
      <c r="P907">
        <f t="shared" si="111"/>
        <v>0</v>
      </c>
      <c r="Q907">
        <f t="shared" si="112"/>
        <v>0</v>
      </c>
      <c r="R907">
        <f t="shared" si="113"/>
        <v>0</v>
      </c>
      <c r="S907">
        <f t="shared" si="114"/>
        <v>0</v>
      </c>
      <c r="T907">
        <f t="shared" si="115"/>
        <v>0</v>
      </c>
      <c r="U907">
        <f t="shared" si="116"/>
        <v>0</v>
      </c>
    </row>
    <row r="908" spans="2:21">
      <c r="B908" s="102">
        <v>45320</v>
      </c>
      <c r="C908">
        <v>2.5</v>
      </c>
      <c r="D908" t="s">
        <v>120</v>
      </c>
      <c r="E908" t="s">
        <v>121</v>
      </c>
      <c r="F908" t="s">
        <v>121</v>
      </c>
      <c r="G908" t="s">
        <v>121</v>
      </c>
      <c r="H908" t="s">
        <v>121</v>
      </c>
      <c r="I908" t="s">
        <v>121</v>
      </c>
      <c r="P908">
        <f t="shared" si="111"/>
        <v>1</v>
      </c>
      <c r="Q908">
        <f t="shared" si="112"/>
        <v>0</v>
      </c>
      <c r="R908">
        <f t="shared" si="113"/>
        <v>0</v>
      </c>
      <c r="S908">
        <f t="shared" si="114"/>
        <v>0</v>
      </c>
      <c r="T908">
        <f t="shared" si="115"/>
        <v>0</v>
      </c>
      <c r="U908">
        <f t="shared" si="116"/>
        <v>0</v>
      </c>
    </row>
    <row r="909" spans="2:21">
      <c r="B909" s="102">
        <v>45321</v>
      </c>
      <c r="C909">
        <v>2</v>
      </c>
      <c r="D909" t="s">
        <v>121</v>
      </c>
      <c r="E909" t="s">
        <v>121</v>
      </c>
      <c r="F909" t="s">
        <v>121</v>
      </c>
      <c r="G909" t="s">
        <v>120</v>
      </c>
      <c r="H909" t="s">
        <v>120</v>
      </c>
      <c r="I909" t="s">
        <v>121</v>
      </c>
      <c r="P909">
        <f t="shared" si="111"/>
        <v>0</v>
      </c>
      <c r="Q909">
        <f t="shared" si="112"/>
        <v>0</v>
      </c>
      <c r="R909">
        <f t="shared" si="113"/>
        <v>0</v>
      </c>
      <c r="S909">
        <f t="shared" si="114"/>
        <v>1</v>
      </c>
      <c r="T909">
        <f t="shared" si="115"/>
        <v>1</v>
      </c>
      <c r="U909">
        <f t="shared" si="116"/>
        <v>0</v>
      </c>
    </row>
    <row r="910" spans="2:21">
      <c r="B910" s="102">
        <v>45322</v>
      </c>
      <c r="C910">
        <v>2.5</v>
      </c>
      <c r="D910" t="s">
        <v>120</v>
      </c>
      <c r="E910" t="s">
        <v>121</v>
      </c>
      <c r="F910" t="s">
        <v>121</v>
      </c>
      <c r="G910" t="s">
        <v>121</v>
      </c>
      <c r="H910" t="s">
        <v>121</v>
      </c>
      <c r="I910" t="s">
        <v>121</v>
      </c>
      <c r="P910">
        <f t="shared" si="111"/>
        <v>1</v>
      </c>
      <c r="Q910">
        <f t="shared" si="112"/>
        <v>0</v>
      </c>
      <c r="R910">
        <f t="shared" si="113"/>
        <v>0</v>
      </c>
      <c r="S910">
        <f t="shared" si="114"/>
        <v>0</v>
      </c>
      <c r="T910">
        <f t="shared" si="115"/>
        <v>0</v>
      </c>
      <c r="U910">
        <f t="shared" si="116"/>
        <v>0</v>
      </c>
    </row>
    <row r="911" spans="2:21">
      <c r="B911" s="102">
        <v>45323</v>
      </c>
      <c r="C911">
        <v>2</v>
      </c>
      <c r="D911" t="s">
        <v>120</v>
      </c>
      <c r="E911" t="s">
        <v>121</v>
      </c>
      <c r="F911" t="s">
        <v>121</v>
      </c>
      <c r="G911" t="s">
        <v>121</v>
      </c>
      <c r="H911" t="s">
        <v>121</v>
      </c>
      <c r="I911" t="s">
        <v>121</v>
      </c>
      <c r="P911">
        <f t="shared" si="111"/>
        <v>1</v>
      </c>
      <c r="Q911">
        <f t="shared" si="112"/>
        <v>0</v>
      </c>
      <c r="R911">
        <f t="shared" si="113"/>
        <v>0</v>
      </c>
      <c r="S911">
        <f t="shared" si="114"/>
        <v>0</v>
      </c>
      <c r="T911">
        <f t="shared" si="115"/>
        <v>0</v>
      </c>
      <c r="U911">
        <f t="shared" si="116"/>
        <v>0</v>
      </c>
    </row>
    <row r="912" spans="2:21">
      <c r="B912" s="102">
        <v>45324</v>
      </c>
      <c r="C912">
        <v>2</v>
      </c>
      <c r="D912" t="s">
        <v>120</v>
      </c>
      <c r="E912" t="s">
        <v>121</v>
      </c>
      <c r="F912" t="s">
        <v>121</v>
      </c>
      <c r="G912" t="s">
        <v>121</v>
      </c>
      <c r="H912" t="s">
        <v>121</v>
      </c>
      <c r="I912" t="s">
        <v>121</v>
      </c>
      <c r="P912">
        <f t="shared" si="111"/>
        <v>1</v>
      </c>
      <c r="Q912">
        <f t="shared" si="112"/>
        <v>0</v>
      </c>
      <c r="R912">
        <f t="shared" si="113"/>
        <v>0</v>
      </c>
      <c r="S912">
        <f t="shared" si="114"/>
        <v>0</v>
      </c>
      <c r="T912">
        <f t="shared" si="115"/>
        <v>0</v>
      </c>
      <c r="U912">
        <f t="shared" si="116"/>
        <v>0</v>
      </c>
    </row>
    <row r="913" spans="2:21">
      <c r="B913" s="102">
        <v>45325</v>
      </c>
      <c r="C913">
        <v>2</v>
      </c>
      <c r="D913" t="s">
        <v>121</v>
      </c>
      <c r="E913" t="s">
        <v>121</v>
      </c>
      <c r="F913" t="s">
        <v>121</v>
      </c>
      <c r="G913" t="s">
        <v>121</v>
      </c>
      <c r="H913" t="s">
        <v>121</v>
      </c>
      <c r="I913" t="s">
        <v>121</v>
      </c>
      <c r="P913">
        <f t="shared" ref="P913:U919" si="117">IF(D913="YES", 1, 0)</f>
        <v>0</v>
      </c>
      <c r="Q913">
        <f t="shared" si="117"/>
        <v>0</v>
      </c>
      <c r="R913">
        <f t="shared" si="117"/>
        <v>0</v>
      </c>
      <c r="S913">
        <f t="shared" si="117"/>
        <v>0</v>
      </c>
      <c r="T913">
        <f t="shared" si="117"/>
        <v>0</v>
      </c>
      <c r="U913">
        <f t="shared" si="117"/>
        <v>0</v>
      </c>
    </row>
    <row r="914" spans="2:21">
      <c r="B914" s="102">
        <v>45326</v>
      </c>
      <c r="C914">
        <v>3</v>
      </c>
      <c r="D914" t="s">
        <v>121</v>
      </c>
      <c r="E914" t="s">
        <v>121</v>
      </c>
      <c r="F914" t="s">
        <v>121</v>
      </c>
      <c r="G914" t="s">
        <v>121</v>
      </c>
      <c r="H914" t="s">
        <v>121</v>
      </c>
      <c r="I914" t="s">
        <v>121</v>
      </c>
      <c r="K914">
        <v>185.2</v>
      </c>
      <c r="P914">
        <f t="shared" si="117"/>
        <v>0</v>
      </c>
      <c r="Q914">
        <f t="shared" si="117"/>
        <v>0</v>
      </c>
      <c r="R914">
        <f t="shared" si="117"/>
        <v>0</v>
      </c>
      <c r="S914">
        <f t="shared" si="117"/>
        <v>0</v>
      </c>
      <c r="T914">
        <f t="shared" si="117"/>
        <v>0</v>
      </c>
      <c r="U914">
        <f t="shared" si="117"/>
        <v>0</v>
      </c>
    </row>
    <row r="915" spans="2:21">
      <c r="B915" s="102">
        <v>45327</v>
      </c>
      <c r="D915" t="s">
        <v>120</v>
      </c>
      <c r="E915" t="s">
        <v>121</v>
      </c>
      <c r="F915" t="s">
        <v>121</v>
      </c>
      <c r="G915" t="s">
        <v>121</v>
      </c>
      <c r="H915" t="s">
        <v>121</v>
      </c>
      <c r="I915" t="s">
        <v>121</v>
      </c>
      <c r="P915">
        <f t="shared" si="117"/>
        <v>1</v>
      </c>
      <c r="Q915">
        <f t="shared" si="117"/>
        <v>0</v>
      </c>
      <c r="R915">
        <f t="shared" si="117"/>
        <v>0</v>
      </c>
      <c r="S915">
        <f t="shared" si="117"/>
        <v>0</v>
      </c>
      <c r="T915">
        <f t="shared" si="117"/>
        <v>0</v>
      </c>
      <c r="U915">
        <f t="shared" si="117"/>
        <v>0</v>
      </c>
    </row>
    <row r="916" spans="2:21">
      <c r="B916" s="102">
        <v>45328</v>
      </c>
      <c r="C916">
        <v>3</v>
      </c>
      <c r="D916" t="s">
        <v>121</v>
      </c>
      <c r="E916" t="s">
        <v>121</v>
      </c>
      <c r="F916" t="s">
        <v>121</v>
      </c>
      <c r="G916" t="s">
        <v>121</v>
      </c>
      <c r="H916" t="s">
        <v>121</v>
      </c>
      <c r="I916" t="s">
        <v>121</v>
      </c>
      <c r="P916">
        <f t="shared" si="117"/>
        <v>0</v>
      </c>
      <c r="Q916">
        <f t="shared" si="117"/>
        <v>0</v>
      </c>
      <c r="R916">
        <f t="shared" si="117"/>
        <v>0</v>
      </c>
      <c r="S916">
        <f t="shared" si="117"/>
        <v>0</v>
      </c>
      <c r="T916">
        <f t="shared" si="117"/>
        <v>0</v>
      </c>
      <c r="U916">
        <f t="shared" si="117"/>
        <v>0</v>
      </c>
    </row>
    <row r="917" spans="2:21">
      <c r="B917" s="102">
        <v>45329</v>
      </c>
      <c r="C917">
        <v>2.5</v>
      </c>
      <c r="D917" t="s">
        <v>121</v>
      </c>
      <c r="E917" t="s">
        <v>121</v>
      </c>
      <c r="F917" t="s">
        <v>121</v>
      </c>
      <c r="G917" t="s">
        <v>121</v>
      </c>
      <c r="H917" t="s">
        <v>121</v>
      </c>
      <c r="I917" t="s">
        <v>121</v>
      </c>
      <c r="P917">
        <f t="shared" si="117"/>
        <v>0</v>
      </c>
      <c r="Q917">
        <f t="shared" si="117"/>
        <v>0</v>
      </c>
      <c r="R917">
        <f t="shared" si="117"/>
        <v>0</v>
      </c>
      <c r="S917">
        <f t="shared" si="117"/>
        <v>0</v>
      </c>
      <c r="T917">
        <f t="shared" si="117"/>
        <v>0</v>
      </c>
      <c r="U917">
        <f t="shared" si="117"/>
        <v>0</v>
      </c>
    </row>
    <row r="918" spans="2:21">
      <c r="B918" s="102">
        <v>45330</v>
      </c>
      <c r="C918">
        <v>1.5</v>
      </c>
      <c r="D918" t="s">
        <v>120</v>
      </c>
      <c r="E918" t="s">
        <v>121</v>
      </c>
      <c r="F918" t="s">
        <v>121</v>
      </c>
      <c r="G918" t="s">
        <v>121</v>
      </c>
      <c r="H918" t="s">
        <v>121</v>
      </c>
      <c r="I918" t="s">
        <v>121</v>
      </c>
      <c r="P918">
        <f t="shared" si="117"/>
        <v>1</v>
      </c>
      <c r="Q918">
        <f t="shared" si="117"/>
        <v>0</v>
      </c>
      <c r="R918">
        <f t="shared" si="117"/>
        <v>0</v>
      </c>
      <c r="S918">
        <f t="shared" si="117"/>
        <v>0</v>
      </c>
      <c r="T918">
        <f t="shared" si="117"/>
        <v>0</v>
      </c>
      <c r="U918">
        <f t="shared" si="117"/>
        <v>0</v>
      </c>
    </row>
    <row r="919" spans="2:21">
      <c r="B919" s="102">
        <v>45331</v>
      </c>
      <c r="C919">
        <v>1.5</v>
      </c>
      <c r="D919" t="s">
        <v>120</v>
      </c>
      <c r="E919" t="s">
        <v>121</v>
      </c>
      <c r="F919" t="s">
        <v>121</v>
      </c>
      <c r="G919" t="s">
        <v>121</v>
      </c>
      <c r="H919" t="s">
        <v>121</v>
      </c>
      <c r="I919" t="s">
        <v>121</v>
      </c>
      <c r="P919">
        <f t="shared" si="117"/>
        <v>1</v>
      </c>
      <c r="Q919">
        <f t="shared" si="117"/>
        <v>0</v>
      </c>
      <c r="R919">
        <f t="shared" si="117"/>
        <v>0</v>
      </c>
      <c r="S919">
        <f t="shared" si="117"/>
        <v>0</v>
      </c>
      <c r="T919">
        <f t="shared" si="117"/>
        <v>0</v>
      </c>
      <c r="U919">
        <f t="shared" si="117"/>
        <v>0</v>
      </c>
    </row>
    <row r="920" spans="2:21">
      <c r="B920" s="102">
        <v>45332</v>
      </c>
      <c r="C920">
        <v>2</v>
      </c>
      <c r="D920" t="s">
        <v>121</v>
      </c>
      <c r="E920" t="s">
        <v>120</v>
      </c>
      <c r="F920" t="s">
        <v>121</v>
      </c>
      <c r="G920" t="s">
        <v>121</v>
      </c>
      <c r="H920" t="s">
        <v>121</v>
      </c>
      <c r="I920" t="s">
        <v>121</v>
      </c>
      <c r="P920">
        <f t="shared" ref="P920:P932" si="118">IF(D920="YES", 1, 0)</f>
        <v>0</v>
      </c>
      <c r="Q920">
        <f t="shared" ref="Q920:Q932" si="119">IF(E920="YES", 1, 0)</f>
        <v>1</v>
      </c>
      <c r="R920">
        <f t="shared" ref="R920:R932" si="120">IF(F920="YES", 1, 0)</f>
        <v>0</v>
      </c>
      <c r="S920">
        <f t="shared" ref="S920:S932" si="121">IF(G920="YES", 1, 0)</f>
        <v>0</v>
      </c>
      <c r="T920">
        <f t="shared" ref="T920:T932" si="122">IF(H920="YES", 1, 0)</f>
        <v>0</v>
      </c>
      <c r="U920">
        <f t="shared" ref="U920:U932" si="123">IF(I920="YES", 1, 0)</f>
        <v>0</v>
      </c>
    </row>
    <row r="921" spans="2:21">
      <c r="B921" s="102">
        <v>45333</v>
      </c>
      <c r="C921">
        <v>2</v>
      </c>
      <c r="D921" t="s">
        <v>121</v>
      </c>
      <c r="E921" t="s">
        <v>121</v>
      </c>
      <c r="F921" t="s">
        <v>121</v>
      </c>
      <c r="G921" t="s">
        <v>121</v>
      </c>
      <c r="H921" t="s">
        <v>121</v>
      </c>
      <c r="I921" t="s">
        <v>121</v>
      </c>
      <c r="K921">
        <v>180.4</v>
      </c>
      <c r="P921">
        <f t="shared" si="118"/>
        <v>0</v>
      </c>
      <c r="Q921">
        <f t="shared" si="119"/>
        <v>0</v>
      </c>
      <c r="R921">
        <f t="shared" si="120"/>
        <v>0</v>
      </c>
      <c r="S921">
        <f t="shared" si="121"/>
        <v>0</v>
      </c>
      <c r="T921">
        <f t="shared" si="122"/>
        <v>0</v>
      </c>
      <c r="U921">
        <f t="shared" si="123"/>
        <v>0</v>
      </c>
    </row>
    <row r="922" spans="2:21">
      <c r="B922" s="102">
        <v>45334</v>
      </c>
      <c r="C922">
        <v>2</v>
      </c>
      <c r="D922" t="s">
        <v>120</v>
      </c>
      <c r="E922" t="s">
        <v>121</v>
      </c>
      <c r="F922" t="s">
        <v>121</v>
      </c>
      <c r="G922" t="s">
        <v>121</v>
      </c>
      <c r="H922" t="s">
        <v>121</v>
      </c>
      <c r="I922" t="s">
        <v>121</v>
      </c>
      <c r="P922">
        <f t="shared" si="118"/>
        <v>1</v>
      </c>
      <c r="Q922">
        <f t="shared" si="119"/>
        <v>0</v>
      </c>
      <c r="R922">
        <f t="shared" si="120"/>
        <v>0</v>
      </c>
      <c r="S922">
        <f t="shared" si="121"/>
        <v>0</v>
      </c>
      <c r="T922">
        <f t="shared" si="122"/>
        <v>0</v>
      </c>
      <c r="U922">
        <f t="shared" si="123"/>
        <v>0</v>
      </c>
    </row>
    <row r="923" spans="2:21">
      <c r="B923" s="102">
        <v>45335</v>
      </c>
      <c r="C923">
        <v>3</v>
      </c>
      <c r="D923" t="s">
        <v>121</v>
      </c>
      <c r="E923" t="s">
        <v>121</v>
      </c>
      <c r="F923" t="s">
        <v>121</v>
      </c>
      <c r="G923" t="s">
        <v>121</v>
      </c>
      <c r="H923" t="s">
        <v>121</v>
      </c>
      <c r="I923" t="s">
        <v>121</v>
      </c>
      <c r="P923">
        <f t="shared" si="118"/>
        <v>0</v>
      </c>
      <c r="Q923">
        <f t="shared" si="119"/>
        <v>0</v>
      </c>
      <c r="R923">
        <f t="shared" si="120"/>
        <v>0</v>
      </c>
      <c r="S923">
        <f t="shared" si="121"/>
        <v>0</v>
      </c>
      <c r="T923">
        <f t="shared" si="122"/>
        <v>0</v>
      </c>
      <c r="U923">
        <f t="shared" si="123"/>
        <v>0</v>
      </c>
    </row>
    <row r="924" spans="2:21">
      <c r="B924" s="102">
        <v>45336</v>
      </c>
      <c r="C924">
        <v>2.5</v>
      </c>
      <c r="D924" t="s">
        <v>120</v>
      </c>
      <c r="E924" t="s">
        <v>121</v>
      </c>
      <c r="F924" t="s">
        <v>121</v>
      </c>
      <c r="G924" t="s">
        <v>121</v>
      </c>
      <c r="H924" t="s">
        <v>121</v>
      </c>
      <c r="I924" t="s">
        <v>121</v>
      </c>
      <c r="P924">
        <f t="shared" si="118"/>
        <v>1</v>
      </c>
      <c r="Q924">
        <f t="shared" si="119"/>
        <v>0</v>
      </c>
      <c r="R924">
        <f t="shared" si="120"/>
        <v>0</v>
      </c>
      <c r="S924">
        <f t="shared" si="121"/>
        <v>0</v>
      </c>
      <c r="T924">
        <f t="shared" si="122"/>
        <v>0</v>
      </c>
      <c r="U924">
        <f t="shared" si="123"/>
        <v>0</v>
      </c>
    </row>
    <row r="925" spans="2:21">
      <c r="B925" s="102">
        <v>45337</v>
      </c>
      <c r="C925">
        <v>1.5</v>
      </c>
      <c r="D925" t="s">
        <v>120</v>
      </c>
      <c r="E925" t="s">
        <v>121</v>
      </c>
      <c r="F925" t="s">
        <v>121</v>
      </c>
      <c r="G925" t="s">
        <v>120</v>
      </c>
      <c r="H925" t="s">
        <v>121</v>
      </c>
      <c r="I925" t="s">
        <v>121</v>
      </c>
      <c r="P925">
        <f t="shared" si="118"/>
        <v>1</v>
      </c>
      <c r="Q925">
        <f t="shared" si="119"/>
        <v>0</v>
      </c>
      <c r="R925">
        <f t="shared" si="120"/>
        <v>0</v>
      </c>
      <c r="S925">
        <f t="shared" si="121"/>
        <v>1</v>
      </c>
      <c r="T925">
        <f t="shared" si="122"/>
        <v>0</v>
      </c>
      <c r="U925">
        <f t="shared" si="123"/>
        <v>0</v>
      </c>
    </row>
    <row r="926" spans="2:21">
      <c r="B926" s="102">
        <v>45338</v>
      </c>
      <c r="C926">
        <v>3.5</v>
      </c>
      <c r="D926" t="s">
        <v>120</v>
      </c>
      <c r="E926" t="s">
        <v>121</v>
      </c>
      <c r="F926" t="s">
        <v>121</v>
      </c>
      <c r="G926" t="s">
        <v>121</v>
      </c>
      <c r="H926" t="s">
        <v>121</v>
      </c>
      <c r="I926" t="s">
        <v>121</v>
      </c>
      <c r="P926">
        <f t="shared" si="118"/>
        <v>1</v>
      </c>
      <c r="Q926">
        <f t="shared" si="119"/>
        <v>0</v>
      </c>
      <c r="R926">
        <f t="shared" si="120"/>
        <v>0</v>
      </c>
      <c r="S926">
        <f t="shared" si="121"/>
        <v>0</v>
      </c>
      <c r="T926">
        <f t="shared" si="122"/>
        <v>0</v>
      </c>
      <c r="U926">
        <f t="shared" si="123"/>
        <v>0</v>
      </c>
    </row>
    <row r="927" spans="2:21">
      <c r="B927" s="102">
        <v>45339</v>
      </c>
      <c r="C927">
        <v>2.5</v>
      </c>
      <c r="D927" t="s">
        <v>121</v>
      </c>
      <c r="E927" t="s">
        <v>121</v>
      </c>
      <c r="F927" t="s">
        <v>121</v>
      </c>
      <c r="G927" t="s">
        <v>121</v>
      </c>
      <c r="H927" t="s">
        <v>121</v>
      </c>
      <c r="I927" t="s">
        <v>121</v>
      </c>
      <c r="P927">
        <f t="shared" si="118"/>
        <v>0</v>
      </c>
      <c r="Q927">
        <f t="shared" si="119"/>
        <v>0</v>
      </c>
      <c r="R927">
        <f t="shared" si="120"/>
        <v>0</v>
      </c>
      <c r="S927">
        <f t="shared" si="121"/>
        <v>0</v>
      </c>
      <c r="T927">
        <f t="shared" si="122"/>
        <v>0</v>
      </c>
      <c r="U927">
        <f t="shared" si="123"/>
        <v>0</v>
      </c>
    </row>
    <row r="928" spans="2:21">
      <c r="B928" s="102">
        <v>45340</v>
      </c>
      <c r="C928">
        <v>2.5</v>
      </c>
      <c r="D928" t="s">
        <v>121</v>
      </c>
      <c r="E928" t="s">
        <v>120</v>
      </c>
      <c r="F928" t="s">
        <v>121</v>
      </c>
      <c r="G928" t="s">
        <v>121</v>
      </c>
      <c r="H928" t="s">
        <v>121</v>
      </c>
      <c r="I928" t="s">
        <v>120</v>
      </c>
      <c r="K928">
        <v>185.8</v>
      </c>
      <c r="P928">
        <f t="shared" si="118"/>
        <v>0</v>
      </c>
      <c r="Q928">
        <f t="shared" si="119"/>
        <v>1</v>
      </c>
      <c r="R928">
        <f t="shared" si="120"/>
        <v>0</v>
      </c>
      <c r="S928">
        <f t="shared" si="121"/>
        <v>0</v>
      </c>
      <c r="T928">
        <f t="shared" si="122"/>
        <v>0</v>
      </c>
      <c r="U928">
        <f t="shared" si="123"/>
        <v>1</v>
      </c>
    </row>
    <row r="929" spans="2:21">
      <c r="B929" s="102">
        <v>45341</v>
      </c>
      <c r="C929">
        <v>3</v>
      </c>
      <c r="D929" t="s">
        <v>120</v>
      </c>
      <c r="E929" t="s">
        <v>121</v>
      </c>
      <c r="F929" t="s">
        <v>121</v>
      </c>
      <c r="G929" t="s">
        <v>121</v>
      </c>
      <c r="H929" t="s">
        <v>121</v>
      </c>
      <c r="I929" t="s">
        <v>121</v>
      </c>
      <c r="P929">
        <f t="shared" si="118"/>
        <v>1</v>
      </c>
      <c r="Q929">
        <f t="shared" si="119"/>
        <v>0</v>
      </c>
      <c r="R929">
        <f t="shared" si="120"/>
        <v>0</v>
      </c>
      <c r="S929">
        <f t="shared" si="121"/>
        <v>0</v>
      </c>
      <c r="T929">
        <f t="shared" si="122"/>
        <v>0</v>
      </c>
      <c r="U929">
        <f t="shared" si="123"/>
        <v>0</v>
      </c>
    </row>
    <row r="930" spans="2:21">
      <c r="B930" s="102">
        <v>45342</v>
      </c>
      <c r="C930">
        <v>3</v>
      </c>
      <c r="D930" t="s">
        <v>121</v>
      </c>
      <c r="E930" t="s">
        <v>121</v>
      </c>
      <c r="F930" t="s">
        <v>120</v>
      </c>
      <c r="G930" t="s">
        <v>121</v>
      </c>
      <c r="H930" t="s">
        <v>121</v>
      </c>
      <c r="I930" t="s">
        <v>121</v>
      </c>
      <c r="P930">
        <f t="shared" si="118"/>
        <v>0</v>
      </c>
      <c r="Q930">
        <f t="shared" si="119"/>
        <v>0</v>
      </c>
      <c r="R930">
        <f t="shared" si="120"/>
        <v>1</v>
      </c>
      <c r="S930">
        <f t="shared" si="121"/>
        <v>0</v>
      </c>
      <c r="T930">
        <f t="shared" si="122"/>
        <v>0</v>
      </c>
      <c r="U930">
        <f t="shared" si="123"/>
        <v>0</v>
      </c>
    </row>
    <row r="931" spans="2:21">
      <c r="B931" s="102">
        <v>45343</v>
      </c>
      <c r="C931">
        <v>2.5</v>
      </c>
      <c r="D931" t="s">
        <v>121</v>
      </c>
      <c r="E931" t="s">
        <v>121</v>
      </c>
      <c r="F931" t="s">
        <v>121</v>
      </c>
      <c r="G931" t="s">
        <v>121</v>
      </c>
      <c r="H931" t="s">
        <v>121</v>
      </c>
      <c r="I931" t="s">
        <v>121</v>
      </c>
      <c r="P931">
        <f t="shared" si="118"/>
        <v>0</v>
      </c>
      <c r="Q931">
        <f t="shared" si="119"/>
        <v>0</v>
      </c>
      <c r="R931">
        <f t="shared" si="120"/>
        <v>0</v>
      </c>
      <c r="S931">
        <f t="shared" si="121"/>
        <v>0</v>
      </c>
      <c r="T931">
        <f t="shared" si="122"/>
        <v>0</v>
      </c>
      <c r="U931">
        <f t="shared" si="123"/>
        <v>0</v>
      </c>
    </row>
    <row r="932" spans="2:21">
      <c r="B932" s="102">
        <v>45344</v>
      </c>
      <c r="C932">
        <v>1.5</v>
      </c>
      <c r="D932" t="s">
        <v>120</v>
      </c>
      <c r="E932" t="s">
        <v>121</v>
      </c>
      <c r="F932" t="s">
        <v>121</v>
      </c>
      <c r="G932" t="s">
        <v>121</v>
      </c>
      <c r="H932" t="s">
        <v>121</v>
      </c>
      <c r="I932" t="s">
        <v>121</v>
      </c>
      <c r="P932">
        <f t="shared" si="118"/>
        <v>1</v>
      </c>
      <c r="Q932">
        <f t="shared" si="119"/>
        <v>0</v>
      </c>
      <c r="R932">
        <f t="shared" si="120"/>
        <v>0</v>
      </c>
      <c r="S932">
        <f t="shared" si="121"/>
        <v>0</v>
      </c>
      <c r="T932">
        <f t="shared" si="122"/>
        <v>0</v>
      </c>
      <c r="U932">
        <f t="shared" si="123"/>
        <v>0</v>
      </c>
    </row>
    <row r="933" spans="2:21">
      <c r="B933" s="102">
        <v>45345</v>
      </c>
      <c r="C933">
        <v>3</v>
      </c>
      <c r="D933" t="s">
        <v>121</v>
      </c>
      <c r="E933" t="s">
        <v>121</v>
      </c>
      <c r="F933" t="s">
        <v>121</v>
      </c>
      <c r="G933" t="s">
        <v>121</v>
      </c>
      <c r="H933" t="s">
        <v>121</v>
      </c>
      <c r="I933" t="s">
        <v>121</v>
      </c>
      <c r="P933">
        <f t="shared" ref="P933:P964" si="124">IF(D933="YES", 1, 0)</f>
        <v>0</v>
      </c>
      <c r="Q933">
        <f t="shared" ref="Q933:Q964" si="125">IF(E933="YES", 1, 0)</f>
        <v>0</v>
      </c>
      <c r="R933">
        <f t="shared" ref="R933:R964" si="126">IF(F933="YES", 1, 0)</f>
        <v>0</v>
      </c>
      <c r="S933">
        <f t="shared" ref="S933:S964" si="127">IF(G933="YES", 1, 0)</f>
        <v>0</v>
      </c>
      <c r="T933">
        <f t="shared" ref="T933:T964" si="128">IF(H933="YES", 1, 0)</f>
        <v>0</v>
      </c>
      <c r="U933">
        <f t="shared" ref="U933:U964" si="129">IF(I933="YES", 1, 0)</f>
        <v>0</v>
      </c>
    </row>
    <row r="934" spans="2:21">
      <c r="B934" s="102">
        <v>45346</v>
      </c>
      <c r="C934">
        <v>3</v>
      </c>
      <c r="D934" t="s">
        <v>121</v>
      </c>
      <c r="E934" t="s">
        <v>121</v>
      </c>
      <c r="F934" t="s">
        <v>121</v>
      </c>
      <c r="G934" t="s">
        <v>121</v>
      </c>
      <c r="H934" t="s">
        <v>121</v>
      </c>
      <c r="I934" t="s">
        <v>121</v>
      </c>
      <c r="P934">
        <f t="shared" si="124"/>
        <v>0</v>
      </c>
      <c r="Q934">
        <f t="shared" si="125"/>
        <v>0</v>
      </c>
      <c r="R934">
        <f t="shared" si="126"/>
        <v>0</v>
      </c>
      <c r="S934">
        <f t="shared" si="127"/>
        <v>0</v>
      </c>
      <c r="T934">
        <f t="shared" si="128"/>
        <v>0</v>
      </c>
      <c r="U934">
        <f t="shared" si="129"/>
        <v>0</v>
      </c>
    </row>
    <row r="935" spans="2:21">
      <c r="B935" s="102">
        <v>45347</v>
      </c>
      <c r="C935">
        <v>1.5</v>
      </c>
      <c r="D935" t="s">
        <v>121</v>
      </c>
      <c r="E935" t="s">
        <v>121</v>
      </c>
      <c r="F935" t="s">
        <v>121</v>
      </c>
      <c r="G935" t="s">
        <v>121</v>
      </c>
      <c r="H935" t="s">
        <v>121</v>
      </c>
      <c r="I935" t="s">
        <v>121</v>
      </c>
      <c r="K935">
        <v>187.2</v>
      </c>
      <c r="P935">
        <f t="shared" si="124"/>
        <v>0</v>
      </c>
      <c r="Q935">
        <f t="shared" si="125"/>
        <v>0</v>
      </c>
      <c r="R935">
        <f t="shared" si="126"/>
        <v>0</v>
      </c>
      <c r="S935">
        <f t="shared" si="127"/>
        <v>0</v>
      </c>
      <c r="T935">
        <f t="shared" si="128"/>
        <v>0</v>
      </c>
      <c r="U935">
        <f t="shared" si="129"/>
        <v>0</v>
      </c>
    </row>
    <row r="936" spans="2:21">
      <c r="B936" s="102">
        <v>45348</v>
      </c>
      <c r="C936">
        <v>2.5</v>
      </c>
      <c r="D936" t="s">
        <v>120</v>
      </c>
      <c r="E936" t="s">
        <v>121</v>
      </c>
      <c r="F936" t="s">
        <v>121</v>
      </c>
      <c r="G936" t="s">
        <v>121</v>
      </c>
      <c r="H936" t="s">
        <v>121</v>
      </c>
      <c r="I936" t="s">
        <v>121</v>
      </c>
      <c r="P936">
        <f t="shared" si="124"/>
        <v>1</v>
      </c>
      <c r="Q936">
        <f t="shared" si="125"/>
        <v>0</v>
      </c>
      <c r="R936">
        <f t="shared" si="126"/>
        <v>0</v>
      </c>
      <c r="S936">
        <f t="shared" si="127"/>
        <v>0</v>
      </c>
      <c r="T936">
        <f t="shared" si="128"/>
        <v>0</v>
      </c>
      <c r="U936">
        <f t="shared" si="129"/>
        <v>0</v>
      </c>
    </row>
    <row r="937" spans="2:21">
      <c r="B937" s="102">
        <v>45349</v>
      </c>
      <c r="C937">
        <v>2</v>
      </c>
      <c r="D937" t="s">
        <v>120</v>
      </c>
      <c r="E937" t="s">
        <v>121</v>
      </c>
      <c r="F937" t="s">
        <v>121</v>
      </c>
      <c r="G937" t="s">
        <v>121</v>
      </c>
      <c r="H937" t="s">
        <v>121</v>
      </c>
      <c r="I937" t="s">
        <v>121</v>
      </c>
      <c r="P937">
        <f t="shared" si="124"/>
        <v>1</v>
      </c>
      <c r="Q937">
        <f t="shared" si="125"/>
        <v>0</v>
      </c>
      <c r="R937">
        <f t="shared" si="126"/>
        <v>0</v>
      </c>
      <c r="S937">
        <f t="shared" si="127"/>
        <v>0</v>
      </c>
      <c r="T937">
        <f t="shared" si="128"/>
        <v>0</v>
      </c>
      <c r="U937">
        <f t="shared" si="129"/>
        <v>0</v>
      </c>
    </row>
    <row r="938" spans="2:21">
      <c r="B938" s="102">
        <v>45350</v>
      </c>
      <c r="C938">
        <v>1.5</v>
      </c>
      <c r="D938" t="s">
        <v>121</v>
      </c>
      <c r="E938" t="s">
        <v>121</v>
      </c>
      <c r="F938" t="s">
        <v>121</v>
      </c>
      <c r="G938" t="s">
        <v>121</v>
      </c>
      <c r="H938" t="s">
        <v>121</v>
      </c>
      <c r="I938" t="s">
        <v>121</v>
      </c>
      <c r="P938">
        <f t="shared" si="124"/>
        <v>0</v>
      </c>
      <c r="Q938">
        <f t="shared" si="125"/>
        <v>0</v>
      </c>
      <c r="R938">
        <f t="shared" si="126"/>
        <v>0</v>
      </c>
      <c r="S938">
        <f t="shared" si="127"/>
        <v>0</v>
      </c>
      <c r="T938">
        <f t="shared" si="128"/>
        <v>0</v>
      </c>
      <c r="U938">
        <f t="shared" si="129"/>
        <v>0</v>
      </c>
    </row>
    <row r="939" spans="2:21">
      <c r="B939" s="102">
        <v>45351</v>
      </c>
      <c r="C939">
        <v>2</v>
      </c>
      <c r="D939" t="s">
        <v>120</v>
      </c>
      <c r="E939" t="s">
        <v>121</v>
      </c>
      <c r="F939" t="s">
        <v>121</v>
      </c>
      <c r="G939" t="s">
        <v>121</v>
      </c>
      <c r="H939" t="s">
        <v>121</v>
      </c>
      <c r="I939" t="s">
        <v>121</v>
      </c>
      <c r="P939">
        <f t="shared" si="124"/>
        <v>1</v>
      </c>
      <c r="Q939">
        <f t="shared" si="125"/>
        <v>0</v>
      </c>
      <c r="R939">
        <f t="shared" si="126"/>
        <v>0</v>
      </c>
      <c r="S939">
        <f t="shared" si="127"/>
        <v>0</v>
      </c>
      <c r="T939">
        <f t="shared" si="128"/>
        <v>0</v>
      </c>
      <c r="U939">
        <f t="shared" si="129"/>
        <v>0</v>
      </c>
    </row>
    <row r="940" spans="2:21">
      <c r="B940" s="102">
        <v>45352</v>
      </c>
      <c r="C940">
        <v>1.5</v>
      </c>
      <c r="D940" t="s">
        <v>120</v>
      </c>
      <c r="E940" t="s">
        <v>121</v>
      </c>
      <c r="F940" t="s">
        <v>121</v>
      </c>
      <c r="G940" t="s">
        <v>121</v>
      </c>
      <c r="H940" t="s">
        <v>121</v>
      </c>
      <c r="I940" t="s">
        <v>121</v>
      </c>
      <c r="P940">
        <f t="shared" si="124"/>
        <v>1</v>
      </c>
      <c r="Q940">
        <f t="shared" si="125"/>
        <v>0</v>
      </c>
      <c r="R940">
        <f t="shared" si="126"/>
        <v>0</v>
      </c>
      <c r="S940">
        <f t="shared" si="127"/>
        <v>0</v>
      </c>
      <c r="T940">
        <f t="shared" si="128"/>
        <v>0</v>
      </c>
      <c r="U940">
        <f t="shared" si="129"/>
        <v>0</v>
      </c>
    </row>
    <row r="941" spans="2:21">
      <c r="B941" s="102">
        <v>45353</v>
      </c>
      <c r="C941">
        <v>3</v>
      </c>
      <c r="D941" t="s">
        <v>120</v>
      </c>
      <c r="E941" t="s">
        <v>121</v>
      </c>
      <c r="F941" t="s">
        <v>121</v>
      </c>
      <c r="G941" t="s">
        <v>121</v>
      </c>
      <c r="H941" t="s">
        <v>121</v>
      </c>
      <c r="I941" t="s">
        <v>121</v>
      </c>
      <c r="P941">
        <f t="shared" si="124"/>
        <v>1</v>
      </c>
      <c r="Q941">
        <f t="shared" si="125"/>
        <v>0</v>
      </c>
      <c r="R941">
        <f t="shared" si="126"/>
        <v>0</v>
      </c>
      <c r="S941">
        <f t="shared" si="127"/>
        <v>0</v>
      </c>
      <c r="T941">
        <f t="shared" si="128"/>
        <v>0</v>
      </c>
      <c r="U941">
        <f t="shared" si="129"/>
        <v>0</v>
      </c>
    </row>
    <row r="942" spans="2:21">
      <c r="B942" s="102">
        <v>45354</v>
      </c>
      <c r="C942">
        <v>1</v>
      </c>
      <c r="D942" t="s">
        <v>121</v>
      </c>
      <c r="E942" t="s">
        <v>121</v>
      </c>
      <c r="F942" t="s">
        <v>121</v>
      </c>
      <c r="G942" t="s">
        <v>120</v>
      </c>
      <c r="H942" t="s">
        <v>121</v>
      </c>
      <c r="I942" t="s">
        <v>121</v>
      </c>
      <c r="P942">
        <f t="shared" si="124"/>
        <v>0</v>
      </c>
      <c r="Q942">
        <f t="shared" si="125"/>
        <v>0</v>
      </c>
      <c r="R942">
        <f t="shared" si="126"/>
        <v>0</v>
      </c>
      <c r="S942">
        <f t="shared" si="127"/>
        <v>1</v>
      </c>
      <c r="T942">
        <f t="shared" si="128"/>
        <v>0</v>
      </c>
      <c r="U942">
        <f t="shared" si="129"/>
        <v>0</v>
      </c>
    </row>
    <row r="943" spans="2:21">
      <c r="B943" s="102">
        <v>45355</v>
      </c>
      <c r="C943">
        <v>2.5</v>
      </c>
      <c r="D943" t="s">
        <v>121</v>
      </c>
      <c r="E943" t="s">
        <v>121</v>
      </c>
      <c r="F943" t="s">
        <v>121</v>
      </c>
      <c r="G943" t="s">
        <v>121</v>
      </c>
      <c r="H943" t="s">
        <v>121</v>
      </c>
      <c r="I943" t="s">
        <v>121</v>
      </c>
      <c r="P943">
        <f t="shared" si="124"/>
        <v>0</v>
      </c>
      <c r="Q943">
        <f t="shared" si="125"/>
        <v>0</v>
      </c>
      <c r="R943">
        <f t="shared" si="126"/>
        <v>0</v>
      </c>
      <c r="S943">
        <f t="shared" si="127"/>
        <v>0</v>
      </c>
      <c r="T943">
        <f t="shared" si="128"/>
        <v>0</v>
      </c>
      <c r="U943">
        <f t="shared" si="129"/>
        <v>0</v>
      </c>
    </row>
    <row r="944" spans="2:21">
      <c r="B944" s="102">
        <v>45356</v>
      </c>
      <c r="C944">
        <v>2.5</v>
      </c>
      <c r="D944" t="s">
        <v>121</v>
      </c>
      <c r="E944" t="s">
        <v>121</v>
      </c>
      <c r="F944" t="s">
        <v>121</v>
      </c>
      <c r="G944" t="s">
        <v>121</v>
      </c>
      <c r="H944" t="s">
        <v>121</v>
      </c>
      <c r="I944" t="s">
        <v>121</v>
      </c>
      <c r="P944">
        <f t="shared" si="124"/>
        <v>0</v>
      </c>
      <c r="Q944">
        <f t="shared" si="125"/>
        <v>0</v>
      </c>
      <c r="R944">
        <f t="shared" si="126"/>
        <v>0</v>
      </c>
      <c r="S944">
        <f t="shared" si="127"/>
        <v>0</v>
      </c>
      <c r="T944">
        <f t="shared" si="128"/>
        <v>0</v>
      </c>
      <c r="U944">
        <f t="shared" si="129"/>
        <v>0</v>
      </c>
    </row>
    <row r="945" spans="2:21">
      <c r="B945" s="102">
        <v>45357</v>
      </c>
      <c r="C945">
        <v>2.5</v>
      </c>
      <c r="D945" t="s">
        <v>121</v>
      </c>
      <c r="E945" t="s">
        <v>121</v>
      </c>
      <c r="F945" t="s">
        <v>121</v>
      </c>
      <c r="G945" t="s">
        <v>121</v>
      </c>
      <c r="H945" t="s">
        <v>121</v>
      </c>
      <c r="I945" t="s">
        <v>121</v>
      </c>
      <c r="P945">
        <f t="shared" si="124"/>
        <v>0</v>
      </c>
      <c r="Q945">
        <f t="shared" si="125"/>
        <v>0</v>
      </c>
      <c r="R945">
        <f t="shared" si="126"/>
        <v>0</v>
      </c>
      <c r="S945">
        <f t="shared" si="127"/>
        <v>0</v>
      </c>
      <c r="T945">
        <f t="shared" si="128"/>
        <v>0</v>
      </c>
      <c r="U945">
        <f t="shared" si="129"/>
        <v>0</v>
      </c>
    </row>
    <row r="946" spans="2:21">
      <c r="B946" s="102">
        <v>45358</v>
      </c>
      <c r="C946">
        <v>3</v>
      </c>
      <c r="D946" t="s">
        <v>121</v>
      </c>
      <c r="E946" t="s">
        <v>120</v>
      </c>
      <c r="F946" t="s">
        <v>121</v>
      </c>
      <c r="G946" t="s">
        <v>121</v>
      </c>
      <c r="H946" t="s">
        <v>121</v>
      </c>
      <c r="I946" t="s">
        <v>121</v>
      </c>
      <c r="P946">
        <f t="shared" si="124"/>
        <v>0</v>
      </c>
      <c r="Q946">
        <f t="shared" si="125"/>
        <v>1</v>
      </c>
      <c r="R946">
        <f t="shared" si="126"/>
        <v>0</v>
      </c>
      <c r="S946">
        <f t="shared" si="127"/>
        <v>0</v>
      </c>
      <c r="T946">
        <f t="shared" si="128"/>
        <v>0</v>
      </c>
      <c r="U946">
        <f t="shared" si="129"/>
        <v>0</v>
      </c>
    </row>
    <row r="947" spans="2:21">
      <c r="B947" s="102">
        <v>45359</v>
      </c>
      <c r="C947">
        <v>2.5</v>
      </c>
      <c r="D947" t="s">
        <v>120</v>
      </c>
      <c r="E947" t="s">
        <v>121</v>
      </c>
      <c r="F947" t="s">
        <v>121</v>
      </c>
      <c r="G947" t="s">
        <v>121</v>
      </c>
      <c r="H947" t="s">
        <v>121</v>
      </c>
      <c r="I947" t="s">
        <v>121</v>
      </c>
      <c r="P947">
        <f t="shared" si="124"/>
        <v>1</v>
      </c>
      <c r="Q947">
        <f t="shared" si="125"/>
        <v>0</v>
      </c>
      <c r="R947">
        <f t="shared" si="126"/>
        <v>0</v>
      </c>
      <c r="S947">
        <f t="shared" si="127"/>
        <v>0</v>
      </c>
      <c r="T947">
        <f t="shared" si="128"/>
        <v>0</v>
      </c>
      <c r="U947">
        <f t="shared" si="129"/>
        <v>0</v>
      </c>
    </row>
    <row r="948" spans="2:21">
      <c r="B948" s="102">
        <v>45360</v>
      </c>
      <c r="C948">
        <v>2.5</v>
      </c>
      <c r="D948" t="s">
        <v>121</v>
      </c>
      <c r="E948" t="s">
        <v>121</v>
      </c>
      <c r="F948" t="s">
        <v>121</v>
      </c>
      <c r="G948" t="s">
        <v>121</v>
      </c>
      <c r="H948" t="s">
        <v>121</v>
      </c>
      <c r="I948" t="s">
        <v>121</v>
      </c>
      <c r="P948">
        <f t="shared" si="124"/>
        <v>0</v>
      </c>
      <c r="Q948">
        <f t="shared" si="125"/>
        <v>0</v>
      </c>
      <c r="R948">
        <f t="shared" si="126"/>
        <v>0</v>
      </c>
      <c r="S948">
        <f t="shared" si="127"/>
        <v>0</v>
      </c>
      <c r="T948">
        <f t="shared" si="128"/>
        <v>0</v>
      </c>
      <c r="U948">
        <f t="shared" si="129"/>
        <v>0</v>
      </c>
    </row>
    <row r="949" spans="2:21">
      <c r="B949" s="102">
        <v>45361</v>
      </c>
      <c r="C949">
        <v>2.5</v>
      </c>
      <c r="D949" t="s">
        <v>121</v>
      </c>
      <c r="E949" t="s">
        <v>121</v>
      </c>
      <c r="F949" t="s">
        <v>121</v>
      </c>
      <c r="G949" t="s">
        <v>121</v>
      </c>
      <c r="H949" t="s">
        <v>121</v>
      </c>
      <c r="I949" t="s">
        <v>121</v>
      </c>
      <c r="P949">
        <f t="shared" si="124"/>
        <v>0</v>
      </c>
      <c r="Q949">
        <f t="shared" si="125"/>
        <v>0</v>
      </c>
      <c r="R949">
        <f t="shared" si="126"/>
        <v>0</v>
      </c>
      <c r="S949">
        <f t="shared" si="127"/>
        <v>0</v>
      </c>
      <c r="T949">
        <f t="shared" si="128"/>
        <v>0</v>
      </c>
      <c r="U949">
        <f t="shared" si="129"/>
        <v>0</v>
      </c>
    </row>
    <row r="950" spans="2:21">
      <c r="B950" s="102">
        <v>45362</v>
      </c>
      <c r="C950">
        <v>1.5</v>
      </c>
      <c r="D950" t="s">
        <v>120</v>
      </c>
      <c r="E950" t="s">
        <v>121</v>
      </c>
      <c r="F950" t="s">
        <v>121</v>
      </c>
      <c r="G950" t="s">
        <v>121</v>
      </c>
      <c r="H950" t="s">
        <v>121</v>
      </c>
      <c r="I950" t="s">
        <v>121</v>
      </c>
      <c r="K950">
        <v>182.8</v>
      </c>
      <c r="P950">
        <f t="shared" si="124"/>
        <v>1</v>
      </c>
      <c r="Q950">
        <f t="shared" si="125"/>
        <v>0</v>
      </c>
      <c r="R950">
        <f t="shared" si="126"/>
        <v>0</v>
      </c>
      <c r="S950">
        <f t="shared" si="127"/>
        <v>0</v>
      </c>
      <c r="T950">
        <f t="shared" si="128"/>
        <v>0</v>
      </c>
      <c r="U950">
        <f t="shared" si="129"/>
        <v>0</v>
      </c>
    </row>
    <row r="951" spans="2:21">
      <c r="B951" s="102">
        <v>45363</v>
      </c>
      <c r="C951">
        <v>3.5</v>
      </c>
      <c r="D951" t="s">
        <v>121</v>
      </c>
      <c r="E951" t="s">
        <v>121</v>
      </c>
      <c r="F951" t="s">
        <v>121</v>
      </c>
      <c r="G951" t="s">
        <v>121</v>
      </c>
      <c r="H951" t="s">
        <v>121</v>
      </c>
      <c r="I951" t="s">
        <v>121</v>
      </c>
      <c r="P951">
        <f t="shared" si="124"/>
        <v>0</v>
      </c>
      <c r="Q951">
        <f t="shared" si="125"/>
        <v>0</v>
      </c>
      <c r="R951">
        <f t="shared" si="126"/>
        <v>0</v>
      </c>
      <c r="S951">
        <f t="shared" si="127"/>
        <v>0</v>
      </c>
      <c r="T951">
        <f t="shared" si="128"/>
        <v>0</v>
      </c>
      <c r="U951">
        <f t="shared" si="129"/>
        <v>0</v>
      </c>
    </row>
    <row r="952" spans="2:21">
      <c r="B952" s="102">
        <v>45364</v>
      </c>
      <c r="C952">
        <v>2</v>
      </c>
      <c r="D952" t="s">
        <v>121</v>
      </c>
      <c r="E952" t="s">
        <v>121</v>
      </c>
      <c r="F952" t="s">
        <v>121</v>
      </c>
      <c r="G952" t="s">
        <v>121</v>
      </c>
      <c r="H952" t="s">
        <v>121</v>
      </c>
      <c r="I952" t="s">
        <v>121</v>
      </c>
      <c r="P952">
        <f t="shared" si="124"/>
        <v>0</v>
      </c>
      <c r="Q952">
        <f t="shared" si="125"/>
        <v>0</v>
      </c>
      <c r="R952">
        <f t="shared" si="126"/>
        <v>0</v>
      </c>
      <c r="S952">
        <f t="shared" si="127"/>
        <v>0</v>
      </c>
      <c r="T952">
        <f t="shared" si="128"/>
        <v>0</v>
      </c>
      <c r="U952">
        <f t="shared" si="129"/>
        <v>0</v>
      </c>
    </row>
    <row r="953" spans="2:21">
      <c r="B953" s="102">
        <v>45365</v>
      </c>
      <c r="C953">
        <v>1.5</v>
      </c>
      <c r="D953" t="s">
        <v>121</v>
      </c>
      <c r="E953" t="s">
        <v>121</v>
      </c>
      <c r="F953" t="s">
        <v>121</v>
      </c>
      <c r="G953" t="s">
        <v>121</v>
      </c>
      <c r="H953" t="s">
        <v>121</v>
      </c>
      <c r="I953" t="s">
        <v>121</v>
      </c>
      <c r="P953">
        <f t="shared" si="124"/>
        <v>0</v>
      </c>
      <c r="Q953">
        <f t="shared" si="125"/>
        <v>0</v>
      </c>
      <c r="R953">
        <f t="shared" si="126"/>
        <v>0</v>
      </c>
      <c r="S953">
        <f t="shared" si="127"/>
        <v>0</v>
      </c>
      <c r="T953">
        <f t="shared" si="128"/>
        <v>0</v>
      </c>
      <c r="U953">
        <f t="shared" si="129"/>
        <v>0</v>
      </c>
    </row>
    <row r="954" spans="2:21">
      <c r="B954" s="102">
        <v>45366</v>
      </c>
      <c r="C954">
        <v>2.25</v>
      </c>
      <c r="D954" t="s">
        <v>120</v>
      </c>
      <c r="E954" t="s">
        <v>121</v>
      </c>
      <c r="F954" t="s">
        <v>121</v>
      </c>
      <c r="G954" t="s">
        <v>121</v>
      </c>
      <c r="H954" t="s">
        <v>121</v>
      </c>
      <c r="I954" t="s">
        <v>121</v>
      </c>
      <c r="P954">
        <f t="shared" si="124"/>
        <v>1</v>
      </c>
      <c r="Q954">
        <f t="shared" si="125"/>
        <v>0</v>
      </c>
      <c r="R954">
        <f t="shared" si="126"/>
        <v>0</v>
      </c>
      <c r="S954">
        <f t="shared" si="127"/>
        <v>0</v>
      </c>
      <c r="T954">
        <f t="shared" si="128"/>
        <v>0</v>
      </c>
      <c r="U954">
        <f t="shared" si="129"/>
        <v>0</v>
      </c>
    </row>
    <row r="955" spans="2:21">
      <c r="B955" s="102">
        <v>45367</v>
      </c>
      <c r="C955">
        <v>2</v>
      </c>
      <c r="D955" t="s">
        <v>121</v>
      </c>
      <c r="E955" t="s">
        <v>120</v>
      </c>
      <c r="F955" t="s">
        <v>121</v>
      </c>
      <c r="G955" t="s">
        <v>121</v>
      </c>
      <c r="H955" t="s">
        <v>121</v>
      </c>
      <c r="I955" t="s">
        <v>121</v>
      </c>
      <c r="P955">
        <f t="shared" si="124"/>
        <v>0</v>
      </c>
      <c r="Q955">
        <f t="shared" si="125"/>
        <v>1</v>
      </c>
      <c r="R955">
        <f t="shared" si="126"/>
        <v>0</v>
      </c>
      <c r="S955">
        <f t="shared" si="127"/>
        <v>0</v>
      </c>
      <c r="T955">
        <f t="shared" si="128"/>
        <v>0</v>
      </c>
      <c r="U955">
        <f t="shared" si="129"/>
        <v>0</v>
      </c>
    </row>
    <row r="956" spans="2:21">
      <c r="B956" s="102">
        <v>45368</v>
      </c>
      <c r="C956">
        <v>3</v>
      </c>
      <c r="D956" t="s">
        <v>121</v>
      </c>
      <c r="E956" t="s">
        <v>121</v>
      </c>
      <c r="F956" t="s">
        <v>121</v>
      </c>
      <c r="G956" t="s">
        <v>121</v>
      </c>
      <c r="H956" t="s">
        <v>121</v>
      </c>
      <c r="I956" t="s">
        <v>121</v>
      </c>
      <c r="K956">
        <v>181.8</v>
      </c>
      <c r="P956">
        <f t="shared" si="124"/>
        <v>0</v>
      </c>
      <c r="Q956">
        <f t="shared" si="125"/>
        <v>0</v>
      </c>
      <c r="R956">
        <f t="shared" si="126"/>
        <v>0</v>
      </c>
      <c r="S956">
        <f t="shared" si="127"/>
        <v>0</v>
      </c>
      <c r="T956">
        <f t="shared" si="128"/>
        <v>0</v>
      </c>
      <c r="U956">
        <f t="shared" si="129"/>
        <v>0</v>
      </c>
    </row>
    <row r="957" spans="2:21">
      <c r="B957" s="102">
        <v>45369</v>
      </c>
      <c r="C957">
        <v>2.5</v>
      </c>
      <c r="D957" t="s">
        <v>120</v>
      </c>
      <c r="E957" t="s">
        <v>121</v>
      </c>
      <c r="F957" t="s">
        <v>121</v>
      </c>
      <c r="G957" t="s">
        <v>120</v>
      </c>
      <c r="H957" t="s">
        <v>120</v>
      </c>
      <c r="I957" t="s">
        <v>121</v>
      </c>
      <c r="P957">
        <f t="shared" si="124"/>
        <v>1</v>
      </c>
      <c r="Q957">
        <f t="shared" si="125"/>
        <v>0</v>
      </c>
      <c r="R957">
        <f t="shared" si="126"/>
        <v>0</v>
      </c>
      <c r="S957">
        <f t="shared" si="127"/>
        <v>1</v>
      </c>
      <c r="T957">
        <f t="shared" si="128"/>
        <v>1</v>
      </c>
      <c r="U957">
        <f t="shared" si="129"/>
        <v>0</v>
      </c>
    </row>
    <row r="958" spans="2:21">
      <c r="B958" s="102">
        <v>45370</v>
      </c>
      <c r="C958">
        <v>2.5</v>
      </c>
      <c r="D958" t="s">
        <v>121</v>
      </c>
      <c r="E958" t="s">
        <v>121</v>
      </c>
      <c r="F958" t="s">
        <v>121</v>
      </c>
      <c r="G958" t="s">
        <v>121</v>
      </c>
      <c r="H958" t="s">
        <v>121</v>
      </c>
      <c r="I958" t="s">
        <v>121</v>
      </c>
      <c r="P958">
        <f t="shared" si="124"/>
        <v>0</v>
      </c>
      <c r="Q958">
        <f t="shared" si="125"/>
        <v>0</v>
      </c>
      <c r="R958">
        <f t="shared" si="126"/>
        <v>0</v>
      </c>
      <c r="S958">
        <f t="shared" si="127"/>
        <v>0</v>
      </c>
      <c r="T958">
        <f t="shared" si="128"/>
        <v>0</v>
      </c>
      <c r="U958">
        <f t="shared" si="129"/>
        <v>0</v>
      </c>
    </row>
    <row r="959" spans="2:21">
      <c r="B959" s="102">
        <v>45371</v>
      </c>
      <c r="C959">
        <v>2</v>
      </c>
      <c r="D959" t="s">
        <v>120</v>
      </c>
      <c r="E959" t="s">
        <v>121</v>
      </c>
      <c r="F959" t="s">
        <v>121</v>
      </c>
      <c r="G959" t="s">
        <v>121</v>
      </c>
      <c r="H959" t="s">
        <v>121</v>
      </c>
      <c r="I959" t="s">
        <v>121</v>
      </c>
      <c r="P959">
        <f t="shared" si="124"/>
        <v>1</v>
      </c>
      <c r="Q959">
        <f t="shared" si="125"/>
        <v>0</v>
      </c>
      <c r="R959">
        <f t="shared" si="126"/>
        <v>0</v>
      </c>
      <c r="S959">
        <f t="shared" si="127"/>
        <v>0</v>
      </c>
      <c r="T959">
        <f t="shared" si="128"/>
        <v>0</v>
      </c>
      <c r="U959">
        <f t="shared" si="129"/>
        <v>0</v>
      </c>
    </row>
    <row r="960" spans="2:21">
      <c r="B960" s="102">
        <v>45372</v>
      </c>
      <c r="C960">
        <v>2.5</v>
      </c>
      <c r="D960" t="s">
        <v>120</v>
      </c>
      <c r="E960" t="s">
        <v>121</v>
      </c>
      <c r="F960" t="s">
        <v>121</v>
      </c>
      <c r="G960" t="s">
        <v>121</v>
      </c>
      <c r="H960" t="s">
        <v>121</v>
      </c>
      <c r="I960" t="s">
        <v>121</v>
      </c>
      <c r="P960">
        <f t="shared" si="124"/>
        <v>1</v>
      </c>
      <c r="Q960">
        <f t="shared" si="125"/>
        <v>0</v>
      </c>
      <c r="R960">
        <f t="shared" si="126"/>
        <v>0</v>
      </c>
      <c r="S960">
        <f t="shared" si="127"/>
        <v>0</v>
      </c>
      <c r="T960">
        <f t="shared" si="128"/>
        <v>0</v>
      </c>
      <c r="U960">
        <f t="shared" si="129"/>
        <v>0</v>
      </c>
    </row>
    <row r="961" spans="2:21">
      <c r="B961" s="102">
        <v>45373</v>
      </c>
      <c r="C961">
        <v>2</v>
      </c>
      <c r="D961" t="s">
        <v>121</v>
      </c>
      <c r="E961" t="s">
        <v>121</v>
      </c>
      <c r="F961" t="s">
        <v>121</v>
      </c>
      <c r="G961" t="s">
        <v>121</v>
      </c>
      <c r="H961" t="s">
        <v>121</v>
      </c>
      <c r="I961" t="s">
        <v>121</v>
      </c>
      <c r="P961">
        <f t="shared" si="124"/>
        <v>0</v>
      </c>
      <c r="Q961">
        <f t="shared" si="125"/>
        <v>0</v>
      </c>
      <c r="R961">
        <f t="shared" si="126"/>
        <v>0</v>
      </c>
      <c r="S961">
        <f t="shared" si="127"/>
        <v>0</v>
      </c>
      <c r="T961">
        <f t="shared" si="128"/>
        <v>0</v>
      </c>
      <c r="U961">
        <f t="shared" si="129"/>
        <v>0</v>
      </c>
    </row>
    <row r="962" spans="2:21">
      <c r="B962" s="102">
        <v>45374</v>
      </c>
      <c r="C962">
        <v>1.5</v>
      </c>
      <c r="D962" t="s">
        <v>120</v>
      </c>
      <c r="E962" t="s">
        <v>121</v>
      </c>
      <c r="F962" t="s">
        <v>121</v>
      </c>
      <c r="G962" t="s">
        <v>121</v>
      </c>
      <c r="H962" t="s">
        <v>121</v>
      </c>
      <c r="I962" t="s">
        <v>121</v>
      </c>
      <c r="P962">
        <f t="shared" si="124"/>
        <v>1</v>
      </c>
      <c r="Q962">
        <f t="shared" si="125"/>
        <v>0</v>
      </c>
      <c r="R962">
        <f t="shared" si="126"/>
        <v>0</v>
      </c>
      <c r="S962">
        <f t="shared" si="127"/>
        <v>0</v>
      </c>
      <c r="T962">
        <f t="shared" si="128"/>
        <v>0</v>
      </c>
      <c r="U962">
        <f t="shared" si="129"/>
        <v>0</v>
      </c>
    </row>
    <row r="963" spans="2:21">
      <c r="B963" s="102">
        <v>45375</v>
      </c>
      <c r="C963">
        <v>1.5</v>
      </c>
      <c r="D963" t="s">
        <v>121</v>
      </c>
      <c r="E963" t="s">
        <v>120</v>
      </c>
      <c r="F963" t="s">
        <v>121</v>
      </c>
      <c r="G963" t="s">
        <v>121</v>
      </c>
      <c r="H963" t="s">
        <v>121</v>
      </c>
      <c r="I963" t="s">
        <v>121</v>
      </c>
      <c r="K963">
        <v>182</v>
      </c>
      <c r="P963">
        <f t="shared" si="124"/>
        <v>0</v>
      </c>
      <c r="Q963">
        <f t="shared" si="125"/>
        <v>1</v>
      </c>
      <c r="R963">
        <f t="shared" si="126"/>
        <v>0</v>
      </c>
      <c r="S963">
        <f t="shared" si="127"/>
        <v>0</v>
      </c>
      <c r="T963">
        <f t="shared" si="128"/>
        <v>0</v>
      </c>
      <c r="U963">
        <f t="shared" si="129"/>
        <v>0</v>
      </c>
    </row>
    <row r="964" spans="2:21">
      <c r="B964" s="102">
        <v>45376</v>
      </c>
      <c r="C964">
        <v>2.5</v>
      </c>
      <c r="D964" t="s">
        <v>121</v>
      </c>
      <c r="E964" t="s">
        <v>121</v>
      </c>
      <c r="F964" t="s">
        <v>121</v>
      </c>
      <c r="G964" t="s">
        <v>121</v>
      </c>
      <c r="H964" t="s">
        <v>121</v>
      </c>
      <c r="I964" t="s">
        <v>121</v>
      </c>
      <c r="P964">
        <f t="shared" si="124"/>
        <v>0</v>
      </c>
      <c r="Q964">
        <f t="shared" si="125"/>
        <v>0</v>
      </c>
      <c r="R964">
        <f t="shared" si="126"/>
        <v>0</v>
      </c>
      <c r="S964">
        <f t="shared" si="127"/>
        <v>0</v>
      </c>
      <c r="T964">
        <f t="shared" si="128"/>
        <v>0</v>
      </c>
      <c r="U964">
        <f t="shared" si="129"/>
        <v>0</v>
      </c>
    </row>
    <row r="965" spans="2:21">
      <c r="B965" s="102">
        <v>45377</v>
      </c>
      <c r="C965">
        <v>3</v>
      </c>
      <c r="D965" t="s">
        <v>120</v>
      </c>
      <c r="E965" t="s">
        <v>121</v>
      </c>
      <c r="F965" t="s">
        <v>121</v>
      </c>
      <c r="G965" t="s">
        <v>121</v>
      </c>
      <c r="H965" t="s">
        <v>121</v>
      </c>
      <c r="I965" t="s">
        <v>121</v>
      </c>
      <c r="P965">
        <f t="shared" ref="P965:P985" si="130">IF(D965="YES", 1, 0)</f>
        <v>1</v>
      </c>
      <c r="Q965">
        <f t="shared" ref="Q965:Q985" si="131">IF(E965="YES", 1, 0)</f>
        <v>0</v>
      </c>
      <c r="R965">
        <f t="shared" ref="R965:R985" si="132">IF(F965="YES", 1, 0)</f>
        <v>0</v>
      </c>
      <c r="S965">
        <f t="shared" ref="S965:S985" si="133">IF(G965="YES", 1, 0)</f>
        <v>0</v>
      </c>
      <c r="T965">
        <f t="shared" ref="T965:T985" si="134">IF(H965="YES", 1, 0)</f>
        <v>0</v>
      </c>
      <c r="U965">
        <f t="shared" ref="U965:U985" si="135">IF(I965="YES", 1, 0)</f>
        <v>0</v>
      </c>
    </row>
    <row r="966" spans="2:21">
      <c r="B966" s="102">
        <v>45378</v>
      </c>
      <c r="C966">
        <v>1.5</v>
      </c>
      <c r="D966" t="s">
        <v>121</v>
      </c>
      <c r="E966" t="s">
        <v>121</v>
      </c>
      <c r="F966" t="s">
        <v>121</v>
      </c>
      <c r="G966" t="s">
        <v>121</v>
      </c>
      <c r="H966" t="s">
        <v>121</v>
      </c>
      <c r="I966" t="s">
        <v>121</v>
      </c>
      <c r="P966">
        <f t="shared" si="130"/>
        <v>0</v>
      </c>
      <c r="Q966">
        <f t="shared" si="131"/>
        <v>0</v>
      </c>
      <c r="R966">
        <f t="shared" si="132"/>
        <v>0</v>
      </c>
      <c r="S966">
        <f t="shared" si="133"/>
        <v>0</v>
      </c>
      <c r="T966">
        <f t="shared" si="134"/>
        <v>0</v>
      </c>
      <c r="U966">
        <f t="shared" si="135"/>
        <v>0</v>
      </c>
    </row>
    <row r="967" spans="2:21">
      <c r="B967" s="102">
        <v>45379</v>
      </c>
      <c r="C967">
        <v>1.5</v>
      </c>
      <c r="D967" t="s">
        <v>121</v>
      </c>
      <c r="E967" t="s">
        <v>121</v>
      </c>
      <c r="F967" t="s">
        <v>121</v>
      </c>
      <c r="G967" t="s">
        <v>121</v>
      </c>
      <c r="H967" t="s">
        <v>121</v>
      </c>
      <c r="I967" t="s">
        <v>121</v>
      </c>
      <c r="P967">
        <f t="shared" si="130"/>
        <v>0</v>
      </c>
      <c r="Q967">
        <f t="shared" si="131"/>
        <v>0</v>
      </c>
      <c r="R967">
        <f t="shared" si="132"/>
        <v>0</v>
      </c>
      <c r="S967">
        <f t="shared" si="133"/>
        <v>0</v>
      </c>
      <c r="T967">
        <f t="shared" si="134"/>
        <v>0</v>
      </c>
      <c r="U967">
        <f t="shared" si="135"/>
        <v>0</v>
      </c>
    </row>
    <row r="968" spans="2:21">
      <c r="B968" s="102">
        <v>45380</v>
      </c>
      <c r="C968">
        <v>3</v>
      </c>
      <c r="D968" t="s">
        <v>120</v>
      </c>
      <c r="E968" t="s">
        <v>121</v>
      </c>
      <c r="F968" t="s">
        <v>121</v>
      </c>
      <c r="G968" t="s">
        <v>121</v>
      </c>
      <c r="H968" t="s">
        <v>121</v>
      </c>
      <c r="I968" t="s">
        <v>121</v>
      </c>
      <c r="P968">
        <f t="shared" si="130"/>
        <v>1</v>
      </c>
      <c r="Q968">
        <f t="shared" si="131"/>
        <v>0</v>
      </c>
      <c r="R968">
        <f t="shared" si="132"/>
        <v>0</v>
      </c>
      <c r="S968">
        <f t="shared" si="133"/>
        <v>0</v>
      </c>
      <c r="T968">
        <f t="shared" si="134"/>
        <v>0</v>
      </c>
      <c r="U968">
        <f t="shared" si="135"/>
        <v>0</v>
      </c>
    </row>
    <row r="969" spans="2:21">
      <c r="B969" s="102">
        <v>45381</v>
      </c>
      <c r="C969">
        <v>1.5</v>
      </c>
      <c r="D969" t="s">
        <v>121</v>
      </c>
      <c r="E969" t="s">
        <v>121</v>
      </c>
      <c r="F969" t="s">
        <v>121</v>
      </c>
      <c r="G969" t="s">
        <v>121</v>
      </c>
      <c r="H969" t="s">
        <v>121</v>
      </c>
      <c r="I969" t="s">
        <v>121</v>
      </c>
      <c r="P969">
        <f t="shared" si="130"/>
        <v>0</v>
      </c>
      <c r="Q969">
        <f t="shared" si="131"/>
        <v>0</v>
      </c>
      <c r="R969">
        <f t="shared" si="132"/>
        <v>0</v>
      </c>
      <c r="S969">
        <f t="shared" si="133"/>
        <v>0</v>
      </c>
      <c r="T969">
        <f t="shared" si="134"/>
        <v>0</v>
      </c>
      <c r="U969">
        <f t="shared" si="135"/>
        <v>0</v>
      </c>
    </row>
    <row r="970" spans="2:21">
      <c r="B970" s="102">
        <v>45382</v>
      </c>
      <c r="C970">
        <v>3</v>
      </c>
      <c r="D970" t="s">
        <v>121</v>
      </c>
      <c r="E970" t="s">
        <v>121</v>
      </c>
      <c r="F970" t="s">
        <v>121</v>
      </c>
      <c r="G970" t="s">
        <v>121</v>
      </c>
      <c r="H970" t="s">
        <v>121</v>
      </c>
      <c r="I970" t="s">
        <v>121</v>
      </c>
      <c r="P970">
        <f t="shared" si="130"/>
        <v>0</v>
      </c>
      <c r="Q970">
        <f t="shared" si="131"/>
        <v>0</v>
      </c>
      <c r="R970">
        <f t="shared" si="132"/>
        <v>0</v>
      </c>
      <c r="S970">
        <f t="shared" si="133"/>
        <v>0</v>
      </c>
      <c r="T970">
        <f t="shared" si="134"/>
        <v>0</v>
      </c>
      <c r="U970">
        <f t="shared" si="135"/>
        <v>0</v>
      </c>
    </row>
    <row r="971" spans="2:21">
      <c r="B971" s="102">
        <v>45383</v>
      </c>
      <c r="C971">
        <v>3</v>
      </c>
      <c r="D971" t="s">
        <v>120</v>
      </c>
      <c r="E971" t="s">
        <v>121</v>
      </c>
      <c r="F971" t="s">
        <v>121</v>
      </c>
      <c r="G971" t="s">
        <v>121</v>
      </c>
      <c r="H971" t="s">
        <v>121</v>
      </c>
      <c r="I971" t="s">
        <v>120</v>
      </c>
      <c r="K971">
        <v>181.2</v>
      </c>
      <c r="P971">
        <f t="shared" si="130"/>
        <v>1</v>
      </c>
      <c r="Q971">
        <f t="shared" si="131"/>
        <v>0</v>
      </c>
      <c r="R971">
        <f t="shared" si="132"/>
        <v>0</v>
      </c>
      <c r="S971">
        <f t="shared" si="133"/>
        <v>0</v>
      </c>
      <c r="T971">
        <f t="shared" si="134"/>
        <v>0</v>
      </c>
      <c r="U971">
        <f t="shared" si="135"/>
        <v>1</v>
      </c>
    </row>
    <row r="972" spans="2:21">
      <c r="B972" s="102">
        <v>45384</v>
      </c>
      <c r="C972">
        <v>2.5</v>
      </c>
      <c r="D972" t="s">
        <v>121</v>
      </c>
      <c r="E972" t="s">
        <v>120</v>
      </c>
      <c r="F972" t="s">
        <v>120</v>
      </c>
      <c r="G972" t="s">
        <v>120</v>
      </c>
      <c r="H972" t="s">
        <v>121</v>
      </c>
      <c r="I972" t="s">
        <v>121</v>
      </c>
      <c r="P972">
        <f t="shared" si="130"/>
        <v>0</v>
      </c>
      <c r="Q972">
        <f t="shared" si="131"/>
        <v>1</v>
      </c>
      <c r="R972">
        <f t="shared" si="132"/>
        <v>1</v>
      </c>
      <c r="S972">
        <f t="shared" si="133"/>
        <v>1</v>
      </c>
      <c r="T972">
        <f t="shared" si="134"/>
        <v>0</v>
      </c>
      <c r="U972">
        <f t="shared" si="135"/>
        <v>0</v>
      </c>
    </row>
    <row r="973" spans="2:21">
      <c r="B973" s="102">
        <v>45385</v>
      </c>
      <c r="C973">
        <v>1.5</v>
      </c>
      <c r="D973" t="s">
        <v>121</v>
      </c>
      <c r="E973" t="s">
        <v>121</v>
      </c>
      <c r="F973" t="s">
        <v>121</v>
      </c>
      <c r="G973" t="s">
        <v>121</v>
      </c>
      <c r="H973" t="s">
        <v>121</v>
      </c>
      <c r="I973" t="s">
        <v>121</v>
      </c>
      <c r="P973">
        <f t="shared" si="130"/>
        <v>0</v>
      </c>
      <c r="Q973">
        <f t="shared" si="131"/>
        <v>0</v>
      </c>
      <c r="R973">
        <f t="shared" si="132"/>
        <v>0</v>
      </c>
      <c r="S973">
        <f t="shared" si="133"/>
        <v>0</v>
      </c>
      <c r="T973">
        <f t="shared" si="134"/>
        <v>0</v>
      </c>
      <c r="U973">
        <f t="shared" si="135"/>
        <v>0</v>
      </c>
    </row>
    <row r="974" spans="2:21">
      <c r="B974" s="102">
        <v>45386</v>
      </c>
      <c r="C974">
        <v>2.5</v>
      </c>
      <c r="D974" t="s">
        <v>121</v>
      </c>
      <c r="E974" t="s">
        <v>121</v>
      </c>
      <c r="F974" t="s">
        <v>121</v>
      </c>
      <c r="G974" t="s">
        <v>121</v>
      </c>
      <c r="H974" t="s">
        <v>121</v>
      </c>
      <c r="I974" t="s">
        <v>121</v>
      </c>
      <c r="P974">
        <f t="shared" si="130"/>
        <v>0</v>
      </c>
      <c r="Q974">
        <f t="shared" si="131"/>
        <v>0</v>
      </c>
      <c r="R974">
        <f t="shared" si="132"/>
        <v>0</v>
      </c>
      <c r="S974">
        <f t="shared" si="133"/>
        <v>0</v>
      </c>
      <c r="T974">
        <f t="shared" si="134"/>
        <v>0</v>
      </c>
      <c r="U974">
        <f t="shared" si="135"/>
        <v>0</v>
      </c>
    </row>
    <row r="975" spans="2:21">
      <c r="B975" s="102">
        <v>45387</v>
      </c>
      <c r="C975">
        <v>2.5</v>
      </c>
      <c r="D975" t="s">
        <v>120</v>
      </c>
      <c r="E975" t="s">
        <v>121</v>
      </c>
      <c r="F975" t="s">
        <v>121</v>
      </c>
      <c r="G975" t="s">
        <v>121</v>
      </c>
      <c r="H975" t="s">
        <v>121</v>
      </c>
      <c r="I975" t="s">
        <v>121</v>
      </c>
      <c r="P975">
        <f t="shared" si="130"/>
        <v>1</v>
      </c>
      <c r="Q975">
        <f t="shared" si="131"/>
        <v>0</v>
      </c>
      <c r="R975">
        <f t="shared" si="132"/>
        <v>0</v>
      </c>
      <c r="S975">
        <f t="shared" si="133"/>
        <v>0</v>
      </c>
      <c r="T975">
        <f t="shared" si="134"/>
        <v>0</v>
      </c>
      <c r="U975">
        <f t="shared" si="135"/>
        <v>0</v>
      </c>
    </row>
    <row r="976" spans="2:21">
      <c r="B976" s="102">
        <v>45388</v>
      </c>
      <c r="C976">
        <v>1.5</v>
      </c>
      <c r="D976" t="s">
        <v>121</v>
      </c>
      <c r="E976" t="s">
        <v>121</v>
      </c>
      <c r="F976" t="s">
        <v>121</v>
      </c>
      <c r="G976" t="s">
        <v>121</v>
      </c>
      <c r="H976" t="s">
        <v>121</v>
      </c>
      <c r="I976" t="s">
        <v>121</v>
      </c>
      <c r="P976">
        <f t="shared" si="130"/>
        <v>0</v>
      </c>
      <c r="Q976">
        <f t="shared" si="131"/>
        <v>0</v>
      </c>
      <c r="R976">
        <f t="shared" si="132"/>
        <v>0</v>
      </c>
      <c r="S976">
        <f t="shared" si="133"/>
        <v>0</v>
      </c>
      <c r="T976">
        <f t="shared" si="134"/>
        <v>0</v>
      </c>
      <c r="U976">
        <f t="shared" si="135"/>
        <v>0</v>
      </c>
    </row>
    <row r="977" spans="2:21">
      <c r="B977" s="102">
        <v>45389</v>
      </c>
      <c r="C977">
        <v>1.5</v>
      </c>
      <c r="D977" t="s">
        <v>121</v>
      </c>
      <c r="E977" t="s">
        <v>121</v>
      </c>
      <c r="F977" t="s">
        <v>121</v>
      </c>
      <c r="G977" t="s">
        <v>121</v>
      </c>
      <c r="H977" t="s">
        <v>121</v>
      </c>
      <c r="I977" t="s">
        <v>121</v>
      </c>
      <c r="K977">
        <v>180.8</v>
      </c>
      <c r="P977">
        <f t="shared" si="130"/>
        <v>0</v>
      </c>
      <c r="Q977">
        <f t="shared" si="131"/>
        <v>0</v>
      </c>
      <c r="R977">
        <f t="shared" si="132"/>
        <v>0</v>
      </c>
      <c r="S977">
        <f t="shared" si="133"/>
        <v>0</v>
      </c>
      <c r="T977">
        <f t="shared" si="134"/>
        <v>0</v>
      </c>
      <c r="U977">
        <f t="shared" si="135"/>
        <v>0</v>
      </c>
    </row>
    <row r="978" spans="2:21">
      <c r="B978" s="102">
        <v>45390</v>
      </c>
      <c r="C978">
        <v>2</v>
      </c>
      <c r="D978" t="s">
        <v>120</v>
      </c>
      <c r="E978" t="s">
        <v>121</v>
      </c>
      <c r="F978" t="s">
        <v>121</v>
      </c>
      <c r="G978" t="s">
        <v>121</v>
      </c>
      <c r="H978" t="s">
        <v>121</v>
      </c>
      <c r="I978" t="s">
        <v>121</v>
      </c>
      <c r="P978">
        <f t="shared" si="130"/>
        <v>1</v>
      </c>
      <c r="Q978">
        <f t="shared" si="131"/>
        <v>0</v>
      </c>
      <c r="R978">
        <f t="shared" si="132"/>
        <v>0</v>
      </c>
      <c r="S978">
        <f t="shared" si="133"/>
        <v>0</v>
      </c>
      <c r="T978">
        <f t="shared" si="134"/>
        <v>0</v>
      </c>
      <c r="U978">
        <f t="shared" si="135"/>
        <v>0</v>
      </c>
    </row>
    <row r="979" spans="2:21">
      <c r="B979" s="102">
        <v>45391</v>
      </c>
      <c r="C979">
        <v>2.5</v>
      </c>
      <c r="D979" t="s">
        <v>121</v>
      </c>
      <c r="E979" t="s">
        <v>121</v>
      </c>
      <c r="F979" t="s">
        <v>121</v>
      </c>
      <c r="G979" t="s">
        <v>121</v>
      </c>
      <c r="H979" t="s">
        <v>121</v>
      </c>
      <c r="I979" t="s">
        <v>121</v>
      </c>
      <c r="P979">
        <f t="shared" si="130"/>
        <v>0</v>
      </c>
      <c r="Q979">
        <f t="shared" si="131"/>
        <v>0</v>
      </c>
      <c r="R979">
        <f t="shared" si="132"/>
        <v>0</v>
      </c>
      <c r="S979">
        <f t="shared" si="133"/>
        <v>0</v>
      </c>
      <c r="T979">
        <f t="shared" si="134"/>
        <v>0</v>
      </c>
      <c r="U979">
        <f t="shared" si="135"/>
        <v>0</v>
      </c>
    </row>
    <row r="980" spans="2:21">
      <c r="B980" s="102">
        <v>45392</v>
      </c>
      <c r="C980">
        <v>2</v>
      </c>
      <c r="D980" t="s">
        <v>121</v>
      </c>
      <c r="E980" t="s">
        <v>120</v>
      </c>
      <c r="F980" t="s">
        <v>121</v>
      </c>
      <c r="G980" t="s">
        <v>121</v>
      </c>
      <c r="H980" t="s">
        <v>121</v>
      </c>
      <c r="I980" t="s">
        <v>120</v>
      </c>
      <c r="P980">
        <f t="shared" si="130"/>
        <v>0</v>
      </c>
      <c r="Q980">
        <f t="shared" si="131"/>
        <v>1</v>
      </c>
      <c r="R980">
        <f t="shared" si="132"/>
        <v>0</v>
      </c>
      <c r="S980">
        <f t="shared" si="133"/>
        <v>0</v>
      </c>
      <c r="T980">
        <f t="shared" si="134"/>
        <v>0</v>
      </c>
      <c r="U980">
        <f t="shared" si="135"/>
        <v>1</v>
      </c>
    </row>
    <row r="981" spans="2:21">
      <c r="B981" s="102">
        <v>45393</v>
      </c>
      <c r="C981">
        <v>2</v>
      </c>
      <c r="D981" t="s">
        <v>121</v>
      </c>
      <c r="E981" t="s">
        <v>121</v>
      </c>
      <c r="F981" t="s">
        <v>121</v>
      </c>
      <c r="G981" t="s">
        <v>121</v>
      </c>
      <c r="H981" t="s">
        <v>121</v>
      </c>
      <c r="I981" t="s">
        <v>121</v>
      </c>
      <c r="P981">
        <f t="shared" si="130"/>
        <v>0</v>
      </c>
      <c r="Q981">
        <f t="shared" si="131"/>
        <v>0</v>
      </c>
      <c r="R981">
        <f t="shared" si="132"/>
        <v>0</v>
      </c>
      <c r="S981">
        <f t="shared" si="133"/>
        <v>0</v>
      </c>
      <c r="T981">
        <f t="shared" si="134"/>
        <v>0</v>
      </c>
      <c r="U981">
        <f t="shared" si="135"/>
        <v>0</v>
      </c>
    </row>
    <row r="982" spans="2:21">
      <c r="B982" s="102">
        <v>45394</v>
      </c>
      <c r="C982">
        <v>2.5</v>
      </c>
      <c r="D982" t="s">
        <v>120</v>
      </c>
      <c r="E982" t="s">
        <v>121</v>
      </c>
      <c r="F982" t="s">
        <v>121</v>
      </c>
      <c r="G982" t="s">
        <v>121</v>
      </c>
      <c r="H982" t="s">
        <v>121</v>
      </c>
      <c r="I982" t="s">
        <v>121</v>
      </c>
      <c r="P982">
        <f t="shared" si="130"/>
        <v>1</v>
      </c>
      <c r="Q982">
        <f t="shared" si="131"/>
        <v>0</v>
      </c>
      <c r="R982">
        <f t="shared" si="132"/>
        <v>0</v>
      </c>
      <c r="S982">
        <f t="shared" si="133"/>
        <v>0</v>
      </c>
      <c r="T982">
        <f t="shared" si="134"/>
        <v>0</v>
      </c>
      <c r="U982">
        <f t="shared" si="135"/>
        <v>0</v>
      </c>
    </row>
    <row r="983" spans="2:21">
      <c r="B983" s="102">
        <v>45395</v>
      </c>
      <c r="C983">
        <v>3</v>
      </c>
      <c r="D983" t="s">
        <v>120</v>
      </c>
      <c r="E983" t="s">
        <v>121</v>
      </c>
      <c r="F983" t="s">
        <v>121</v>
      </c>
      <c r="G983" t="s">
        <v>121</v>
      </c>
      <c r="H983" t="s">
        <v>121</v>
      </c>
      <c r="I983" t="s">
        <v>121</v>
      </c>
      <c r="P983">
        <f t="shared" si="130"/>
        <v>1</v>
      </c>
      <c r="Q983">
        <f t="shared" si="131"/>
        <v>0</v>
      </c>
      <c r="R983">
        <f t="shared" si="132"/>
        <v>0</v>
      </c>
      <c r="S983">
        <f t="shared" si="133"/>
        <v>0</v>
      </c>
      <c r="T983">
        <f t="shared" si="134"/>
        <v>0</v>
      </c>
      <c r="U983">
        <f t="shared" si="135"/>
        <v>0</v>
      </c>
    </row>
    <row r="984" spans="2:21">
      <c r="B984" s="102">
        <v>45396</v>
      </c>
      <c r="C984">
        <v>2</v>
      </c>
      <c r="D984" t="s">
        <v>121</v>
      </c>
      <c r="E984" t="s">
        <v>121</v>
      </c>
      <c r="F984" t="s">
        <v>121</v>
      </c>
      <c r="G984" t="s">
        <v>121</v>
      </c>
      <c r="H984" t="s">
        <v>121</v>
      </c>
      <c r="I984" t="s">
        <v>121</v>
      </c>
      <c r="K984">
        <v>181.4</v>
      </c>
      <c r="P984">
        <f t="shared" si="130"/>
        <v>0</v>
      </c>
      <c r="Q984">
        <f t="shared" si="131"/>
        <v>0</v>
      </c>
      <c r="R984">
        <f t="shared" si="132"/>
        <v>0</v>
      </c>
      <c r="S984">
        <f t="shared" si="133"/>
        <v>0</v>
      </c>
      <c r="T984">
        <f t="shared" si="134"/>
        <v>0</v>
      </c>
      <c r="U984">
        <f t="shared" si="135"/>
        <v>0</v>
      </c>
    </row>
    <row r="985" spans="2:21">
      <c r="B985" s="102">
        <v>45397</v>
      </c>
      <c r="C985">
        <v>1.5</v>
      </c>
      <c r="D985" t="s">
        <v>120</v>
      </c>
      <c r="E985" t="s">
        <v>121</v>
      </c>
      <c r="F985" t="s">
        <v>121</v>
      </c>
      <c r="G985" t="s">
        <v>121</v>
      </c>
      <c r="H985" t="s">
        <v>121</v>
      </c>
      <c r="I985" t="s">
        <v>121</v>
      </c>
      <c r="P985">
        <f t="shared" si="130"/>
        <v>1</v>
      </c>
      <c r="Q985">
        <f t="shared" si="131"/>
        <v>0</v>
      </c>
      <c r="R985">
        <f t="shared" si="132"/>
        <v>0</v>
      </c>
      <c r="S985">
        <f t="shared" si="133"/>
        <v>0</v>
      </c>
      <c r="T985">
        <f t="shared" si="134"/>
        <v>0</v>
      </c>
      <c r="U985">
        <f t="shared" si="135"/>
        <v>0</v>
      </c>
    </row>
    <row r="986" spans="2:21">
      <c r="B986" s="102">
        <v>45398</v>
      </c>
      <c r="C986">
        <v>2.5</v>
      </c>
      <c r="D986" t="s">
        <v>120</v>
      </c>
      <c r="E986" t="s">
        <v>121</v>
      </c>
      <c r="F986" t="s">
        <v>121</v>
      </c>
      <c r="G986" t="s">
        <v>121</v>
      </c>
      <c r="H986" t="s">
        <v>121</v>
      </c>
      <c r="I986" t="s">
        <v>121</v>
      </c>
      <c r="P986">
        <f t="shared" ref="P986:P993" si="136">IF(D986="YES", 1, 0)</f>
        <v>1</v>
      </c>
      <c r="Q986">
        <f t="shared" ref="Q986:Q993" si="137">IF(E986="YES", 1, 0)</f>
        <v>0</v>
      </c>
      <c r="R986">
        <f t="shared" ref="R986:R993" si="138">IF(F986="YES", 1, 0)</f>
        <v>0</v>
      </c>
      <c r="S986">
        <f t="shared" ref="S986:S993" si="139">IF(G986="YES", 1, 0)</f>
        <v>0</v>
      </c>
      <c r="T986">
        <f t="shared" ref="T986:T993" si="140">IF(H986="YES", 1, 0)</f>
        <v>0</v>
      </c>
      <c r="U986">
        <f t="shared" ref="U986:U993" si="141">IF(I986="YES", 1, 0)</f>
        <v>0</v>
      </c>
    </row>
    <row r="987" spans="2:21">
      <c r="B987" s="102">
        <v>45399</v>
      </c>
      <c r="C987">
        <v>1.5</v>
      </c>
      <c r="D987" t="s">
        <v>121</v>
      </c>
      <c r="E987" t="s">
        <v>121</v>
      </c>
      <c r="F987" t="s">
        <v>121</v>
      </c>
      <c r="G987" t="s">
        <v>121</v>
      </c>
      <c r="H987" t="s">
        <v>121</v>
      </c>
      <c r="I987" t="s">
        <v>121</v>
      </c>
      <c r="P987">
        <f t="shared" si="136"/>
        <v>0</v>
      </c>
      <c r="Q987">
        <f t="shared" si="137"/>
        <v>0</v>
      </c>
      <c r="R987">
        <f t="shared" si="138"/>
        <v>0</v>
      </c>
      <c r="S987">
        <f t="shared" si="139"/>
        <v>0</v>
      </c>
      <c r="T987">
        <f t="shared" si="140"/>
        <v>0</v>
      </c>
      <c r="U987">
        <f t="shared" si="141"/>
        <v>0</v>
      </c>
    </row>
    <row r="988" spans="2:21">
      <c r="B988" s="102">
        <v>45400</v>
      </c>
      <c r="C988">
        <v>2.5</v>
      </c>
      <c r="D988" t="s">
        <v>121</v>
      </c>
      <c r="E988" t="s">
        <v>121</v>
      </c>
      <c r="F988" t="s">
        <v>121</v>
      </c>
      <c r="G988" t="s">
        <v>120</v>
      </c>
      <c r="H988" t="s">
        <v>121</v>
      </c>
      <c r="I988" t="s">
        <v>121</v>
      </c>
      <c r="P988">
        <f t="shared" si="136"/>
        <v>0</v>
      </c>
      <c r="Q988">
        <f t="shared" si="137"/>
        <v>0</v>
      </c>
      <c r="R988">
        <f t="shared" si="138"/>
        <v>0</v>
      </c>
      <c r="S988">
        <f t="shared" si="139"/>
        <v>1</v>
      </c>
      <c r="T988">
        <f t="shared" si="140"/>
        <v>0</v>
      </c>
      <c r="U988">
        <f t="shared" si="141"/>
        <v>0</v>
      </c>
    </row>
    <row r="989" spans="2:21">
      <c r="B989" s="102">
        <v>45401</v>
      </c>
      <c r="C989">
        <v>2</v>
      </c>
      <c r="D989" t="s">
        <v>120</v>
      </c>
      <c r="E989" t="s">
        <v>121</v>
      </c>
      <c r="F989" t="s">
        <v>121</v>
      </c>
      <c r="G989" t="s">
        <v>121</v>
      </c>
      <c r="H989" t="s">
        <v>121</v>
      </c>
      <c r="I989" t="s">
        <v>121</v>
      </c>
      <c r="P989">
        <f t="shared" si="136"/>
        <v>1</v>
      </c>
      <c r="Q989">
        <f t="shared" si="137"/>
        <v>0</v>
      </c>
      <c r="R989">
        <f t="shared" si="138"/>
        <v>0</v>
      </c>
      <c r="S989">
        <f t="shared" si="139"/>
        <v>0</v>
      </c>
      <c r="T989">
        <f t="shared" si="140"/>
        <v>0</v>
      </c>
      <c r="U989">
        <f t="shared" si="141"/>
        <v>0</v>
      </c>
    </row>
    <row r="990" spans="2:21">
      <c r="B990" s="102">
        <v>45402</v>
      </c>
      <c r="C990">
        <v>1.5</v>
      </c>
      <c r="D990" t="s">
        <v>121</v>
      </c>
      <c r="E990" t="s">
        <v>121</v>
      </c>
      <c r="F990" t="s">
        <v>121</v>
      </c>
      <c r="G990" t="s">
        <v>121</v>
      </c>
      <c r="H990" t="s">
        <v>121</v>
      </c>
      <c r="I990" t="s">
        <v>121</v>
      </c>
      <c r="P990">
        <f t="shared" si="136"/>
        <v>0</v>
      </c>
      <c r="Q990">
        <f t="shared" si="137"/>
        <v>0</v>
      </c>
      <c r="R990">
        <f t="shared" si="138"/>
        <v>0</v>
      </c>
      <c r="S990">
        <f t="shared" si="139"/>
        <v>0</v>
      </c>
      <c r="T990">
        <f t="shared" si="140"/>
        <v>0</v>
      </c>
      <c r="U990">
        <f t="shared" si="141"/>
        <v>0</v>
      </c>
    </row>
    <row r="991" spans="2:21">
      <c r="B991" s="102">
        <v>45403</v>
      </c>
      <c r="C991">
        <v>2</v>
      </c>
      <c r="D991" t="s">
        <v>121</v>
      </c>
      <c r="E991" t="s">
        <v>120</v>
      </c>
      <c r="F991" t="s">
        <v>121</v>
      </c>
      <c r="G991" t="s">
        <v>121</v>
      </c>
      <c r="H991" t="s">
        <v>121</v>
      </c>
      <c r="I991" t="s">
        <v>121</v>
      </c>
      <c r="K991">
        <v>178.6</v>
      </c>
      <c r="P991">
        <f t="shared" si="136"/>
        <v>0</v>
      </c>
      <c r="Q991">
        <f t="shared" si="137"/>
        <v>1</v>
      </c>
      <c r="R991">
        <f t="shared" si="138"/>
        <v>0</v>
      </c>
      <c r="S991">
        <f t="shared" si="139"/>
        <v>0</v>
      </c>
      <c r="T991">
        <f t="shared" si="140"/>
        <v>0</v>
      </c>
      <c r="U991">
        <f t="shared" si="141"/>
        <v>0</v>
      </c>
    </row>
    <row r="992" spans="2:21">
      <c r="B992" s="102">
        <v>45404</v>
      </c>
      <c r="C992">
        <v>1.5</v>
      </c>
      <c r="D992" t="s">
        <v>120</v>
      </c>
      <c r="E992" t="s">
        <v>121</v>
      </c>
      <c r="F992" t="s">
        <v>121</v>
      </c>
      <c r="G992" t="s">
        <v>121</v>
      </c>
      <c r="H992" t="s">
        <v>121</v>
      </c>
      <c r="I992" t="s">
        <v>121</v>
      </c>
      <c r="P992">
        <f t="shared" si="136"/>
        <v>1</v>
      </c>
      <c r="Q992">
        <f t="shared" si="137"/>
        <v>0</v>
      </c>
      <c r="R992">
        <f t="shared" si="138"/>
        <v>0</v>
      </c>
      <c r="S992">
        <f t="shared" si="139"/>
        <v>0</v>
      </c>
      <c r="T992">
        <f t="shared" si="140"/>
        <v>0</v>
      </c>
      <c r="U992">
        <f t="shared" si="141"/>
        <v>0</v>
      </c>
    </row>
    <row r="993" spans="2:21">
      <c r="B993" s="102">
        <v>45405</v>
      </c>
      <c r="C993">
        <v>2</v>
      </c>
      <c r="D993" t="s">
        <v>121</v>
      </c>
      <c r="E993" t="s">
        <v>121</v>
      </c>
      <c r="F993" t="s">
        <v>121</v>
      </c>
      <c r="G993" t="s">
        <v>121</v>
      </c>
      <c r="H993" t="s">
        <v>121</v>
      </c>
      <c r="I993" t="s">
        <v>121</v>
      </c>
      <c r="P993">
        <f t="shared" si="136"/>
        <v>0</v>
      </c>
      <c r="Q993">
        <f t="shared" si="137"/>
        <v>0</v>
      </c>
      <c r="R993">
        <f t="shared" si="138"/>
        <v>0</v>
      </c>
      <c r="S993">
        <f t="shared" si="139"/>
        <v>0</v>
      </c>
      <c r="T993">
        <f t="shared" si="140"/>
        <v>0</v>
      </c>
      <c r="U993">
        <f t="shared" si="141"/>
        <v>0</v>
      </c>
    </row>
    <row r="994" spans="2:21">
      <c r="B994" s="102">
        <v>45406</v>
      </c>
      <c r="C994">
        <v>2.5</v>
      </c>
      <c r="D994" t="s">
        <v>121</v>
      </c>
      <c r="E994" t="s">
        <v>121</v>
      </c>
      <c r="F994" t="s">
        <v>121</v>
      </c>
      <c r="G994" t="s">
        <v>121</v>
      </c>
      <c r="H994" t="s">
        <v>121</v>
      </c>
      <c r="I994" t="s">
        <v>121</v>
      </c>
    </row>
    <row r="995" spans="2:21">
      <c r="B995" s="102">
        <v>45407</v>
      </c>
      <c r="C995">
        <v>2</v>
      </c>
      <c r="D995" t="s">
        <v>121</v>
      </c>
      <c r="E995" t="s">
        <v>121</v>
      </c>
      <c r="F995" t="s">
        <v>121</v>
      </c>
      <c r="G995" t="s">
        <v>121</v>
      </c>
      <c r="H995" t="s">
        <v>121</v>
      </c>
      <c r="I995" t="s">
        <v>121</v>
      </c>
    </row>
    <row r="996" spans="2:21">
      <c r="B996" s="102">
        <v>45408</v>
      </c>
      <c r="C996">
        <v>2</v>
      </c>
      <c r="D996" t="s">
        <v>120</v>
      </c>
      <c r="E996" t="s">
        <v>121</v>
      </c>
      <c r="F996" t="s">
        <v>121</v>
      </c>
      <c r="G996" t="s">
        <v>121</v>
      </c>
      <c r="H996" t="s">
        <v>121</v>
      </c>
      <c r="I996" t="s">
        <v>121</v>
      </c>
    </row>
    <row r="997" spans="2:21">
      <c r="B997" s="102">
        <v>45409</v>
      </c>
      <c r="C997">
        <v>2</v>
      </c>
      <c r="D997" t="s">
        <v>121</v>
      </c>
      <c r="E997" t="s">
        <v>121</v>
      </c>
      <c r="F997" t="s">
        <v>121</v>
      </c>
      <c r="G997" t="s">
        <v>121</v>
      </c>
      <c r="H997" t="s">
        <v>121</v>
      </c>
      <c r="I997" t="s">
        <v>121</v>
      </c>
    </row>
    <row r="998" spans="2:21">
      <c r="B998" s="102">
        <v>45410</v>
      </c>
      <c r="C998">
        <v>1.5</v>
      </c>
      <c r="D998" t="s">
        <v>121</v>
      </c>
      <c r="E998" t="s">
        <v>121</v>
      </c>
      <c r="F998" t="s">
        <v>121</v>
      </c>
      <c r="G998" t="s">
        <v>121</v>
      </c>
      <c r="H998" t="s">
        <v>121</v>
      </c>
      <c r="I998" t="s">
        <v>121</v>
      </c>
      <c r="K998">
        <v>181.4</v>
      </c>
    </row>
    <row r="999" spans="2:21">
      <c r="B999" s="102">
        <v>45411</v>
      </c>
      <c r="C999">
        <v>1.5</v>
      </c>
      <c r="D999" t="s">
        <v>120</v>
      </c>
      <c r="E999" t="s">
        <v>121</v>
      </c>
      <c r="F999" t="s">
        <v>121</v>
      </c>
      <c r="G999" t="s">
        <v>121</v>
      </c>
      <c r="H999" t="s">
        <v>121</v>
      </c>
      <c r="I999" t="s">
        <v>121</v>
      </c>
    </row>
    <row r="1000" spans="2:21">
      <c r="B1000" s="102">
        <v>45412</v>
      </c>
      <c r="C1000">
        <v>1.5</v>
      </c>
      <c r="D1000" t="s">
        <v>121</v>
      </c>
      <c r="E1000" t="s">
        <v>120</v>
      </c>
      <c r="F1000" t="s">
        <v>120</v>
      </c>
      <c r="G1000" t="s">
        <v>121</v>
      </c>
      <c r="H1000" t="s">
        <v>121</v>
      </c>
      <c r="I1000" t="s">
        <v>121</v>
      </c>
    </row>
    <row r="1001" spans="2:21">
      <c r="B1001" s="102">
        <v>45413</v>
      </c>
      <c r="C1001">
        <v>1.5</v>
      </c>
      <c r="D1001" t="s">
        <v>121</v>
      </c>
      <c r="E1001" t="s">
        <v>121</v>
      </c>
      <c r="F1001" t="s">
        <v>121</v>
      </c>
      <c r="G1001" t="s">
        <v>121</v>
      </c>
      <c r="H1001" t="s">
        <v>121</v>
      </c>
      <c r="I1001" t="s">
        <v>121</v>
      </c>
    </row>
    <row r="1002" spans="2:21">
      <c r="B1002" s="102">
        <v>45414</v>
      </c>
      <c r="C1002">
        <v>2.5</v>
      </c>
      <c r="D1002" t="s">
        <v>121</v>
      </c>
      <c r="E1002" t="s">
        <v>121</v>
      </c>
      <c r="F1002" t="s">
        <v>121</v>
      </c>
      <c r="G1002" t="s">
        <v>121</v>
      </c>
      <c r="H1002" t="s">
        <v>121</v>
      </c>
      <c r="I1002" t="s">
        <v>121</v>
      </c>
    </row>
    <row r="1003" spans="2:21">
      <c r="B1003" s="102">
        <v>45415</v>
      </c>
      <c r="C1003">
        <v>1</v>
      </c>
      <c r="D1003" t="s">
        <v>120</v>
      </c>
      <c r="E1003" t="s">
        <v>121</v>
      </c>
      <c r="F1003" t="s">
        <v>121</v>
      </c>
      <c r="G1003" t="s">
        <v>121</v>
      </c>
      <c r="H1003" t="s">
        <v>121</v>
      </c>
      <c r="I1003" t="s">
        <v>121</v>
      </c>
    </row>
    <row r="1004" spans="2:21">
      <c r="B1004" s="102">
        <v>45416</v>
      </c>
      <c r="C1004">
        <v>2.5</v>
      </c>
      <c r="D1004" t="s">
        <v>121</v>
      </c>
      <c r="E1004" t="s">
        <v>121</v>
      </c>
      <c r="F1004" t="s">
        <v>121</v>
      </c>
      <c r="G1004" t="s">
        <v>120</v>
      </c>
      <c r="H1004" t="s">
        <v>121</v>
      </c>
      <c r="I1004" t="s">
        <v>121</v>
      </c>
    </row>
    <row r="1005" spans="2:21">
      <c r="B1005" s="102">
        <v>45417</v>
      </c>
      <c r="C1005">
        <v>1.5</v>
      </c>
      <c r="D1005" t="s">
        <v>121</v>
      </c>
      <c r="E1005" t="s">
        <v>121</v>
      </c>
      <c r="F1005" t="s">
        <v>121</v>
      </c>
      <c r="G1005" t="s">
        <v>121</v>
      </c>
      <c r="H1005" t="s">
        <v>121</v>
      </c>
      <c r="I1005" t="s">
        <v>121</v>
      </c>
      <c r="K1005">
        <v>179.2</v>
      </c>
    </row>
    <row r="1006" spans="2:21">
      <c r="B1006" s="102">
        <v>45418</v>
      </c>
      <c r="C1006">
        <v>2</v>
      </c>
      <c r="D1006" t="s">
        <v>121</v>
      </c>
      <c r="E1006" t="s">
        <v>121</v>
      </c>
      <c r="F1006" t="s">
        <v>121</v>
      </c>
      <c r="G1006" t="s">
        <v>121</v>
      </c>
      <c r="H1006" t="s">
        <v>121</v>
      </c>
      <c r="I1006" t="s">
        <v>121</v>
      </c>
    </row>
    <row r="1007" spans="2:21">
      <c r="B1007" s="102">
        <v>45419</v>
      </c>
      <c r="C1007">
        <v>1.5</v>
      </c>
      <c r="D1007" t="s">
        <v>121</v>
      </c>
      <c r="E1007" t="s">
        <v>121</v>
      </c>
      <c r="F1007" t="s">
        <v>121</v>
      </c>
      <c r="G1007" t="s">
        <v>121</v>
      </c>
      <c r="H1007" t="s">
        <v>121</v>
      </c>
      <c r="I1007" t="s">
        <v>121</v>
      </c>
    </row>
    <row r="1008" spans="2:21">
      <c r="B1008" s="102">
        <v>45420</v>
      </c>
      <c r="C1008">
        <v>2.5</v>
      </c>
      <c r="D1008" t="s">
        <v>120</v>
      </c>
      <c r="E1008" t="s">
        <v>120</v>
      </c>
      <c r="F1008" t="s">
        <v>121</v>
      </c>
      <c r="G1008" t="s">
        <v>121</v>
      </c>
      <c r="H1008" t="s">
        <v>121</v>
      </c>
      <c r="I1008" t="s">
        <v>120</v>
      </c>
    </row>
    <row r="1009" spans="2:11">
      <c r="B1009" s="102">
        <v>45421</v>
      </c>
      <c r="C1009">
        <v>2.5</v>
      </c>
      <c r="D1009" t="s">
        <v>120</v>
      </c>
      <c r="E1009" t="s">
        <v>121</v>
      </c>
      <c r="F1009" t="s">
        <v>121</v>
      </c>
      <c r="G1009" t="s">
        <v>121</v>
      </c>
      <c r="H1009" t="s">
        <v>121</v>
      </c>
      <c r="I1009" t="s">
        <v>121</v>
      </c>
    </row>
    <row r="1010" spans="2:11">
      <c r="B1010" s="102">
        <v>45422</v>
      </c>
      <c r="C1010">
        <v>2</v>
      </c>
      <c r="D1010" t="s">
        <v>120</v>
      </c>
      <c r="E1010" t="s">
        <v>121</v>
      </c>
      <c r="F1010" t="s">
        <v>121</v>
      </c>
      <c r="G1010" t="s">
        <v>121</v>
      </c>
      <c r="H1010" t="s">
        <v>121</v>
      </c>
      <c r="I1010" t="s">
        <v>121</v>
      </c>
    </row>
    <row r="1011" spans="2:11">
      <c r="B1011" s="102">
        <v>45423</v>
      </c>
      <c r="C1011">
        <v>2.5</v>
      </c>
      <c r="D1011" t="s">
        <v>121</v>
      </c>
      <c r="E1011" t="s">
        <v>121</v>
      </c>
      <c r="F1011" t="s">
        <v>121</v>
      </c>
      <c r="G1011" t="s">
        <v>121</v>
      </c>
      <c r="H1011" t="s">
        <v>121</v>
      </c>
      <c r="I1011" t="s">
        <v>121</v>
      </c>
    </row>
    <row r="1012" spans="2:11">
      <c r="B1012" s="102">
        <v>45424</v>
      </c>
      <c r="C1012">
        <v>2</v>
      </c>
      <c r="D1012" t="s">
        <v>121</v>
      </c>
      <c r="E1012" t="s">
        <v>121</v>
      </c>
      <c r="F1012" t="s">
        <v>121</v>
      </c>
      <c r="G1012" t="s">
        <v>121</v>
      </c>
      <c r="H1012" t="s">
        <v>121</v>
      </c>
      <c r="I1012" t="s">
        <v>121</v>
      </c>
      <c r="K1012">
        <v>181</v>
      </c>
    </row>
    <row r="1013" spans="2:11">
      <c r="B1013" s="102">
        <v>45425</v>
      </c>
      <c r="C1013">
        <v>1.5</v>
      </c>
      <c r="D1013" t="s">
        <v>121</v>
      </c>
      <c r="E1013" t="s">
        <v>121</v>
      </c>
      <c r="F1013" t="s">
        <v>121</v>
      </c>
      <c r="G1013" t="s">
        <v>121</v>
      </c>
      <c r="H1013" t="s">
        <v>121</v>
      </c>
      <c r="I1013" t="s">
        <v>121</v>
      </c>
    </row>
    <row r="1014" spans="2:11">
      <c r="B1014" s="102">
        <v>45426</v>
      </c>
      <c r="C1014">
        <v>2.5</v>
      </c>
      <c r="D1014" t="s">
        <v>120</v>
      </c>
      <c r="E1014" t="s">
        <v>121</v>
      </c>
      <c r="F1014" t="s">
        <v>121</v>
      </c>
      <c r="G1014" t="s">
        <v>121</v>
      </c>
      <c r="H1014" t="s">
        <v>120</v>
      </c>
      <c r="I1014" t="s">
        <v>121</v>
      </c>
    </row>
    <row r="1015" spans="2:11">
      <c r="B1015" s="102">
        <v>45427</v>
      </c>
      <c r="C1015">
        <v>2</v>
      </c>
      <c r="D1015" t="s">
        <v>121</v>
      </c>
      <c r="E1015" t="s">
        <v>121</v>
      </c>
      <c r="F1015" t="s">
        <v>121</v>
      </c>
      <c r="G1015" t="s">
        <v>121</v>
      </c>
      <c r="H1015" t="s">
        <v>121</v>
      </c>
      <c r="I1015" t="s">
        <v>121</v>
      </c>
    </row>
    <row r="1016" spans="2:11">
      <c r="B1016" s="102">
        <v>45428</v>
      </c>
      <c r="C1016">
        <v>2</v>
      </c>
      <c r="D1016" t="s">
        <v>121</v>
      </c>
      <c r="E1016" t="s">
        <v>121</v>
      </c>
      <c r="F1016" t="s">
        <v>121</v>
      </c>
      <c r="G1016" t="s">
        <v>121</v>
      </c>
      <c r="H1016" t="s">
        <v>121</v>
      </c>
      <c r="I1016" t="s">
        <v>121</v>
      </c>
    </row>
    <row r="1017" spans="2:11">
      <c r="B1017" s="102">
        <v>45429</v>
      </c>
      <c r="C1017">
        <v>2.5</v>
      </c>
      <c r="D1017" t="s">
        <v>120</v>
      </c>
      <c r="E1017" t="s">
        <v>120</v>
      </c>
      <c r="F1017" t="s">
        <v>121</v>
      </c>
      <c r="G1017" t="s">
        <v>121</v>
      </c>
      <c r="H1017" t="s">
        <v>121</v>
      </c>
      <c r="I1017" t="s">
        <v>121</v>
      </c>
    </row>
    <row r="1018" spans="2:11">
      <c r="B1018" s="102">
        <v>45430</v>
      </c>
      <c r="C1018">
        <v>3</v>
      </c>
      <c r="D1018" t="s">
        <v>121</v>
      </c>
      <c r="E1018" t="s">
        <v>121</v>
      </c>
      <c r="F1018" t="s">
        <v>121</v>
      </c>
      <c r="G1018" t="s">
        <v>121</v>
      </c>
      <c r="H1018" t="s">
        <v>121</v>
      </c>
      <c r="I1018" t="s">
        <v>121</v>
      </c>
    </row>
    <row r="1019" spans="2:11">
      <c r="B1019" s="102">
        <v>45431</v>
      </c>
      <c r="C1019">
        <v>1.5</v>
      </c>
      <c r="D1019" t="s">
        <v>121</v>
      </c>
      <c r="E1019" t="s">
        <v>121</v>
      </c>
      <c r="F1019" t="s">
        <v>121</v>
      </c>
      <c r="G1019" t="s">
        <v>121</v>
      </c>
      <c r="H1019" t="s">
        <v>121</v>
      </c>
      <c r="I1019" t="s">
        <v>121</v>
      </c>
      <c r="K1019">
        <v>180</v>
      </c>
    </row>
    <row r="1020" spans="2:11">
      <c r="B1020" s="102">
        <v>45432</v>
      </c>
      <c r="C1020">
        <v>1.5</v>
      </c>
      <c r="D1020" t="s">
        <v>121</v>
      </c>
      <c r="E1020" t="s">
        <v>121</v>
      </c>
      <c r="F1020" t="s">
        <v>121</v>
      </c>
      <c r="G1020" t="s">
        <v>121</v>
      </c>
      <c r="H1020" t="s">
        <v>121</v>
      </c>
      <c r="I1020" t="s">
        <v>121</v>
      </c>
    </row>
    <row r="1021" spans="2:11">
      <c r="B1021" s="102">
        <v>45433</v>
      </c>
      <c r="C1021">
        <v>2.5</v>
      </c>
      <c r="D1021" t="s">
        <v>121</v>
      </c>
      <c r="E1021" t="s">
        <v>121</v>
      </c>
      <c r="F1021" t="s">
        <v>121</v>
      </c>
      <c r="G1021" t="s">
        <v>120</v>
      </c>
      <c r="H1021" t="s">
        <v>121</v>
      </c>
      <c r="I1021" t="s">
        <v>121</v>
      </c>
    </row>
    <row r="1022" spans="2:11">
      <c r="B1022" s="102">
        <v>45434</v>
      </c>
      <c r="C1022">
        <v>2</v>
      </c>
      <c r="D1022" t="s">
        <v>121</v>
      </c>
      <c r="E1022" t="s">
        <v>121</v>
      </c>
      <c r="F1022" t="s">
        <v>121</v>
      </c>
      <c r="G1022" t="s">
        <v>121</v>
      </c>
      <c r="H1022" t="s">
        <v>121</v>
      </c>
      <c r="I1022" t="s">
        <v>121</v>
      </c>
    </row>
    <row r="1023" spans="2:11">
      <c r="B1023" s="102">
        <v>45435</v>
      </c>
      <c r="C1023">
        <v>1.5</v>
      </c>
      <c r="D1023" t="s">
        <v>121</v>
      </c>
      <c r="E1023" t="s">
        <v>120</v>
      </c>
      <c r="F1023" t="s">
        <v>121</v>
      </c>
      <c r="G1023" t="s">
        <v>121</v>
      </c>
      <c r="H1023" t="s">
        <v>121</v>
      </c>
      <c r="I1023" t="s">
        <v>120</v>
      </c>
    </row>
    <row r="1024" spans="2:11">
      <c r="B1024" s="102">
        <v>45436</v>
      </c>
      <c r="C1024">
        <v>3</v>
      </c>
      <c r="D1024" t="s">
        <v>120</v>
      </c>
      <c r="E1024" t="s">
        <v>121</v>
      </c>
      <c r="F1024" t="s">
        <v>121</v>
      </c>
      <c r="G1024" t="s">
        <v>121</v>
      </c>
      <c r="H1024" t="s">
        <v>121</v>
      </c>
      <c r="I1024" t="s">
        <v>121</v>
      </c>
    </row>
    <row r="1025" spans="2:11">
      <c r="B1025" s="102">
        <v>45437</v>
      </c>
      <c r="C1025">
        <v>1.5</v>
      </c>
      <c r="D1025" t="s">
        <v>121</v>
      </c>
      <c r="E1025" t="s">
        <v>121</v>
      </c>
      <c r="F1025" t="s">
        <v>121</v>
      </c>
      <c r="G1025" t="s">
        <v>121</v>
      </c>
      <c r="H1025" t="s">
        <v>121</v>
      </c>
      <c r="I1025" t="s">
        <v>121</v>
      </c>
    </row>
    <row r="1026" spans="2:11">
      <c r="B1026" s="102">
        <v>45438</v>
      </c>
      <c r="C1026">
        <v>1</v>
      </c>
      <c r="D1026" t="s">
        <v>121</v>
      </c>
      <c r="E1026" t="s">
        <v>121</v>
      </c>
      <c r="F1026" t="s">
        <v>121</v>
      </c>
      <c r="G1026" t="s">
        <v>121</v>
      </c>
      <c r="H1026" t="s">
        <v>121</v>
      </c>
      <c r="I1026" t="s">
        <v>121</v>
      </c>
    </row>
    <row r="1027" spans="2:11">
      <c r="B1027" s="102">
        <v>45439</v>
      </c>
      <c r="C1027">
        <v>1</v>
      </c>
      <c r="D1027" t="s">
        <v>121</v>
      </c>
      <c r="E1027" t="s">
        <v>121</v>
      </c>
      <c r="F1027" t="s">
        <v>121</v>
      </c>
      <c r="G1027" t="s">
        <v>121</v>
      </c>
      <c r="H1027" t="s">
        <v>121</v>
      </c>
      <c r="I1027" t="s">
        <v>121</v>
      </c>
      <c r="K1027">
        <v>178.8</v>
      </c>
    </row>
    <row r="1028" spans="2:11">
      <c r="B1028" s="102">
        <v>45440</v>
      </c>
      <c r="C1028">
        <v>1</v>
      </c>
      <c r="D1028" t="s">
        <v>121</v>
      </c>
      <c r="E1028" t="s">
        <v>121</v>
      </c>
      <c r="F1028" t="s">
        <v>121</v>
      </c>
      <c r="G1028" t="s">
        <v>121</v>
      </c>
      <c r="H1028" t="s">
        <v>121</v>
      </c>
      <c r="I1028" t="s">
        <v>121</v>
      </c>
    </row>
    <row r="1029" spans="2:11">
      <c r="B1029" s="102">
        <v>45441</v>
      </c>
      <c r="C1029">
        <v>1</v>
      </c>
      <c r="D1029" t="s">
        <v>121</v>
      </c>
      <c r="E1029" t="s">
        <v>121</v>
      </c>
      <c r="F1029" t="s">
        <v>121</v>
      </c>
      <c r="G1029" t="s">
        <v>121</v>
      </c>
      <c r="H1029" t="s">
        <v>121</v>
      </c>
      <c r="I1029" t="s">
        <v>121</v>
      </c>
    </row>
    <row r="1030" spans="2:11">
      <c r="B1030" s="102">
        <v>45442</v>
      </c>
      <c r="C1030">
        <v>1</v>
      </c>
      <c r="D1030" t="s">
        <v>121</v>
      </c>
      <c r="E1030" t="s">
        <v>121</v>
      </c>
      <c r="F1030" t="s">
        <v>121</v>
      </c>
      <c r="G1030" t="s">
        <v>121</v>
      </c>
      <c r="H1030" t="s">
        <v>121</v>
      </c>
      <c r="I1030" t="s">
        <v>121</v>
      </c>
    </row>
    <row r="1031" spans="2:11">
      <c r="B1031" s="102">
        <v>45443</v>
      </c>
      <c r="C1031">
        <v>2</v>
      </c>
      <c r="D1031" t="s">
        <v>120</v>
      </c>
      <c r="E1031" t="s">
        <v>120</v>
      </c>
      <c r="F1031" t="s">
        <v>121</v>
      </c>
      <c r="G1031" t="s">
        <v>121</v>
      </c>
      <c r="H1031" t="s">
        <v>121</v>
      </c>
      <c r="I1031" t="s">
        <v>120</v>
      </c>
    </row>
    <row r="1032" spans="2:11">
      <c r="B1032" s="102">
        <v>45444</v>
      </c>
      <c r="C1032">
        <v>2.5</v>
      </c>
      <c r="D1032" t="s">
        <v>121</v>
      </c>
      <c r="E1032" t="s">
        <v>121</v>
      </c>
      <c r="F1032" t="s">
        <v>121</v>
      </c>
      <c r="G1032" t="s">
        <v>121</v>
      </c>
      <c r="H1032" t="s">
        <v>121</v>
      </c>
      <c r="I1032" t="s">
        <v>121</v>
      </c>
    </row>
    <row r="1033" spans="2:11">
      <c r="B1033" s="102">
        <v>45445</v>
      </c>
      <c r="C1033">
        <v>1.5</v>
      </c>
      <c r="D1033" t="s">
        <v>121</v>
      </c>
      <c r="E1033" t="s">
        <v>121</v>
      </c>
      <c r="F1033" t="s">
        <v>121</v>
      </c>
      <c r="G1033" t="s">
        <v>121</v>
      </c>
      <c r="H1033" t="s">
        <v>121</v>
      </c>
      <c r="I1033" t="s">
        <v>121</v>
      </c>
      <c r="K1033">
        <v>180.2</v>
      </c>
    </row>
    <row r="1034" spans="2:11">
      <c r="B1034" s="102">
        <v>45446</v>
      </c>
      <c r="C1034">
        <v>2.5</v>
      </c>
      <c r="D1034" t="s">
        <v>120</v>
      </c>
      <c r="E1034" t="s">
        <v>121</v>
      </c>
      <c r="F1034" t="s">
        <v>121</v>
      </c>
      <c r="G1034" t="s">
        <v>121</v>
      </c>
      <c r="H1034" t="s">
        <v>121</v>
      </c>
      <c r="I1034" t="s">
        <v>121</v>
      </c>
    </row>
    <row r="1035" spans="2:11">
      <c r="B1035" s="102">
        <v>45447</v>
      </c>
      <c r="C1035">
        <v>1.5</v>
      </c>
      <c r="D1035" t="s">
        <v>121</v>
      </c>
      <c r="E1035" t="s">
        <v>121</v>
      </c>
      <c r="F1035" t="s">
        <v>121</v>
      </c>
      <c r="G1035" t="s">
        <v>120</v>
      </c>
      <c r="H1035" t="s">
        <v>121</v>
      </c>
      <c r="I1035" t="s">
        <v>121</v>
      </c>
    </row>
    <row r="1036" spans="2:11">
      <c r="B1036" s="102">
        <v>45448</v>
      </c>
      <c r="C1036">
        <v>2.5</v>
      </c>
      <c r="D1036" t="s">
        <v>120</v>
      </c>
      <c r="E1036" t="s">
        <v>121</v>
      </c>
      <c r="F1036" t="s">
        <v>121</v>
      </c>
      <c r="G1036" t="s">
        <v>121</v>
      </c>
      <c r="H1036" t="s">
        <v>121</v>
      </c>
      <c r="I1036" t="s">
        <v>121</v>
      </c>
    </row>
    <row r="1037" spans="2:11">
      <c r="B1037" s="102">
        <v>45449</v>
      </c>
      <c r="C1037">
        <v>1</v>
      </c>
      <c r="D1037" t="s">
        <v>121</v>
      </c>
      <c r="E1037" t="s">
        <v>121</v>
      </c>
      <c r="F1037" t="s">
        <v>121</v>
      </c>
      <c r="G1037" t="s">
        <v>121</v>
      </c>
      <c r="H1037" t="s">
        <v>121</v>
      </c>
      <c r="I1037" t="s">
        <v>121</v>
      </c>
    </row>
    <row r="1038" spans="2:11">
      <c r="B1038" s="102">
        <v>45450</v>
      </c>
      <c r="D1038" t="s">
        <v>120</v>
      </c>
      <c r="E1038" t="s">
        <v>120</v>
      </c>
      <c r="F1038" t="s">
        <v>120</v>
      </c>
      <c r="G1038" t="s">
        <v>121</v>
      </c>
      <c r="H1038" t="s">
        <v>121</v>
      </c>
      <c r="I1038" t="s">
        <v>121</v>
      </c>
    </row>
    <row r="1039" spans="2:11">
      <c r="B1039" s="102">
        <v>45451</v>
      </c>
    </row>
    <row r="1040" spans="2:11">
      <c r="B1040" s="102">
        <v>45452</v>
      </c>
      <c r="K1040">
        <v>176.6</v>
      </c>
    </row>
    <row r="1041" spans="2:11">
      <c r="B1041" s="102">
        <v>45453</v>
      </c>
    </row>
    <row r="1042" spans="2:11">
      <c r="B1042" s="102">
        <v>45454</v>
      </c>
    </row>
    <row r="1043" spans="2:11">
      <c r="B1043" s="102">
        <v>45455</v>
      </c>
      <c r="E1043" t="s">
        <v>120</v>
      </c>
    </row>
    <row r="1044" spans="2:11">
      <c r="B1044" s="102">
        <v>45456</v>
      </c>
      <c r="C1044">
        <v>2.5</v>
      </c>
      <c r="D1044" t="s">
        <v>121</v>
      </c>
      <c r="E1044" t="s">
        <v>121</v>
      </c>
      <c r="F1044" t="s">
        <v>121</v>
      </c>
      <c r="G1044" t="s">
        <v>121</v>
      </c>
      <c r="H1044" t="s">
        <v>121</v>
      </c>
      <c r="I1044" t="s">
        <v>121</v>
      </c>
    </row>
    <row r="1045" spans="2:11">
      <c r="B1045" s="102">
        <v>45457</v>
      </c>
      <c r="D1045" t="s">
        <v>121</v>
      </c>
      <c r="E1045" t="s">
        <v>121</v>
      </c>
      <c r="F1045" t="s">
        <v>121</v>
      </c>
      <c r="G1045" t="s">
        <v>121</v>
      </c>
      <c r="H1045" t="s">
        <v>121</v>
      </c>
      <c r="I1045" t="s">
        <v>121</v>
      </c>
      <c r="K1045">
        <v>176.2</v>
      </c>
    </row>
    <row r="1046" spans="2:11">
      <c r="B1046" s="102">
        <v>45458</v>
      </c>
      <c r="D1046" t="s">
        <v>121</v>
      </c>
      <c r="E1046" t="s">
        <v>121</v>
      </c>
      <c r="F1046" t="s">
        <v>121</v>
      </c>
      <c r="G1046" t="s">
        <v>120</v>
      </c>
      <c r="H1046" t="s">
        <v>121</v>
      </c>
      <c r="I1046" t="s">
        <v>121</v>
      </c>
    </row>
    <row r="1047" spans="2:11">
      <c r="B1047" s="102">
        <v>45459</v>
      </c>
    </row>
    <row r="1048" spans="2:11">
      <c r="B1048" s="102">
        <v>45460</v>
      </c>
    </row>
    <row r="1049" spans="2:11">
      <c r="B1049" s="102">
        <v>45461</v>
      </c>
    </row>
    <row r="1050" spans="2:11">
      <c r="B1050" s="102">
        <v>45462</v>
      </c>
    </row>
    <row r="1051" spans="2:11">
      <c r="B1051" s="102">
        <v>45463</v>
      </c>
      <c r="E1051" t="s">
        <v>120</v>
      </c>
    </row>
    <row r="1052" spans="2:11">
      <c r="B1052" s="102">
        <v>45464</v>
      </c>
    </row>
    <row r="1053" spans="2:11">
      <c r="B1053" s="102">
        <v>45465</v>
      </c>
    </row>
    <row r="1054" spans="2:11">
      <c r="B1054" s="102">
        <v>45466</v>
      </c>
      <c r="K1054">
        <v>175</v>
      </c>
    </row>
    <row r="1055" spans="2:11">
      <c r="B1055" s="102">
        <v>45467</v>
      </c>
    </row>
    <row r="1056" spans="2:11">
      <c r="B1056" s="102">
        <v>45468</v>
      </c>
    </row>
    <row r="1057" spans="2:11">
      <c r="B1057" s="102">
        <v>45469</v>
      </c>
    </row>
    <row r="1058" spans="2:11">
      <c r="B1058" s="102">
        <v>45470</v>
      </c>
    </row>
    <row r="1059" spans="2:11">
      <c r="B1059" s="102">
        <v>45471</v>
      </c>
    </row>
    <row r="1060" spans="2:11">
      <c r="B1060" s="102">
        <v>45472</v>
      </c>
    </row>
    <row r="1061" spans="2:11">
      <c r="B1061" s="102">
        <v>45473</v>
      </c>
      <c r="K1061">
        <v>175.6</v>
      </c>
    </row>
    <row r="1062" spans="2:11">
      <c r="B1062" s="102">
        <v>45474</v>
      </c>
    </row>
    <row r="1063" spans="2:11">
      <c r="B1063" s="102">
        <v>45475</v>
      </c>
    </row>
    <row r="1064" spans="2:11">
      <c r="B1064" s="102">
        <v>45476</v>
      </c>
      <c r="C1064">
        <v>1</v>
      </c>
      <c r="D1064" t="s">
        <v>121</v>
      </c>
      <c r="E1064" t="s">
        <v>121</v>
      </c>
      <c r="F1064" t="s">
        <v>121</v>
      </c>
      <c r="G1064" t="s">
        <v>120</v>
      </c>
      <c r="H1064" t="s">
        <v>120</v>
      </c>
      <c r="I1064" t="s">
        <v>121</v>
      </c>
    </row>
    <row r="1065" spans="2:11">
      <c r="B1065" s="102">
        <v>45477</v>
      </c>
    </row>
    <row r="1066" spans="2:11">
      <c r="B1066" s="102">
        <v>45478</v>
      </c>
    </row>
    <row r="1067" spans="2:11">
      <c r="B1067" s="102">
        <v>45479</v>
      </c>
    </row>
    <row r="1068" spans="2:11">
      <c r="B1068" s="102">
        <v>45480</v>
      </c>
      <c r="K1068">
        <v>176</v>
      </c>
    </row>
    <row r="1069" spans="2:11">
      <c r="B1069" s="102">
        <v>45481</v>
      </c>
    </row>
    <row r="1070" spans="2:11">
      <c r="B1070" s="102">
        <v>45482</v>
      </c>
    </row>
    <row r="1071" spans="2:11">
      <c r="B1071" s="102">
        <v>45483</v>
      </c>
    </row>
    <row r="1072" spans="2:11">
      <c r="B1072" s="102">
        <v>45484</v>
      </c>
    </row>
    <row r="1073" spans="2:11">
      <c r="B1073" s="102">
        <v>45485</v>
      </c>
    </row>
    <row r="1074" spans="2:11">
      <c r="B1074" s="102">
        <v>45486</v>
      </c>
      <c r="C1074">
        <v>2.5</v>
      </c>
      <c r="D1074" t="s">
        <v>121</v>
      </c>
      <c r="E1074" t="s">
        <v>121</v>
      </c>
      <c r="F1074" t="s">
        <v>121</v>
      </c>
      <c r="G1074" t="s">
        <v>121</v>
      </c>
      <c r="H1074" t="s">
        <v>121</v>
      </c>
      <c r="I1074" t="s">
        <v>121</v>
      </c>
      <c r="J1074" t="s">
        <v>120</v>
      </c>
    </row>
    <row r="1075" spans="2:11">
      <c r="B1075" s="102">
        <v>45487</v>
      </c>
      <c r="C1075">
        <v>2.5</v>
      </c>
      <c r="D1075" t="s">
        <v>121</v>
      </c>
      <c r="E1075" t="s">
        <v>121</v>
      </c>
      <c r="F1075" t="s">
        <v>121</v>
      </c>
      <c r="G1075" t="s">
        <v>121</v>
      </c>
      <c r="H1075" t="s">
        <v>121</v>
      </c>
      <c r="I1075" t="s">
        <v>121</v>
      </c>
      <c r="J1075" t="s">
        <v>120</v>
      </c>
      <c r="K1075">
        <v>175.2</v>
      </c>
    </row>
    <row r="1076" spans="2:11">
      <c r="B1076" s="102">
        <v>45488</v>
      </c>
      <c r="C1076">
        <v>2</v>
      </c>
      <c r="D1076" t="s">
        <v>121</v>
      </c>
      <c r="E1076" t="s">
        <v>121</v>
      </c>
      <c r="F1076" t="s">
        <v>121</v>
      </c>
      <c r="G1076" t="s">
        <v>121</v>
      </c>
      <c r="H1076" t="s">
        <v>121</v>
      </c>
      <c r="I1076" t="s">
        <v>121</v>
      </c>
      <c r="J1076" t="s">
        <v>120</v>
      </c>
    </row>
    <row r="1077" spans="2:11">
      <c r="B1077" s="102">
        <v>45489</v>
      </c>
      <c r="C1077">
        <v>1.5</v>
      </c>
      <c r="D1077" t="s">
        <v>120</v>
      </c>
      <c r="E1077" t="s">
        <v>121</v>
      </c>
      <c r="F1077" t="s">
        <v>121</v>
      </c>
      <c r="G1077" t="s">
        <v>121</v>
      </c>
      <c r="H1077" t="s">
        <v>121</v>
      </c>
      <c r="I1077" t="s">
        <v>121</v>
      </c>
      <c r="J1077" t="s">
        <v>120</v>
      </c>
    </row>
    <row r="1078" spans="2:11">
      <c r="B1078" s="102">
        <v>45490</v>
      </c>
      <c r="C1078">
        <v>2.5</v>
      </c>
      <c r="D1078" t="s">
        <v>121</v>
      </c>
      <c r="E1078" t="s">
        <v>121</v>
      </c>
      <c r="F1078" t="s">
        <v>121</v>
      </c>
      <c r="G1078" t="s">
        <v>120</v>
      </c>
      <c r="H1078" t="s">
        <v>121</v>
      </c>
      <c r="I1078" t="s">
        <v>121</v>
      </c>
      <c r="J1078" t="s">
        <v>120</v>
      </c>
    </row>
    <row r="1079" spans="2:11">
      <c r="B1079" s="102">
        <v>45491</v>
      </c>
      <c r="C1079">
        <v>2.5</v>
      </c>
      <c r="D1079" t="s">
        <v>121</v>
      </c>
      <c r="E1079" t="s">
        <v>121</v>
      </c>
      <c r="F1079" t="s">
        <v>120</v>
      </c>
      <c r="G1079" t="s">
        <v>121</v>
      </c>
      <c r="H1079" t="s">
        <v>121</v>
      </c>
      <c r="I1079" t="s">
        <v>121</v>
      </c>
      <c r="J1079" t="s">
        <v>120</v>
      </c>
    </row>
    <row r="1080" spans="2:11">
      <c r="B1080" s="102">
        <v>45492</v>
      </c>
      <c r="C1080">
        <v>2.5</v>
      </c>
      <c r="D1080" t="s">
        <v>120</v>
      </c>
      <c r="E1080" t="s">
        <v>121</v>
      </c>
      <c r="F1080" t="s">
        <v>121</v>
      </c>
      <c r="G1080" t="s">
        <v>121</v>
      </c>
      <c r="H1080" t="s">
        <v>121</v>
      </c>
      <c r="I1080" t="s">
        <v>121</v>
      </c>
      <c r="J1080" t="s">
        <v>120</v>
      </c>
    </row>
    <row r="1081" spans="2:11">
      <c r="B1081" s="102">
        <v>45493</v>
      </c>
      <c r="C1081">
        <v>2.5</v>
      </c>
      <c r="D1081" t="s">
        <v>121</v>
      </c>
      <c r="E1081" t="s">
        <v>121</v>
      </c>
      <c r="F1081" t="s">
        <v>121</v>
      </c>
      <c r="G1081" t="s">
        <v>121</v>
      </c>
      <c r="H1081" t="s">
        <v>121</v>
      </c>
      <c r="I1081" t="s">
        <v>121</v>
      </c>
      <c r="J1081" t="s">
        <v>120</v>
      </c>
    </row>
    <row r="1082" spans="2:11">
      <c r="B1082" s="102">
        <v>45494</v>
      </c>
      <c r="C1082">
        <v>1.5</v>
      </c>
      <c r="D1082" t="s">
        <v>121</v>
      </c>
      <c r="E1082" t="s">
        <v>121</v>
      </c>
      <c r="F1082" t="s">
        <v>121</v>
      </c>
      <c r="G1082" t="s">
        <v>121</v>
      </c>
      <c r="H1082" t="s">
        <v>121</v>
      </c>
      <c r="I1082" t="s">
        <v>121</v>
      </c>
      <c r="J1082" t="s">
        <v>120</v>
      </c>
      <c r="K1082">
        <v>176</v>
      </c>
    </row>
    <row r="1083" spans="2:11">
      <c r="B1083" s="102">
        <v>45495</v>
      </c>
      <c r="C1083">
        <v>2.5</v>
      </c>
      <c r="D1083" t="s">
        <v>120</v>
      </c>
      <c r="E1083" t="s">
        <v>121</v>
      </c>
      <c r="F1083" t="s">
        <v>121</v>
      </c>
      <c r="G1083" t="s">
        <v>121</v>
      </c>
      <c r="H1083" t="s">
        <v>121</v>
      </c>
      <c r="I1083" t="s">
        <v>121</v>
      </c>
      <c r="J1083" t="s">
        <v>120</v>
      </c>
    </row>
    <row r="1084" spans="2:11">
      <c r="B1084" s="102">
        <v>45496</v>
      </c>
      <c r="C1084">
        <v>1.5</v>
      </c>
      <c r="D1084" t="s">
        <v>120</v>
      </c>
      <c r="E1084" t="s">
        <v>120</v>
      </c>
      <c r="F1084" t="s">
        <v>121</v>
      </c>
      <c r="G1084" t="s">
        <v>121</v>
      </c>
      <c r="H1084" t="s">
        <v>121</v>
      </c>
      <c r="I1084" t="s">
        <v>121</v>
      </c>
      <c r="J1084" t="s">
        <v>120</v>
      </c>
    </row>
    <row r="1085" spans="2:11">
      <c r="B1085" s="102">
        <v>45497</v>
      </c>
      <c r="C1085">
        <v>2.5</v>
      </c>
      <c r="D1085" t="s">
        <v>121</v>
      </c>
      <c r="E1085" t="s">
        <v>121</v>
      </c>
      <c r="F1085" t="s">
        <v>121</v>
      </c>
      <c r="G1085" t="s">
        <v>121</v>
      </c>
      <c r="H1085" t="s">
        <v>121</v>
      </c>
      <c r="I1085" t="s">
        <v>121</v>
      </c>
      <c r="J1085" t="s">
        <v>120</v>
      </c>
    </row>
    <row r="1086" spans="2:11">
      <c r="B1086" s="102">
        <v>45498</v>
      </c>
      <c r="C1086">
        <v>1.5</v>
      </c>
      <c r="D1086" t="s">
        <v>121</v>
      </c>
      <c r="E1086" t="s">
        <v>121</v>
      </c>
      <c r="F1086" t="s">
        <v>121</v>
      </c>
      <c r="G1086" t="s">
        <v>121</v>
      </c>
      <c r="H1086" t="s">
        <v>121</v>
      </c>
      <c r="I1086" t="s">
        <v>121</v>
      </c>
      <c r="J1086" t="s">
        <v>120</v>
      </c>
    </row>
    <row r="1087" spans="2:11">
      <c r="B1087" s="102">
        <v>45499</v>
      </c>
      <c r="C1087">
        <v>2</v>
      </c>
      <c r="D1087" t="s">
        <v>121</v>
      </c>
      <c r="E1087" t="s">
        <v>121</v>
      </c>
      <c r="F1087" t="s">
        <v>121</v>
      </c>
      <c r="G1087" t="s">
        <v>121</v>
      </c>
      <c r="H1087" t="s">
        <v>121</v>
      </c>
      <c r="I1087" t="s">
        <v>121</v>
      </c>
      <c r="J1087" t="s">
        <v>120</v>
      </c>
    </row>
    <row r="1088" spans="2:11">
      <c r="B1088" s="102">
        <v>45500</v>
      </c>
      <c r="C1088">
        <v>2</v>
      </c>
      <c r="D1088" t="s">
        <v>121</v>
      </c>
      <c r="E1088" t="s">
        <v>121</v>
      </c>
      <c r="F1088" t="s">
        <v>121</v>
      </c>
      <c r="G1088" t="s">
        <v>121</v>
      </c>
      <c r="H1088" t="s">
        <v>121</v>
      </c>
      <c r="I1088" t="s">
        <v>121</v>
      </c>
      <c r="J1088" t="s">
        <v>120</v>
      </c>
    </row>
    <row r="1089" spans="2:11">
      <c r="B1089" s="102">
        <v>45501</v>
      </c>
      <c r="C1089">
        <v>2</v>
      </c>
      <c r="D1089" t="s">
        <v>121</v>
      </c>
      <c r="E1089" t="s">
        <v>121</v>
      </c>
      <c r="F1089" t="s">
        <v>121</v>
      </c>
      <c r="G1089" t="s">
        <v>121</v>
      </c>
      <c r="H1089" t="s">
        <v>121</v>
      </c>
      <c r="I1089" t="s">
        <v>121</v>
      </c>
      <c r="J1089" t="s">
        <v>120</v>
      </c>
      <c r="K1089">
        <v>174</v>
      </c>
    </row>
    <row r="1090" spans="2:11">
      <c r="B1090" s="102">
        <v>45502</v>
      </c>
      <c r="C1090">
        <v>1.5</v>
      </c>
      <c r="D1090" t="s">
        <v>121</v>
      </c>
      <c r="E1090" t="s">
        <v>121</v>
      </c>
      <c r="F1090" t="s">
        <v>121</v>
      </c>
      <c r="G1090" t="s">
        <v>121</v>
      </c>
      <c r="H1090" t="s">
        <v>121</v>
      </c>
      <c r="I1090" t="s">
        <v>121</v>
      </c>
      <c r="J1090" t="s">
        <v>120</v>
      </c>
    </row>
    <row r="1091" spans="2:11">
      <c r="B1091" s="102">
        <v>45503</v>
      </c>
      <c r="C1091">
        <v>2</v>
      </c>
      <c r="D1091" t="s">
        <v>121</v>
      </c>
      <c r="E1091" t="s">
        <v>121</v>
      </c>
      <c r="F1091" t="s">
        <v>121</v>
      </c>
      <c r="G1091" t="s">
        <v>121</v>
      </c>
      <c r="H1091" t="s">
        <v>121</v>
      </c>
      <c r="I1091" t="s">
        <v>121</v>
      </c>
      <c r="J1091" t="s">
        <v>120</v>
      </c>
    </row>
    <row r="1092" spans="2:11">
      <c r="B1092" s="102">
        <v>45504</v>
      </c>
      <c r="C1092">
        <v>2</v>
      </c>
      <c r="D1092" t="s">
        <v>121</v>
      </c>
      <c r="E1092" t="s">
        <v>121</v>
      </c>
      <c r="F1092" t="s">
        <v>121</v>
      </c>
      <c r="G1092" t="s">
        <v>121</v>
      </c>
      <c r="H1092" t="s">
        <v>121</v>
      </c>
      <c r="I1092" t="s">
        <v>121</v>
      </c>
      <c r="J1092" t="s">
        <v>120</v>
      </c>
    </row>
    <row r="1093" spans="2:11">
      <c r="B1093" s="102">
        <v>45505</v>
      </c>
      <c r="C1093">
        <v>3</v>
      </c>
      <c r="D1093" t="s">
        <v>121</v>
      </c>
      <c r="E1093" t="s">
        <v>121</v>
      </c>
      <c r="F1093" t="s">
        <v>121</v>
      </c>
      <c r="G1093" t="s">
        <v>120</v>
      </c>
      <c r="H1093" t="s">
        <v>121</v>
      </c>
      <c r="I1093" t="s">
        <v>121</v>
      </c>
      <c r="J1093" t="s">
        <v>120</v>
      </c>
    </row>
    <row r="1094" spans="2:11">
      <c r="B1094" s="102">
        <v>45506</v>
      </c>
      <c r="C1094">
        <v>1.5</v>
      </c>
      <c r="D1094" t="s">
        <v>121</v>
      </c>
      <c r="E1094" t="s">
        <v>121</v>
      </c>
      <c r="F1094" t="s">
        <v>121</v>
      </c>
      <c r="G1094" t="s">
        <v>121</v>
      </c>
      <c r="H1094" t="s">
        <v>121</v>
      </c>
      <c r="I1094" t="s">
        <v>121</v>
      </c>
      <c r="J1094" t="s">
        <v>120</v>
      </c>
    </row>
    <row r="1095" spans="2:11">
      <c r="B1095" s="102">
        <v>45507</v>
      </c>
      <c r="C1095">
        <v>3</v>
      </c>
      <c r="D1095" t="s">
        <v>121</v>
      </c>
      <c r="E1095" t="s">
        <v>121</v>
      </c>
      <c r="F1095" t="s">
        <v>121</v>
      </c>
      <c r="G1095" t="s">
        <v>121</v>
      </c>
      <c r="H1095" t="s">
        <v>121</v>
      </c>
      <c r="I1095" t="s">
        <v>121</v>
      </c>
      <c r="J1095" t="s">
        <v>120</v>
      </c>
    </row>
    <row r="1096" spans="2:11">
      <c r="B1096" s="102">
        <v>45508</v>
      </c>
      <c r="C1096">
        <v>1.5</v>
      </c>
      <c r="D1096" t="s">
        <v>121</v>
      </c>
      <c r="E1096" t="s">
        <v>120</v>
      </c>
      <c r="F1096" t="s">
        <v>121</v>
      </c>
      <c r="G1096" t="s">
        <v>121</v>
      </c>
      <c r="H1096" t="s">
        <v>121</v>
      </c>
      <c r="I1096" t="s">
        <v>121</v>
      </c>
      <c r="J1096" t="s">
        <v>120</v>
      </c>
      <c r="K1096">
        <v>173.2</v>
      </c>
    </row>
    <row r="1097" spans="2:11">
      <c r="B1097" s="102">
        <v>45509</v>
      </c>
      <c r="C1097">
        <v>1</v>
      </c>
      <c r="D1097" t="s">
        <v>121</v>
      </c>
      <c r="E1097" t="s">
        <v>121</v>
      </c>
      <c r="F1097" t="s">
        <v>121</v>
      </c>
      <c r="G1097" t="s">
        <v>121</v>
      </c>
      <c r="H1097" t="s">
        <v>121</v>
      </c>
      <c r="I1097" t="s">
        <v>121</v>
      </c>
      <c r="J1097" t="s">
        <v>120</v>
      </c>
    </row>
    <row r="1098" spans="2:11">
      <c r="B1098" s="102">
        <v>45510</v>
      </c>
      <c r="C1098">
        <v>1</v>
      </c>
      <c r="D1098" t="s">
        <v>121</v>
      </c>
      <c r="E1098" t="s">
        <v>121</v>
      </c>
      <c r="F1098" t="s">
        <v>121</v>
      </c>
      <c r="G1098" t="s">
        <v>121</v>
      </c>
      <c r="H1098" t="s">
        <v>121</v>
      </c>
      <c r="I1098" t="s">
        <v>121</v>
      </c>
      <c r="J1098" t="s">
        <v>120</v>
      </c>
    </row>
    <row r="1099" spans="2:11">
      <c r="B1099" s="102">
        <v>45511</v>
      </c>
      <c r="C1099">
        <v>2</v>
      </c>
      <c r="D1099" t="s">
        <v>121</v>
      </c>
      <c r="E1099" t="s">
        <v>121</v>
      </c>
      <c r="F1099" t="s">
        <v>121</v>
      </c>
      <c r="G1099" t="s">
        <v>121</v>
      </c>
      <c r="H1099" t="s">
        <v>121</v>
      </c>
      <c r="I1099" t="s">
        <v>121</v>
      </c>
      <c r="J1099" t="s">
        <v>120</v>
      </c>
    </row>
    <row r="1100" spans="2:11">
      <c r="B1100" s="102">
        <v>45512</v>
      </c>
      <c r="C1100">
        <v>1</v>
      </c>
      <c r="D1100" t="s">
        <v>121</v>
      </c>
      <c r="E1100" t="s">
        <v>121</v>
      </c>
      <c r="F1100" t="s">
        <v>121</v>
      </c>
      <c r="G1100" t="s">
        <v>121</v>
      </c>
      <c r="H1100" t="s">
        <v>121</v>
      </c>
      <c r="I1100" t="s">
        <v>121</v>
      </c>
      <c r="J1100" t="s">
        <v>120</v>
      </c>
    </row>
    <row r="1101" spans="2:11">
      <c r="B1101" s="102">
        <v>45513</v>
      </c>
      <c r="C1101">
        <v>1.5</v>
      </c>
      <c r="D1101" t="s">
        <v>121</v>
      </c>
      <c r="E1101" t="s">
        <v>121</v>
      </c>
      <c r="F1101" t="s">
        <v>121</v>
      </c>
      <c r="G1101" t="s">
        <v>121</v>
      </c>
      <c r="H1101" t="s">
        <v>121</v>
      </c>
      <c r="I1101" t="s">
        <v>121</v>
      </c>
      <c r="J1101" t="s">
        <v>120</v>
      </c>
    </row>
    <row r="1102" spans="2:11">
      <c r="B1102" s="102">
        <v>45514</v>
      </c>
      <c r="C1102">
        <v>2</v>
      </c>
      <c r="D1102" t="s">
        <v>121</v>
      </c>
      <c r="E1102" t="s">
        <v>121</v>
      </c>
      <c r="F1102" t="s">
        <v>121</v>
      </c>
      <c r="G1102" t="s">
        <v>121</v>
      </c>
      <c r="H1102" t="s">
        <v>121</v>
      </c>
      <c r="I1102" t="s">
        <v>121</v>
      </c>
      <c r="J1102" t="s">
        <v>120</v>
      </c>
    </row>
    <row r="1103" spans="2:11">
      <c r="B1103" s="102">
        <v>45515</v>
      </c>
      <c r="C1103">
        <v>1.5</v>
      </c>
      <c r="D1103" t="s">
        <v>121</v>
      </c>
      <c r="E1103" t="s">
        <v>121</v>
      </c>
      <c r="F1103" t="s">
        <v>121</v>
      </c>
      <c r="G1103" t="s">
        <v>121</v>
      </c>
      <c r="H1103" t="s">
        <v>121</v>
      </c>
      <c r="I1103" t="s">
        <v>121</v>
      </c>
      <c r="J1103" t="s">
        <v>120</v>
      </c>
      <c r="K1103">
        <v>172.6</v>
      </c>
    </row>
    <row r="1104" spans="2:11">
      <c r="B1104" s="102">
        <v>45516</v>
      </c>
      <c r="C1104">
        <v>1</v>
      </c>
      <c r="D1104" t="s">
        <v>121</v>
      </c>
      <c r="E1104" t="s">
        <v>121</v>
      </c>
      <c r="F1104" t="s">
        <v>121</v>
      </c>
      <c r="G1104" t="s">
        <v>121</v>
      </c>
      <c r="H1104" t="s">
        <v>121</v>
      </c>
      <c r="I1104" t="s">
        <v>121</v>
      </c>
      <c r="J1104" t="s">
        <v>120</v>
      </c>
    </row>
    <row r="1105" spans="2:11">
      <c r="B1105" s="102">
        <v>45517</v>
      </c>
      <c r="C1105">
        <v>2</v>
      </c>
      <c r="D1105" t="s">
        <v>121</v>
      </c>
      <c r="E1105" t="s">
        <v>121</v>
      </c>
      <c r="F1105" t="s">
        <v>121</v>
      </c>
      <c r="G1105" t="s">
        <v>121</v>
      </c>
      <c r="H1105" t="s">
        <v>121</v>
      </c>
      <c r="I1105" t="s">
        <v>121</v>
      </c>
      <c r="J1105" t="s">
        <v>120</v>
      </c>
    </row>
    <row r="1106" spans="2:11">
      <c r="B1106" s="102">
        <v>45518</v>
      </c>
      <c r="D1106" t="s">
        <v>121</v>
      </c>
      <c r="E1106" t="s">
        <v>121</v>
      </c>
      <c r="F1106" t="s">
        <v>121</v>
      </c>
      <c r="G1106" t="s">
        <v>121</v>
      </c>
      <c r="H1106" t="s">
        <v>121</v>
      </c>
      <c r="I1106" t="s">
        <v>121</v>
      </c>
      <c r="J1106" t="s">
        <v>120</v>
      </c>
    </row>
    <row r="1107" spans="2:11">
      <c r="B1107" s="102">
        <v>45519</v>
      </c>
      <c r="C1107">
        <v>2</v>
      </c>
      <c r="D1107" t="s">
        <v>121</v>
      </c>
      <c r="E1107" t="s">
        <v>120</v>
      </c>
      <c r="F1107" t="s">
        <v>121</v>
      </c>
      <c r="G1107" t="s">
        <v>121</v>
      </c>
      <c r="H1107" t="s">
        <v>121</v>
      </c>
      <c r="I1107" t="s">
        <v>121</v>
      </c>
      <c r="J1107" t="s">
        <v>120</v>
      </c>
    </row>
    <row r="1108" spans="2:11">
      <c r="B1108" s="102">
        <v>45520</v>
      </c>
      <c r="C1108">
        <v>2</v>
      </c>
      <c r="D1108" t="s">
        <v>120</v>
      </c>
      <c r="E1108" t="s">
        <v>121</v>
      </c>
      <c r="F1108" t="s">
        <v>120</v>
      </c>
      <c r="G1108" t="s">
        <v>121</v>
      </c>
      <c r="H1108" t="s">
        <v>121</v>
      </c>
      <c r="I1108" t="s">
        <v>121</v>
      </c>
      <c r="J1108" t="s">
        <v>120</v>
      </c>
    </row>
    <row r="1109" spans="2:11">
      <c r="B1109" s="102">
        <v>45521</v>
      </c>
      <c r="C1109">
        <v>2</v>
      </c>
      <c r="D1109" t="s">
        <v>121</v>
      </c>
      <c r="E1109" t="s">
        <v>121</v>
      </c>
      <c r="F1109" t="s">
        <v>121</v>
      </c>
      <c r="G1109" t="s">
        <v>121</v>
      </c>
      <c r="H1109" t="s">
        <v>121</v>
      </c>
      <c r="I1109" t="s">
        <v>121</v>
      </c>
      <c r="J1109" t="s">
        <v>120</v>
      </c>
    </row>
    <row r="1110" spans="2:11">
      <c r="B1110" s="102">
        <v>45522</v>
      </c>
      <c r="C1110">
        <v>1</v>
      </c>
      <c r="D1110" t="s">
        <v>121</v>
      </c>
      <c r="E1110" t="s">
        <v>121</v>
      </c>
      <c r="F1110" t="s">
        <v>121</v>
      </c>
      <c r="G1110" t="s">
        <v>120</v>
      </c>
      <c r="H1110" t="s">
        <v>120</v>
      </c>
      <c r="I1110" t="s">
        <v>121</v>
      </c>
      <c r="J1110" t="s">
        <v>120</v>
      </c>
      <c r="K1110">
        <v>172.2</v>
      </c>
    </row>
    <row r="1111" spans="2:11">
      <c r="B1111" s="102">
        <v>45523</v>
      </c>
      <c r="C1111">
        <v>1</v>
      </c>
      <c r="D1111" t="s">
        <v>121</v>
      </c>
      <c r="E1111" t="s">
        <v>121</v>
      </c>
      <c r="F1111" t="s">
        <v>121</v>
      </c>
      <c r="G1111" t="s">
        <v>121</v>
      </c>
      <c r="H1111" t="s">
        <v>121</v>
      </c>
      <c r="I1111" t="s">
        <v>121</v>
      </c>
      <c r="J1111" t="s">
        <v>120</v>
      </c>
    </row>
    <row r="1112" spans="2:11">
      <c r="B1112" s="102">
        <v>45524</v>
      </c>
      <c r="C1112">
        <v>1.5</v>
      </c>
      <c r="D1112" t="s">
        <v>121</v>
      </c>
      <c r="E1112" t="s">
        <v>121</v>
      </c>
      <c r="F1112" t="s">
        <v>121</v>
      </c>
      <c r="G1112" t="s">
        <v>121</v>
      </c>
      <c r="H1112" t="s">
        <v>121</v>
      </c>
      <c r="I1112" t="s">
        <v>121</v>
      </c>
      <c r="J1112" t="s">
        <v>120</v>
      </c>
    </row>
    <row r="1113" spans="2:11">
      <c r="B1113" s="102">
        <v>45525</v>
      </c>
      <c r="C1113">
        <v>1.5</v>
      </c>
      <c r="D1113" t="s">
        <v>121</v>
      </c>
      <c r="E1113" t="s">
        <v>121</v>
      </c>
      <c r="F1113" t="s">
        <v>121</v>
      </c>
      <c r="G1113" t="s">
        <v>121</v>
      </c>
      <c r="H1113" t="s">
        <v>121</v>
      </c>
      <c r="I1113" t="s">
        <v>121</v>
      </c>
      <c r="J1113" t="s">
        <v>120</v>
      </c>
    </row>
    <row r="1114" spans="2:11">
      <c r="B1114" s="102">
        <v>45526</v>
      </c>
      <c r="C1114">
        <v>1.5</v>
      </c>
      <c r="D1114" t="s">
        <v>121</v>
      </c>
      <c r="E1114" t="s">
        <v>121</v>
      </c>
      <c r="F1114" t="s">
        <v>121</v>
      </c>
      <c r="G1114" t="s">
        <v>121</v>
      </c>
      <c r="H1114" t="s">
        <v>121</v>
      </c>
      <c r="I1114" t="s">
        <v>121</v>
      </c>
      <c r="J1114" t="s">
        <v>120</v>
      </c>
    </row>
    <row r="1115" spans="2:11">
      <c r="B1115" s="102">
        <v>45527</v>
      </c>
      <c r="C1115">
        <v>1.5</v>
      </c>
      <c r="D1115" t="s">
        <v>121</v>
      </c>
      <c r="E1115" t="s">
        <v>121</v>
      </c>
      <c r="F1115" t="s">
        <v>121</v>
      </c>
      <c r="G1115" t="s">
        <v>121</v>
      </c>
      <c r="H1115" t="s">
        <v>121</v>
      </c>
      <c r="I1115" t="s">
        <v>121</v>
      </c>
      <c r="J1115" t="s">
        <v>120</v>
      </c>
    </row>
    <row r="1116" spans="2:11">
      <c r="B1116" s="102">
        <v>45528</v>
      </c>
      <c r="C1116">
        <v>2.5</v>
      </c>
      <c r="D1116" t="s">
        <v>121</v>
      </c>
      <c r="E1116" t="s">
        <v>121</v>
      </c>
      <c r="F1116" t="s">
        <v>121</v>
      </c>
      <c r="G1116" t="s">
        <v>121</v>
      </c>
      <c r="H1116" t="s">
        <v>121</v>
      </c>
      <c r="I1116" t="s">
        <v>121</v>
      </c>
      <c r="J1116" t="s">
        <v>120</v>
      </c>
    </row>
    <row r="1117" spans="2:11">
      <c r="B1117" s="102">
        <v>45529</v>
      </c>
      <c r="C1117">
        <v>1</v>
      </c>
      <c r="D1117" t="s">
        <v>121</v>
      </c>
      <c r="E1117" t="s">
        <v>121</v>
      </c>
      <c r="F1117" t="s">
        <v>121</v>
      </c>
      <c r="G1117" t="s">
        <v>121</v>
      </c>
      <c r="H1117" t="s">
        <v>121</v>
      </c>
      <c r="I1117" t="s">
        <v>121</v>
      </c>
      <c r="J1117" t="s">
        <v>120</v>
      </c>
      <c r="K1117">
        <v>172.2</v>
      </c>
    </row>
    <row r="1118" spans="2:11">
      <c r="B1118" s="102">
        <v>45530</v>
      </c>
      <c r="C1118">
        <v>2</v>
      </c>
      <c r="D1118" t="s">
        <v>121</v>
      </c>
      <c r="E1118" t="s">
        <v>121</v>
      </c>
      <c r="F1118" t="s">
        <v>121</v>
      </c>
      <c r="G1118" t="s">
        <v>121</v>
      </c>
      <c r="H1118" t="s">
        <v>121</v>
      </c>
      <c r="I1118" t="s">
        <v>121</v>
      </c>
      <c r="J1118" t="s">
        <v>120</v>
      </c>
    </row>
    <row r="1119" spans="2:11">
      <c r="B1119" s="102">
        <v>45531</v>
      </c>
      <c r="C1119">
        <v>1</v>
      </c>
      <c r="D1119" t="s">
        <v>121</v>
      </c>
      <c r="E1119" t="s">
        <v>121</v>
      </c>
      <c r="F1119" t="s">
        <v>121</v>
      </c>
      <c r="G1119" t="s">
        <v>121</v>
      </c>
      <c r="H1119" t="s">
        <v>121</v>
      </c>
      <c r="I1119" t="s">
        <v>121</v>
      </c>
      <c r="J1119" t="s">
        <v>120</v>
      </c>
    </row>
    <row r="1120" spans="2:11">
      <c r="B1120" s="102">
        <v>45532</v>
      </c>
      <c r="C1120">
        <v>1.5</v>
      </c>
      <c r="D1120" t="s">
        <v>121</v>
      </c>
      <c r="E1120" t="s">
        <v>121</v>
      </c>
      <c r="F1120" t="s">
        <v>121</v>
      </c>
      <c r="G1120" t="s">
        <v>121</v>
      </c>
      <c r="H1120" t="s">
        <v>121</v>
      </c>
      <c r="I1120" t="s">
        <v>121</v>
      </c>
      <c r="J1120" t="s">
        <v>120</v>
      </c>
    </row>
    <row r="1121" spans="2:11">
      <c r="B1121" s="102">
        <v>45533</v>
      </c>
      <c r="C1121">
        <v>2</v>
      </c>
      <c r="D1121" t="s">
        <v>121</v>
      </c>
      <c r="E1121" t="s">
        <v>121</v>
      </c>
      <c r="F1121" t="s">
        <v>121</v>
      </c>
      <c r="G1121" t="s">
        <v>121</v>
      </c>
      <c r="H1121" t="s">
        <v>121</v>
      </c>
      <c r="I1121" t="s">
        <v>121</v>
      </c>
      <c r="J1121" t="s">
        <v>120</v>
      </c>
    </row>
    <row r="1122" spans="2:11">
      <c r="B1122" s="102">
        <v>45534</v>
      </c>
      <c r="C1122">
        <v>2.5</v>
      </c>
      <c r="D1122" t="s">
        <v>121</v>
      </c>
      <c r="E1122" t="s">
        <v>121</v>
      </c>
      <c r="F1122" t="s">
        <v>121</v>
      </c>
      <c r="G1122" t="s">
        <v>121</v>
      </c>
      <c r="H1122" t="s">
        <v>121</v>
      </c>
      <c r="I1122" t="s">
        <v>121</v>
      </c>
      <c r="J1122" t="s">
        <v>120</v>
      </c>
    </row>
    <row r="1123" spans="2:11">
      <c r="B1123" s="102">
        <v>45535</v>
      </c>
      <c r="C1123">
        <v>1</v>
      </c>
      <c r="D1123" t="s">
        <v>121</v>
      </c>
      <c r="E1123" t="s">
        <v>121</v>
      </c>
      <c r="F1123" t="s">
        <v>121</v>
      </c>
      <c r="G1123" t="s">
        <v>121</v>
      </c>
      <c r="H1123" t="s">
        <v>121</v>
      </c>
      <c r="I1123" t="s">
        <v>121</v>
      </c>
      <c r="J1123" t="s">
        <v>120</v>
      </c>
    </row>
    <row r="1124" spans="2:11">
      <c r="B1124" s="102">
        <v>45536</v>
      </c>
      <c r="C1124">
        <v>2.5</v>
      </c>
      <c r="D1124" t="s">
        <v>121</v>
      </c>
      <c r="E1124" t="s">
        <v>120</v>
      </c>
      <c r="F1124" t="s">
        <v>121</v>
      </c>
      <c r="G1124" t="s">
        <v>120</v>
      </c>
      <c r="H1124" t="s">
        <v>121</v>
      </c>
      <c r="I1124" t="s">
        <v>121</v>
      </c>
      <c r="J1124" t="s">
        <v>120</v>
      </c>
      <c r="K1124">
        <v>171.8</v>
      </c>
    </row>
    <row r="1125" spans="2:11">
      <c r="B1125" s="102">
        <v>45537</v>
      </c>
      <c r="C1125">
        <v>2</v>
      </c>
      <c r="D1125" t="s">
        <v>121</v>
      </c>
      <c r="E1125" t="s">
        <v>121</v>
      </c>
      <c r="F1125" t="s">
        <v>121</v>
      </c>
      <c r="G1125" t="s">
        <v>121</v>
      </c>
      <c r="H1125" t="s">
        <v>121</v>
      </c>
      <c r="I1125" t="s">
        <v>121</v>
      </c>
      <c r="J1125" t="s">
        <v>120</v>
      </c>
    </row>
    <row r="1126" spans="2:11">
      <c r="B1126" s="102">
        <v>45538</v>
      </c>
      <c r="C1126">
        <v>1.5</v>
      </c>
      <c r="D1126" t="s">
        <v>121</v>
      </c>
      <c r="E1126" t="s">
        <v>121</v>
      </c>
      <c r="F1126" t="s">
        <v>121</v>
      </c>
      <c r="G1126" t="s">
        <v>121</v>
      </c>
      <c r="H1126" t="s">
        <v>121</v>
      </c>
      <c r="I1126" t="s">
        <v>121</v>
      </c>
      <c r="J1126" t="s">
        <v>120</v>
      </c>
    </row>
    <row r="1127" spans="2:11">
      <c r="B1127" s="102">
        <v>45539</v>
      </c>
      <c r="C1127">
        <v>1.5</v>
      </c>
      <c r="D1127" t="s">
        <v>121</v>
      </c>
      <c r="E1127" t="s">
        <v>121</v>
      </c>
      <c r="F1127" t="s">
        <v>121</v>
      </c>
      <c r="G1127" t="s">
        <v>121</v>
      </c>
      <c r="H1127" t="s">
        <v>121</v>
      </c>
      <c r="I1127" t="s">
        <v>121</v>
      </c>
      <c r="J1127" t="s">
        <v>120</v>
      </c>
    </row>
    <row r="1128" spans="2:11">
      <c r="B1128" s="102">
        <v>45540</v>
      </c>
      <c r="C1128">
        <v>1</v>
      </c>
      <c r="D1128" t="s">
        <v>121</v>
      </c>
      <c r="E1128" t="s">
        <v>121</v>
      </c>
      <c r="F1128" t="s">
        <v>121</v>
      </c>
      <c r="G1128" t="s">
        <v>121</v>
      </c>
      <c r="H1128" t="s">
        <v>121</v>
      </c>
      <c r="I1128" t="s">
        <v>121</v>
      </c>
      <c r="J1128" t="s">
        <v>120</v>
      </c>
    </row>
    <row r="1129" spans="2:11">
      <c r="B1129" s="102">
        <v>45541</v>
      </c>
      <c r="C1129">
        <v>1.5</v>
      </c>
      <c r="D1129" t="s">
        <v>121</v>
      </c>
      <c r="E1129" t="s">
        <v>121</v>
      </c>
      <c r="F1129" t="s">
        <v>121</v>
      </c>
      <c r="G1129" t="s">
        <v>121</v>
      </c>
      <c r="H1129" t="s">
        <v>121</v>
      </c>
      <c r="I1129" t="s">
        <v>121</v>
      </c>
      <c r="J1129" t="s">
        <v>120</v>
      </c>
    </row>
    <row r="1130" spans="2:11">
      <c r="B1130" s="102">
        <v>45542</v>
      </c>
      <c r="C1130">
        <v>2.5</v>
      </c>
      <c r="D1130" t="s">
        <v>121</v>
      </c>
      <c r="E1130" t="s">
        <v>121</v>
      </c>
      <c r="F1130" t="s">
        <v>121</v>
      </c>
      <c r="G1130" t="s">
        <v>121</v>
      </c>
      <c r="H1130" t="s">
        <v>121</v>
      </c>
      <c r="I1130" t="s">
        <v>121</v>
      </c>
      <c r="J1130" t="s">
        <v>120</v>
      </c>
    </row>
    <row r="1131" spans="2:11">
      <c r="B1131" s="102">
        <v>45543</v>
      </c>
      <c r="C1131">
        <v>1.5</v>
      </c>
      <c r="D1131" t="s">
        <v>121</v>
      </c>
      <c r="E1131" t="s">
        <v>121</v>
      </c>
      <c r="F1131" t="s">
        <v>121</v>
      </c>
      <c r="G1131" t="s">
        <v>121</v>
      </c>
      <c r="H1131" t="s">
        <v>121</v>
      </c>
      <c r="I1131" t="s">
        <v>121</v>
      </c>
      <c r="J1131" t="s">
        <v>120</v>
      </c>
      <c r="K1131">
        <v>168.8</v>
      </c>
    </row>
    <row r="1132" spans="2:11">
      <c r="B1132" s="102">
        <v>45544</v>
      </c>
      <c r="C1132">
        <v>2</v>
      </c>
      <c r="D1132" t="s">
        <v>121</v>
      </c>
      <c r="E1132" t="s">
        <v>121</v>
      </c>
      <c r="F1132" t="s">
        <v>121</v>
      </c>
      <c r="G1132" t="s">
        <v>121</v>
      </c>
      <c r="H1132" t="s">
        <v>121</v>
      </c>
      <c r="I1132" t="s">
        <v>121</v>
      </c>
      <c r="J1132" t="s">
        <v>120</v>
      </c>
    </row>
    <row r="1133" spans="2:11">
      <c r="B1133" s="102">
        <v>45545</v>
      </c>
      <c r="C1133">
        <v>1</v>
      </c>
      <c r="D1133" t="s">
        <v>121</v>
      </c>
      <c r="E1133" t="s">
        <v>121</v>
      </c>
      <c r="F1133" t="s">
        <v>121</v>
      </c>
      <c r="G1133" t="s">
        <v>121</v>
      </c>
      <c r="H1133" t="s">
        <v>121</v>
      </c>
      <c r="I1133" t="s">
        <v>121</v>
      </c>
      <c r="J1133" t="s">
        <v>120</v>
      </c>
    </row>
    <row r="1134" spans="2:11">
      <c r="B1134" s="102">
        <v>45546</v>
      </c>
      <c r="C1134">
        <v>2</v>
      </c>
      <c r="D1134" t="s">
        <v>121</v>
      </c>
      <c r="E1134" t="s">
        <v>121</v>
      </c>
      <c r="F1134" t="s">
        <v>121</v>
      </c>
      <c r="G1134" t="s">
        <v>121</v>
      </c>
      <c r="H1134" t="s">
        <v>121</v>
      </c>
      <c r="I1134" t="s">
        <v>121</v>
      </c>
      <c r="J1134" t="s">
        <v>120</v>
      </c>
    </row>
    <row r="1135" spans="2:11">
      <c r="B1135" s="102">
        <v>45547</v>
      </c>
      <c r="C1135">
        <v>1.5</v>
      </c>
      <c r="D1135" t="s">
        <v>121</v>
      </c>
      <c r="E1135" t="s">
        <v>121</v>
      </c>
      <c r="F1135" t="s">
        <v>121</v>
      </c>
      <c r="G1135" t="s">
        <v>121</v>
      </c>
      <c r="H1135" t="s">
        <v>121</v>
      </c>
      <c r="I1135" t="s">
        <v>121</v>
      </c>
      <c r="J1135" t="s">
        <v>120</v>
      </c>
    </row>
    <row r="1136" spans="2:11">
      <c r="B1136" s="102">
        <v>45548</v>
      </c>
      <c r="C1136">
        <v>2.5</v>
      </c>
      <c r="D1136" t="s">
        <v>121</v>
      </c>
      <c r="E1136" t="s">
        <v>120</v>
      </c>
      <c r="F1136" t="s">
        <v>121</v>
      </c>
      <c r="G1136" t="s">
        <v>121</v>
      </c>
      <c r="H1136" t="s">
        <v>121</v>
      </c>
      <c r="I1136" t="s">
        <v>121</v>
      </c>
      <c r="J1136" t="s">
        <v>120</v>
      </c>
    </row>
    <row r="1137" spans="2:11">
      <c r="B1137" s="102">
        <v>45549</v>
      </c>
      <c r="C1137">
        <v>2</v>
      </c>
      <c r="D1137" t="s">
        <v>121</v>
      </c>
      <c r="E1137" t="s">
        <v>121</v>
      </c>
      <c r="F1137" t="s">
        <v>121</v>
      </c>
      <c r="G1137" t="s">
        <v>121</v>
      </c>
      <c r="H1137" t="s">
        <v>121</v>
      </c>
      <c r="I1137" t="s">
        <v>121</v>
      </c>
      <c r="J1137" t="s">
        <v>120</v>
      </c>
    </row>
    <row r="1138" spans="2:11">
      <c r="B1138" s="102">
        <v>45550</v>
      </c>
      <c r="C1138">
        <v>1.5</v>
      </c>
      <c r="D1138" t="s">
        <v>121</v>
      </c>
      <c r="E1138" t="s">
        <v>121</v>
      </c>
      <c r="F1138" t="s">
        <v>121</v>
      </c>
      <c r="G1138" t="s">
        <v>121</v>
      </c>
      <c r="H1138" t="s">
        <v>121</v>
      </c>
      <c r="I1138" t="s">
        <v>121</v>
      </c>
      <c r="J1138" t="s">
        <v>120</v>
      </c>
      <c r="K1138">
        <v>168</v>
      </c>
    </row>
    <row r="1139" spans="2:11">
      <c r="B1139" s="102">
        <v>45551</v>
      </c>
      <c r="C1139">
        <v>1.5</v>
      </c>
      <c r="D1139" t="s">
        <v>121</v>
      </c>
      <c r="E1139" t="s">
        <v>121</v>
      </c>
      <c r="F1139" t="s">
        <v>121</v>
      </c>
      <c r="G1139" t="s">
        <v>121</v>
      </c>
      <c r="H1139" t="s">
        <v>121</v>
      </c>
      <c r="I1139" t="s">
        <v>121</v>
      </c>
      <c r="J1139" t="s">
        <v>120</v>
      </c>
    </row>
    <row r="1140" spans="2:11">
      <c r="B1140" s="102">
        <v>45552</v>
      </c>
      <c r="C1140">
        <v>1.5</v>
      </c>
      <c r="D1140" t="s">
        <v>121</v>
      </c>
      <c r="E1140" t="s">
        <v>121</v>
      </c>
      <c r="F1140" t="s">
        <v>121</v>
      </c>
      <c r="G1140" t="s">
        <v>121</v>
      </c>
      <c r="H1140" t="s">
        <v>121</v>
      </c>
      <c r="I1140" t="s">
        <v>121</v>
      </c>
      <c r="J1140" t="s">
        <v>120</v>
      </c>
    </row>
    <row r="1141" spans="2:11">
      <c r="B1141" s="102">
        <v>45553</v>
      </c>
      <c r="C1141">
        <v>1.5</v>
      </c>
      <c r="D1141" t="s">
        <v>121</v>
      </c>
      <c r="E1141" t="s">
        <v>121</v>
      </c>
      <c r="F1141" t="s">
        <v>121</v>
      </c>
      <c r="G1141" t="s">
        <v>121</v>
      </c>
      <c r="H1141" t="s">
        <v>121</v>
      </c>
      <c r="I1141" t="s">
        <v>121</v>
      </c>
      <c r="J1141" t="s">
        <v>120</v>
      </c>
    </row>
    <row r="1142" spans="2:11">
      <c r="B1142" s="102">
        <v>45554</v>
      </c>
      <c r="C1142">
        <v>1.5</v>
      </c>
      <c r="D1142" t="s">
        <v>121</v>
      </c>
      <c r="E1142" t="s">
        <v>121</v>
      </c>
      <c r="F1142" t="s">
        <v>121</v>
      </c>
      <c r="G1142" t="s">
        <v>121</v>
      </c>
      <c r="H1142" t="s">
        <v>121</v>
      </c>
      <c r="I1142" t="s">
        <v>121</v>
      </c>
      <c r="J1142" t="s">
        <v>120</v>
      </c>
    </row>
    <row r="1143" spans="2:11">
      <c r="B1143" s="102">
        <v>45555</v>
      </c>
      <c r="C1143">
        <v>3</v>
      </c>
      <c r="D1143" t="s">
        <v>120</v>
      </c>
      <c r="E1143" t="s">
        <v>121</v>
      </c>
      <c r="F1143" t="s">
        <v>121</v>
      </c>
      <c r="G1143" t="s">
        <v>120</v>
      </c>
      <c r="H1143" t="s">
        <v>121</v>
      </c>
      <c r="I1143" t="s">
        <v>121</v>
      </c>
      <c r="J1143" t="s">
        <v>120</v>
      </c>
    </row>
    <row r="1144" spans="2:11">
      <c r="B1144" s="102">
        <v>45556</v>
      </c>
      <c r="C1144">
        <v>2</v>
      </c>
      <c r="D1144" t="s">
        <v>120</v>
      </c>
      <c r="E1144" t="s">
        <v>121</v>
      </c>
      <c r="F1144" t="s">
        <v>121</v>
      </c>
      <c r="G1144" t="s">
        <v>121</v>
      </c>
      <c r="H1144" t="s">
        <v>121</v>
      </c>
      <c r="I1144" t="s">
        <v>121</v>
      </c>
      <c r="J1144" t="s">
        <v>120</v>
      </c>
    </row>
    <row r="1145" spans="2:11">
      <c r="B1145" s="102">
        <v>45557</v>
      </c>
      <c r="C1145">
        <v>3</v>
      </c>
      <c r="D1145" t="s">
        <v>121</v>
      </c>
      <c r="E1145" t="s">
        <v>120</v>
      </c>
      <c r="F1145" t="s">
        <v>121</v>
      </c>
      <c r="G1145" t="s">
        <v>121</v>
      </c>
      <c r="H1145" t="s">
        <v>121</v>
      </c>
      <c r="I1145" t="s">
        <v>121</v>
      </c>
      <c r="J1145" t="s">
        <v>120</v>
      </c>
      <c r="K1145">
        <v>168.2</v>
      </c>
    </row>
    <row r="1146" spans="2:11">
      <c r="B1146" s="102">
        <v>45558</v>
      </c>
      <c r="C1146">
        <v>1.5</v>
      </c>
      <c r="D1146" t="s">
        <v>121</v>
      </c>
      <c r="E1146" t="s">
        <v>121</v>
      </c>
      <c r="F1146" t="s">
        <v>121</v>
      </c>
      <c r="G1146" t="s">
        <v>121</v>
      </c>
      <c r="H1146" t="s">
        <v>121</v>
      </c>
      <c r="I1146" t="s">
        <v>121</v>
      </c>
      <c r="J1146" t="s">
        <v>120</v>
      </c>
    </row>
    <row r="1147" spans="2:11">
      <c r="B1147" s="102">
        <v>45559</v>
      </c>
      <c r="C1147">
        <v>1.5</v>
      </c>
      <c r="D1147" t="s">
        <v>120</v>
      </c>
      <c r="E1147" t="s">
        <v>121</v>
      </c>
      <c r="F1147" t="s">
        <v>120</v>
      </c>
      <c r="G1147" t="s">
        <v>121</v>
      </c>
      <c r="H1147" t="s">
        <v>121</v>
      </c>
      <c r="I1147" t="s">
        <v>121</v>
      </c>
      <c r="J1147" t="s">
        <v>120</v>
      </c>
    </row>
    <row r="1148" spans="2:11">
      <c r="B1148" s="102">
        <v>45560</v>
      </c>
      <c r="C1148">
        <v>2.5</v>
      </c>
      <c r="D1148" t="s">
        <v>121</v>
      </c>
      <c r="E1148" t="s">
        <v>121</v>
      </c>
      <c r="F1148" t="s">
        <v>121</v>
      </c>
      <c r="G1148" t="s">
        <v>121</v>
      </c>
      <c r="H1148" t="s">
        <v>121</v>
      </c>
      <c r="I1148" t="s">
        <v>121</v>
      </c>
      <c r="J1148" t="s">
        <v>120</v>
      </c>
    </row>
    <row r="1149" spans="2:11">
      <c r="B1149" s="102">
        <v>45561</v>
      </c>
      <c r="C1149">
        <v>1</v>
      </c>
      <c r="D1149" t="s">
        <v>120</v>
      </c>
      <c r="E1149" t="s">
        <v>121</v>
      </c>
      <c r="F1149" t="s">
        <v>121</v>
      </c>
      <c r="G1149" t="s">
        <v>121</v>
      </c>
      <c r="H1149" t="s">
        <v>121</v>
      </c>
      <c r="I1149" t="s">
        <v>121</v>
      </c>
      <c r="J1149" t="s">
        <v>120</v>
      </c>
    </row>
    <row r="1150" spans="2:11">
      <c r="B1150" s="102">
        <v>45562</v>
      </c>
      <c r="C1150">
        <v>2</v>
      </c>
      <c r="D1150" t="s">
        <v>120</v>
      </c>
      <c r="E1150" t="s">
        <v>121</v>
      </c>
      <c r="F1150" t="s">
        <v>121</v>
      </c>
      <c r="G1150" t="s">
        <v>121</v>
      </c>
      <c r="H1150" t="s">
        <v>121</v>
      </c>
      <c r="I1150" t="s">
        <v>121</v>
      </c>
      <c r="J1150" t="s">
        <v>120</v>
      </c>
    </row>
    <row r="1151" spans="2:11">
      <c r="B1151" s="102">
        <v>45563</v>
      </c>
      <c r="C1151">
        <v>2.5</v>
      </c>
      <c r="D1151" t="s">
        <v>121</v>
      </c>
      <c r="E1151" t="s">
        <v>121</v>
      </c>
      <c r="F1151" t="s">
        <v>121</v>
      </c>
      <c r="G1151" t="s">
        <v>121</v>
      </c>
      <c r="H1151" t="s">
        <v>121</v>
      </c>
      <c r="I1151" t="s">
        <v>121</v>
      </c>
      <c r="J1151" t="s">
        <v>120</v>
      </c>
    </row>
    <row r="1152" spans="2:11">
      <c r="B1152" s="102">
        <v>45564</v>
      </c>
      <c r="C1152">
        <v>2.5</v>
      </c>
      <c r="D1152" t="s">
        <v>121</v>
      </c>
      <c r="E1152" t="s">
        <v>121</v>
      </c>
      <c r="F1152" t="s">
        <v>121</v>
      </c>
      <c r="G1152" t="s">
        <v>121</v>
      </c>
      <c r="H1152" t="s">
        <v>121</v>
      </c>
      <c r="I1152" t="s">
        <v>121</v>
      </c>
      <c r="J1152" t="s">
        <v>120</v>
      </c>
      <c r="K1152">
        <v>169.8</v>
      </c>
    </row>
    <row r="1153" spans="2:11">
      <c r="B1153" s="102">
        <v>45565</v>
      </c>
      <c r="C1153">
        <v>1</v>
      </c>
      <c r="D1153" t="s">
        <v>120</v>
      </c>
      <c r="E1153" t="s">
        <v>121</v>
      </c>
      <c r="F1153" t="s">
        <v>121</v>
      </c>
      <c r="G1153" t="s">
        <v>121</v>
      </c>
      <c r="H1153" t="s">
        <v>121</v>
      </c>
      <c r="I1153" t="s">
        <v>121</v>
      </c>
      <c r="J1153" t="s">
        <v>120</v>
      </c>
    </row>
    <row r="1154" spans="2:11">
      <c r="B1154" s="102">
        <v>45566</v>
      </c>
      <c r="C1154">
        <v>1</v>
      </c>
      <c r="D1154" t="s">
        <v>120</v>
      </c>
      <c r="E1154" t="s">
        <v>121</v>
      </c>
      <c r="F1154" t="s">
        <v>121</v>
      </c>
      <c r="G1154" t="s">
        <v>121</v>
      </c>
      <c r="H1154" t="s">
        <v>121</v>
      </c>
      <c r="I1154" t="s">
        <v>121</v>
      </c>
      <c r="J1154" t="s">
        <v>120</v>
      </c>
    </row>
    <row r="1155" spans="2:11">
      <c r="B1155" s="102">
        <v>45567</v>
      </c>
      <c r="C1155">
        <v>2.5</v>
      </c>
      <c r="D1155" t="s">
        <v>121</v>
      </c>
      <c r="E1155" t="s">
        <v>120</v>
      </c>
      <c r="F1155" t="s">
        <v>121</v>
      </c>
      <c r="G1155" t="s">
        <v>121</v>
      </c>
      <c r="H1155" t="s">
        <v>121</v>
      </c>
      <c r="I1155" t="s">
        <v>121</v>
      </c>
      <c r="J1155" t="s">
        <v>120</v>
      </c>
    </row>
    <row r="1156" spans="2:11">
      <c r="B1156" s="102">
        <v>45568</v>
      </c>
      <c r="C1156">
        <v>1</v>
      </c>
      <c r="D1156" t="s">
        <v>120</v>
      </c>
      <c r="E1156" t="s">
        <v>121</v>
      </c>
      <c r="F1156" t="s">
        <v>121</v>
      </c>
      <c r="G1156" t="s">
        <v>121</v>
      </c>
      <c r="H1156" t="s">
        <v>121</v>
      </c>
      <c r="I1156" t="s">
        <v>121</v>
      </c>
      <c r="J1156" t="s">
        <v>120</v>
      </c>
    </row>
    <row r="1157" spans="2:11">
      <c r="B1157" s="102">
        <v>45569</v>
      </c>
      <c r="C1157">
        <v>1.5</v>
      </c>
      <c r="D1157" t="s">
        <v>120</v>
      </c>
      <c r="E1157" t="s">
        <v>121</v>
      </c>
      <c r="F1157" t="s">
        <v>121</v>
      </c>
      <c r="G1157" t="s">
        <v>120</v>
      </c>
      <c r="H1157" t="s">
        <v>120</v>
      </c>
      <c r="I1157" t="s">
        <v>121</v>
      </c>
      <c r="J1157" t="s">
        <v>120</v>
      </c>
    </row>
    <row r="1158" spans="2:11">
      <c r="B1158" s="102">
        <v>45570</v>
      </c>
      <c r="C1158">
        <v>2</v>
      </c>
      <c r="D1158" t="s">
        <v>120</v>
      </c>
      <c r="E1158" t="s">
        <v>121</v>
      </c>
      <c r="F1158" t="s">
        <v>121</v>
      </c>
      <c r="G1158" t="s">
        <v>121</v>
      </c>
      <c r="H1158" t="s">
        <v>121</v>
      </c>
      <c r="I1158" t="s">
        <v>121</v>
      </c>
      <c r="J1158" t="s">
        <v>120</v>
      </c>
    </row>
    <row r="1159" spans="2:11">
      <c r="B1159" s="102">
        <v>45571</v>
      </c>
      <c r="C1159">
        <v>1</v>
      </c>
      <c r="D1159" t="s">
        <v>121</v>
      </c>
      <c r="E1159" t="s">
        <v>121</v>
      </c>
      <c r="F1159" t="s">
        <v>121</v>
      </c>
      <c r="G1159" t="s">
        <v>121</v>
      </c>
      <c r="H1159" t="s">
        <v>121</v>
      </c>
      <c r="I1159" t="s">
        <v>121</v>
      </c>
      <c r="J1159" t="s">
        <v>120</v>
      </c>
      <c r="K1159">
        <v>169.4</v>
      </c>
    </row>
    <row r="1160" spans="2:11">
      <c r="B1160" s="102">
        <v>45572</v>
      </c>
      <c r="C1160">
        <v>1</v>
      </c>
      <c r="D1160" t="s">
        <v>120</v>
      </c>
      <c r="E1160" t="s">
        <v>121</v>
      </c>
      <c r="F1160" t="s">
        <v>121</v>
      </c>
      <c r="G1160" t="s">
        <v>121</v>
      </c>
      <c r="H1160" t="s">
        <v>121</v>
      </c>
      <c r="I1160" t="s">
        <v>121</v>
      </c>
      <c r="J1160" t="s">
        <v>120</v>
      </c>
    </row>
    <row r="1161" spans="2:11">
      <c r="B1161" s="102">
        <v>45573</v>
      </c>
      <c r="C1161">
        <v>1.5</v>
      </c>
      <c r="D1161" t="s">
        <v>120</v>
      </c>
      <c r="E1161" t="s">
        <v>121</v>
      </c>
      <c r="F1161" t="s">
        <v>121</v>
      </c>
      <c r="G1161" t="s">
        <v>121</v>
      </c>
      <c r="H1161" t="s">
        <v>121</v>
      </c>
      <c r="I1161" t="s">
        <v>121</v>
      </c>
      <c r="J1161" t="s">
        <v>120</v>
      </c>
    </row>
    <row r="1162" spans="2:11">
      <c r="B1162" s="102">
        <v>45574</v>
      </c>
      <c r="C1162">
        <v>3</v>
      </c>
      <c r="D1162" t="s">
        <v>121</v>
      </c>
      <c r="E1162" t="s">
        <v>121</v>
      </c>
      <c r="F1162" t="s">
        <v>121</v>
      </c>
      <c r="G1162" t="s">
        <v>121</v>
      </c>
      <c r="H1162" t="s">
        <v>121</v>
      </c>
      <c r="I1162" t="s">
        <v>121</v>
      </c>
      <c r="J1162" t="s">
        <v>120</v>
      </c>
    </row>
    <row r="1163" spans="2:11">
      <c r="B1163" s="102">
        <v>45575</v>
      </c>
      <c r="C1163">
        <v>1.5</v>
      </c>
      <c r="D1163" t="s">
        <v>120</v>
      </c>
      <c r="E1163" t="s">
        <v>121</v>
      </c>
      <c r="F1163" t="s">
        <v>121</v>
      </c>
      <c r="G1163" t="s">
        <v>121</v>
      </c>
      <c r="H1163" t="s">
        <v>121</v>
      </c>
      <c r="I1163" t="s">
        <v>121</v>
      </c>
      <c r="J1163" t="s">
        <v>120</v>
      </c>
    </row>
    <row r="1164" spans="2:11">
      <c r="B1164" s="102">
        <v>45576</v>
      </c>
      <c r="C1164">
        <v>2.5</v>
      </c>
      <c r="D1164" t="s">
        <v>120</v>
      </c>
      <c r="E1164" t="s">
        <v>121</v>
      </c>
      <c r="F1164" t="s">
        <v>121</v>
      </c>
      <c r="G1164" t="s">
        <v>121</v>
      </c>
      <c r="H1164" t="s">
        <v>121</v>
      </c>
      <c r="I1164" t="s">
        <v>121</v>
      </c>
      <c r="J1164" t="s">
        <v>120</v>
      </c>
    </row>
    <row r="1165" spans="2:11">
      <c r="B1165" s="102">
        <v>45577</v>
      </c>
      <c r="C1165">
        <v>3</v>
      </c>
      <c r="D1165" t="s">
        <v>120</v>
      </c>
      <c r="E1165" t="s">
        <v>121</v>
      </c>
      <c r="F1165" t="s">
        <v>121</v>
      </c>
      <c r="G1165" t="s">
        <v>121</v>
      </c>
      <c r="H1165" t="s">
        <v>121</v>
      </c>
      <c r="I1165" t="s">
        <v>121</v>
      </c>
      <c r="J1165" t="s">
        <v>120</v>
      </c>
    </row>
    <row r="1166" spans="2:11">
      <c r="B1166" s="102">
        <v>45578</v>
      </c>
      <c r="C1166">
        <v>2.5</v>
      </c>
      <c r="D1166" t="s">
        <v>121</v>
      </c>
      <c r="E1166" t="s">
        <v>120</v>
      </c>
      <c r="F1166" t="s">
        <v>121</v>
      </c>
      <c r="G1166" t="s">
        <v>121</v>
      </c>
      <c r="H1166" t="s">
        <v>121</v>
      </c>
      <c r="I1166" t="s">
        <v>121</v>
      </c>
      <c r="J1166" t="s">
        <v>120</v>
      </c>
      <c r="K1166">
        <v>170.6</v>
      </c>
    </row>
    <row r="1167" spans="2:11">
      <c r="B1167" s="102">
        <v>45579</v>
      </c>
      <c r="C1167">
        <v>2.5</v>
      </c>
      <c r="D1167" t="s">
        <v>121</v>
      </c>
      <c r="E1167" t="s">
        <v>121</v>
      </c>
      <c r="F1167" t="s">
        <v>121</v>
      </c>
      <c r="G1167" t="s">
        <v>121</v>
      </c>
      <c r="H1167" t="s">
        <v>121</v>
      </c>
      <c r="I1167" t="s">
        <v>121</v>
      </c>
      <c r="J1167" t="s">
        <v>120</v>
      </c>
    </row>
    <row r="1168" spans="2:11">
      <c r="B1168" s="102">
        <v>45580</v>
      </c>
      <c r="C1168">
        <v>2</v>
      </c>
      <c r="D1168" t="s">
        <v>120</v>
      </c>
      <c r="E1168" t="s">
        <v>121</v>
      </c>
      <c r="F1168" t="s">
        <v>121</v>
      </c>
      <c r="G1168" t="s">
        <v>121</v>
      </c>
      <c r="H1168" t="s">
        <v>121</v>
      </c>
      <c r="I1168" t="s">
        <v>121</v>
      </c>
      <c r="J1168" t="s">
        <v>120</v>
      </c>
    </row>
    <row r="1169" spans="2:11">
      <c r="B1169" s="102">
        <v>45581</v>
      </c>
      <c r="C1169">
        <v>3</v>
      </c>
      <c r="D1169" t="s">
        <v>120</v>
      </c>
      <c r="E1169" t="s">
        <v>121</v>
      </c>
      <c r="F1169" t="s">
        <v>121</v>
      </c>
      <c r="G1169" t="s">
        <v>121</v>
      </c>
      <c r="H1169" t="s">
        <v>121</v>
      </c>
      <c r="I1169" t="s">
        <v>121</v>
      </c>
      <c r="J1169" t="s">
        <v>120</v>
      </c>
    </row>
    <row r="1170" spans="2:11">
      <c r="B1170" s="102">
        <v>45582</v>
      </c>
      <c r="C1170">
        <v>3</v>
      </c>
      <c r="D1170" t="s">
        <v>120</v>
      </c>
      <c r="E1170" t="s">
        <v>121</v>
      </c>
      <c r="F1170" t="s">
        <v>121</v>
      </c>
      <c r="G1170" t="s">
        <v>121</v>
      </c>
      <c r="H1170" t="s">
        <v>121</v>
      </c>
      <c r="I1170" t="s">
        <v>121</v>
      </c>
      <c r="J1170" t="s">
        <v>120</v>
      </c>
    </row>
    <row r="1171" spans="2:11">
      <c r="B1171" s="102">
        <v>45583</v>
      </c>
      <c r="C1171">
        <v>2.5</v>
      </c>
      <c r="D1171" t="s">
        <v>120</v>
      </c>
      <c r="E1171" t="s">
        <v>121</v>
      </c>
      <c r="F1171" t="s">
        <v>121</v>
      </c>
      <c r="G1171" t="s">
        <v>121</v>
      </c>
      <c r="H1171" t="s">
        <v>121</v>
      </c>
      <c r="I1171" t="s">
        <v>121</v>
      </c>
      <c r="J1171" t="s">
        <v>120</v>
      </c>
    </row>
    <row r="1172" spans="2:11">
      <c r="B1172" s="102">
        <v>45584</v>
      </c>
      <c r="C1172">
        <v>2.5</v>
      </c>
      <c r="D1172" t="s">
        <v>120</v>
      </c>
      <c r="E1172" t="s">
        <v>121</v>
      </c>
      <c r="F1172" t="s">
        <v>121</v>
      </c>
      <c r="G1172" t="s">
        <v>121</v>
      </c>
      <c r="H1172" t="s">
        <v>121</v>
      </c>
      <c r="I1172" t="s">
        <v>121</v>
      </c>
      <c r="J1172" t="s">
        <v>120</v>
      </c>
    </row>
    <row r="1173" spans="2:11">
      <c r="B1173" s="102">
        <v>45585</v>
      </c>
      <c r="C1173">
        <v>2.5</v>
      </c>
      <c r="D1173" t="s">
        <v>121</v>
      </c>
      <c r="E1173" t="s">
        <v>121</v>
      </c>
      <c r="F1173" t="s">
        <v>121</v>
      </c>
      <c r="G1173" t="s">
        <v>121</v>
      </c>
      <c r="H1173" t="s">
        <v>121</v>
      </c>
      <c r="I1173" t="s">
        <v>121</v>
      </c>
      <c r="J1173" t="s">
        <v>120</v>
      </c>
      <c r="K1173">
        <v>175.2</v>
      </c>
    </row>
    <row r="1174" spans="2:11">
      <c r="B1174" s="102">
        <v>45586</v>
      </c>
      <c r="C1174">
        <v>2</v>
      </c>
      <c r="D1174" t="s">
        <v>120</v>
      </c>
      <c r="E1174" t="s">
        <v>120</v>
      </c>
      <c r="F1174" t="s">
        <v>121</v>
      </c>
      <c r="G1174" t="s">
        <v>121</v>
      </c>
      <c r="H1174" t="s">
        <v>121</v>
      </c>
      <c r="I1174" t="s">
        <v>121</v>
      </c>
      <c r="J1174" t="s">
        <v>120</v>
      </c>
    </row>
    <row r="1175" spans="2:11">
      <c r="B1175" s="102">
        <v>45587</v>
      </c>
      <c r="C1175">
        <v>1</v>
      </c>
      <c r="D1175" t="s">
        <v>120</v>
      </c>
      <c r="E1175" t="s">
        <v>121</v>
      </c>
      <c r="F1175" t="s">
        <v>121</v>
      </c>
      <c r="G1175" t="s">
        <v>120</v>
      </c>
      <c r="H1175" t="s">
        <v>121</v>
      </c>
      <c r="I1175" t="s">
        <v>121</v>
      </c>
      <c r="J1175" t="s">
        <v>120</v>
      </c>
    </row>
    <row r="1176" spans="2:11">
      <c r="B1176" s="102">
        <v>45588</v>
      </c>
      <c r="C1176">
        <v>1.5</v>
      </c>
      <c r="D1176" t="s">
        <v>121</v>
      </c>
      <c r="E1176" t="s">
        <v>121</v>
      </c>
      <c r="F1176" t="s">
        <v>121</v>
      </c>
      <c r="G1176" t="s">
        <v>121</v>
      </c>
      <c r="H1176" t="s">
        <v>121</v>
      </c>
      <c r="I1176" t="s">
        <v>121</v>
      </c>
      <c r="J1176" t="s">
        <v>120</v>
      </c>
    </row>
    <row r="1177" spans="2:11">
      <c r="B1177" s="102">
        <v>45589</v>
      </c>
      <c r="C1177">
        <v>1</v>
      </c>
      <c r="D1177" t="s">
        <v>120</v>
      </c>
      <c r="E1177" t="s">
        <v>121</v>
      </c>
      <c r="F1177" t="s">
        <v>121</v>
      </c>
      <c r="G1177" t="s">
        <v>121</v>
      </c>
      <c r="H1177" t="s">
        <v>121</v>
      </c>
      <c r="I1177" t="s">
        <v>121</v>
      </c>
      <c r="J1177" t="s">
        <v>120</v>
      </c>
    </row>
    <row r="1178" spans="2:11">
      <c r="B1178" s="102">
        <v>45590</v>
      </c>
      <c r="C1178">
        <v>2.5</v>
      </c>
      <c r="D1178" t="s">
        <v>120</v>
      </c>
      <c r="E1178" t="s">
        <v>121</v>
      </c>
      <c r="F1178" t="s">
        <v>121</v>
      </c>
      <c r="G1178" t="s">
        <v>121</v>
      </c>
      <c r="H1178" t="s">
        <v>121</v>
      </c>
      <c r="I1178" t="s">
        <v>121</v>
      </c>
      <c r="J1178" t="s">
        <v>120</v>
      </c>
    </row>
    <row r="1179" spans="2:11">
      <c r="B1179" s="102">
        <v>45591</v>
      </c>
      <c r="C1179">
        <v>3</v>
      </c>
      <c r="D1179" t="s">
        <v>121</v>
      </c>
      <c r="E1179" t="s">
        <v>121</v>
      </c>
      <c r="F1179" t="s">
        <v>120</v>
      </c>
      <c r="G1179" t="s">
        <v>121</v>
      </c>
      <c r="H1179" t="s">
        <v>121</v>
      </c>
      <c r="I1179" t="s">
        <v>121</v>
      </c>
      <c r="J1179" t="s">
        <v>120</v>
      </c>
    </row>
    <row r="1180" spans="2:11">
      <c r="B1180" s="102">
        <v>45592</v>
      </c>
      <c r="C1180">
        <v>3</v>
      </c>
      <c r="D1180" t="s">
        <v>121</v>
      </c>
      <c r="E1180" t="s">
        <v>121</v>
      </c>
      <c r="F1180" t="s">
        <v>121</v>
      </c>
      <c r="G1180" t="s">
        <v>121</v>
      </c>
      <c r="H1180" t="s">
        <v>121</v>
      </c>
      <c r="I1180" t="s">
        <v>121</v>
      </c>
      <c r="J1180" t="s">
        <v>120</v>
      </c>
      <c r="K1180">
        <v>173.4</v>
      </c>
    </row>
    <row r="1181" spans="2:11">
      <c r="B1181" s="102">
        <v>45593</v>
      </c>
      <c r="C1181">
        <v>1.5</v>
      </c>
      <c r="D1181" t="s">
        <v>120</v>
      </c>
      <c r="E1181" t="s">
        <v>121</v>
      </c>
      <c r="F1181" t="s">
        <v>121</v>
      </c>
      <c r="G1181" t="s">
        <v>121</v>
      </c>
      <c r="H1181" t="s">
        <v>121</v>
      </c>
      <c r="I1181" t="s">
        <v>121</v>
      </c>
      <c r="J1181" t="s">
        <v>120</v>
      </c>
    </row>
    <row r="1182" spans="2:11">
      <c r="B1182" s="102">
        <v>45594</v>
      </c>
      <c r="C1182">
        <v>1.5</v>
      </c>
      <c r="D1182" t="s">
        <v>120</v>
      </c>
      <c r="E1182" t="s">
        <v>121</v>
      </c>
      <c r="F1182" t="s">
        <v>121</v>
      </c>
      <c r="G1182" t="s">
        <v>121</v>
      </c>
      <c r="H1182" t="s">
        <v>121</v>
      </c>
      <c r="I1182" t="s">
        <v>121</v>
      </c>
      <c r="J1182" t="s">
        <v>120</v>
      </c>
    </row>
    <row r="1183" spans="2:11">
      <c r="B1183" s="102">
        <v>45595</v>
      </c>
      <c r="C1183">
        <v>2</v>
      </c>
      <c r="D1183" t="s">
        <v>120</v>
      </c>
      <c r="E1183" t="s">
        <v>121</v>
      </c>
      <c r="F1183" t="s">
        <v>121</v>
      </c>
      <c r="G1183" t="s">
        <v>121</v>
      </c>
      <c r="H1183" t="s">
        <v>121</v>
      </c>
      <c r="I1183" t="s">
        <v>121</v>
      </c>
      <c r="J1183" t="s">
        <v>120</v>
      </c>
    </row>
    <row r="1184" spans="2:11">
      <c r="B1184" s="102">
        <v>45596</v>
      </c>
      <c r="C1184">
        <v>2</v>
      </c>
      <c r="D1184" t="s">
        <v>120</v>
      </c>
      <c r="E1184" t="s">
        <v>121</v>
      </c>
      <c r="F1184" t="s">
        <v>121</v>
      </c>
      <c r="G1184" t="s">
        <v>121</v>
      </c>
      <c r="H1184" t="s">
        <v>121</v>
      </c>
      <c r="I1184" t="s">
        <v>121</v>
      </c>
      <c r="J1184" t="s">
        <v>120</v>
      </c>
    </row>
    <row r="1185" spans="2:12">
      <c r="B1185" s="102">
        <v>45597</v>
      </c>
      <c r="C1185">
        <v>2</v>
      </c>
      <c r="D1185" t="s">
        <v>120</v>
      </c>
      <c r="E1185" t="s">
        <v>121</v>
      </c>
      <c r="F1185" t="s">
        <v>121</v>
      </c>
      <c r="G1185" t="s">
        <v>121</v>
      </c>
      <c r="H1185" t="s">
        <v>121</v>
      </c>
      <c r="I1185" t="s">
        <v>121</v>
      </c>
      <c r="J1185" t="s">
        <v>120</v>
      </c>
    </row>
    <row r="1186" spans="2:12">
      <c r="B1186" s="102">
        <v>45598</v>
      </c>
      <c r="C1186">
        <v>3.5</v>
      </c>
      <c r="D1186" t="s">
        <v>121</v>
      </c>
      <c r="E1186" t="s">
        <v>121</v>
      </c>
      <c r="F1186" t="s">
        <v>121</v>
      </c>
      <c r="G1186" t="s">
        <v>121</v>
      </c>
      <c r="H1186" t="s">
        <v>121</v>
      </c>
      <c r="I1186" t="s">
        <v>121</v>
      </c>
      <c r="J1186" t="s">
        <v>120</v>
      </c>
    </row>
    <row r="1187" spans="2:12">
      <c r="B1187" s="102">
        <v>45599</v>
      </c>
      <c r="C1187">
        <v>2</v>
      </c>
      <c r="D1187" t="s">
        <v>121</v>
      </c>
      <c r="E1187" t="s">
        <v>120</v>
      </c>
      <c r="F1187" t="s">
        <v>121</v>
      </c>
      <c r="G1187" t="s">
        <v>121</v>
      </c>
      <c r="H1187" t="s">
        <v>121</v>
      </c>
      <c r="I1187" t="s">
        <v>121</v>
      </c>
      <c r="J1187" t="s">
        <v>120</v>
      </c>
      <c r="K1187">
        <v>175.6</v>
      </c>
    </row>
    <row r="1188" spans="2:12">
      <c r="B1188" s="102">
        <v>45600</v>
      </c>
    </row>
    <row r="1189" spans="2:12">
      <c r="B1189" s="102">
        <v>45601</v>
      </c>
    </row>
    <row r="1190" spans="2:12">
      <c r="B1190" s="102">
        <v>45602</v>
      </c>
    </row>
    <row r="1191" spans="2:12">
      <c r="B1191" s="102">
        <v>45603</v>
      </c>
    </row>
    <row r="1192" spans="2:12">
      <c r="B1192" s="102">
        <v>45604</v>
      </c>
    </row>
    <row r="1193" spans="2:12">
      <c r="B1193" s="102">
        <v>45605</v>
      </c>
    </row>
    <row r="1194" spans="2:12">
      <c r="B1194" s="102">
        <v>45606</v>
      </c>
      <c r="K1194">
        <v>176.4</v>
      </c>
      <c r="L1194">
        <v>177.6</v>
      </c>
    </row>
    <row r="1195" spans="2:12">
      <c r="B1195" s="102">
        <v>45607</v>
      </c>
    </row>
    <row r="1196" spans="2:12">
      <c r="B1196" s="102">
        <v>45608</v>
      </c>
    </row>
    <row r="1197" spans="2:12">
      <c r="B1197" s="102">
        <v>45609</v>
      </c>
    </row>
    <row r="1198" spans="2:12">
      <c r="B1198" s="102">
        <v>45610</v>
      </c>
    </row>
    <row r="1199" spans="2:12">
      <c r="B1199" s="102">
        <v>45611</v>
      </c>
    </row>
    <row r="1200" spans="2:12">
      <c r="B1200" s="102">
        <v>45612</v>
      </c>
    </row>
    <row r="1201" spans="2:11">
      <c r="B1201" s="102">
        <v>45613</v>
      </c>
      <c r="K1201">
        <v>178</v>
      </c>
    </row>
    <row r="1202" spans="2:11">
      <c r="B1202" s="102">
        <v>45614</v>
      </c>
    </row>
    <row r="1203" spans="2:11">
      <c r="B1203" s="102">
        <v>45615</v>
      </c>
    </row>
    <row r="1204" spans="2:11">
      <c r="B1204" s="102">
        <v>45616</v>
      </c>
    </row>
    <row r="1205" spans="2:11">
      <c r="B1205" s="102">
        <v>45617</v>
      </c>
    </row>
    <row r="1206" spans="2:11">
      <c r="B1206" s="102">
        <v>45618</v>
      </c>
    </row>
    <row r="1207" spans="2:11">
      <c r="B1207" s="102">
        <v>45619</v>
      </c>
    </row>
    <row r="1208" spans="2:11">
      <c r="B1208" s="102">
        <v>45620</v>
      </c>
      <c r="K1208">
        <v>178.8</v>
      </c>
    </row>
    <row r="1209" spans="2:11">
      <c r="B1209" s="102">
        <v>45621</v>
      </c>
    </row>
    <row r="1210" spans="2:11">
      <c r="B1210" s="102">
        <v>45622</v>
      </c>
    </row>
    <row r="1211" spans="2:11">
      <c r="B1211" s="102">
        <v>45623</v>
      </c>
    </row>
    <row r="1212" spans="2:11">
      <c r="B1212" s="102">
        <v>45624</v>
      </c>
    </row>
    <row r="1213" spans="2:11">
      <c r="B1213" s="102">
        <v>45625</v>
      </c>
    </row>
    <row r="1214" spans="2:11">
      <c r="B1214" s="102">
        <v>45626</v>
      </c>
      <c r="J1214" t="s">
        <v>120</v>
      </c>
    </row>
    <row r="1215" spans="2:11">
      <c r="B1215" s="102">
        <v>45627</v>
      </c>
      <c r="J1215" t="s">
        <v>120</v>
      </c>
      <c r="K1215">
        <v>185.2</v>
      </c>
    </row>
    <row r="1216" spans="2:11">
      <c r="B1216" s="102">
        <v>45628</v>
      </c>
      <c r="J1216" t="s">
        <v>121</v>
      </c>
    </row>
    <row r="1217" spans="2:12">
      <c r="B1217" s="102">
        <v>45629</v>
      </c>
      <c r="J1217" t="s">
        <v>121</v>
      </c>
    </row>
    <row r="1218" spans="2:12">
      <c r="B1218" s="102">
        <v>45630</v>
      </c>
      <c r="J1218" t="s">
        <v>918</v>
      </c>
    </row>
    <row r="1219" spans="2:12">
      <c r="B1219" s="102">
        <v>45631</v>
      </c>
    </row>
    <row r="1220" spans="2:12">
      <c r="B1220" s="102">
        <v>45632</v>
      </c>
    </row>
    <row r="1221" spans="2:12">
      <c r="B1221" s="102">
        <v>45633</v>
      </c>
    </row>
    <row r="1222" spans="2:12">
      <c r="B1222" s="102">
        <v>45634</v>
      </c>
      <c r="K1222">
        <v>180</v>
      </c>
      <c r="L1222">
        <v>180.6</v>
      </c>
    </row>
    <row r="1223" spans="2:12">
      <c r="B1223" s="102">
        <v>45635</v>
      </c>
    </row>
    <row r="1224" spans="2:12">
      <c r="B1224" s="102">
        <v>45636</v>
      </c>
    </row>
    <row r="1225" spans="2:12">
      <c r="B1225" s="102">
        <v>45637</v>
      </c>
    </row>
    <row r="1226" spans="2:12">
      <c r="B1226" s="102">
        <v>45638</v>
      </c>
    </row>
    <row r="1227" spans="2:12">
      <c r="B1227" s="102">
        <v>45639</v>
      </c>
    </row>
    <row r="1228" spans="2:12">
      <c r="B1228" s="102">
        <v>45640</v>
      </c>
    </row>
    <row r="1229" spans="2:12">
      <c r="B1229" s="102">
        <v>45641</v>
      </c>
      <c r="K1229">
        <v>179</v>
      </c>
    </row>
    <row r="1230" spans="2:12">
      <c r="B1230" s="102">
        <v>45642</v>
      </c>
    </row>
    <row r="1231" spans="2:12">
      <c r="B1231" s="102">
        <v>45643</v>
      </c>
    </row>
    <row r="1232" spans="2:12">
      <c r="B1232" s="102">
        <v>45644</v>
      </c>
    </row>
    <row r="1233" spans="2:11">
      <c r="B1233" s="102">
        <v>45645</v>
      </c>
    </row>
    <row r="1234" spans="2:11">
      <c r="B1234" s="102">
        <v>45646</v>
      </c>
    </row>
    <row r="1235" spans="2:11">
      <c r="B1235" s="102">
        <v>45647</v>
      </c>
    </row>
    <row r="1236" spans="2:11">
      <c r="B1236" s="102">
        <v>45648</v>
      </c>
      <c r="K1236">
        <v>179.6</v>
      </c>
    </row>
    <row r="1237" spans="2:11">
      <c r="B1237" s="102">
        <v>45649</v>
      </c>
    </row>
    <row r="1238" spans="2:11">
      <c r="B1238" s="102">
        <v>45650</v>
      </c>
    </row>
    <row r="1239" spans="2:11">
      <c r="B1239" s="102">
        <v>45651</v>
      </c>
    </row>
    <row r="1240" spans="2:11">
      <c r="B1240" s="102">
        <v>45652</v>
      </c>
    </row>
    <row r="1241" spans="2:11">
      <c r="B1241" s="102">
        <v>45653</v>
      </c>
    </row>
    <row r="1242" spans="2:11">
      <c r="B1242" s="102">
        <v>45654</v>
      </c>
    </row>
    <row r="1243" spans="2:11">
      <c r="B1243" s="102">
        <v>45655</v>
      </c>
      <c r="K1243">
        <v>183.6</v>
      </c>
    </row>
    <row r="1244" spans="2:11">
      <c r="B1244" s="102">
        <v>45656</v>
      </c>
    </row>
    <row r="1245" spans="2:11">
      <c r="B1245" s="102">
        <v>45657</v>
      </c>
    </row>
    <row r="1246" spans="2:11">
      <c r="B1246" s="102">
        <v>45658</v>
      </c>
    </row>
    <row r="1247" spans="2:11">
      <c r="B1247" s="102">
        <v>45659</v>
      </c>
    </row>
    <row r="1248" spans="2:11">
      <c r="B1248" s="102">
        <v>45660</v>
      </c>
    </row>
    <row r="1249" spans="2:11">
      <c r="B1249" s="102">
        <v>45661</v>
      </c>
    </row>
    <row r="1250" spans="2:11">
      <c r="B1250" s="102">
        <v>45662</v>
      </c>
    </row>
    <row r="1251" spans="2:11">
      <c r="B1251" s="102">
        <v>45663</v>
      </c>
      <c r="K1251">
        <v>184.4</v>
      </c>
    </row>
    <row r="1252" spans="2:11">
      <c r="B1252" s="102">
        <v>45664</v>
      </c>
    </row>
    <row r="1253" spans="2:11">
      <c r="B1253" s="102">
        <v>45665</v>
      </c>
    </row>
    <row r="1254" spans="2:11">
      <c r="B1254" s="102">
        <v>45666</v>
      </c>
    </row>
    <row r="1255" spans="2:11">
      <c r="B1255" s="102">
        <v>45667</v>
      </c>
    </row>
    <row r="1256" spans="2:11">
      <c r="B1256" s="102">
        <v>45668</v>
      </c>
    </row>
    <row r="1257" spans="2:11">
      <c r="B1257" s="102">
        <v>45669</v>
      </c>
      <c r="K1257">
        <v>183.8</v>
      </c>
    </row>
    <row r="1258" spans="2:11">
      <c r="B1258" s="102">
        <v>45670</v>
      </c>
    </row>
    <row r="1259" spans="2:11">
      <c r="B1259" s="102">
        <v>45671</v>
      </c>
    </row>
    <row r="1260" spans="2:11">
      <c r="B1260" s="102">
        <v>45672</v>
      </c>
    </row>
    <row r="1261" spans="2:11">
      <c r="B1261" s="102">
        <v>45673</v>
      </c>
    </row>
    <row r="1262" spans="2:11">
      <c r="B1262" s="102">
        <v>45674</v>
      </c>
    </row>
    <row r="1263" spans="2:11">
      <c r="B1263" s="102">
        <v>45675</v>
      </c>
    </row>
    <row r="1264" spans="2:11">
      <c r="B1264" s="102">
        <v>45676</v>
      </c>
      <c r="K1264">
        <v>187</v>
      </c>
    </row>
    <row r="1265" spans="2:11">
      <c r="B1265" s="102">
        <v>45677</v>
      </c>
    </row>
    <row r="1266" spans="2:11">
      <c r="B1266" s="102">
        <v>45678</v>
      </c>
    </row>
    <row r="1267" spans="2:11">
      <c r="B1267" s="102">
        <v>45679</v>
      </c>
    </row>
    <row r="1268" spans="2:11">
      <c r="B1268" s="102">
        <v>45680</v>
      </c>
    </row>
    <row r="1269" spans="2:11">
      <c r="B1269" s="102">
        <v>45681</v>
      </c>
    </row>
    <row r="1270" spans="2:11">
      <c r="B1270" s="102">
        <v>45682</v>
      </c>
    </row>
    <row r="1271" spans="2:11">
      <c r="B1271" s="102">
        <v>45683</v>
      </c>
      <c r="K1271">
        <v>184.6</v>
      </c>
    </row>
    <row r="1272" spans="2:11">
      <c r="B1272" s="102">
        <v>45684</v>
      </c>
    </row>
    <row r="1273" spans="2:11">
      <c r="B1273" s="102">
        <v>45685</v>
      </c>
    </row>
    <row r="1274" spans="2:11">
      <c r="B1274" s="102">
        <v>45686</v>
      </c>
    </row>
    <row r="1275" spans="2:11">
      <c r="B1275" s="102">
        <v>45687</v>
      </c>
    </row>
    <row r="1276" spans="2:11">
      <c r="B1276" s="102">
        <v>45688</v>
      </c>
    </row>
    <row r="1277" spans="2:11">
      <c r="B1277" s="102">
        <v>45689</v>
      </c>
    </row>
    <row r="1278" spans="2:11">
      <c r="B1278" s="102">
        <v>45690</v>
      </c>
      <c r="K1278">
        <v>181.4</v>
      </c>
    </row>
    <row r="1279" spans="2:11">
      <c r="B1279" s="102">
        <v>45691</v>
      </c>
    </row>
    <row r="1280" spans="2:11">
      <c r="B1280" s="102">
        <v>45692</v>
      </c>
    </row>
    <row r="1281" spans="2:11">
      <c r="B1281" s="102">
        <v>45693</v>
      </c>
    </row>
    <row r="1282" spans="2:11">
      <c r="B1282" s="102">
        <v>45694</v>
      </c>
    </row>
    <row r="1283" spans="2:11">
      <c r="B1283" s="102">
        <v>45695</v>
      </c>
    </row>
    <row r="1284" spans="2:11">
      <c r="B1284" s="102">
        <v>45696</v>
      </c>
    </row>
    <row r="1285" spans="2:11">
      <c r="B1285" s="102">
        <v>45697</v>
      </c>
      <c r="K1285">
        <v>182.6</v>
      </c>
    </row>
    <row r="1286" spans="2:11">
      <c r="B1286" s="102">
        <v>45698</v>
      </c>
    </row>
    <row r="1287" spans="2:11">
      <c r="B1287" s="102">
        <v>45699</v>
      </c>
    </row>
    <row r="1288" spans="2:11">
      <c r="B1288" s="102">
        <v>45700</v>
      </c>
    </row>
    <row r="1289" spans="2:11">
      <c r="B1289" s="102">
        <v>45701</v>
      </c>
    </row>
    <row r="1290" spans="2:11">
      <c r="B1290" s="102">
        <v>45702</v>
      </c>
    </row>
    <row r="1291" spans="2:11">
      <c r="B1291" s="102">
        <v>45703</v>
      </c>
    </row>
    <row r="1292" spans="2:11">
      <c r="B1292" s="102">
        <v>45704</v>
      </c>
      <c r="K1292">
        <v>183.8</v>
      </c>
    </row>
    <row r="1293" spans="2:11">
      <c r="B1293" s="102">
        <v>45705</v>
      </c>
    </row>
    <row r="1294" spans="2:11">
      <c r="B1294" s="102">
        <v>45706</v>
      </c>
    </row>
    <row r="1295" spans="2:11">
      <c r="B1295" s="102">
        <v>45707</v>
      </c>
    </row>
    <row r="1296" spans="2:11">
      <c r="B1296" s="102">
        <v>45708</v>
      </c>
    </row>
    <row r="1297" spans="2:11">
      <c r="B1297" s="102">
        <v>45709</v>
      </c>
    </row>
    <row r="1298" spans="2:11">
      <c r="B1298" s="102">
        <v>45710</v>
      </c>
    </row>
    <row r="1299" spans="2:11">
      <c r="B1299" s="102">
        <v>45711</v>
      </c>
      <c r="K1299">
        <v>188.8</v>
      </c>
    </row>
    <row r="1300" spans="2:11">
      <c r="B1300" s="102">
        <v>45712</v>
      </c>
    </row>
    <row r="1301" spans="2:11">
      <c r="B1301" s="102">
        <v>45713</v>
      </c>
    </row>
    <row r="1302" spans="2:11">
      <c r="B1302" s="102">
        <v>45714</v>
      </c>
    </row>
    <row r="1303" spans="2:11">
      <c r="B1303" s="102">
        <v>45715</v>
      </c>
    </row>
    <row r="1304" spans="2:11">
      <c r="B1304" s="102">
        <v>45716</v>
      </c>
    </row>
    <row r="1305" spans="2:11">
      <c r="B1305" s="102">
        <v>45717</v>
      </c>
    </row>
    <row r="1306" spans="2:11">
      <c r="B1306" s="102">
        <v>45718</v>
      </c>
      <c r="J1306" t="s">
        <v>120</v>
      </c>
      <c r="K1306">
        <v>185.8</v>
      </c>
    </row>
    <row r="1307" spans="2:11">
      <c r="B1307" s="102">
        <v>45719</v>
      </c>
      <c r="J1307" t="s">
        <v>120</v>
      </c>
    </row>
    <row r="1308" spans="2:11">
      <c r="B1308" s="102">
        <v>45720</v>
      </c>
      <c r="J1308" t="s">
        <v>120</v>
      </c>
    </row>
    <row r="1309" spans="2:11">
      <c r="B1309" s="102">
        <v>45721</v>
      </c>
      <c r="J1309" t="s">
        <v>120</v>
      </c>
    </row>
    <row r="1310" spans="2:11">
      <c r="B1310" s="102">
        <v>45722</v>
      </c>
      <c r="J1310" t="s">
        <v>120</v>
      </c>
    </row>
    <row r="1311" spans="2:11">
      <c r="B1311" s="102">
        <v>45723</v>
      </c>
      <c r="J1311" t="s">
        <v>120</v>
      </c>
    </row>
    <row r="1312" spans="2:11">
      <c r="B1312" s="102">
        <v>45724</v>
      </c>
      <c r="J1312" t="s">
        <v>120</v>
      </c>
    </row>
    <row r="1313" spans="2:11">
      <c r="B1313" s="102">
        <v>45725</v>
      </c>
      <c r="J1313" t="s">
        <v>120</v>
      </c>
      <c r="K1313">
        <v>188.2</v>
      </c>
    </row>
    <row r="1314" spans="2:11">
      <c r="B1314" s="102">
        <v>45726</v>
      </c>
      <c r="J1314" t="s">
        <v>120</v>
      </c>
    </row>
    <row r="1315" spans="2:11">
      <c r="B1315" s="102">
        <v>45727</v>
      </c>
      <c r="J1315" t="s">
        <v>120</v>
      </c>
    </row>
    <row r="1316" spans="2:11">
      <c r="B1316" s="102">
        <v>45728</v>
      </c>
      <c r="J1316" t="s">
        <v>120</v>
      </c>
    </row>
    <row r="1317" spans="2:11">
      <c r="B1317" s="102">
        <v>45729</v>
      </c>
      <c r="J1317" t="s">
        <v>120</v>
      </c>
    </row>
    <row r="1318" spans="2:11">
      <c r="B1318" s="102">
        <v>45730</v>
      </c>
      <c r="J1318" t="s">
        <v>121</v>
      </c>
    </row>
    <row r="1319" spans="2:11">
      <c r="B1319" s="102">
        <v>45731</v>
      </c>
      <c r="J1319" t="s">
        <v>121</v>
      </c>
    </row>
    <row r="1320" spans="2:11">
      <c r="B1320" s="102">
        <v>45732</v>
      </c>
      <c r="J1320" t="s">
        <v>121</v>
      </c>
    </row>
    <row r="1321" spans="2:11">
      <c r="B1321" s="102">
        <v>45733</v>
      </c>
      <c r="J1321" t="s">
        <v>121</v>
      </c>
    </row>
    <row r="1322" spans="2:11">
      <c r="B1322" s="102">
        <v>45734</v>
      </c>
      <c r="J1322" t="s">
        <v>121</v>
      </c>
    </row>
    <row r="1323" spans="2:11">
      <c r="B1323" s="102">
        <v>45735</v>
      </c>
      <c r="J1323" t="s">
        <v>120</v>
      </c>
    </row>
    <row r="1324" spans="2:11">
      <c r="B1324" s="102">
        <v>45736</v>
      </c>
      <c r="J1324" t="s">
        <v>120</v>
      </c>
    </row>
    <row r="1325" spans="2:11">
      <c r="B1325" s="102">
        <v>45737</v>
      </c>
      <c r="J1325" t="s">
        <v>120</v>
      </c>
    </row>
    <row r="1326" spans="2:11">
      <c r="B1326" s="102">
        <v>45738</v>
      </c>
      <c r="J1326" t="s">
        <v>120</v>
      </c>
    </row>
    <row r="1327" spans="2:11">
      <c r="B1327" s="102">
        <v>45739</v>
      </c>
      <c r="J1327" t="s">
        <v>120</v>
      </c>
      <c r="K1327">
        <v>190.2</v>
      </c>
    </row>
    <row r="1328" spans="2:11">
      <c r="B1328" s="102">
        <v>45740</v>
      </c>
      <c r="J1328" t="s">
        <v>120</v>
      </c>
    </row>
    <row r="1329" spans="2:11">
      <c r="B1329" s="102">
        <v>45741</v>
      </c>
      <c r="J1329" t="s">
        <v>120</v>
      </c>
    </row>
    <row r="1330" spans="2:11">
      <c r="B1330" s="102">
        <v>45742</v>
      </c>
      <c r="J1330" t="s">
        <v>120</v>
      </c>
    </row>
    <row r="1331" spans="2:11">
      <c r="B1331" s="102">
        <v>45743</v>
      </c>
      <c r="J1331" t="s">
        <v>121</v>
      </c>
    </row>
    <row r="1332" spans="2:11">
      <c r="B1332" s="102">
        <v>45744</v>
      </c>
      <c r="J1332" t="s">
        <v>120</v>
      </c>
    </row>
    <row r="1333" spans="2:11">
      <c r="B1333" s="102">
        <v>45745</v>
      </c>
      <c r="J1333" t="s">
        <v>120</v>
      </c>
    </row>
    <row r="1334" spans="2:11">
      <c r="B1334" s="102">
        <v>45746</v>
      </c>
      <c r="J1334" t="s">
        <v>120</v>
      </c>
      <c r="K1334">
        <v>187.4</v>
      </c>
    </row>
    <row r="1335" spans="2:11">
      <c r="B1335" s="102">
        <v>45747</v>
      </c>
      <c r="J1335" t="s">
        <v>121</v>
      </c>
    </row>
    <row r="1336" spans="2:11">
      <c r="B1336" s="102">
        <v>45748</v>
      </c>
    </row>
    <row r="1337" spans="2:11">
      <c r="B1337" s="102">
        <v>45749</v>
      </c>
    </row>
    <row r="1338" spans="2:11">
      <c r="B1338" s="102">
        <v>45750</v>
      </c>
    </row>
    <row r="1339" spans="2:11">
      <c r="B1339" s="102">
        <v>45751</v>
      </c>
    </row>
    <row r="1340" spans="2:11">
      <c r="B1340" s="102">
        <v>45752</v>
      </c>
    </row>
    <row r="1341" spans="2:11">
      <c r="B1341" s="102">
        <v>45753</v>
      </c>
    </row>
    <row r="1342" spans="2:11">
      <c r="B1342" s="102">
        <v>45754</v>
      </c>
    </row>
    <row r="1343" spans="2:11">
      <c r="B1343" s="102">
        <v>45755</v>
      </c>
    </row>
    <row r="1344" spans="2:11">
      <c r="B1344" s="102">
        <v>45756</v>
      </c>
    </row>
    <row r="1345" spans="2:11">
      <c r="B1345" s="102">
        <v>45757</v>
      </c>
    </row>
    <row r="1346" spans="2:11">
      <c r="B1346" s="102">
        <v>45758</v>
      </c>
    </row>
    <row r="1347" spans="2:11">
      <c r="B1347" s="102">
        <v>45759</v>
      </c>
    </row>
    <row r="1348" spans="2:11">
      <c r="B1348" s="102">
        <v>45760</v>
      </c>
      <c r="K1348">
        <v>190.6</v>
      </c>
    </row>
    <row r="1349" spans="2:11">
      <c r="B1349" s="102">
        <v>45761</v>
      </c>
    </row>
    <row r="1350" spans="2:11">
      <c r="B1350" s="102">
        <v>45762</v>
      </c>
    </row>
    <row r="1351" spans="2:11">
      <c r="B1351" s="102">
        <v>45763</v>
      </c>
    </row>
    <row r="1352" spans="2:11">
      <c r="B1352" s="102">
        <v>45764</v>
      </c>
    </row>
    <row r="1353" spans="2:11">
      <c r="B1353" s="102">
        <v>45765</v>
      </c>
    </row>
    <row r="1354" spans="2:11">
      <c r="B1354" s="102">
        <v>45766</v>
      </c>
    </row>
    <row r="1355" spans="2:11">
      <c r="B1355" s="102">
        <v>45767</v>
      </c>
      <c r="K1355">
        <v>188.8</v>
      </c>
    </row>
    <row r="1356" spans="2:11">
      <c r="B1356" s="102">
        <v>45768</v>
      </c>
    </row>
    <row r="1357" spans="2:11">
      <c r="B1357" s="102">
        <v>45769</v>
      </c>
    </row>
    <row r="1358" spans="2:11">
      <c r="B1358" s="102">
        <v>45770</v>
      </c>
    </row>
    <row r="1359" spans="2:11">
      <c r="B1359" s="102">
        <v>45771</v>
      </c>
    </row>
    <row r="1360" spans="2:11">
      <c r="B1360" s="102">
        <v>45772</v>
      </c>
    </row>
    <row r="1361" spans="2:11">
      <c r="B1361" s="102">
        <v>45773</v>
      </c>
    </row>
    <row r="1362" spans="2:11">
      <c r="B1362" s="102">
        <v>45774</v>
      </c>
      <c r="K1362">
        <v>189.8</v>
      </c>
    </row>
    <row r="1363" spans="2:11">
      <c r="B1363" s="102">
        <v>45775</v>
      </c>
    </row>
    <row r="1364" spans="2:11">
      <c r="B1364" s="102">
        <v>45776</v>
      </c>
    </row>
    <row r="1365" spans="2:11">
      <c r="B1365" s="102">
        <v>45777</v>
      </c>
    </row>
    <row r="1366" spans="2:11">
      <c r="B1366" s="102">
        <v>45778</v>
      </c>
    </row>
    <row r="1367" spans="2:11">
      <c r="B1367" s="102">
        <v>45779</v>
      </c>
    </row>
    <row r="1368" spans="2:11">
      <c r="B1368" s="102">
        <v>45780</v>
      </c>
    </row>
    <row r="1369" spans="2:11">
      <c r="B1369" s="102">
        <v>45781</v>
      </c>
      <c r="K1369">
        <v>190</v>
      </c>
    </row>
    <row r="1370" spans="2:11">
      <c r="B1370" s="102">
        <v>45782</v>
      </c>
    </row>
    <row r="1371" spans="2:11">
      <c r="B1371" s="102">
        <v>45783</v>
      </c>
    </row>
    <row r="1372" spans="2:11">
      <c r="B1372" s="102">
        <v>45784</v>
      </c>
    </row>
    <row r="1373" spans="2:11">
      <c r="B1373" s="102">
        <v>45785</v>
      </c>
    </row>
    <row r="1374" spans="2:11">
      <c r="B1374" s="102">
        <v>45786</v>
      </c>
    </row>
    <row r="1375" spans="2:11">
      <c r="B1375" s="102">
        <v>45787</v>
      </c>
    </row>
    <row r="1376" spans="2:11">
      <c r="B1376" s="102">
        <v>45788</v>
      </c>
      <c r="K1376">
        <v>188.8</v>
      </c>
    </row>
    <row r="1377" spans="2:11">
      <c r="B1377" s="102">
        <v>45789</v>
      </c>
    </row>
    <row r="1378" spans="2:11">
      <c r="B1378" s="102">
        <v>45790</v>
      </c>
    </row>
    <row r="1379" spans="2:11">
      <c r="B1379" s="102">
        <v>45791</v>
      </c>
    </row>
    <row r="1380" spans="2:11">
      <c r="B1380" s="102">
        <v>45792</v>
      </c>
    </row>
    <row r="1381" spans="2:11">
      <c r="B1381" s="102">
        <v>45793</v>
      </c>
    </row>
    <row r="1382" spans="2:11">
      <c r="B1382" s="102">
        <v>45794</v>
      </c>
    </row>
    <row r="1383" spans="2:11">
      <c r="B1383" s="102">
        <v>45795</v>
      </c>
      <c r="K1383">
        <v>192.8</v>
      </c>
    </row>
    <row r="1384" spans="2:11">
      <c r="B1384" s="102">
        <v>45796</v>
      </c>
    </row>
    <row r="1385" spans="2:11">
      <c r="B1385" s="102">
        <v>45797</v>
      </c>
    </row>
    <row r="1386" spans="2:11">
      <c r="B1386" s="102">
        <v>45798</v>
      </c>
    </row>
    <row r="1387" spans="2:11">
      <c r="B1387" s="102">
        <v>45799</v>
      </c>
    </row>
    <row r="1388" spans="2:11">
      <c r="B1388" s="102">
        <v>45800</v>
      </c>
    </row>
    <row r="1389" spans="2:11">
      <c r="B1389" s="102">
        <v>45801</v>
      </c>
    </row>
    <row r="1390" spans="2:11">
      <c r="B1390" s="102">
        <v>45802</v>
      </c>
      <c r="K1390">
        <v>196.2</v>
      </c>
    </row>
    <row r="1391" spans="2:11">
      <c r="B1391" s="102">
        <v>45803</v>
      </c>
    </row>
    <row r="1392" spans="2:11">
      <c r="B1392" s="102">
        <v>45804</v>
      </c>
    </row>
    <row r="1393" spans="2:11">
      <c r="B1393" s="102">
        <v>45805</v>
      </c>
    </row>
    <row r="1394" spans="2:11">
      <c r="B1394" s="102">
        <v>45806</v>
      </c>
    </row>
    <row r="1395" spans="2:11">
      <c r="B1395" s="102">
        <v>45807</v>
      </c>
    </row>
    <row r="1396" spans="2:11">
      <c r="B1396" s="102">
        <v>45808</v>
      </c>
    </row>
    <row r="1397" spans="2:11">
      <c r="B1397" s="102">
        <v>45809</v>
      </c>
    </row>
    <row r="1398" spans="2:11">
      <c r="B1398" s="102">
        <v>45810</v>
      </c>
    </row>
    <row r="1399" spans="2:11">
      <c r="B1399" s="102">
        <v>45811</v>
      </c>
    </row>
    <row r="1400" spans="2:11">
      <c r="B1400" s="102">
        <v>45812</v>
      </c>
    </row>
    <row r="1401" spans="2:11">
      <c r="B1401" s="102">
        <v>45813</v>
      </c>
    </row>
    <row r="1402" spans="2:11">
      <c r="B1402" s="102">
        <v>45814</v>
      </c>
    </row>
    <row r="1403" spans="2:11">
      <c r="B1403" s="102">
        <v>45815</v>
      </c>
    </row>
    <row r="1404" spans="2:11">
      <c r="B1404" s="102">
        <v>45816</v>
      </c>
      <c r="J1404" t="s">
        <v>120</v>
      </c>
      <c r="K1404">
        <v>192.2</v>
      </c>
    </row>
    <row r="1405" spans="2:11">
      <c r="B1405" s="102">
        <v>45817</v>
      </c>
      <c r="J1405" t="s">
        <v>120</v>
      </c>
    </row>
    <row r="1406" spans="2:11">
      <c r="B1406" s="102">
        <v>45818</v>
      </c>
      <c r="J1406" t="s">
        <v>120</v>
      </c>
    </row>
    <row r="1407" spans="2:11">
      <c r="B1407" s="102">
        <v>45819</v>
      </c>
      <c r="J1407" t="s">
        <v>121</v>
      </c>
    </row>
    <row r="1408" spans="2:11">
      <c r="B1408" s="102">
        <v>45820</v>
      </c>
    </row>
    <row r="1409" spans="2:11">
      <c r="B1409" s="102">
        <v>45821</v>
      </c>
    </row>
    <row r="1410" spans="2:11">
      <c r="B1410" s="102">
        <v>45822</v>
      </c>
    </row>
    <row r="1411" spans="2:11">
      <c r="B1411" s="102">
        <v>45823</v>
      </c>
      <c r="K1411">
        <v>191</v>
      </c>
    </row>
    <row r="1412" spans="2:11">
      <c r="B1412" s="102">
        <v>45824</v>
      </c>
    </row>
    <row r="1413" spans="2:11">
      <c r="B1413" s="102">
        <v>45825</v>
      </c>
    </row>
    <row r="1414" spans="2:11">
      <c r="B1414" s="102">
        <v>45826</v>
      </c>
    </row>
    <row r="1415" spans="2:11">
      <c r="B1415" s="102">
        <v>45827</v>
      </c>
    </row>
    <row r="1416" spans="2:11">
      <c r="B1416" s="102">
        <v>45828</v>
      </c>
    </row>
    <row r="1417" spans="2:11">
      <c r="B1417" s="102">
        <v>45829</v>
      </c>
    </row>
    <row r="1418" spans="2:11">
      <c r="B1418" s="102">
        <v>45830</v>
      </c>
      <c r="K1418">
        <v>192.2</v>
      </c>
    </row>
    <row r="1419" spans="2:11">
      <c r="B1419" s="102">
        <v>45831</v>
      </c>
    </row>
    <row r="1420" spans="2:11">
      <c r="B1420" s="102">
        <v>45832</v>
      </c>
    </row>
    <row r="1421" spans="2:11">
      <c r="B1421" s="102">
        <v>45833</v>
      </c>
    </row>
    <row r="1422" spans="2:11">
      <c r="B1422" s="102">
        <v>45834</v>
      </c>
    </row>
    <row r="1423" spans="2:11">
      <c r="B1423" s="102">
        <v>45835</v>
      </c>
    </row>
    <row r="1424" spans="2:11">
      <c r="B1424" s="102">
        <v>45836</v>
      </c>
    </row>
    <row r="1425" spans="2:11">
      <c r="B1425" s="102">
        <v>45837</v>
      </c>
    </row>
    <row r="1426" spans="2:11">
      <c r="B1426" s="102">
        <v>45838</v>
      </c>
    </row>
    <row r="1427" spans="2:11">
      <c r="B1427" s="102">
        <v>45839</v>
      </c>
    </row>
    <row r="1428" spans="2:11">
      <c r="B1428" s="102">
        <v>45840</v>
      </c>
    </row>
    <row r="1429" spans="2:11">
      <c r="B1429" s="102">
        <v>45841</v>
      </c>
    </row>
    <row r="1430" spans="2:11">
      <c r="B1430" s="102">
        <v>45842</v>
      </c>
    </row>
    <row r="1431" spans="2:11">
      <c r="B1431" s="102">
        <v>45843</v>
      </c>
    </row>
    <row r="1432" spans="2:11">
      <c r="B1432" s="102">
        <v>45844</v>
      </c>
      <c r="K1432">
        <v>191.2</v>
      </c>
    </row>
    <row r="1433" spans="2:11">
      <c r="B1433" s="102">
        <v>45845</v>
      </c>
    </row>
    <row r="1434" spans="2:11">
      <c r="B1434" s="102">
        <v>45846</v>
      </c>
    </row>
    <row r="1435" spans="2:11">
      <c r="B1435" s="102">
        <v>45847</v>
      </c>
    </row>
    <row r="1436" spans="2:11">
      <c r="B1436" s="102">
        <v>45848</v>
      </c>
    </row>
    <row r="1437" spans="2:11">
      <c r="B1437" s="102">
        <v>45849</v>
      </c>
    </row>
    <row r="1438" spans="2:11">
      <c r="B1438" s="102">
        <v>45850</v>
      </c>
    </row>
    <row r="1439" spans="2:11">
      <c r="B1439" s="102">
        <v>45851</v>
      </c>
      <c r="K1439">
        <v>190.6</v>
      </c>
    </row>
    <row r="1440" spans="2:11">
      <c r="B1440" s="102">
        <v>45852</v>
      </c>
    </row>
    <row r="1441" spans="2:11">
      <c r="B1441" s="102">
        <v>45853</v>
      </c>
    </row>
    <row r="1442" spans="2:11">
      <c r="B1442" s="102">
        <v>45854</v>
      </c>
    </row>
    <row r="1443" spans="2:11">
      <c r="B1443" s="102">
        <v>45855</v>
      </c>
    </row>
    <row r="1444" spans="2:11">
      <c r="B1444" s="102">
        <v>45856</v>
      </c>
    </row>
    <row r="1445" spans="2:11">
      <c r="B1445" s="102">
        <v>45857</v>
      </c>
    </row>
    <row r="1446" spans="2:11">
      <c r="B1446" s="102">
        <v>45858</v>
      </c>
      <c r="K1446">
        <v>194.2</v>
      </c>
    </row>
    <row r="1447" spans="2:11">
      <c r="B1447" s="102">
        <v>45859</v>
      </c>
    </row>
    <row r="1448" spans="2:11">
      <c r="B1448" s="102">
        <v>45860</v>
      </c>
    </row>
    <row r="1449" spans="2:11">
      <c r="B1449" s="102">
        <v>45861</v>
      </c>
    </row>
    <row r="1450" spans="2:11">
      <c r="B1450" s="102">
        <v>45862</v>
      </c>
    </row>
    <row r="1451" spans="2:11">
      <c r="B1451" s="102">
        <v>45863</v>
      </c>
    </row>
    <row r="1452" spans="2:11">
      <c r="B1452" s="102">
        <v>45864</v>
      </c>
    </row>
    <row r="1453" spans="2:11">
      <c r="B1453" s="102">
        <v>45865</v>
      </c>
    </row>
    <row r="1454" spans="2:11">
      <c r="B1454" s="102">
        <v>45866</v>
      </c>
    </row>
    <row r="1455" spans="2:11">
      <c r="B1455" s="102">
        <v>45867</v>
      </c>
    </row>
    <row r="1456" spans="2:11">
      <c r="B1456" s="102">
        <v>45868</v>
      </c>
    </row>
    <row r="1457" spans="2:11">
      <c r="B1457" s="102">
        <v>45869</v>
      </c>
    </row>
    <row r="1458" spans="2:11">
      <c r="B1458" s="102">
        <v>45870</v>
      </c>
    </row>
    <row r="1459" spans="2:11">
      <c r="B1459" s="102">
        <v>45871</v>
      </c>
    </row>
    <row r="1460" spans="2:11">
      <c r="B1460" s="102">
        <v>45872</v>
      </c>
      <c r="K1460">
        <v>191.2</v>
      </c>
    </row>
    <row r="1461" spans="2:11">
      <c r="B1461" s="102">
        <v>45873</v>
      </c>
    </row>
    <row r="1462" spans="2:11">
      <c r="B1462" s="102">
        <v>45874</v>
      </c>
    </row>
    <row r="1463" spans="2:11">
      <c r="B1463" s="102">
        <v>45875</v>
      </c>
    </row>
    <row r="1464" spans="2:11">
      <c r="B1464" s="102">
        <v>45876</v>
      </c>
    </row>
    <row r="1465" spans="2:11">
      <c r="B1465" s="102">
        <v>45877</v>
      </c>
    </row>
    <row r="1466" spans="2:11">
      <c r="B1466" s="102">
        <v>45878</v>
      </c>
    </row>
    <row r="1467" spans="2:11">
      <c r="B1467" s="102">
        <v>45879</v>
      </c>
      <c r="K1467">
        <v>187.6</v>
      </c>
    </row>
    <row r="1468" spans="2:11">
      <c r="B1468" s="102">
        <v>45880</v>
      </c>
    </row>
    <row r="1469" spans="2:11">
      <c r="B1469" s="102">
        <v>45881</v>
      </c>
    </row>
    <row r="1470" spans="2:11">
      <c r="B1470" s="102">
        <v>45882</v>
      </c>
    </row>
    <row r="1471" spans="2:11">
      <c r="B1471" s="102">
        <v>45883</v>
      </c>
    </row>
    <row r="1472" spans="2:11">
      <c r="B1472" s="102">
        <v>45884</v>
      </c>
    </row>
    <row r="1473" spans="2:11">
      <c r="B1473" s="102">
        <v>45885</v>
      </c>
    </row>
    <row r="1474" spans="2:11">
      <c r="B1474" s="102">
        <v>45886</v>
      </c>
    </row>
    <row r="1475" spans="2:11">
      <c r="B1475" s="102">
        <v>45887</v>
      </c>
      <c r="K1475">
        <v>189.4</v>
      </c>
    </row>
    <row r="1476" spans="2:11">
      <c r="B1476" s="102">
        <v>45888</v>
      </c>
    </row>
    <row r="1477" spans="2:11">
      <c r="B1477" s="102">
        <v>45889</v>
      </c>
    </row>
    <row r="1478" spans="2:11">
      <c r="B1478" s="102">
        <v>45890</v>
      </c>
    </row>
    <row r="1479" spans="2:11">
      <c r="B1479" s="102">
        <v>45891</v>
      </c>
    </row>
    <row r="1480" spans="2:11">
      <c r="B1480" s="102">
        <v>45892</v>
      </c>
    </row>
    <row r="1481" spans="2:11">
      <c r="B1481" s="102">
        <v>45893</v>
      </c>
    </row>
    <row r="1482" spans="2:11">
      <c r="B1482" s="102">
        <v>45894</v>
      </c>
    </row>
    <row r="1483" spans="2:11">
      <c r="B1483" s="102">
        <v>45895</v>
      </c>
    </row>
    <row r="1484" spans="2:11">
      <c r="B1484" s="102">
        <v>45896</v>
      </c>
    </row>
    <row r="1485" spans="2:11">
      <c r="B1485" s="102">
        <v>45897</v>
      </c>
    </row>
    <row r="1486" spans="2:11">
      <c r="B1486" s="102">
        <v>45898</v>
      </c>
    </row>
    <row r="1487" spans="2:11">
      <c r="B1487" s="102">
        <v>45899</v>
      </c>
    </row>
    <row r="1488" spans="2:11">
      <c r="B1488" s="102">
        <v>45900</v>
      </c>
      <c r="K1488">
        <v>191.2</v>
      </c>
    </row>
    <row r="1489" spans="2:11">
      <c r="B1489" s="102">
        <v>45901</v>
      </c>
    </row>
    <row r="1490" spans="2:11">
      <c r="B1490" s="102">
        <v>45902</v>
      </c>
    </row>
    <row r="1491" spans="2:11">
      <c r="B1491" s="102">
        <v>45903</v>
      </c>
    </row>
    <row r="1492" spans="2:11">
      <c r="B1492" s="102">
        <v>45904</v>
      </c>
    </row>
    <row r="1493" spans="2:11">
      <c r="B1493" s="102">
        <v>45905</v>
      </c>
    </row>
    <row r="1494" spans="2:11">
      <c r="B1494" s="102">
        <v>45906</v>
      </c>
    </row>
    <row r="1495" spans="2:11">
      <c r="B1495" s="102">
        <v>45907</v>
      </c>
    </row>
    <row r="1496" spans="2:11">
      <c r="B1496" s="102">
        <v>45908</v>
      </c>
    </row>
    <row r="1497" spans="2:11">
      <c r="B1497" s="102">
        <v>45909</v>
      </c>
    </row>
    <row r="1498" spans="2:11">
      <c r="B1498" s="102">
        <v>45910</v>
      </c>
    </row>
    <row r="1499" spans="2:11">
      <c r="B1499" s="102">
        <v>45911</v>
      </c>
    </row>
    <row r="1500" spans="2:11">
      <c r="B1500" s="102">
        <v>45912</v>
      </c>
    </row>
    <row r="1501" spans="2:11">
      <c r="B1501" s="102">
        <v>45913</v>
      </c>
    </row>
    <row r="1502" spans="2:11">
      <c r="B1502" s="102">
        <v>45914</v>
      </c>
      <c r="K1502">
        <v>191.4</v>
      </c>
    </row>
    <row r="1503" spans="2:11">
      <c r="B1503" s="102">
        <v>45915</v>
      </c>
    </row>
    <row r="1504" spans="2:11">
      <c r="B1504" s="102">
        <v>45916</v>
      </c>
    </row>
    <row r="1505" spans="2:11">
      <c r="B1505" s="102">
        <v>45917</v>
      </c>
    </row>
    <row r="1506" spans="2:11">
      <c r="B1506" s="102">
        <v>45918</v>
      </c>
    </row>
    <row r="1507" spans="2:11">
      <c r="B1507" s="102">
        <v>45919</v>
      </c>
    </row>
    <row r="1508" spans="2:11">
      <c r="B1508" s="102">
        <v>45920</v>
      </c>
    </row>
    <row r="1509" spans="2:11">
      <c r="B1509" s="102">
        <v>45921</v>
      </c>
      <c r="K1509">
        <v>193.2</v>
      </c>
    </row>
    <row r="1510" spans="2:11">
      <c r="B1510" s="102">
        <v>45922</v>
      </c>
    </row>
    <row r="1511" spans="2:11">
      <c r="B1511" s="102">
        <v>45923</v>
      </c>
    </row>
    <row r="1512" spans="2:11">
      <c r="B1512" s="102">
        <v>45924</v>
      </c>
    </row>
    <row r="1513" spans="2:11">
      <c r="B1513" s="102">
        <v>45925</v>
      </c>
    </row>
    <row r="1514" spans="2:11">
      <c r="B1514" s="102">
        <v>45926</v>
      </c>
    </row>
    <row r="1515" spans="2:11">
      <c r="B1515" s="102">
        <v>45927</v>
      </c>
    </row>
    <row r="1516" spans="2:11">
      <c r="B1516" s="102">
        <v>45928</v>
      </c>
      <c r="K1516">
        <v>193.4</v>
      </c>
    </row>
    <row r="1517" spans="2:11">
      <c r="B1517" s="102">
        <v>45929</v>
      </c>
    </row>
    <row r="1518" spans="2:11">
      <c r="B1518" s="102">
        <v>45930</v>
      </c>
    </row>
    <row r="1519" spans="2:11">
      <c r="B1519" s="102">
        <v>45931</v>
      </c>
    </row>
    <row r="1520" spans="2:11">
      <c r="B1520" s="102">
        <v>45932</v>
      </c>
    </row>
    <row r="1521" spans="2:11">
      <c r="B1521" s="102">
        <v>45933</v>
      </c>
    </row>
    <row r="1522" spans="2:11">
      <c r="B1522" s="102">
        <v>45934</v>
      </c>
    </row>
    <row r="1523" spans="2:11">
      <c r="B1523" s="102">
        <v>45935</v>
      </c>
    </row>
    <row r="1524" spans="2:11">
      <c r="B1524" s="102">
        <v>45936</v>
      </c>
    </row>
    <row r="1525" spans="2:11">
      <c r="B1525" s="102">
        <v>45937</v>
      </c>
    </row>
    <row r="1526" spans="2:11">
      <c r="B1526" s="102">
        <v>45938</v>
      </c>
    </row>
    <row r="1527" spans="2:11">
      <c r="B1527" s="102">
        <v>45939</v>
      </c>
    </row>
    <row r="1528" spans="2:11">
      <c r="B1528" s="102">
        <v>45940</v>
      </c>
    </row>
    <row r="1529" spans="2:11">
      <c r="B1529" s="102">
        <v>45941</v>
      </c>
    </row>
    <row r="1530" spans="2:11">
      <c r="B1530" s="102">
        <v>45942</v>
      </c>
      <c r="K1530">
        <v>190.4</v>
      </c>
    </row>
    <row r="1531" spans="2:11">
      <c r="B1531" s="102">
        <v>45943</v>
      </c>
    </row>
    <row r="1532" spans="2:11">
      <c r="B1532" s="102">
        <v>45944</v>
      </c>
    </row>
    <row r="1533" spans="2:11">
      <c r="B1533" s="102">
        <v>45945</v>
      </c>
    </row>
    <row r="1534" spans="2:11">
      <c r="B1534" s="102">
        <v>45946</v>
      </c>
    </row>
    <row r="1535" spans="2:11">
      <c r="B1535" s="102">
        <v>45947</v>
      </c>
    </row>
    <row r="1536" spans="2:11">
      <c r="B1536" s="102">
        <v>45948</v>
      </c>
    </row>
    <row r="1537" spans="2:11">
      <c r="B1537" s="102">
        <v>45949</v>
      </c>
    </row>
    <row r="1538" spans="2:11">
      <c r="B1538" s="102">
        <v>45950</v>
      </c>
    </row>
    <row r="1539" spans="2:11">
      <c r="B1539" s="102">
        <v>45951</v>
      </c>
    </row>
    <row r="1540" spans="2:11">
      <c r="B1540" s="102">
        <v>45952</v>
      </c>
    </row>
    <row r="1541" spans="2:11">
      <c r="B1541" s="102">
        <v>45953</v>
      </c>
    </row>
    <row r="1542" spans="2:11">
      <c r="B1542" s="102">
        <v>45954</v>
      </c>
    </row>
    <row r="1543" spans="2:11">
      <c r="B1543" s="102">
        <v>45955</v>
      </c>
    </row>
    <row r="1544" spans="2:11">
      <c r="B1544" s="102">
        <v>45956</v>
      </c>
    </row>
    <row r="1545" spans="2:11">
      <c r="B1545" s="102">
        <v>45957</v>
      </c>
    </row>
    <row r="1546" spans="2:11">
      <c r="B1546" s="102">
        <v>45958</v>
      </c>
    </row>
    <row r="1547" spans="2:11">
      <c r="B1547" s="102">
        <v>45959</v>
      </c>
    </row>
    <row r="1548" spans="2:11">
      <c r="B1548" s="102">
        <v>45960</v>
      </c>
    </row>
    <row r="1549" spans="2:11">
      <c r="B1549" s="102">
        <v>45961</v>
      </c>
    </row>
    <row r="1550" spans="2:11">
      <c r="B1550" s="102">
        <v>45962</v>
      </c>
    </row>
    <row r="1551" spans="2:11">
      <c r="B1551" s="102">
        <v>45963</v>
      </c>
      <c r="K1551">
        <v>190.6</v>
      </c>
    </row>
    <row r="1552" spans="2:11">
      <c r="B1552" s="102">
        <v>45964</v>
      </c>
    </row>
    <row r="1553" spans="2:11">
      <c r="B1553" s="102">
        <v>45965</v>
      </c>
    </row>
    <row r="1554" spans="2:11">
      <c r="B1554" s="102">
        <v>45966</v>
      </c>
    </row>
    <row r="1555" spans="2:11">
      <c r="B1555" s="102">
        <v>45967</v>
      </c>
    </row>
    <row r="1556" spans="2:11">
      <c r="B1556" s="102">
        <v>45968</v>
      </c>
    </row>
    <row r="1557" spans="2:11">
      <c r="B1557" s="102">
        <v>45969</v>
      </c>
    </row>
    <row r="1558" spans="2:11">
      <c r="B1558" s="102">
        <v>45970</v>
      </c>
      <c r="K1558">
        <v>188.8</v>
      </c>
    </row>
    <row r="1559" spans="2:11">
      <c r="B1559" s="102">
        <v>45971</v>
      </c>
    </row>
    <row r="1560" spans="2:11">
      <c r="B1560" s="102">
        <v>45972</v>
      </c>
    </row>
    <row r="1561" spans="2:11">
      <c r="B1561" s="102">
        <v>45973</v>
      </c>
    </row>
    <row r="1562" spans="2:11">
      <c r="B1562" s="102">
        <v>45974</v>
      </c>
    </row>
    <row r="1563" spans="2:11">
      <c r="B1563" s="102">
        <v>45975</v>
      </c>
    </row>
    <row r="1564" spans="2:11">
      <c r="B1564" s="102">
        <v>45976</v>
      </c>
    </row>
    <row r="1565" spans="2:11">
      <c r="B1565" s="102">
        <v>45977</v>
      </c>
      <c r="K1565">
        <v>195.4</v>
      </c>
    </row>
    <row r="1566" spans="2:11">
      <c r="B1566" s="102">
        <v>45978</v>
      </c>
    </row>
    <row r="1567" spans="2:11">
      <c r="B1567" s="102">
        <v>45979</v>
      </c>
    </row>
    <row r="1568" spans="2:11">
      <c r="B1568" s="102">
        <v>45980</v>
      </c>
    </row>
    <row r="1569" spans="2:11">
      <c r="B1569" s="102">
        <v>45981</v>
      </c>
    </row>
    <row r="1570" spans="2:11">
      <c r="B1570" s="102">
        <v>45982</v>
      </c>
    </row>
    <row r="1571" spans="2:11">
      <c r="B1571" s="102">
        <v>45983</v>
      </c>
    </row>
    <row r="1572" spans="2:11">
      <c r="B1572" s="102">
        <v>45984</v>
      </c>
      <c r="K1572">
        <v>191.2</v>
      </c>
    </row>
    <row r="1573" spans="2:11">
      <c r="B1573" s="102">
        <v>45985</v>
      </c>
    </row>
    <row r="1574" spans="2:11">
      <c r="B1574" s="102">
        <v>45986</v>
      </c>
    </row>
    <row r="1575" spans="2:11">
      <c r="B1575" s="102">
        <v>45987</v>
      </c>
    </row>
    <row r="1576" spans="2:11">
      <c r="B1576" s="102">
        <v>45988</v>
      </c>
    </row>
    <row r="1577" spans="2:11">
      <c r="B1577" s="102">
        <v>45989</v>
      </c>
    </row>
    <row r="1578" spans="2:11">
      <c r="B1578" s="102">
        <v>45990</v>
      </c>
    </row>
    <row r="1579" spans="2:11">
      <c r="B1579" s="102">
        <v>45991</v>
      </c>
    </row>
    <row r="1580" spans="2:11">
      <c r="B1580" s="102">
        <v>45992</v>
      </c>
    </row>
    <row r="1581" spans="2:11">
      <c r="B1581" s="102">
        <v>45993</v>
      </c>
    </row>
    <row r="1582" spans="2:11">
      <c r="B1582" s="102">
        <v>45994</v>
      </c>
    </row>
    <row r="1583" spans="2:11">
      <c r="B1583" s="102">
        <v>45995</v>
      </c>
    </row>
    <row r="1584" spans="2:11">
      <c r="B1584" s="102">
        <v>45996</v>
      </c>
    </row>
    <row r="1585" spans="2:2">
      <c r="B1585" s="102">
        <v>45997</v>
      </c>
    </row>
    <row r="1586" spans="2:2">
      <c r="B1586" s="102">
        <v>45998</v>
      </c>
    </row>
    <row r="1587" spans="2:2">
      <c r="B1587" s="102">
        <v>45999</v>
      </c>
    </row>
    <row r="1588" spans="2:2">
      <c r="B1588" s="102">
        <v>46000</v>
      </c>
    </row>
    <row r="1589" spans="2:2">
      <c r="B1589" s="102">
        <v>46001</v>
      </c>
    </row>
    <row r="1590" spans="2:2">
      <c r="B1590" s="102">
        <v>46002</v>
      </c>
    </row>
    <row r="1591" spans="2:2">
      <c r="B1591" s="102">
        <v>46003</v>
      </c>
    </row>
    <row r="1592" spans="2:2">
      <c r="B1592" s="102">
        <v>46004</v>
      </c>
    </row>
    <row r="1593" spans="2:2">
      <c r="B1593" s="102">
        <v>46005</v>
      </c>
    </row>
    <row r="1594" spans="2:2">
      <c r="B1594" s="102">
        <v>46006</v>
      </c>
    </row>
    <row r="1595" spans="2:2">
      <c r="B1595" s="102">
        <v>46007</v>
      </c>
    </row>
    <row r="1596" spans="2:2">
      <c r="B1596" s="102">
        <v>46008</v>
      </c>
    </row>
    <row r="1597" spans="2:2">
      <c r="B1597" s="102">
        <v>46009</v>
      </c>
    </row>
    <row r="1598" spans="2:2">
      <c r="B1598" s="102">
        <v>46010</v>
      </c>
    </row>
    <row r="1599" spans="2:2">
      <c r="B1599" s="102">
        <v>46011</v>
      </c>
    </row>
    <row r="1600" spans="2:2">
      <c r="B1600" s="102">
        <v>46012</v>
      </c>
    </row>
    <row r="1601" spans="2:11">
      <c r="B1601" s="102">
        <v>46013</v>
      </c>
    </row>
    <row r="1602" spans="2:11">
      <c r="B1602" s="102">
        <v>46014</v>
      </c>
    </row>
    <row r="1603" spans="2:11">
      <c r="B1603" s="102">
        <v>46015</v>
      </c>
    </row>
    <row r="1604" spans="2:11">
      <c r="B1604" s="102">
        <v>46016</v>
      </c>
    </row>
    <row r="1605" spans="2:11">
      <c r="B1605" s="102">
        <v>46017</v>
      </c>
    </row>
    <row r="1606" spans="2:11">
      <c r="B1606" s="102">
        <v>46018</v>
      </c>
    </row>
    <row r="1607" spans="2:11">
      <c r="B1607" s="102">
        <v>46019</v>
      </c>
      <c r="K1607">
        <v>191.4</v>
      </c>
    </row>
    <row r="1608" spans="2:11">
      <c r="B1608" s="102">
        <v>46020</v>
      </c>
    </row>
    <row r="1609" spans="2:11">
      <c r="B1609" s="102">
        <v>46021</v>
      </c>
    </row>
    <row r="1610" spans="2:11">
      <c r="B1610" s="102">
        <v>46022</v>
      </c>
    </row>
    <row r="1611" spans="2:11">
      <c r="B1611" s="102">
        <v>46023</v>
      </c>
    </row>
    <row r="1612" spans="2:11">
      <c r="B1612" s="102">
        <v>46024</v>
      </c>
    </row>
    <row r="1613" spans="2:11">
      <c r="B1613" s="102">
        <v>46025</v>
      </c>
    </row>
    <row r="1614" spans="2:11">
      <c r="B1614" s="102">
        <v>46026</v>
      </c>
      <c r="K1614">
        <v>188.6</v>
      </c>
    </row>
    <row r="1615" spans="2:11">
      <c r="B1615" s="102">
        <v>46027</v>
      </c>
    </row>
    <row r="1616" spans="2:11">
      <c r="B1616" s="102">
        <v>46028</v>
      </c>
    </row>
    <row r="1617" spans="2:2">
      <c r="B1617" s="102">
        <v>46029</v>
      </c>
    </row>
    <row r="1618" spans="2:2">
      <c r="B1618" s="102">
        <v>46030</v>
      </c>
    </row>
    <row r="1619" spans="2:2">
      <c r="B1619" s="102">
        <v>46031</v>
      </c>
    </row>
    <row r="1620" spans="2:2">
      <c r="B1620" s="102">
        <v>46032</v>
      </c>
    </row>
    <row r="1621" spans="2:2">
      <c r="B1621" s="102">
        <v>46033</v>
      </c>
    </row>
    <row r="1622" spans="2:2">
      <c r="B1622" s="102">
        <v>46034</v>
      </c>
    </row>
    <row r="1623" spans="2:2">
      <c r="B1623" s="102">
        <v>46035</v>
      </c>
    </row>
    <row r="1624" spans="2:2">
      <c r="B1624" s="102">
        <v>46036</v>
      </c>
    </row>
    <row r="1625" spans="2:2">
      <c r="B1625" s="102">
        <v>46037</v>
      </c>
    </row>
    <row r="1626" spans="2:2">
      <c r="B1626" s="102">
        <v>46038</v>
      </c>
    </row>
    <row r="1627" spans="2:2">
      <c r="B1627" s="102">
        <v>46039</v>
      </c>
    </row>
    <row r="1628" spans="2:2">
      <c r="B1628" s="102">
        <v>46040</v>
      </c>
    </row>
    <row r="1629" spans="2:2">
      <c r="B1629" s="102">
        <v>46041</v>
      </c>
    </row>
    <row r="1630" spans="2:2">
      <c r="B1630" s="102">
        <v>46042</v>
      </c>
    </row>
    <row r="1631" spans="2:2">
      <c r="B1631" s="102">
        <v>46043</v>
      </c>
    </row>
    <row r="1632" spans="2:2">
      <c r="B1632" s="102">
        <v>46044</v>
      </c>
    </row>
    <row r="1633" spans="2:2">
      <c r="B1633" s="102">
        <v>46045</v>
      </c>
    </row>
    <row r="1634" spans="2:2">
      <c r="B1634" s="102">
        <v>46046</v>
      </c>
    </row>
    <row r="1635" spans="2:2">
      <c r="B1635" s="102">
        <v>46047</v>
      </c>
    </row>
    <row r="1636" spans="2:2">
      <c r="B1636" s="102">
        <v>46048</v>
      </c>
    </row>
    <row r="1637" spans="2:2">
      <c r="B1637" s="102">
        <v>46049</v>
      </c>
    </row>
    <row r="1638" spans="2:2">
      <c r="B1638" s="102">
        <v>46050</v>
      </c>
    </row>
    <row r="1639" spans="2:2">
      <c r="B1639" s="102">
        <v>46051</v>
      </c>
    </row>
    <row r="1640" spans="2:2">
      <c r="B1640" s="102">
        <v>46052</v>
      </c>
    </row>
    <row r="1641" spans="2:2">
      <c r="B1641" s="102">
        <v>46053</v>
      </c>
    </row>
    <row r="1642" spans="2:2">
      <c r="B1642" s="102">
        <v>46054</v>
      </c>
    </row>
    <row r="1643" spans="2:2">
      <c r="B1643" s="102">
        <v>46055</v>
      </c>
    </row>
    <row r="1644" spans="2:2">
      <c r="B1644" s="102">
        <v>46056</v>
      </c>
    </row>
    <row r="1645" spans="2:2">
      <c r="B1645" s="102">
        <v>46057</v>
      </c>
    </row>
    <row r="1646" spans="2:2">
      <c r="B1646" s="102">
        <v>46058</v>
      </c>
    </row>
    <row r="1647" spans="2:2">
      <c r="B1647" s="102">
        <v>46059</v>
      </c>
    </row>
    <row r="1648" spans="2:2">
      <c r="B1648" s="102">
        <v>46060</v>
      </c>
    </row>
    <row r="1649" spans="2:2">
      <c r="B1649" s="102">
        <v>46061</v>
      </c>
    </row>
    <row r="1650" spans="2:2">
      <c r="B1650" s="102">
        <v>46062</v>
      </c>
    </row>
    <row r="1651" spans="2:2">
      <c r="B1651" s="102">
        <v>46063</v>
      </c>
    </row>
    <row r="1652" spans="2:2">
      <c r="B1652" s="102">
        <v>46064</v>
      </c>
    </row>
    <row r="1653" spans="2:2">
      <c r="B1653" s="102">
        <v>46065</v>
      </c>
    </row>
    <row r="1654" spans="2:2">
      <c r="B1654" s="102">
        <v>46066</v>
      </c>
    </row>
    <row r="1655" spans="2:2">
      <c r="B1655" s="102">
        <v>46067</v>
      </c>
    </row>
    <row r="1656" spans="2:2">
      <c r="B1656" s="102">
        <v>46068</v>
      </c>
    </row>
    <row r="1657" spans="2:2">
      <c r="B1657" s="102">
        <v>46069</v>
      </c>
    </row>
    <row r="1658" spans="2:2">
      <c r="B1658" s="102">
        <v>46070</v>
      </c>
    </row>
    <row r="1659" spans="2:2">
      <c r="B1659" s="102">
        <v>46071</v>
      </c>
    </row>
    <row r="1660" spans="2:2">
      <c r="B1660" s="102">
        <v>46072</v>
      </c>
    </row>
    <row r="1661" spans="2:2">
      <c r="B1661" s="102">
        <v>46073</v>
      </c>
    </row>
    <row r="1662" spans="2:2">
      <c r="B1662" s="102">
        <v>46074</v>
      </c>
    </row>
    <row r="1663" spans="2:2">
      <c r="B1663" s="102">
        <v>46075</v>
      </c>
    </row>
    <row r="1664" spans="2:2">
      <c r="B1664" s="102">
        <v>46076</v>
      </c>
    </row>
    <row r="1665" spans="2:2">
      <c r="B1665" s="102">
        <v>46077</v>
      </c>
    </row>
    <row r="1666" spans="2:2">
      <c r="B1666" s="102">
        <v>46078</v>
      </c>
    </row>
    <row r="1667" spans="2:2">
      <c r="B1667" s="102">
        <v>46079</v>
      </c>
    </row>
    <row r="1668" spans="2:2">
      <c r="B1668" s="102">
        <v>46080</v>
      </c>
    </row>
    <row r="1669" spans="2:2">
      <c r="B1669" s="102">
        <v>46081</v>
      </c>
    </row>
    <row r="1670" spans="2:2">
      <c r="B1670" s="102">
        <v>46082</v>
      </c>
    </row>
    <row r="1671" spans="2:2">
      <c r="B1671" s="102">
        <v>46083</v>
      </c>
    </row>
    <row r="1672" spans="2:2">
      <c r="B1672" s="102">
        <v>46084</v>
      </c>
    </row>
    <row r="1673" spans="2:2">
      <c r="B1673" s="102">
        <v>46085</v>
      </c>
    </row>
    <row r="1674" spans="2:2">
      <c r="B1674" s="102">
        <v>46086</v>
      </c>
    </row>
    <row r="1675" spans="2:2">
      <c r="B1675" s="102">
        <v>46087</v>
      </c>
    </row>
    <row r="1676" spans="2:2">
      <c r="B1676" s="102">
        <v>46088</v>
      </c>
    </row>
    <row r="1677" spans="2:2">
      <c r="B1677" s="102">
        <v>46089</v>
      </c>
    </row>
    <row r="1678" spans="2:2">
      <c r="B1678" s="102">
        <v>46090</v>
      </c>
    </row>
    <row r="1679" spans="2:2">
      <c r="B1679" s="102">
        <v>46091</v>
      </c>
    </row>
    <row r="1680" spans="2:2">
      <c r="B1680" s="102">
        <v>46092</v>
      </c>
    </row>
    <row r="1681" spans="2:2">
      <c r="B1681" s="102">
        <v>46093</v>
      </c>
    </row>
    <row r="1682" spans="2:2">
      <c r="B1682" s="102">
        <v>46094</v>
      </c>
    </row>
    <row r="1683" spans="2:2">
      <c r="B1683" s="102">
        <v>46095</v>
      </c>
    </row>
    <row r="1684" spans="2:2">
      <c r="B1684" s="102">
        <v>46096</v>
      </c>
    </row>
    <row r="1685" spans="2:2">
      <c r="B1685" s="102">
        <v>46097</v>
      </c>
    </row>
    <row r="1686" spans="2:2">
      <c r="B1686" s="102">
        <v>46098</v>
      </c>
    </row>
    <row r="1687" spans="2:2">
      <c r="B1687" s="102">
        <v>46099</v>
      </c>
    </row>
    <row r="1688" spans="2:2">
      <c r="B1688" s="102">
        <v>46100</v>
      </c>
    </row>
    <row r="1689" spans="2:2">
      <c r="B1689" s="102">
        <v>46101</v>
      </c>
    </row>
    <row r="1690" spans="2:2">
      <c r="B1690" s="102">
        <v>46102</v>
      </c>
    </row>
    <row r="1691" spans="2:2">
      <c r="B1691" s="102">
        <v>46103</v>
      </c>
    </row>
    <row r="1692" spans="2:2">
      <c r="B1692" s="102">
        <v>46104</v>
      </c>
    </row>
    <row r="1693" spans="2:2">
      <c r="B1693" s="102">
        <v>46105</v>
      </c>
    </row>
    <row r="1694" spans="2:2">
      <c r="B1694" s="102">
        <v>46106</v>
      </c>
    </row>
    <row r="1695" spans="2:2">
      <c r="B1695" s="102">
        <v>46107</v>
      </c>
    </row>
    <row r="1696" spans="2:2">
      <c r="B1696" s="102">
        <v>46108</v>
      </c>
    </row>
    <row r="1697" spans="2:2">
      <c r="B1697" s="102">
        <v>46109</v>
      </c>
    </row>
    <row r="1698" spans="2:2">
      <c r="B1698" s="102">
        <v>46110</v>
      </c>
    </row>
    <row r="1699" spans="2:2">
      <c r="B1699" s="102">
        <v>46111</v>
      </c>
    </row>
    <row r="1700" spans="2:2">
      <c r="B1700" s="102">
        <v>46112</v>
      </c>
    </row>
    <row r="1701" spans="2:2">
      <c r="B1701" s="102">
        <v>46113</v>
      </c>
    </row>
    <row r="1702" spans="2:2">
      <c r="B1702" s="102">
        <v>46114</v>
      </c>
    </row>
    <row r="1703" spans="2:2">
      <c r="B1703" s="102">
        <v>46115</v>
      </c>
    </row>
    <row r="1704" spans="2:2">
      <c r="B1704" s="102">
        <v>46116</v>
      </c>
    </row>
    <row r="1705" spans="2:2">
      <c r="B1705" s="102">
        <v>46117</v>
      </c>
    </row>
    <row r="1706" spans="2:2">
      <c r="B1706" s="102">
        <v>46118</v>
      </c>
    </row>
    <row r="1707" spans="2:2">
      <c r="B1707" s="102">
        <v>46119</v>
      </c>
    </row>
    <row r="1708" spans="2:2">
      <c r="B1708" s="102">
        <v>46120</v>
      </c>
    </row>
    <row r="1709" spans="2:2">
      <c r="B1709" s="102">
        <v>46121</v>
      </c>
    </row>
    <row r="1710" spans="2:2">
      <c r="B1710" s="102">
        <v>46122</v>
      </c>
    </row>
    <row r="1711" spans="2:2">
      <c r="B1711" s="102">
        <v>46123</v>
      </c>
    </row>
    <row r="1712" spans="2:2">
      <c r="B1712" s="102">
        <v>46124</v>
      </c>
    </row>
    <row r="1713" spans="2:2">
      <c r="B1713" s="102">
        <v>46125</v>
      </c>
    </row>
    <row r="1714" spans="2:2">
      <c r="B1714" s="102">
        <v>46126</v>
      </c>
    </row>
    <row r="1715" spans="2:2">
      <c r="B1715" s="102">
        <v>46127</v>
      </c>
    </row>
    <row r="1716" spans="2:2">
      <c r="B1716" s="102">
        <v>46128</v>
      </c>
    </row>
    <row r="1717" spans="2:2">
      <c r="B1717" s="102">
        <v>46129</v>
      </c>
    </row>
    <row r="1718" spans="2:2">
      <c r="B1718" s="102">
        <v>46130</v>
      </c>
    </row>
    <row r="1719" spans="2:2">
      <c r="B1719" s="102">
        <v>46131</v>
      </c>
    </row>
    <row r="1720" spans="2:2">
      <c r="B1720" s="102">
        <v>46132</v>
      </c>
    </row>
    <row r="1721" spans="2:2">
      <c r="B1721" s="102">
        <v>46133</v>
      </c>
    </row>
    <row r="1722" spans="2:2">
      <c r="B1722" s="102">
        <v>46134</v>
      </c>
    </row>
    <row r="1723" spans="2:2">
      <c r="B1723" s="102">
        <v>46135</v>
      </c>
    </row>
    <row r="1724" spans="2:2">
      <c r="B1724" s="102">
        <v>46136</v>
      </c>
    </row>
    <row r="1725" spans="2:2">
      <c r="B1725" s="102">
        <v>46137</v>
      </c>
    </row>
    <row r="1726" spans="2:2">
      <c r="B1726" s="102">
        <v>46138</v>
      </c>
    </row>
    <row r="1727" spans="2:2">
      <c r="B1727" s="102">
        <v>46139</v>
      </c>
    </row>
    <row r="1728" spans="2:2">
      <c r="B1728" s="102">
        <v>46140</v>
      </c>
    </row>
    <row r="1729" spans="2:2">
      <c r="B1729" s="102">
        <v>46141</v>
      </c>
    </row>
    <row r="1730" spans="2:2">
      <c r="B1730" s="102">
        <v>46142</v>
      </c>
    </row>
    <row r="1731" spans="2:2">
      <c r="B1731" s="102">
        <v>46143</v>
      </c>
    </row>
    <row r="1732" spans="2:2">
      <c r="B1732" s="102">
        <v>46144</v>
      </c>
    </row>
    <row r="1733" spans="2:2">
      <c r="B1733" s="102">
        <v>46145</v>
      </c>
    </row>
    <row r="1734" spans="2:2">
      <c r="B1734" s="102">
        <v>46146</v>
      </c>
    </row>
    <row r="1735" spans="2:2">
      <c r="B1735" s="102">
        <v>46147</v>
      </c>
    </row>
    <row r="1736" spans="2:2">
      <c r="B1736" s="102">
        <v>46148</v>
      </c>
    </row>
    <row r="1737" spans="2:2">
      <c r="B1737" s="102">
        <v>46149</v>
      </c>
    </row>
    <row r="1738" spans="2:2">
      <c r="B1738" s="102">
        <v>46150</v>
      </c>
    </row>
    <row r="1739" spans="2:2">
      <c r="B1739" s="102">
        <v>46151</v>
      </c>
    </row>
    <row r="1740" spans="2:2">
      <c r="B1740" s="102">
        <v>46152</v>
      </c>
    </row>
    <row r="1741" spans="2:2">
      <c r="B1741" s="102">
        <v>46153</v>
      </c>
    </row>
    <row r="1742" spans="2:2">
      <c r="B1742" s="102">
        <v>46154</v>
      </c>
    </row>
    <row r="1743" spans="2:2">
      <c r="B1743" s="102">
        <v>46155</v>
      </c>
    </row>
    <row r="1744" spans="2:2">
      <c r="B1744" s="102">
        <v>46156</v>
      </c>
    </row>
    <row r="1745" spans="2:2">
      <c r="B1745" s="102">
        <v>46157</v>
      </c>
    </row>
    <row r="1746" spans="2:2">
      <c r="B1746" s="102">
        <v>46158</v>
      </c>
    </row>
    <row r="1747" spans="2:2">
      <c r="B1747" s="102">
        <v>46159</v>
      </c>
    </row>
    <row r="1748" spans="2:2">
      <c r="B1748" s="102">
        <v>46160</v>
      </c>
    </row>
    <row r="1749" spans="2:2">
      <c r="B1749" s="102">
        <v>46161</v>
      </c>
    </row>
    <row r="1750" spans="2:2">
      <c r="B1750" s="102">
        <v>46162</v>
      </c>
    </row>
    <row r="1751" spans="2:2">
      <c r="B1751" s="102">
        <v>46163</v>
      </c>
    </row>
    <row r="1752" spans="2:2">
      <c r="B1752" s="102">
        <v>46164</v>
      </c>
    </row>
    <row r="1753" spans="2:2">
      <c r="B1753" s="102">
        <v>46165</v>
      </c>
    </row>
    <row r="1754" spans="2:2">
      <c r="B1754" s="102">
        <v>46166</v>
      </c>
    </row>
    <row r="1755" spans="2:2">
      <c r="B1755" s="102">
        <v>46167</v>
      </c>
    </row>
    <row r="1756" spans="2:2">
      <c r="B1756" s="102">
        <v>46168</v>
      </c>
    </row>
    <row r="1757" spans="2:2">
      <c r="B1757" s="102">
        <v>46169</v>
      </c>
    </row>
    <row r="1758" spans="2:2">
      <c r="B1758" s="102">
        <v>46170</v>
      </c>
    </row>
    <row r="1759" spans="2:2">
      <c r="B1759" s="102">
        <v>46171</v>
      </c>
    </row>
    <row r="1760" spans="2:2">
      <c r="B1760" s="102">
        <v>46172</v>
      </c>
    </row>
    <row r="1761" spans="2:2">
      <c r="B1761" s="102">
        <v>46173</v>
      </c>
    </row>
    <row r="1762" spans="2:2">
      <c r="B1762" s="102">
        <v>46174</v>
      </c>
    </row>
    <row r="1763" spans="2:2">
      <c r="B1763" s="102">
        <v>46175</v>
      </c>
    </row>
    <row r="1764" spans="2:2">
      <c r="B1764" s="102">
        <v>46176</v>
      </c>
    </row>
    <row r="1765" spans="2:2">
      <c r="B1765" s="102">
        <v>46177</v>
      </c>
    </row>
    <row r="1766" spans="2:2">
      <c r="B1766" s="102">
        <v>46178</v>
      </c>
    </row>
    <row r="1767" spans="2:2">
      <c r="B1767" s="102">
        <v>46179</v>
      </c>
    </row>
    <row r="1768" spans="2:2">
      <c r="B1768" s="102">
        <v>46180</v>
      </c>
    </row>
    <row r="1769" spans="2:2">
      <c r="B1769" s="102">
        <v>46181</v>
      </c>
    </row>
    <row r="1770" spans="2:2">
      <c r="B1770" s="102">
        <v>46182</v>
      </c>
    </row>
    <row r="1771" spans="2:2">
      <c r="B1771" s="102">
        <v>46183</v>
      </c>
    </row>
    <row r="1772" spans="2:2">
      <c r="B1772" s="102">
        <v>46184</v>
      </c>
    </row>
    <row r="1773" spans="2:2">
      <c r="B1773" s="102">
        <v>46185</v>
      </c>
    </row>
    <row r="1774" spans="2:2">
      <c r="B1774" s="102">
        <v>46186</v>
      </c>
    </row>
    <row r="1775" spans="2:2">
      <c r="B1775" s="102">
        <v>46187</v>
      </c>
    </row>
    <row r="1776" spans="2:2">
      <c r="B1776" s="102">
        <v>46188</v>
      </c>
    </row>
    <row r="1777" spans="2:2">
      <c r="B1777" s="102">
        <v>46189</v>
      </c>
    </row>
    <row r="1778" spans="2:2">
      <c r="B1778" s="102">
        <v>46190</v>
      </c>
    </row>
    <row r="1779" spans="2:2">
      <c r="B1779" s="102">
        <v>46191</v>
      </c>
    </row>
    <row r="1780" spans="2:2">
      <c r="B1780" s="102">
        <v>46192</v>
      </c>
    </row>
    <row r="1781" spans="2:2">
      <c r="B1781" s="102">
        <v>46193</v>
      </c>
    </row>
    <row r="1782" spans="2:2">
      <c r="B1782" s="102">
        <v>46194</v>
      </c>
    </row>
    <row r="1783" spans="2:2">
      <c r="B1783" s="102">
        <v>46195</v>
      </c>
    </row>
    <row r="1784" spans="2:2">
      <c r="B1784" s="102">
        <v>46196</v>
      </c>
    </row>
    <row r="1785" spans="2:2">
      <c r="B1785" s="102">
        <v>46197</v>
      </c>
    </row>
    <row r="1786" spans="2:2">
      <c r="B1786" s="102">
        <v>46198</v>
      </c>
    </row>
    <row r="1787" spans="2:2">
      <c r="B1787" s="102">
        <v>46199</v>
      </c>
    </row>
    <row r="1788" spans="2:2">
      <c r="B1788" s="102">
        <v>46200</v>
      </c>
    </row>
    <row r="1789" spans="2:2">
      <c r="B1789" s="102">
        <v>46201</v>
      </c>
    </row>
    <row r="1790" spans="2:2">
      <c r="B1790" s="102">
        <v>46202</v>
      </c>
    </row>
    <row r="1791" spans="2:2">
      <c r="B1791" s="102">
        <v>46203</v>
      </c>
    </row>
    <row r="1792" spans="2:2">
      <c r="B1792" s="102">
        <v>46204</v>
      </c>
    </row>
    <row r="1793" spans="2:2">
      <c r="B1793" s="102">
        <v>46205</v>
      </c>
    </row>
    <row r="1794" spans="2:2">
      <c r="B1794" s="102">
        <v>46206</v>
      </c>
    </row>
    <row r="1795" spans="2:2">
      <c r="B1795" s="102">
        <v>46207</v>
      </c>
    </row>
    <row r="1796" spans="2:2">
      <c r="B1796" s="102">
        <v>46208</v>
      </c>
    </row>
    <row r="1797" spans="2:2">
      <c r="B1797" s="102">
        <v>46209</v>
      </c>
    </row>
    <row r="1798" spans="2:2">
      <c r="B1798" s="102">
        <v>46210</v>
      </c>
    </row>
    <row r="1799" spans="2:2">
      <c r="B1799" s="102">
        <v>46211</v>
      </c>
    </row>
    <row r="1800" spans="2:2">
      <c r="B1800" s="102">
        <v>46212</v>
      </c>
    </row>
    <row r="1801" spans="2:2">
      <c r="B1801" s="102">
        <v>46213</v>
      </c>
    </row>
    <row r="1802" spans="2:2">
      <c r="B1802" s="102">
        <v>46214</v>
      </c>
    </row>
    <row r="1803" spans="2:2">
      <c r="B1803" s="102">
        <v>46215</v>
      </c>
    </row>
    <row r="1804" spans="2:2">
      <c r="B1804" s="102">
        <v>46216</v>
      </c>
    </row>
    <row r="1805" spans="2:2">
      <c r="B1805" s="102">
        <v>46217</v>
      </c>
    </row>
    <row r="1806" spans="2:2">
      <c r="B1806" s="102">
        <v>46218</v>
      </c>
    </row>
    <row r="1807" spans="2:2">
      <c r="B1807" s="102">
        <v>46219</v>
      </c>
    </row>
    <row r="1808" spans="2:2">
      <c r="B1808" s="102">
        <v>46220</v>
      </c>
    </row>
    <row r="1809" spans="2:2">
      <c r="B1809" s="102">
        <v>46221</v>
      </c>
    </row>
    <row r="1810" spans="2:2">
      <c r="B1810" s="102">
        <v>46222</v>
      </c>
    </row>
    <row r="1811" spans="2:2">
      <c r="B1811" s="102">
        <v>46223</v>
      </c>
    </row>
    <row r="1812" spans="2:2">
      <c r="B1812" s="102">
        <v>46224</v>
      </c>
    </row>
    <row r="1813" spans="2:2">
      <c r="B1813" s="102">
        <v>46225</v>
      </c>
    </row>
    <row r="1814" spans="2:2">
      <c r="B1814" s="102">
        <v>46226</v>
      </c>
    </row>
    <row r="1815" spans="2:2">
      <c r="B1815" s="102">
        <v>46227</v>
      </c>
    </row>
    <row r="1816" spans="2:2">
      <c r="B1816" s="102">
        <v>46228</v>
      </c>
    </row>
    <row r="1817" spans="2:2">
      <c r="B1817" s="102">
        <v>46229</v>
      </c>
    </row>
    <row r="1818" spans="2:2">
      <c r="B1818" s="102">
        <v>46230</v>
      </c>
    </row>
    <row r="1819" spans="2:2">
      <c r="B1819" s="102">
        <v>46231</v>
      </c>
    </row>
    <row r="1820" spans="2:2">
      <c r="B1820" s="102">
        <v>46232</v>
      </c>
    </row>
    <row r="1821" spans="2:2">
      <c r="B1821" s="102">
        <v>46233</v>
      </c>
    </row>
    <row r="1822" spans="2:2">
      <c r="B1822" s="102">
        <v>46234</v>
      </c>
    </row>
    <row r="1823" spans="2:2">
      <c r="B1823" s="102">
        <v>46235</v>
      </c>
    </row>
    <row r="1824" spans="2:2">
      <c r="B1824" s="102">
        <v>46236</v>
      </c>
    </row>
    <row r="1825" spans="2:2">
      <c r="B1825" s="102">
        <v>46237</v>
      </c>
    </row>
    <row r="1826" spans="2:2">
      <c r="B1826" s="102">
        <v>46238</v>
      </c>
    </row>
    <row r="1827" spans="2:2">
      <c r="B1827" s="102">
        <v>46239</v>
      </c>
    </row>
    <row r="1828" spans="2:2">
      <c r="B1828" s="102">
        <v>46240</v>
      </c>
    </row>
    <row r="1829" spans="2:2">
      <c r="B1829" s="102">
        <v>46241</v>
      </c>
    </row>
    <row r="1830" spans="2:2">
      <c r="B1830" s="102">
        <v>46242</v>
      </c>
    </row>
    <row r="1831" spans="2:2">
      <c r="B1831" s="102">
        <v>46243</v>
      </c>
    </row>
    <row r="1832" spans="2:2">
      <c r="B1832" s="102">
        <v>46244</v>
      </c>
    </row>
    <row r="1833" spans="2:2">
      <c r="B1833" s="102">
        <v>46245</v>
      </c>
    </row>
    <row r="1834" spans="2:2">
      <c r="B1834" s="102">
        <v>46246</v>
      </c>
    </row>
    <row r="1835" spans="2:2">
      <c r="B1835" s="102">
        <v>46247</v>
      </c>
    </row>
    <row r="1836" spans="2:2">
      <c r="B1836" s="102">
        <v>46248</v>
      </c>
    </row>
    <row r="1837" spans="2:2">
      <c r="B1837" s="102">
        <v>46249</v>
      </c>
    </row>
    <row r="1838" spans="2:2">
      <c r="B1838" s="102">
        <v>46250</v>
      </c>
    </row>
    <row r="1839" spans="2:2">
      <c r="B1839" s="102">
        <v>46251</v>
      </c>
    </row>
    <row r="1840" spans="2:2">
      <c r="B1840" s="102">
        <v>46252</v>
      </c>
    </row>
    <row r="1841" spans="2:2">
      <c r="B1841" s="102">
        <v>46253</v>
      </c>
    </row>
    <row r="1842" spans="2:2">
      <c r="B1842" s="102">
        <v>46254</v>
      </c>
    </row>
    <row r="1843" spans="2:2">
      <c r="B1843" s="102">
        <v>46255</v>
      </c>
    </row>
    <row r="1844" spans="2:2">
      <c r="B1844" s="102">
        <v>46256</v>
      </c>
    </row>
    <row r="1845" spans="2:2">
      <c r="B1845" s="102">
        <v>46257</v>
      </c>
    </row>
    <row r="1846" spans="2:2">
      <c r="B1846" s="102">
        <v>46258</v>
      </c>
    </row>
    <row r="1847" spans="2:2">
      <c r="B1847" s="102">
        <v>46259</v>
      </c>
    </row>
    <row r="1848" spans="2:2">
      <c r="B1848" s="102">
        <v>46260</v>
      </c>
    </row>
    <row r="1849" spans="2:2">
      <c r="B1849" s="102">
        <v>46261</v>
      </c>
    </row>
    <row r="1850" spans="2:2">
      <c r="B1850" s="102">
        <v>46262</v>
      </c>
    </row>
    <row r="1851" spans="2:2">
      <c r="B1851" s="102">
        <v>46263</v>
      </c>
    </row>
    <row r="1852" spans="2:2">
      <c r="B1852" s="102">
        <v>46264</v>
      </c>
    </row>
    <row r="1853" spans="2:2">
      <c r="B1853" s="102">
        <v>46265</v>
      </c>
    </row>
    <row r="1854" spans="2:2">
      <c r="B1854" s="102">
        <v>46266</v>
      </c>
    </row>
    <row r="1855" spans="2:2">
      <c r="B1855" s="102">
        <v>46267</v>
      </c>
    </row>
    <row r="1856" spans="2:2">
      <c r="B1856" s="102">
        <v>46268</v>
      </c>
    </row>
    <row r="1857" spans="2:2">
      <c r="B1857" s="102">
        <v>46269</v>
      </c>
    </row>
    <row r="1858" spans="2:2">
      <c r="B1858" s="102">
        <v>46270</v>
      </c>
    </row>
    <row r="1859" spans="2:2">
      <c r="B1859" s="102">
        <v>46271</v>
      </c>
    </row>
    <row r="1860" spans="2:2">
      <c r="B1860" s="102">
        <v>46272</v>
      </c>
    </row>
    <row r="1861" spans="2:2">
      <c r="B1861" s="102">
        <v>46273</v>
      </c>
    </row>
    <row r="1862" spans="2:2">
      <c r="B1862" s="102">
        <v>46274</v>
      </c>
    </row>
    <row r="1863" spans="2:2">
      <c r="B1863" s="102">
        <v>46275</v>
      </c>
    </row>
    <row r="1864" spans="2:2">
      <c r="B1864" s="102">
        <v>46276</v>
      </c>
    </row>
    <row r="1865" spans="2:2">
      <c r="B1865" s="102">
        <v>46277</v>
      </c>
    </row>
    <row r="1866" spans="2:2">
      <c r="B1866" s="102">
        <v>46278</v>
      </c>
    </row>
    <row r="1867" spans="2:2">
      <c r="B1867" s="102">
        <v>46279</v>
      </c>
    </row>
    <row r="1868" spans="2:2">
      <c r="B1868" s="102">
        <v>46280</v>
      </c>
    </row>
    <row r="1869" spans="2:2">
      <c r="B1869" s="102">
        <v>46281</v>
      </c>
    </row>
    <row r="1870" spans="2:2">
      <c r="B1870" s="102">
        <v>46282</v>
      </c>
    </row>
    <row r="1871" spans="2:2">
      <c r="B1871" s="102">
        <v>46283</v>
      </c>
    </row>
    <row r="1872" spans="2:2">
      <c r="B1872" s="102">
        <v>46284</v>
      </c>
    </row>
    <row r="1873" spans="2:2">
      <c r="B1873" s="102">
        <v>46285</v>
      </c>
    </row>
    <row r="1874" spans="2:2">
      <c r="B1874" s="102">
        <v>46286</v>
      </c>
    </row>
    <row r="1875" spans="2:2">
      <c r="B1875" s="102">
        <v>46287</v>
      </c>
    </row>
    <row r="1876" spans="2:2">
      <c r="B1876" s="102">
        <v>46288</v>
      </c>
    </row>
    <row r="1877" spans="2:2">
      <c r="B1877" s="102">
        <v>46289</v>
      </c>
    </row>
    <row r="1878" spans="2:2">
      <c r="B1878" s="102">
        <v>46290</v>
      </c>
    </row>
    <row r="1879" spans="2:2">
      <c r="B1879" s="102">
        <v>46291</v>
      </c>
    </row>
    <row r="1880" spans="2:2">
      <c r="B1880" s="102">
        <v>46292</v>
      </c>
    </row>
    <row r="1881" spans="2:2">
      <c r="B1881" s="102">
        <v>46293</v>
      </c>
    </row>
    <row r="1882" spans="2:2">
      <c r="B1882" s="102">
        <v>46294</v>
      </c>
    </row>
    <row r="1883" spans="2:2">
      <c r="B1883" s="102">
        <v>46295</v>
      </c>
    </row>
    <row r="1884" spans="2:2">
      <c r="B1884" s="102">
        <v>46296</v>
      </c>
    </row>
    <row r="1885" spans="2:2">
      <c r="B1885" s="102">
        <v>46297</v>
      </c>
    </row>
    <row r="1886" spans="2:2">
      <c r="B1886" s="102">
        <v>46298</v>
      </c>
    </row>
    <row r="1887" spans="2:2">
      <c r="B1887" s="102">
        <v>46299</v>
      </c>
    </row>
    <row r="1888" spans="2:2">
      <c r="B1888" s="102">
        <v>46300</v>
      </c>
    </row>
    <row r="1889" spans="2:2">
      <c r="B1889" s="102">
        <v>46301</v>
      </c>
    </row>
    <row r="1890" spans="2:2">
      <c r="B1890" s="102">
        <v>46302</v>
      </c>
    </row>
    <row r="1891" spans="2:2">
      <c r="B1891" s="102">
        <v>46303</v>
      </c>
    </row>
    <row r="1892" spans="2:2">
      <c r="B1892" s="102">
        <v>46304</v>
      </c>
    </row>
    <row r="1893" spans="2:2">
      <c r="B1893" s="102">
        <v>46305</v>
      </c>
    </row>
    <row r="1894" spans="2:2">
      <c r="B1894" s="102">
        <v>46306</v>
      </c>
    </row>
    <row r="1895" spans="2:2">
      <c r="B1895" s="102">
        <v>46307</v>
      </c>
    </row>
    <row r="1896" spans="2:2">
      <c r="B1896" s="102">
        <v>46308</v>
      </c>
    </row>
    <row r="1897" spans="2:2">
      <c r="B1897" s="102">
        <v>46309</v>
      </c>
    </row>
    <row r="1898" spans="2:2">
      <c r="B1898" s="102">
        <v>46310</v>
      </c>
    </row>
    <row r="1899" spans="2:2">
      <c r="B1899" s="102">
        <v>46311</v>
      </c>
    </row>
    <row r="1900" spans="2:2">
      <c r="B1900" s="102">
        <v>46312</v>
      </c>
    </row>
    <row r="1901" spans="2:2">
      <c r="B1901" s="102">
        <v>46313</v>
      </c>
    </row>
    <row r="1902" spans="2:2">
      <c r="B1902" s="102">
        <v>46314</v>
      </c>
    </row>
    <row r="1903" spans="2:2">
      <c r="B1903" s="102">
        <v>46315</v>
      </c>
    </row>
    <row r="1904" spans="2:2">
      <c r="B1904" s="102">
        <v>46316</v>
      </c>
    </row>
    <row r="1905" spans="2:2">
      <c r="B1905" s="102">
        <v>46317</v>
      </c>
    </row>
    <row r="1906" spans="2:2">
      <c r="B1906" s="102">
        <v>46318</v>
      </c>
    </row>
    <row r="1907" spans="2:2">
      <c r="B1907" s="102">
        <v>46319</v>
      </c>
    </row>
    <row r="1908" spans="2:2">
      <c r="B1908" s="102">
        <v>46320</v>
      </c>
    </row>
    <row r="1909" spans="2:2">
      <c r="B1909" s="102">
        <v>46321</v>
      </c>
    </row>
    <row r="1910" spans="2:2">
      <c r="B1910" s="102">
        <v>46322</v>
      </c>
    </row>
    <row r="1911" spans="2:2">
      <c r="B1911" s="102">
        <v>46323</v>
      </c>
    </row>
    <row r="1912" spans="2:2">
      <c r="B1912" s="102">
        <v>46324</v>
      </c>
    </row>
    <row r="1913" spans="2:2">
      <c r="B1913" s="102">
        <v>46325</v>
      </c>
    </row>
    <row r="1914" spans="2:2">
      <c r="B1914" s="102">
        <v>46326</v>
      </c>
    </row>
    <row r="1915" spans="2:2">
      <c r="B1915" s="102">
        <v>46327</v>
      </c>
    </row>
    <row r="1916" spans="2:2">
      <c r="B1916" s="102">
        <v>46328</v>
      </c>
    </row>
    <row r="1917" spans="2:2">
      <c r="B1917" s="102">
        <v>46329</v>
      </c>
    </row>
    <row r="1918" spans="2:2">
      <c r="B1918" s="102">
        <v>46330</v>
      </c>
    </row>
    <row r="1919" spans="2:2">
      <c r="B1919" s="102">
        <v>46331</v>
      </c>
    </row>
    <row r="1920" spans="2:2">
      <c r="B1920" s="102">
        <v>46332</v>
      </c>
    </row>
    <row r="1921" spans="2:2">
      <c r="B1921" s="102">
        <v>46333</v>
      </c>
    </row>
    <row r="1922" spans="2:2">
      <c r="B1922" s="102">
        <v>46334</v>
      </c>
    </row>
    <row r="1923" spans="2:2">
      <c r="B1923" s="102">
        <v>46335</v>
      </c>
    </row>
    <row r="1924" spans="2:2">
      <c r="B1924" s="102">
        <v>46336</v>
      </c>
    </row>
    <row r="1925" spans="2:2">
      <c r="B1925" s="102">
        <v>46337</v>
      </c>
    </row>
    <row r="1926" spans="2:2">
      <c r="B1926" s="102">
        <v>46338</v>
      </c>
    </row>
    <row r="1927" spans="2:2">
      <c r="B1927" s="102">
        <v>46339</v>
      </c>
    </row>
    <row r="1928" spans="2:2">
      <c r="B1928" s="102">
        <v>46340</v>
      </c>
    </row>
    <row r="1929" spans="2:2">
      <c r="B1929" s="102">
        <v>46341</v>
      </c>
    </row>
    <row r="1930" spans="2:2">
      <c r="B1930" s="102">
        <v>46342</v>
      </c>
    </row>
    <row r="1931" spans="2:2">
      <c r="B1931" s="102">
        <v>46343</v>
      </c>
    </row>
    <row r="1932" spans="2:2">
      <c r="B1932" s="102">
        <v>46344</v>
      </c>
    </row>
    <row r="1933" spans="2:2">
      <c r="B1933" s="102">
        <v>46345</v>
      </c>
    </row>
    <row r="1934" spans="2:2">
      <c r="B1934" s="102">
        <v>46346</v>
      </c>
    </row>
    <row r="1935" spans="2:2">
      <c r="B1935" s="102">
        <v>46347</v>
      </c>
    </row>
    <row r="1936" spans="2:2">
      <c r="B1936" s="102">
        <v>46348</v>
      </c>
    </row>
    <row r="1937" spans="2:2">
      <c r="B1937" s="102">
        <v>46349</v>
      </c>
    </row>
    <row r="1938" spans="2:2">
      <c r="B1938" s="102">
        <v>46350</v>
      </c>
    </row>
    <row r="1939" spans="2:2">
      <c r="B1939" s="102">
        <v>46351</v>
      </c>
    </row>
    <row r="1940" spans="2:2">
      <c r="B1940" s="102">
        <v>46352</v>
      </c>
    </row>
    <row r="1941" spans="2:2">
      <c r="B1941" s="102">
        <v>46353</v>
      </c>
    </row>
    <row r="1942" spans="2:2">
      <c r="B1942" s="102">
        <v>46354</v>
      </c>
    </row>
    <row r="1943" spans="2:2">
      <c r="B1943" s="102">
        <v>46355</v>
      </c>
    </row>
    <row r="1944" spans="2:2">
      <c r="B1944" s="102">
        <v>46356</v>
      </c>
    </row>
    <row r="1945" spans="2:2">
      <c r="B1945" s="102">
        <v>46357</v>
      </c>
    </row>
    <row r="1946" spans="2:2">
      <c r="B1946" s="102">
        <v>46358</v>
      </c>
    </row>
    <row r="1947" spans="2:2">
      <c r="B1947" s="102">
        <v>46359</v>
      </c>
    </row>
    <row r="1948" spans="2:2">
      <c r="B1948" s="102">
        <v>46360</v>
      </c>
    </row>
    <row r="1949" spans="2:2">
      <c r="B1949" s="102">
        <v>46361</v>
      </c>
    </row>
    <row r="1950" spans="2:2">
      <c r="B1950" s="102">
        <v>46362</v>
      </c>
    </row>
    <row r="1951" spans="2:2">
      <c r="B1951" s="102">
        <v>46363</v>
      </c>
    </row>
    <row r="1952" spans="2:2">
      <c r="B1952" s="102">
        <v>46364</v>
      </c>
    </row>
    <row r="1953" spans="2:2">
      <c r="B1953" s="102">
        <v>46365</v>
      </c>
    </row>
    <row r="1954" spans="2:2">
      <c r="B1954" s="102">
        <v>46366</v>
      </c>
    </row>
    <row r="1955" spans="2:2">
      <c r="B1955" s="102">
        <v>46367</v>
      </c>
    </row>
    <row r="1956" spans="2:2">
      <c r="B1956" s="102">
        <v>46368</v>
      </c>
    </row>
    <row r="1957" spans="2:2">
      <c r="B1957" s="102">
        <v>46369</v>
      </c>
    </row>
    <row r="1958" spans="2:2">
      <c r="B1958" s="102">
        <v>46370</v>
      </c>
    </row>
    <row r="1959" spans="2:2">
      <c r="B1959" s="102">
        <v>46371</v>
      </c>
    </row>
    <row r="1960" spans="2:2">
      <c r="B1960" s="102">
        <v>46372</v>
      </c>
    </row>
    <row r="1961" spans="2:2">
      <c r="B1961" s="102">
        <v>46373</v>
      </c>
    </row>
    <row r="1962" spans="2:2">
      <c r="B1962" s="102">
        <v>46374</v>
      </c>
    </row>
    <row r="1963" spans="2:2">
      <c r="B1963" s="102">
        <v>46375</v>
      </c>
    </row>
    <row r="1964" spans="2:2">
      <c r="B1964" s="102">
        <v>46376</v>
      </c>
    </row>
    <row r="1965" spans="2:2">
      <c r="B1965" s="102">
        <v>46377</v>
      </c>
    </row>
    <row r="1966" spans="2:2">
      <c r="B1966" s="102">
        <v>46378</v>
      </c>
    </row>
    <row r="1967" spans="2:2">
      <c r="B1967" s="102">
        <v>46379</v>
      </c>
    </row>
    <row r="1968" spans="2:2">
      <c r="B1968" s="102">
        <v>46380</v>
      </c>
    </row>
    <row r="1969" spans="2:2">
      <c r="B1969" s="102">
        <v>46381</v>
      </c>
    </row>
    <row r="1970" spans="2:2">
      <c r="B1970" s="102">
        <v>46382</v>
      </c>
    </row>
    <row r="1971" spans="2:2">
      <c r="B1971" s="102">
        <v>46383</v>
      </c>
    </row>
    <row r="1972" spans="2:2">
      <c r="B1972" s="102">
        <v>46384</v>
      </c>
    </row>
    <row r="1973" spans="2:2">
      <c r="B1973" s="102">
        <v>46385</v>
      </c>
    </row>
    <row r="1974" spans="2:2">
      <c r="B1974" s="102">
        <v>46386</v>
      </c>
    </row>
    <row r="1975" spans="2:2">
      <c r="B1975" s="102">
        <v>46387</v>
      </c>
    </row>
    <row r="1976" spans="2:2">
      <c r="B1976" s="102">
        <v>46388</v>
      </c>
    </row>
    <row r="1977" spans="2:2">
      <c r="B1977" s="102">
        <v>46389</v>
      </c>
    </row>
    <row r="1978" spans="2:2">
      <c r="B1978" s="102">
        <v>46390</v>
      </c>
    </row>
    <row r="1979" spans="2:2">
      <c r="B1979" s="102">
        <v>46391</v>
      </c>
    </row>
    <row r="1980" spans="2:2">
      <c r="B1980" s="102">
        <v>46392</v>
      </c>
    </row>
    <row r="1981" spans="2:2">
      <c r="B1981" s="102">
        <v>46393</v>
      </c>
    </row>
    <row r="1982" spans="2:2">
      <c r="B1982" s="102">
        <v>46394</v>
      </c>
    </row>
    <row r="1983" spans="2:2">
      <c r="B1983" s="102">
        <v>46395</v>
      </c>
    </row>
    <row r="1984" spans="2:2">
      <c r="B1984" s="102">
        <v>46396</v>
      </c>
    </row>
    <row r="1985" spans="2:2">
      <c r="B1985" s="102">
        <v>46397</v>
      </c>
    </row>
    <row r="1986" spans="2:2">
      <c r="B1986" s="102">
        <v>46398</v>
      </c>
    </row>
    <row r="1987" spans="2:2">
      <c r="B1987" s="102">
        <v>46399</v>
      </c>
    </row>
    <row r="1988" spans="2:2">
      <c r="B1988" s="102">
        <v>46400</v>
      </c>
    </row>
    <row r="1989" spans="2:2">
      <c r="B1989" s="102">
        <v>46401</v>
      </c>
    </row>
    <row r="1990" spans="2:2">
      <c r="B1990" s="102">
        <v>46402</v>
      </c>
    </row>
    <row r="1991" spans="2:2">
      <c r="B1991" s="102">
        <v>46403</v>
      </c>
    </row>
    <row r="1992" spans="2:2">
      <c r="B1992" s="102">
        <v>46404</v>
      </c>
    </row>
    <row r="1993" spans="2:2">
      <c r="B1993" s="102">
        <v>46405</v>
      </c>
    </row>
    <row r="1994" spans="2:2">
      <c r="B1994" s="102">
        <v>46406</v>
      </c>
    </row>
    <row r="1995" spans="2:2">
      <c r="B1995" s="102">
        <v>46407</v>
      </c>
    </row>
    <row r="1996" spans="2:2">
      <c r="B1996" s="102">
        <v>46408</v>
      </c>
    </row>
    <row r="1997" spans="2:2">
      <c r="B1997" s="102">
        <v>46409</v>
      </c>
    </row>
    <row r="1998" spans="2:2">
      <c r="B1998" s="102">
        <v>46410</v>
      </c>
    </row>
    <row r="1999" spans="2:2">
      <c r="B1999" s="102">
        <v>46411</v>
      </c>
    </row>
    <row r="2000" spans="2:2">
      <c r="B2000" s="102">
        <v>46412</v>
      </c>
    </row>
    <row r="2001" spans="2:2">
      <c r="B2001" s="102">
        <v>46413</v>
      </c>
    </row>
    <row r="2002" spans="2:2">
      <c r="B2002" s="102">
        <v>46414</v>
      </c>
    </row>
    <row r="2003" spans="2:2">
      <c r="B2003" s="102">
        <v>46415</v>
      </c>
    </row>
    <row r="2004" spans="2:2">
      <c r="B2004" s="102">
        <v>46416</v>
      </c>
    </row>
    <row r="2005" spans="2:2">
      <c r="B2005" s="102">
        <v>46417</v>
      </c>
    </row>
    <row r="2006" spans="2:2">
      <c r="B2006" s="102">
        <v>46418</v>
      </c>
    </row>
    <row r="2007" spans="2:2">
      <c r="B2007" s="102">
        <v>46419</v>
      </c>
    </row>
    <row r="2008" spans="2:2">
      <c r="B2008" s="102">
        <v>46420</v>
      </c>
    </row>
    <row r="2009" spans="2:2">
      <c r="B2009" s="102">
        <v>46421</v>
      </c>
    </row>
    <row r="2010" spans="2:2">
      <c r="B2010" s="102">
        <v>46422</v>
      </c>
    </row>
    <row r="2011" spans="2:2">
      <c r="B2011" s="102">
        <v>46423</v>
      </c>
    </row>
    <row r="2012" spans="2:2">
      <c r="B2012" s="102">
        <v>46424</v>
      </c>
    </row>
    <row r="2013" spans="2:2">
      <c r="B2013" s="102">
        <v>46425</v>
      </c>
    </row>
    <row r="2014" spans="2:2">
      <c r="B2014" s="102">
        <v>46426</v>
      </c>
    </row>
    <row r="2015" spans="2:2">
      <c r="B2015" s="102">
        <v>46427</v>
      </c>
    </row>
    <row r="2016" spans="2:2">
      <c r="B2016" s="102">
        <v>46428</v>
      </c>
    </row>
    <row r="2017" spans="2:2">
      <c r="B2017" s="102">
        <v>46429</v>
      </c>
    </row>
    <row r="2018" spans="2:2">
      <c r="B2018" s="102">
        <v>46430</v>
      </c>
    </row>
    <row r="2019" spans="2:2">
      <c r="B2019" s="102">
        <v>46431</v>
      </c>
    </row>
    <row r="2020" spans="2:2">
      <c r="B2020" s="102">
        <v>46432</v>
      </c>
    </row>
    <row r="2021" spans="2:2">
      <c r="B2021" s="102">
        <v>46433</v>
      </c>
    </row>
    <row r="2022" spans="2:2">
      <c r="B2022" s="102">
        <v>46434</v>
      </c>
    </row>
    <row r="2023" spans="2:2">
      <c r="B2023" s="102">
        <v>46435</v>
      </c>
    </row>
    <row r="2024" spans="2:2">
      <c r="B2024" s="102">
        <v>46436</v>
      </c>
    </row>
    <row r="2025" spans="2:2">
      <c r="B2025" s="102">
        <v>46437</v>
      </c>
    </row>
    <row r="2026" spans="2:2">
      <c r="B2026" s="102">
        <v>46438</v>
      </c>
    </row>
    <row r="2027" spans="2:2">
      <c r="B2027" s="102">
        <v>46439</v>
      </c>
    </row>
    <row r="2028" spans="2:2">
      <c r="B2028" s="102">
        <v>46440</v>
      </c>
    </row>
    <row r="2029" spans="2:2">
      <c r="B2029" s="102">
        <v>46441</v>
      </c>
    </row>
    <row r="2030" spans="2:2">
      <c r="B2030" s="102">
        <v>46442</v>
      </c>
    </row>
    <row r="2031" spans="2:2">
      <c r="B2031" s="102">
        <v>46443</v>
      </c>
    </row>
    <row r="2032" spans="2:2">
      <c r="B2032" s="102">
        <v>46444</v>
      </c>
    </row>
    <row r="2033" spans="2:2">
      <c r="B2033" s="102">
        <v>46445</v>
      </c>
    </row>
    <row r="2034" spans="2:2">
      <c r="B2034" s="102">
        <v>46446</v>
      </c>
    </row>
    <row r="2035" spans="2:2">
      <c r="B2035" s="102">
        <v>46447</v>
      </c>
    </row>
    <row r="2036" spans="2:2">
      <c r="B2036" s="102">
        <v>46448</v>
      </c>
    </row>
    <row r="2037" spans="2:2">
      <c r="B2037" s="102">
        <v>46449</v>
      </c>
    </row>
    <row r="2038" spans="2:2">
      <c r="B2038" s="102">
        <v>46450</v>
      </c>
    </row>
    <row r="2039" spans="2:2">
      <c r="B2039" s="102">
        <v>46451</v>
      </c>
    </row>
    <row r="2040" spans="2:2">
      <c r="B2040" s="102">
        <v>46452</v>
      </c>
    </row>
    <row r="2041" spans="2:2">
      <c r="B2041" s="102">
        <v>46453</v>
      </c>
    </row>
    <row r="2042" spans="2:2">
      <c r="B2042" s="102">
        <v>46454</v>
      </c>
    </row>
    <row r="2043" spans="2:2">
      <c r="B2043" s="102">
        <v>46455</v>
      </c>
    </row>
    <row r="2044" spans="2:2">
      <c r="B2044" s="102">
        <v>46456</v>
      </c>
    </row>
    <row r="2045" spans="2:2">
      <c r="B2045" s="102">
        <v>46457</v>
      </c>
    </row>
    <row r="2046" spans="2:2">
      <c r="B2046" s="102">
        <v>46458</v>
      </c>
    </row>
    <row r="2047" spans="2:2">
      <c r="B2047" s="102">
        <v>46459</v>
      </c>
    </row>
    <row r="2048" spans="2:2">
      <c r="B2048" s="102">
        <v>46460</v>
      </c>
    </row>
    <row r="2049" spans="2:2">
      <c r="B2049" s="102">
        <v>46461</v>
      </c>
    </row>
    <row r="2050" spans="2:2">
      <c r="B2050" s="102">
        <v>46462</v>
      </c>
    </row>
    <row r="2051" spans="2:2">
      <c r="B2051" s="102">
        <v>46463</v>
      </c>
    </row>
    <row r="2052" spans="2:2">
      <c r="B2052" s="102">
        <v>46464</v>
      </c>
    </row>
    <row r="2053" spans="2:2">
      <c r="B2053" s="102">
        <v>46465</v>
      </c>
    </row>
    <row r="2054" spans="2:2">
      <c r="B2054" s="102">
        <v>46466</v>
      </c>
    </row>
    <row r="2055" spans="2:2">
      <c r="B2055" s="102">
        <v>46467</v>
      </c>
    </row>
    <row r="2056" spans="2:2">
      <c r="B2056" s="102">
        <v>46468</v>
      </c>
    </row>
    <row r="2057" spans="2:2">
      <c r="B2057" s="102">
        <v>46469</v>
      </c>
    </row>
    <row r="2058" spans="2:2">
      <c r="B2058" s="102">
        <v>46470</v>
      </c>
    </row>
    <row r="2059" spans="2:2">
      <c r="B2059" s="102">
        <v>46471</v>
      </c>
    </row>
    <row r="2060" spans="2:2">
      <c r="B2060" s="102">
        <v>46472</v>
      </c>
    </row>
    <row r="2061" spans="2:2">
      <c r="B2061" s="102">
        <v>46473</v>
      </c>
    </row>
    <row r="2062" spans="2:2">
      <c r="B2062" s="102">
        <v>46474</v>
      </c>
    </row>
    <row r="2063" spans="2:2">
      <c r="B2063" s="102">
        <v>46475</v>
      </c>
    </row>
    <row r="2064" spans="2:2">
      <c r="B2064" s="102">
        <v>46476</v>
      </c>
    </row>
    <row r="2065" spans="2:2">
      <c r="B2065" s="102">
        <v>46477</v>
      </c>
    </row>
    <row r="2066" spans="2:2">
      <c r="B2066" s="102">
        <v>46478</v>
      </c>
    </row>
    <row r="2067" spans="2:2">
      <c r="B2067" s="102">
        <v>46479</v>
      </c>
    </row>
    <row r="2068" spans="2:2">
      <c r="B2068" s="102">
        <v>46480</v>
      </c>
    </row>
    <row r="2069" spans="2:2">
      <c r="B2069" s="102">
        <v>46481</v>
      </c>
    </row>
    <row r="2070" spans="2:2">
      <c r="B2070" s="102">
        <v>46482</v>
      </c>
    </row>
    <row r="2071" spans="2:2">
      <c r="B2071" s="102">
        <v>46483</v>
      </c>
    </row>
    <row r="2072" spans="2:2">
      <c r="B2072" s="102">
        <v>46484</v>
      </c>
    </row>
    <row r="2073" spans="2:2">
      <c r="B2073" s="102">
        <v>46485</v>
      </c>
    </row>
    <row r="2074" spans="2:2">
      <c r="B2074" s="102">
        <v>46486</v>
      </c>
    </row>
    <row r="2075" spans="2:2">
      <c r="B2075" s="102">
        <v>46487</v>
      </c>
    </row>
    <row r="2076" spans="2:2">
      <c r="B2076" s="102">
        <v>46488</v>
      </c>
    </row>
    <row r="2077" spans="2:2">
      <c r="B2077" s="102">
        <v>46489</v>
      </c>
    </row>
    <row r="2078" spans="2:2">
      <c r="B2078" s="102">
        <v>46490</v>
      </c>
    </row>
    <row r="2079" spans="2:2">
      <c r="B2079" s="102">
        <v>46491</v>
      </c>
    </row>
    <row r="2080" spans="2:2">
      <c r="B2080" s="102">
        <v>46492</v>
      </c>
    </row>
    <row r="2081" spans="2:2">
      <c r="B2081" s="102">
        <v>46493</v>
      </c>
    </row>
    <row r="2082" spans="2:2">
      <c r="B2082" s="102">
        <v>46494</v>
      </c>
    </row>
    <row r="2083" spans="2:2">
      <c r="B2083" s="102">
        <v>46495</v>
      </c>
    </row>
    <row r="2084" spans="2:2">
      <c r="B2084" s="102">
        <v>46496</v>
      </c>
    </row>
    <row r="2085" spans="2:2">
      <c r="B2085" s="102">
        <v>46497</v>
      </c>
    </row>
    <row r="2086" spans="2:2">
      <c r="B2086" s="102">
        <v>46498</v>
      </c>
    </row>
    <row r="2087" spans="2:2">
      <c r="B2087" s="102">
        <v>46499</v>
      </c>
    </row>
    <row r="2088" spans="2:2">
      <c r="B2088" s="102">
        <v>46500</v>
      </c>
    </row>
    <row r="2089" spans="2:2">
      <c r="B2089" s="102">
        <v>46501</v>
      </c>
    </row>
    <row r="2090" spans="2:2">
      <c r="B2090" s="102">
        <v>46502</v>
      </c>
    </row>
    <row r="2091" spans="2:2">
      <c r="B2091" s="102">
        <v>46503</v>
      </c>
    </row>
    <row r="2092" spans="2:2">
      <c r="B2092" s="102">
        <v>46504</v>
      </c>
    </row>
    <row r="2093" spans="2:2">
      <c r="B2093" s="102">
        <v>46505</v>
      </c>
    </row>
    <row r="2094" spans="2:2">
      <c r="B2094" s="102">
        <v>46506</v>
      </c>
    </row>
    <row r="2095" spans="2:2">
      <c r="B2095" s="102">
        <v>46507</v>
      </c>
    </row>
    <row r="2096" spans="2:2">
      <c r="B2096" s="102">
        <v>46508</v>
      </c>
    </row>
    <row r="2097" spans="2:2">
      <c r="B2097" s="102">
        <v>46509</v>
      </c>
    </row>
    <row r="2098" spans="2:2">
      <c r="B2098" s="102">
        <v>46510</v>
      </c>
    </row>
    <row r="2099" spans="2:2">
      <c r="B2099" s="102">
        <v>46511</v>
      </c>
    </row>
    <row r="2100" spans="2:2">
      <c r="B2100" s="102">
        <v>46512</v>
      </c>
    </row>
    <row r="2101" spans="2:2">
      <c r="B2101" s="102">
        <v>46513</v>
      </c>
    </row>
    <row r="2102" spans="2:2">
      <c r="B2102" s="102">
        <v>46514</v>
      </c>
    </row>
    <row r="2103" spans="2:2">
      <c r="B2103" s="102">
        <v>46515</v>
      </c>
    </row>
    <row r="2104" spans="2:2">
      <c r="B2104" s="102">
        <v>46516</v>
      </c>
    </row>
    <row r="2105" spans="2:2">
      <c r="B2105" s="102">
        <v>46517</v>
      </c>
    </row>
    <row r="2106" spans="2:2">
      <c r="B2106" s="102">
        <v>46518</v>
      </c>
    </row>
    <row r="2107" spans="2:2">
      <c r="B2107" s="102">
        <v>46519</v>
      </c>
    </row>
    <row r="2108" spans="2:2">
      <c r="B2108" s="102">
        <v>46520</v>
      </c>
    </row>
    <row r="2109" spans="2:2">
      <c r="B2109" s="102">
        <v>46521</v>
      </c>
    </row>
    <row r="2110" spans="2:2">
      <c r="B2110" s="102">
        <v>46522</v>
      </c>
    </row>
    <row r="2111" spans="2:2">
      <c r="B2111" s="102">
        <v>46523</v>
      </c>
    </row>
    <row r="2112" spans="2:2">
      <c r="B2112" s="102">
        <v>46524</v>
      </c>
    </row>
    <row r="2113" spans="2:2">
      <c r="B2113" s="102">
        <v>46525</v>
      </c>
    </row>
    <row r="2114" spans="2:2">
      <c r="B2114" s="102">
        <v>46526</v>
      </c>
    </row>
    <row r="2115" spans="2:2">
      <c r="B2115" s="102">
        <v>46527</v>
      </c>
    </row>
    <row r="2116" spans="2:2">
      <c r="B2116" s="102">
        <v>46528</v>
      </c>
    </row>
    <row r="2117" spans="2:2">
      <c r="B2117" s="102">
        <v>46529</v>
      </c>
    </row>
    <row r="2118" spans="2:2">
      <c r="B2118" s="102">
        <v>46530</v>
      </c>
    </row>
    <row r="2119" spans="2:2">
      <c r="B2119" s="102">
        <v>46531</v>
      </c>
    </row>
    <row r="2120" spans="2:2">
      <c r="B2120" s="102">
        <v>46532</v>
      </c>
    </row>
    <row r="2121" spans="2:2">
      <c r="B2121" s="102">
        <v>46533</v>
      </c>
    </row>
    <row r="2122" spans="2:2">
      <c r="B2122" s="102">
        <v>46534</v>
      </c>
    </row>
    <row r="2123" spans="2:2">
      <c r="B2123" s="102">
        <v>46535</v>
      </c>
    </row>
    <row r="2124" spans="2:2">
      <c r="B2124" s="102">
        <v>46536</v>
      </c>
    </row>
    <row r="2125" spans="2:2">
      <c r="B2125" s="102">
        <v>46537</v>
      </c>
    </row>
    <row r="2126" spans="2:2">
      <c r="B2126" s="102">
        <v>46538</v>
      </c>
    </row>
    <row r="2127" spans="2:2">
      <c r="B2127" s="102">
        <v>46539</v>
      </c>
    </row>
    <row r="2128" spans="2:2">
      <c r="B2128" s="102">
        <v>46540</v>
      </c>
    </row>
    <row r="2129" spans="2:2">
      <c r="B2129" s="102">
        <v>46541</v>
      </c>
    </row>
    <row r="2130" spans="2:2">
      <c r="B2130" s="102">
        <v>46542</v>
      </c>
    </row>
    <row r="2131" spans="2:2">
      <c r="B2131" s="102">
        <v>46543</v>
      </c>
    </row>
    <row r="2132" spans="2:2">
      <c r="B2132" s="102">
        <v>46544</v>
      </c>
    </row>
    <row r="2133" spans="2:2">
      <c r="B2133" s="102">
        <v>46545</v>
      </c>
    </row>
    <row r="2134" spans="2:2">
      <c r="B2134" s="102">
        <v>46546</v>
      </c>
    </row>
    <row r="2135" spans="2:2">
      <c r="B2135" s="102">
        <v>46547</v>
      </c>
    </row>
    <row r="2136" spans="2:2">
      <c r="B2136" s="102">
        <v>46548</v>
      </c>
    </row>
    <row r="2137" spans="2:2">
      <c r="B2137" s="102">
        <v>46549</v>
      </c>
    </row>
    <row r="2138" spans="2:2">
      <c r="B2138" s="102">
        <v>46550</v>
      </c>
    </row>
    <row r="2139" spans="2:2">
      <c r="B2139" s="102">
        <v>46551</v>
      </c>
    </row>
    <row r="2140" spans="2:2">
      <c r="B2140" s="102">
        <v>46552</v>
      </c>
    </row>
    <row r="2141" spans="2:2">
      <c r="B2141" s="102">
        <v>46553</v>
      </c>
    </row>
    <row r="2142" spans="2:2">
      <c r="B2142" s="102">
        <v>46554</v>
      </c>
    </row>
    <row r="2143" spans="2:2">
      <c r="B2143" s="102">
        <v>46555</v>
      </c>
    </row>
    <row r="2144" spans="2:2">
      <c r="B2144" s="102">
        <v>46556</v>
      </c>
    </row>
    <row r="2145" spans="2:2">
      <c r="B2145" s="102">
        <v>46557</v>
      </c>
    </row>
    <row r="2146" spans="2:2">
      <c r="B2146" s="102">
        <v>46558</v>
      </c>
    </row>
    <row r="2147" spans="2:2">
      <c r="B2147" s="102">
        <v>46559</v>
      </c>
    </row>
    <row r="2148" spans="2:2">
      <c r="B2148" s="102">
        <v>46560</v>
      </c>
    </row>
    <row r="2149" spans="2:2">
      <c r="B2149" s="102">
        <v>46561</v>
      </c>
    </row>
    <row r="2150" spans="2:2">
      <c r="B2150" s="102">
        <v>46562</v>
      </c>
    </row>
    <row r="2151" spans="2:2">
      <c r="B2151" s="102">
        <v>46563</v>
      </c>
    </row>
    <row r="2152" spans="2:2">
      <c r="B2152" s="102">
        <v>46564</v>
      </c>
    </row>
    <row r="2153" spans="2:2">
      <c r="B2153" s="102">
        <v>46565</v>
      </c>
    </row>
    <row r="2154" spans="2:2">
      <c r="B2154" s="102">
        <v>46566</v>
      </c>
    </row>
    <row r="2155" spans="2:2">
      <c r="B2155" s="102">
        <v>46567</v>
      </c>
    </row>
    <row r="2156" spans="2:2">
      <c r="B2156" s="102">
        <v>46568</v>
      </c>
    </row>
    <row r="2157" spans="2:2">
      <c r="B2157" s="102">
        <v>46569</v>
      </c>
    </row>
    <row r="2158" spans="2:2">
      <c r="B2158" s="102">
        <v>46570</v>
      </c>
    </row>
    <row r="2159" spans="2:2">
      <c r="B2159" s="102">
        <v>46571</v>
      </c>
    </row>
    <row r="2160" spans="2:2">
      <c r="B2160" s="102">
        <v>46572</v>
      </c>
    </row>
    <row r="2161" spans="2:2">
      <c r="B2161" s="102">
        <v>46573</v>
      </c>
    </row>
    <row r="2162" spans="2:2">
      <c r="B2162" s="102">
        <v>46574</v>
      </c>
    </row>
    <row r="2163" spans="2:2">
      <c r="B2163" s="102">
        <v>46575</v>
      </c>
    </row>
    <row r="2164" spans="2:2">
      <c r="B2164" s="102">
        <v>46576</v>
      </c>
    </row>
    <row r="2165" spans="2:2">
      <c r="B2165" s="102">
        <v>46577</v>
      </c>
    </row>
    <row r="2166" spans="2:2">
      <c r="B2166" s="102">
        <v>46578</v>
      </c>
    </row>
    <row r="2167" spans="2:2">
      <c r="B2167" s="102">
        <v>46579</v>
      </c>
    </row>
    <row r="2168" spans="2:2">
      <c r="B2168" s="102">
        <v>46580</v>
      </c>
    </row>
    <row r="2169" spans="2:2">
      <c r="B2169" s="102">
        <v>46581</v>
      </c>
    </row>
    <row r="2170" spans="2:2">
      <c r="B2170" s="102">
        <v>46582</v>
      </c>
    </row>
    <row r="2171" spans="2:2">
      <c r="B2171" s="102">
        <v>46583</v>
      </c>
    </row>
    <row r="2172" spans="2:2">
      <c r="B2172" s="102">
        <v>46584</v>
      </c>
    </row>
    <row r="2173" spans="2:2">
      <c r="B2173" s="102">
        <v>46585</v>
      </c>
    </row>
    <row r="2174" spans="2:2">
      <c r="B2174" s="102">
        <v>46586</v>
      </c>
    </row>
    <row r="2175" spans="2:2">
      <c r="B2175" s="102">
        <v>46587</v>
      </c>
    </row>
    <row r="2176" spans="2:2">
      <c r="B2176" s="102">
        <v>46588</v>
      </c>
    </row>
    <row r="2177" spans="2:2">
      <c r="B2177" s="102">
        <v>46589</v>
      </c>
    </row>
    <row r="2178" spans="2:2">
      <c r="B2178" s="102">
        <v>46590</v>
      </c>
    </row>
    <row r="2179" spans="2:2">
      <c r="B2179" s="102">
        <v>46591</v>
      </c>
    </row>
    <row r="2180" spans="2:2">
      <c r="B2180" s="102">
        <v>46592</v>
      </c>
    </row>
    <row r="2181" spans="2:2">
      <c r="B2181" s="102">
        <v>46593</v>
      </c>
    </row>
    <row r="2182" spans="2:2">
      <c r="B2182" s="102">
        <v>46594</v>
      </c>
    </row>
    <row r="2183" spans="2:2">
      <c r="B2183" s="102">
        <v>46595</v>
      </c>
    </row>
    <row r="2184" spans="2:2">
      <c r="B2184" s="102">
        <v>46596</v>
      </c>
    </row>
    <row r="2185" spans="2:2">
      <c r="B2185" s="102">
        <v>46597</v>
      </c>
    </row>
    <row r="2186" spans="2:2">
      <c r="B2186" s="102">
        <v>46598</v>
      </c>
    </row>
    <row r="2187" spans="2:2">
      <c r="B2187" s="102">
        <v>46599</v>
      </c>
    </row>
    <row r="2188" spans="2:2">
      <c r="B2188" s="102">
        <v>46600</v>
      </c>
    </row>
    <row r="2189" spans="2:2">
      <c r="B2189" s="102">
        <v>46601</v>
      </c>
    </row>
    <row r="2190" spans="2:2">
      <c r="B2190" s="102">
        <v>46602</v>
      </c>
    </row>
    <row r="2191" spans="2:2">
      <c r="B2191" s="102">
        <v>46603</v>
      </c>
    </row>
    <row r="2192" spans="2:2">
      <c r="B2192" s="102">
        <v>46604</v>
      </c>
    </row>
    <row r="2193" spans="2:2">
      <c r="B2193" s="102">
        <v>46605</v>
      </c>
    </row>
    <row r="2194" spans="2:2">
      <c r="B2194" s="102">
        <v>46606</v>
      </c>
    </row>
    <row r="2195" spans="2:2">
      <c r="B2195" s="102">
        <v>46607</v>
      </c>
    </row>
    <row r="2196" spans="2:2">
      <c r="B2196" s="102">
        <v>46608</v>
      </c>
    </row>
    <row r="2197" spans="2:2">
      <c r="B2197" s="102">
        <v>46609</v>
      </c>
    </row>
    <row r="2198" spans="2:2">
      <c r="B2198" s="102">
        <v>46610</v>
      </c>
    </row>
    <row r="2199" spans="2:2">
      <c r="B2199" s="102">
        <v>46611</v>
      </c>
    </row>
    <row r="2200" spans="2:2">
      <c r="B2200" s="102">
        <v>46612</v>
      </c>
    </row>
    <row r="2201" spans="2:2">
      <c r="B2201" s="102">
        <v>46613</v>
      </c>
    </row>
    <row r="2202" spans="2:2">
      <c r="B2202" s="102">
        <v>46614</v>
      </c>
    </row>
    <row r="2203" spans="2:2">
      <c r="B2203" s="102">
        <v>46615</v>
      </c>
    </row>
    <row r="2204" spans="2:2">
      <c r="B2204" s="102">
        <v>46616</v>
      </c>
    </row>
    <row r="2205" spans="2:2">
      <c r="B2205" s="102">
        <v>46617</v>
      </c>
    </row>
    <row r="2206" spans="2:2">
      <c r="B2206" s="102">
        <v>46618</v>
      </c>
    </row>
    <row r="2207" spans="2:2">
      <c r="B2207" s="102">
        <v>46619</v>
      </c>
    </row>
    <row r="2208" spans="2:2">
      <c r="B2208" s="102">
        <v>46620</v>
      </c>
    </row>
    <row r="2209" spans="2:2">
      <c r="B2209" s="102">
        <v>46621</v>
      </c>
    </row>
    <row r="2210" spans="2:2">
      <c r="B2210" s="102">
        <v>46622</v>
      </c>
    </row>
    <row r="2211" spans="2:2">
      <c r="B2211" s="102">
        <v>46623</v>
      </c>
    </row>
    <row r="2212" spans="2:2">
      <c r="B2212" s="102">
        <v>46624</v>
      </c>
    </row>
    <row r="2213" spans="2:2">
      <c r="B2213" s="102">
        <v>46625</v>
      </c>
    </row>
    <row r="2214" spans="2:2">
      <c r="B2214" s="102">
        <v>46626</v>
      </c>
    </row>
    <row r="2215" spans="2:2">
      <c r="B2215" s="102">
        <v>46627</v>
      </c>
    </row>
    <row r="2216" spans="2:2">
      <c r="B2216" s="102">
        <v>46628</v>
      </c>
    </row>
    <row r="2217" spans="2:2">
      <c r="B2217" s="102">
        <v>46629</v>
      </c>
    </row>
    <row r="2218" spans="2:2">
      <c r="B2218" s="102">
        <v>46630</v>
      </c>
    </row>
    <row r="2219" spans="2:2">
      <c r="B2219" s="102">
        <v>46631</v>
      </c>
    </row>
    <row r="2220" spans="2:2">
      <c r="B2220" s="102">
        <v>46632</v>
      </c>
    </row>
    <row r="2221" spans="2:2">
      <c r="B2221" s="102">
        <v>46633</v>
      </c>
    </row>
    <row r="2222" spans="2:2">
      <c r="B2222" s="102">
        <v>46634</v>
      </c>
    </row>
    <row r="2223" spans="2:2">
      <c r="B2223" s="102">
        <v>46635</v>
      </c>
    </row>
    <row r="2224" spans="2:2">
      <c r="B2224" s="102">
        <v>46636</v>
      </c>
    </row>
    <row r="2225" spans="2:2">
      <c r="B2225" s="102">
        <v>46637</v>
      </c>
    </row>
    <row r="2226" spans="2:2">
      <c r="B2226" s="102">
        <v>46638</v>
      </c>
    </row>
    <row r="2227" spans="2:2">
      <c r="B2227" s="102">
        <v>46639</v>
      </c>
    </row>
    <row r="2228" spans="2:2">
      <c r="B2228" s="102">
        <v>46640</v>
      </c>
    </row>
    <row r="2229" spans="2:2">
      <c r="B2229" s="102">
        <v>46641</v>
      </c>
    </row>
    <row r="2230" spans="2:2">
      <c r="B2230" s="102">
        <v>46642</v>
      </c>
    </row>
    <row r="2231" spans="2:2">
      <c r="B2231" s="102">
        <v>46643</v>
      </c>
    </row>
    <row r="2232" spans="2:2">
      <c r="B2232" s="102">
        <v>46644</v>
      </c>
    </row>
    <row r="2233" spans="2:2">
      <c r="B2233" s="102">
        <v>46645</v>
      </c>
    </row>
    <row r="2234" spans="2:2">
      <c r="B2234" s="102">
        <v>46646</v>
      </c>
    </row>
    <row r="2235" spans="2:2">
      <c r="B2235" s="102">
        <v>46647</v>
      </c>
    </row>
    <row r="2236" spans="2:2">
      <c r="B2236" s="102">
        <v>46648</v>
      </c>
    </row>
    <row r="2237" spans="2:2">
      <c r="B2237" s="102">
        <v>46649</v>
      </c>
    </row>
    <row r="2238" spans="2:2">
      <c r="B2238" s="102">
        <v>46650</v>
      </c>
    </row>
    <row r="2239" spans="2:2">
      <c r="B2239" s="102">
        <v>46651</v>
      </c>
    </row>
    <row r="2240" spans="2:2">
      <c r="B2240" s="102">
        <v>46652</v>
      </c>
    </row>
    <row r="2241" spans="2:2">
      <c r="B2241" s="102">
        <v>46653</v>
      </c>
    </row>
    <row r="2242" spans="2:2">
      <c r="B2242" s="102">
        <v>46654</v>
      </c>
    </row>
    <row r="2243" spans="2:2">
      <c r="B2243" s="102">
        <v>46655</v>
      </c>
    </row>
    <row r="2244" spans="2:2">
      <c r="B2244" s="102">
        <v>46656</v>
      </c>
    </row>
    <row r="2245" spans="2:2">
      <c r="B2245" s="102">
        <v>46657</v>
      </c>
    </row>
    <row r="2246" spans="2:2">
      <c r="B2246" s="102">
        <v>46658</v>
      </c>
    </row>
    <row r="2247" spans="2:2">
      <c r="B2247" s="102">
        <v>46659</v>
      </c>
    </row>
    <row r="2248" spans="2:2">
      <c r="B2248" s="102">
        <v>46660</v>
      </c>
    </row>
    <row r="2249" spans="2:2">
      <c r="B2249" s="102">
        <v>46661</v>
      </c>
    </row>
    <row r="2250" spans="2:2">
      <c r="B2250" s="102">
        <v>46662</v>
      </c>
    </row>
    <row r="2251" spans="2:2">
      <c r="B2251" s="102">
        <v>46663</v>
      </c>
    </row>
    <row r="2252" spans="2:2">
      <c r="B2252" s="102">
        <v>46664</v>
      </c>
    </row>
    <row r="2253" spans="2:2">
      <c r="B2253" s="102">
        <v>46665</v>
      </c>
    </row>
    <row r="2254" spans="2:2">
      <c r="B2254" s="102">
        <v>46666</v>
      </c>
    </row>
    <row r="2255" spans="2:2">
      <c r="B2255" s="102">
        <v>46667</v>
      </c>
    </row>
    <row r="2256" spans="2:2">
      <c r="B2256" s="102">
        <v>46668</v>
      </c>
    </row>
    <row r="2257" spans="2:2">
      <c r="B2257" s="102">
        <v>46669</v>
      </c>
    </row>
    <row r="2258" spans="2:2">
      <c r="B2258" s="102">
        <v>46670</v>
      </c>
    </row>
    <row r="2259" spans="2:2">
      <c r="B2259" s="102">
        <v>46671</v>
      </c>
    </row>
    <row r="2260" spans="2:2">
      <c r="B2260" s="102">
        <v>46672</v>
      </c>
    </row>
    <row r="2261" spans="2:2">
      <c r="B2261" s="102">
        <v>46673</v>
      </c>
    </row>
    <row r="2262" spans="2:2">
      <c r="B2262" s="102">
        <v>46674</v>
      </c>
    </row>
    <row r="2263" spans="2:2">
      <c r="B2263" s="102">
        <v>46675</v>
      </c>
    </row>
    <row r="2264" spans="2:2">
      <c r="B2264" s="102">
        <v>46676</v>
      </c>
    </row>
    <row r="2265" spans="2:2">
      <c r="B2265" s="102">
        <v>46677</v>
      </c>
    </row>
    <row r="2266" spans="2:2">
      <c r="B2266" s="102">
        <v>46678</v>
      </c>
    </row>
    <row r="2267" spans="2:2">
      <c r="B2267" s="102">
        <v>46679</v>
      </c>
    </row>
    <row r="2268" spans="2:2">
      <c r="B2268" s="102">
        <v>46680</v>
      </c>
    </row>
    <row r="2269" spans="2:2">
      <c r="B2269" s="102">
        <v>46681</v>
      </c>
    </row>
    <row r="2270" spans="2:2">
      <c r="B2270" s="102">
        <v>46682</v>
      </c>
    </row>
    <row r="2271" spans="2:2">
      <c r="B2271" s="102">
        <v>46683</v>
      </c>
    </row>
    <row r="2272" spans="2:2">
      <c r="B2272" s="102">
        <v>46684</v>
      </c>
    </row>
    <row r="2273" spans="2:2">
      <c r="B2273" s="102">
        <v>46685</v>
      </c>
    </row>
    <row r="2274" spans="2:2">
      <c r="B2274" s="102">
        <v>46686</v>
      </c>
    </row>
    <row r="2275" spans="2:2">
      <c r="B2275" s="102">
        <v>46687</v>
      </c>
    </row>
    <row r="2276" spans="2:2">
      <c r="B2276" s="102">
        <v>46688</v>
      </c>
    </row>
    <row r="2277" spans="2:2">
      <c r="B2277" s="102">
        <v>46689</v>
      </c>
    </row>
    <row r="2278" spans="2:2">
      <c r="B2278" s="102">
        <v>46690</v>
      </c>
    </row>
    <row r="2279" spans="2:2">
      <c r="B2279" s="102">
        <v>46691</v>
      </c>
    </row>
    <row r="2280" spans="2:2">
      <c r="B2280" s="102">
        <v>46692</v>
      </c>
    </row>
    <row r="2281" spans="2:2">
      <c r="B2281" s="102">
        <v>46693</v>
      </c>
    </row>
    <row r="2282" spans="2:2">
      <c r="B2282" s="102">
        <v>46694</v>
      </c>
    </row>
    <row r="2283" spans="2:2">
      <c r="B2283" s="102">
        <v>46695</v>
      </c>
    </row>
    <row r="2284" spans="2:2">
      <c r="B2284" s="102">
        <v>46696</v>
      </c>
    </row>
    <row r="2285" spans="2:2">
      <c r="B2285" s="102">
        <v>46697</v>
      </c>
    </row>
    <row r="2286" spans="2:2">
      <c r="B2286" s="102">
        <v>46698</v>
      </c>
    </row>
    <row r="2287" spans="2:2">
      <c r="B2287" s="102">
        <v>46699</v>
      </c>
    </row>
    <row r="2288" spans="2:2">
      <c r="B2288" s="102">
        <v>46700</v>
      </c>
    </row>
    <row r="2289" spans="2:2">
      <c r="B2289" s="102">
        <v>46701</v>
      </c>
    </row>
    <row r="2290" spans="2:2">
      <c r="B2290" s="102">
        <v>46702</v>
      </c>
    </row>
    <row r="2291" spans="2:2">
      <c r="B2291" s="102">
        <v>46703</v>
      </c>
    </row>
    <row r="2292" spans="2:2">
      <c r="B2292" s="102">
        <v>46704</v>
      </c>
    </row>
    <row r="2293" spans="2:2">
      <c r="B2293" s="102">
        <v>46705</v>
      </c>
    </row>
    <row r="2294" spans="2:2">
      <c r="B2294" s="102">
        <v>46706</v>
      </c>
    </row>
    <row r="2295" spans="2:2">
      <c r="B2295" s="102">
        <v>46707</v>
      </c>
    </row>
    <row r="2296" spans="2:2">
      <c r="B2296" s="102">
        <v>46708</v>
      </c>
    </row>
    <row r="2297" spans="2:2">
      <c r="B2297" s="102">
        <v>46709</v>
      </c>
    </row>
    <row r="2298" spans="2:2">
      <c r="B2298" s="102">
        <v>46710</v>
      </c>
    </row>
    <row r="2299" spans="2:2">
      <c r="B2299" s="102">
        <v>46711</v>
      </c>
    </row>
    <row r="2300" spans="2:2">
      <c r="B2300" s="102">
        <v>46712</v>
      </c>
    </row>
    <row r="2301" spans="2:2">
      <c r="B2301" s="102">
        <v>46713</v>
      </c>
    </row>
    <row r="2302" spans="2:2">
      <c r="B2302" s="102">
        <v>46714</v>
      </c>
    </row>
    <row r="2303" spans="2:2">
      <c r="B2303" s="102">
        <v>46715</v>
      </c>
    </row>
    <row r="2304" spans="2:2">
      <c r="B2304" s="102">
        <v>46716</v>
      </c>
    </row>
    <row r="2305" spans="2:2">
      <c r="B2305" s="102">
        <v>46717</v>
      </c>
    </row>
    <row r="2306" spans="2:2">
      <c r="B2306" s="102">
        <v>46718</v>
      </c>
    </row>
    <row r="2307" spans="2:2">
      <c r="B2307" s="102">
        <v>46719</v>
      </c>
    </row>
    <row r="2308" spans="2:2">
      <c r="B2308" s="102">
        <v>46720</v>
      </c>
    </row>
    <row r="2309" spans="2:2">
      <c r="B2309" s="102">
        <v>46721</v>
      </c>
    </row>
    <row r="2310" spans="2:2">
      <c r="B2310" s="102">
        <v>46722</v>
      </c>
    </row>
    <row r="2311" spans="2:2">
      <c r="B2311" s="102">
        <v>46723</v>
      </c>
    </row>
    <row r="2312" spans="2:2">
      <c r="B2312" s="102">
        <v>46724</v>
      </c>
    </row>
    <row r="2313" spans="2:2">
      <c r="B2313" s="102">
        <v>46725</v>
      </c>
    </row>
    <row r="2314" spans="2:2">
      <c r="B2314" s="102">
        <v>46726</v>
      </c>
    </row>
    <row r="2315" spans="2:2">
      <c r="B2315" s="102">
        <v>46727</v>
      </c>
    </row>
    <row r="2316" spans="2:2">
      <c r="B2316" s="102">
        <v>46728</v>
      </c>
    </row>
    <row r="2317" spans="2:2">
      <c r="B2317" s="102">
        <v>46729</v>
      </c>
    </row>
    <row r="2318" spans="2:2">
      <c r="B2318" s="102">
        <v>46730</v>
      </c>
    </row>
    <row r="2319" spans="2:2">
      <c r="B2319" s="102">
        <v>46731</v>
      </c>
    </row>
    <row r="2320" spans="2:2">
      <c r="B2320" s="102">
        <v>46732</v>
      </c>
    </row>
    <row r="2321" spans="2:2">
      <c r="B2321" s="102">
        <v>46733</v>
      </c>
    </row>
    <row r="2322" spans="2:2">
      <c r="B2322" s="102">
        <v>46734</v>
      </c>
    </row>
    <row r="2323" spans="2:2">
      <c r="B2323" s="102">
        <v>46735</v>
      </c>
    </row>
    <row r="2324" spans="2:2">
      <c r="B2324" s="102">
        <v>46736</v>
      </c>
    </row>
    <row r="2325" spans="2:2">
      <c r="B2325" s="102">
        <v>46737</v>
      </c>
    </row>
    <row r="2326" spans="2:2">
      <c r="B2326" s="102">
        <v>46738</v>
      </c>
    </row>
    <row r="2327" spans="2:2">
      <c r="B2327" s="102">
        <v>46739</v>
      </c>
    </row>
    <row r="2328" spans="2:2">
      <c r="B2328" s="102">
        <v>46740</v>
      </c>
    </row>
    <row r="2329" spans="2:2">
      <c r="B2329" s="102">
        <v>46741</v>
      </c>
    </row>
    <row r="2330" spans="2:2">
      <c r="B2330" s="102">
        <v>46742</v>
      </c>
    </row>
    <row r="2331" spans="2:2">
      <c r="B2331" s="102">
        <v>46743</v>
      </c>
    </row>
    <row r="2332" spans="2:2">
      <c r="B2332" s="102">
        <v>46744</v>
      </c>
    </row>
    <row r="2333" spans="2:2">
      <c r="B2333" s="102">
        <v>46745</v>
      </c>
    </row>
    <row r="2334" spans="2:2">
      <c r="B2334" s="102">
        <v>46746</v>
      </c>
    </row>
    <row r="2335" spans="2:2">
      <c r="B2335" s="102">
        <v>46747</v>
      </c>
    </row>
    <row r="2336" spans="2:2">
      <c r="B2336" s="102">
        <v>46748</v>
      </c>
    </row>
    <row r="2337" spans="2:2">
      <c r="B2337" s="102">
        <v>46749</v>
      </c>
    </row>
    <row r="2338" spans="2:2">
      <c r="B2338" s="102">
        <v>46750</v>
      </c>
    </row>
    <row r="2339" spans="2:2">
      <c r="B2339" s="102">
        <v>46751</v>
      </c>
    </row>
    <row r="2340" spans="2:2">
      <c r="B2340" s="102">
        <v>46752</v>
      </c>
    </row>
    <row r="2341" spans="2:2">
      <c r="B2341" s="102">
        <v>46753</v>
      </c>
    </row>
    <row r="2342" spans="2:2">
      <c r="B2342" s="102">
        <v>46754</v>
      </c>
    </row>
    <row r="2343" spans="2:2">
      <c r="B2343" s="102">
        <v>46755</v>
      </c>
    </row>
    <row r="2344" spans="2:2">
      <c r="B2344" s="102">
        <v>46756</v>
      </c>
    </row>
    <row r="2345" spans="2:2">
      <c r="B2345" s="102">
        <v>46757</v>
      </c>
    </row>
    <row r="2346" spans="2:2">
      <c r="B2346" s="102">
        <v>46758</v>
      </c>
    </row>
    <row r="2347" spans="2:2">
      <c r="B2347" s="102">
        <v>46759</v>
      </c>
    </row>
    <row r="2348" spans="2:2">
      <c r="B2348" s="102">
        <v>46760</v>
      </c>
    </row>
    <row r="2349" spans="2:2">
      <c r="B2349" s="102">
        <v>46761</v>
      </c>
    </row>
    <row r="2350" spans="2:2">
      <c r="B2350" s="102">
        <v>46762</v>
      </c>
    </row>
    <row r="2351" spans="2:2">
      <c r="B2351" s="102">
        <v>46763</v>
      </c>
    </row>
    <row r="2352" spans="2:2">
      <c r="B2352" s="102">
        <v>46764</v>
      </c>
    </row>
    <row r="2353" spans="2:2">
      <c r="B2353" s="102">
        <v>46765</v>
      </c>
    </row>
    <row r="2354" spans="2:2">
      <c r="B2354" s="102">
        <v>46766</v>
      </c>
    </row>
    <row r="2355" spans="2:2">
      <c r="B2355" s="102">
        <v>46767</v>
      </c>
    </row>
    <row r="2356" spans="2:2">
      <c r="B2356" s="102">
        <v>46768</v>
      </c>
    </row>
    <row r="2357" spans="2:2">
      <c r="B2357" s="102">
        <v>46769</v>
      </c>
    </row>
    <row r="2358" spans="2:2">
      <c r="B2358" s="102">
        <v>46770</v>
      </c>
    </row>
    <row r="2359" spans="2:2">
      <c r="B2359" s="102">
        <v>46771</v>
      </c>
    </row>
    <row r="2360" spans="2:2">
      <c r="B2360" s="102">
        <v>46772</v>
      </c>
    </row>
    <row r="2361" spans="2:2">
      <c r="B2361" s="102">
        <v>46773</v>
      </c>
    </row>
    <row r="2362" spans="2:2">
      <c r="B2362" s="102">
        <v>46774</v>
      </c>
    </row>
    <row r="2363" spans="2:2">
      <c r="B2363" s="102">
        <v>46775</v>
      </c>
    </row>
    <row r="2364" spans="2:2">
      <c r="B2364" s="102">
        <v>46776</v>
      </c>
    </row>
    <row r="2365" spans="2:2">
      <c r="B2365" s="102">
        <v>46777</v>
      </c>
    </row>
    <row r="2366" spans="2:2">
      <c r="B2366" s="102">
        <v>46778</v>
      </c>
    </row>
    <row r="2367" spans="2:2">
      <c r="B2367" s="102">
        <v>46779</v>
      </c>
    </row>
    <row r="2368" spans="2:2">
      <c r="B2368" s="102">
        <v>46780</v>
      </c>
    </row>
    <row r="2369" spans="2:2">
      <c r="B2369" s="102">
        <v>46781</v>
      </c>
    </row>
    <row r="2370" spans="2:2">
      <c r="B2370" s="102">
        <v>46782</v>
      </c>
    </row>
    <row r="2371" spans="2:2">
      <c r="B2371" s="102">
        <v>46783</v>
      </c>
    </row>
    <row r="2372" spans="2:2">
      <c r="B2372" s="102">
        <v>46784</v>
      </c>
    </row>
    <row r="2373" spans="2:2">
      <c r="B2373" s="102">
        <v>46785</v>
      </c>
    </row>
    <row r="2374" spans="2:2">
      <c r="B2374" s="102">
        <v>46786</v>
      </c>
    </row>
    <row r="2375" spans="2:2">
      <c r="B2375" s="102">
        <v>46787</v>
      </c>
    </row>
    <row r="2376" spans="2:2">
      <c r="B2376" s="102">
        <v>46788</v>
      </c>
    </row>
    <row r="2377" spans="2:2">
      <c r="B2377" s="102">
        <v>46789</v>
      </c>
    </row>
    <row r="2378" spans="2:2">
      <c r="B2378" s="102">
        <v>46790</v>
      </c>
    </row>
    <row r="2379" spans="2:2">
      <c r="B2379" s="102">
        <v>46791</v>
      </c>
    </row>
    <row r="2380" spans="2:2">
      <c r="B2380" s="102">
        <v>46792</v>
      </c>
    </row>
    <row r="2381" spans="2:2">
      <c r="B2381" s="102">
        <v>46793</v>
      </c>
    </row>
    <row r="2382" spans="2:2">
      <c r="B2382" s="102">
        <v>46794</v>
      </c>
    </row>
    <row r="2383" spans="2:2">
      <c r="B2383" s="102">
        <v>46795</v>
      </c>
    </row>
    <row r="2384" spans="2:2">
      <c r="B2384" s="102">
        <v>46796</v>
      </c>
    </row>
    <row r="2385" spans="2:2">
      <c r="B2385" s="102">
        <v>46797</v>
      </c>
    </row>
    <row r="2386" spans="2:2">
      <c r="B2386" s="102">
        <v>46798</v>
      </c>
    </row>
    <row r="2387" spans="2:2">
      <c r="B2387" s="102">
        <v>46799</v>
      </c>
    </row>
    <row r="2388" spans="2:2">
      <c r="B2388" s="102">
        <v>46800</v>
      </c>
    </row>
    <row r="2389" spans="2:2">
      <c r="B2389" s="102">
        <v>46801</v>
      </c>
    </row>
    <row r="2390" spans="2:2">
      <c r="B2390" s="102">
        <v>46802</v>
      </c>
    </row>
    <row r="2391" spans="2:2">
      <c r="B2391" s="102">
        <v>46803</v>
      </c>
    </row>
    <row r="2392" spans="2:2">
      <c r="B2392" s="102">
        <v>46804</v>
      </c>
    </row>
    <row r="2393" spans="2:2">
      <c r="B2393" s="102">
        <v>46805</v>
      </c>
    </row>
    <row r="2394" spans="2:2">
      <c r="B2394" s="102">
        <v>46806</v>
      </c>
    </row>
    <row r="2395" spans="2:2">
      <c r="B2395" s="102">
        <v>46807</v>
      </c>
    </row>
    <row r="2396" spans="2:2">
      <c r="B2396" s="102">
        <v>46808</v>
      </c>
    </row>
    <row r="2397" spans="2:2">
      <c r="B2397" s="102">
        <v>46809</v>
      </c>
    </row>
    <row r="2398" spans="2:2">
      <c r="B2398" s="102">
        <v>46810</v>
      </c>
    </row>
    <row r="2399" spans="2:2">
      <c r="B2399" s="102">
        <v>46811</v>
      </c>
    </row>
    <row r="2400" spans="2:2">
      <c r="B2400" s="102">
        <v>46812</v>
      </c>
    </row>
    <row r="2401" spans="2:2">
      <c r="B2401" s="102">
        <v>46813</v>
      </c>
    </row>
    <row r="2402" spans="2:2">
      <c r="B2402" s="102">
        <v>46814</v>
      </c>
    </row>
    <row r="2403" spans="2:2">
      <c r="B2403" s="102">
        <v>46815</v>
      </c>
    </row>
    <row r="2404" spans="2:2">
      <c r="B2404" s="102">
        <v>46816</v>
      </c>
    </row>
    <row r="2405" spans="2:2">
      <c r="B2405" s="102">
        <v>46817</v>
      </c>
    </row>
    <row r="2406" spans="2:2">
      <c r="B2406" s="102">
        <v>46818</v>
      </c>
    </row>
    <row r="2407" spans="2:2">
      <c r="B2407" s="102">
        <v>46819</v>
      </c>
    </row>
    <row r="2408" spans="2:2">
      <c r="B2408" s="102">
        <v>46820</v>
      </c>
    </row>
    <row r="2409" spans="2:2">
      <c r="B2409" s="102">
        <v>46821</v>
      </c>
    </row>
    <row r="2410" spans="2:2">
      <c r="B2410" s="102">
        <v>46822</v>
      </c>
    </row>
    <row r="2411" spans="2:2">
      <c r="B2411" s="102">
        <v>46823</v>
      </c>
    </row>
    <row r="2412" spans="2:2">
      <c r="B2412" s="102">
        <v>46824</v>
      </c>
    </row>
    <row r="2413" spans="2:2">
      <c r="B2413" s="102">
        <v>46825</v>
      </c>
    </row>
    <row r="2414" spans="2:2">
      <c r="B2414" s="102">
        <v>46826</v>
      </c>
    </row>
    <row r="2415" spans="2:2">
      <c r="B2415" s="102">
        <v>46827</v>
      </c>
    </row>
    <row r="2416" spans="2:2">
      <c r="B2416" s="102">
        <v>46828</v>
      </c>
    </row>
    <row r="2417" spans="2:2">
      <c r="B2417" s="102">
        <v>46829</v>
      </c>
    </row>
    <row r="2418" spans="2:2">
      <c r="B2418" s="102">
        <v>46830</v>
      </c>
    </row>
    <row r="2419" spans="2:2">
      <c r="B2419" s="102">
        <v>46831</v>
      </c>
    </row>
    <row r="2420" spans="2:2">
      <c r="B2420" s="102">
        <v>46832</v>
      </c>
    </row>
    <row r="2421" spans="2:2">
      <c r="B2421" s="102">
        <v>46833</v>
      </c>
    </row>
    <row r="2422" spans="2:2">
      <c r="B2422" s="102">
        <v>46834</v>
      </c>
    </row>
    <row r="2423" spans="2:2">
      <c r="B2423" s="102">
        <v>46835</v>
      </c>
    </row>
    <row r="2424" spans="2:2">
      <c r="B2424" s="102">
        <v>46836</v>
      </c>
    </row>
    <row r="2425" spans="2:2">
      <c r="B2425" s="102">
        <v>46837</v>
      </c>
    </row>
    <row r="2426" spans="2:2">
      <c r="B2426" s="102">
        <v>46838</v>
      </c>
    </row>
    <row r="2427" spans="2:2">
      <c r="B2427" s="102">
        <v>46839</v>
      </c>
    </row>
    <row r="2428" spans="2:2">
      <c r="B2428" s="102">
        <v>46840</v>
      </c>
    </row>
    <row r="2429" spans="2:2">
      <c r="B2429" s="102">
        <v>46841</v>
      </c>
    </row>
    <row r="2430" spans="2:2">
      <c r="B2430" s="102">
        <v>46842</v>
      </c>
    </row>
    <row r="2431" spans="2:2">
      <c r="B2431" s="102">
        <v>46843</v>
      </c>
    </row>
    <row r="2432" spans="2:2">
      <c r="B2432" s="102">
        <v>46844</v>
      </c>
    </row>
    <row r="2433" spans="2:2">
      <c r="B2433" s="102">
        <v>46845</v>
      </c>
    </row>
    <row r="2434" spans="2:2">
      <c r="B2434" s="102">
        <v>46846</v>
      </c>
    </row>
    <row r="2435" spans="2:2">
      <c r="B2435" s="102">
        <v>46847</v>
      </c>
    </row>
    <row r="2436" spans="2:2">
      <c r="B2436" s="102">
        <v>46848</v>
      </c>
    </row>
    <row r="2437" spans="2:2">
      <c r="B2437" s="102">
        <v>46849</v>
      </c>
    </row>
    <row r="2438" spans="2:2">
      <c r="B2438" s="102">
        <v>46850</v>
      </c>
    </row>
    <row r="2439" spans="2:2">
      <c r="B2439" s="102">
        <v>46851</v>
      </c>
    </row>
    <row r="2440" spans="2:2">
      <c r="B2440" s="102">
        <v>46852</v>
      </c>
    </row>
    <row r="2441" spans="2:2">
      <c r="B2441" s="102">
        <v>46853</v>
      </c>
    </row>
    <row r="2442" spans="2:2">
      <c r="B2442" s="102">
        <v>46854</v>
      </c>
    </row>
    <row r="2443" spans="2:2">
      <c r="B2443" s="102">
        <v>46855</v>
      </c>
    </row>
    <row r="2444" spans="2:2">
      <c r="B2444" s="102">
        <v>46856</v>
      </c>
    </row>
    <row r="2445" spans="2:2">
      <c r="B2445" s="102">
        <v>46857</v>
      </c>
    </row>
    <row r="2446" spans="2:2">
      <c r="B2446" s="102">
        <v>46858</v>
      </c>
    </row>
    <row r="2447" spans="2:2">
      <c r="B2447" s="102">
        <v>46859</v>
      </c>
    </row>
    <row r="2448" spans="2:2">
      <c r="B2448" s="102">
        <v>46860</v>
      </c>
    </row>
    <row r="2449" spans="2:2">
      <c r="B2449" s="102">
        <v>46861</v>
      </c>
    </row>
    <row r="2450" spans="2:2">
      <c r="B2450" s="102">
        <v>46862</v>
      </c>
    </row>
    <row r="2451" spans="2:2">
      <c r="B2451" s="102">
        <v>46863</v>
      </c>
    </row>
    <row r="2452" spans="2:2">
      <c r="B2452" s="102">
        <v>46864</v>
      </c>
    </row>
    <row r="2453" spans="2:2">
      <c r="B2453" s="102">
        <v>46865</v>
      </c>
    </row>
    <row r="2454" spans="2:2">
      <c r="B2454" s="102">
        <v>46866</v>
      </c>
    </row>
    <row r="2455" spans="2:2">
      <c r="B2455" s="102">
        <v>46867</v>
      </c>
    </row>
    <row r="2456" spans="2:2">
      <c r="B2456" s="102">
        <v>46868</v>
      </c>
    </row>
    <row r="2457" spans="2:2">
      <c r="B2457" s="102">
        <v>46869</v>
      </c>
    </row>
    <row r="2458" spans="2:2">
      <c r="B2458" s="102">
        <v>46870</v>
      </c>
    </row>
    <row r="2459" spans="2:2">
      <c r="B2459" s="102">
        <v>46871</v>
      </c>
    </row>
    <row r="2460" spans="2:2">
      <c r="B2460" s="102">
        <v>46872</v>
      </c>
    </row>
    <row r="2461" spans="2:2">
      <c r="B2461" s="102">
        <v>46873</v>
      </c>
    </row>
    <row r="2462" spans="2:2">
      <c r="B2462" s="102">
        <v>46874</v>
      </c>
    </row>
    <row r="2463" spans="2:2">
      <c r="B2463" s="102">
        <v>46875</v>
      </c>
    </row>
    <row r="2464" spans="2:2">
      <c r="B2464" s="102">
        <v>46876</v>
      </c>
    </row>
    <row r="2465" spans="2:2">
      <c r="B2465" s="102">
        <v>46877</v>
      </c>
    </row>
    <row r="2466" spans="2:2">
      <c r="B2466" s="102">
        <v>46878</v>
      </c>
    </row>
    <row r="2467" spans="2:2">
      <c r="B2467" s="102">
        <v>46879</v>
      </c>
    </row>
    <row r="2468" spans="2:2">
      <c r="B2468" s="102">
        <v>46880</v>
      </c>
    </row>
    <row r="2469" spans="2:2">
      <c r="B2469" s="102">
        <v>46881</v>
      </c>
    </row>
    <row r="2470" spans="2:2">
      <c r="B2470" s="102">
        <v>46882</v>
      </c>
    </row>
    <row r="2471" spans="2:2">
      <c r="B2471" s="102">
        <v>46883</v>
      </c>
    </row>
    <row r="2472" spans="2:2">
      <c r="B2472" s="102">
        <v>46884</v>
      </c>
    </row>
    <row r="2473" spans="2:2">
      <c r="B2473" s="102">
        <v>46885</v>
      </c>
    </row>
    <row r="2474" spans="2:2">
      <c r="B2474" s="102">
        <v>46886</v>
      </c>
    </row>
    <row r="2475" spans="2:2">
      <c r="B2475" s="102">
        <v>46887</v>
      </c>
    </row>
    <row r="2476" spans="2:2">
      <c r="B2476" s="102">
        <v>46888</v>
      </c>
    </row>
    <row r="2477" spans="2:2">
      <c r="B2477" s="102">
        <v>46889</v>
      </c>
    </row>
    <row r="2478" spans="2:2">
      <c r="B2478" s="102">
        <v>46890</v>
      </c>
    </row>
    <row r="2479" spans="2:2">
      <c r="B2479" s="102">
        <v>46891</v>
      </c>
    </row>
    <row r="2480" spans="2:2">
      <c r="B2480" s="102">
        <v>46892</v>
      </c>
    </row>
    <row r="2481" spans="2:2">
      <c r="B2481" s="102">
        <v>46893</v>
      </c>
    </row>
    <row r="2482" spans="2:2">
      <c r="B2482" s="102">
        <v>46894</v>
      </c>
    </row>
    <row r="2483" spans="2:2">
      <c r="B2483" s="102">
        <v>46895</v>
      </c>
    </row>
    <row r="2484" spans="2:2">
      <c r="B2484" s="102">
        <v>46896</v>
      </c>
    </row>
    <row r="2485" spans="2:2">
      <c r="B2485" s="102">
        <v>46897</v>
      </c>
    </row>
    <row r="2486" spans="2:2">
      <c r="B2486" s="102">
        <v>46898</v>
      </c>
    </row>
    <row r="2487" spans="2:2">
      <c r="B2487" s="102">
        <v>46899</v>
      </c>
    </row>
    <row r="2488" spans="2:2">
      <c r="B2488" s="102">
        <v>46900</v>
      </c>
    </row>
    <row r="2489" spans="2:2">
      <c r="B2489" s="102">
        <v>46901</v>
      </c>
    </row>
    <row r="2490" spans="2:2">
      <c r="B2490" s="102">
        <v>46902</v>
      </c>
    </row>
    <row r="2491" spans="2:2">
      <c r="B2491" s="102">
        <v>46903</v>
      </c>
    </row>
    <row r="2492" spans="2:2">
      <c r="B2492" s="102">
        <v>46904</v>
      </c>
    </row>
    <row r="2493" spans="2:2">
      <c r="B2493" s="102">
        <v>46905</v>
      </c>
    </row>
    <row r="2494" spans="2:2">
      <c r="B2494" s="102">
        <v>46906</v>
      </c>
    </row>
    <row r="2495" spans="2:2">
      <c r="B2495" s="102">
        <v>46907</v>
      </c>
    </row>
    <row r="2496" spans="2:2">
      <c r="B2496" s="102">
        <v>46908</v>
      </c>
    </row>
    <row r="2497" spans="2:2">
      <c r="B2497" s="102">
        <v>46909</v>
      </c>
    </row>
    <row r="2498" spans="2:2">
      <c r="B2498" s="102">
        <v>46910</v>
      </c>
    </row>
    <row r="2499" spans="2:2">
      <c r="B2499" s="102">
        <v>46911</v>
      </c>
    </row>
    <row r="2500" spans="2:2">
      <c r="B2500" s="102">
        <v>46912</v>
      </c>
    </row>
    <row r="2501" spans="2:2">
      <c r="B2501" s="102">
        <v>46913</v>
      </c>
    </row>
    <row r="2502" spans="2:2">
      <c r="B2502" s="102">
        <v>46914</v>
      </c>
    </row>
    <row r="2503" spans="2:2">
      <c r="B2503" s="102">
        <v>46915</v>
      </c>
    </row>
    <row r="2504" spans="2:2">
      <c r="B2504" s="102">
        <v>46916</v>
      </c>
    </row>
    <row r="2505" spans="2:2">
      <c r="B2505" s="102">
        <v>46917</v>
      </c>
    </row>
    <row r="2506" spans="2:2">
      <c r="B2506" s="102">
        <v>46918</v>
      </c>
    </row>
    <row r="2507" spans="2:2">
      <c r="B2507" s="102">
        <v>46919</v>
      </c>
    </row>
    <row r="2508" spans="2:2">
      <c r="B2508" s="102">
        <v>46920</v>
      </c>
    </row>
    <row r="2509" spans="2:2">
      <c r="B2509" s="102">
        <v>46921</v>
      </c>
    </row>
    <row r="2510" spans="2:2">
      <c r="B2510" s="102">
        <v>46922</v>
      </c>
    </row>
    <row r="2511" spans="2:2">
      <c r="B2511" s="102">
        <v>46923</v>
      </c>
    </row>
    <row r="2512" spans="2:2">
      <c r="B2512" s="102">
        <v>46924</v>
      </c>
    </row>
    <row r="2513" spans="2:2">
      <c r="B2513" s="102">
        <v>46925</v>
      </c>
    </row>
    <row r="2514" spans="2:2">
      <c r="B2514" s="102">
        <v>46926</v>
      </c>
    </row>
    <row r="2515" spans="2:2">
      <c r="B2515" s="102">
        <v>46927</v>
      </c>
    </row>
    <row r="2516" spans="2:2">
      <c r="B2516" s="102">
        <v>46928</v>
      </c>
    </row>
    <row r="2517" spans="2:2">
      <c r="B2517" s="102">
        <v>46929</v>
      </c>
    </row>
    <row r="2518" spans="2:2">
      <c r="B2518" s="102">
        <v>46930</v>
      </c>
    </row>
    <row r="2519" spans="2:2">
      <c r="B2519" s="102">
        <v>46931</v>
      </c>
    </row>
    <row r="2520" spans="2:2">
      <c r="B2520" s="102">
        <v>46932</v>
      </c>
    </row>
    <row r="2521" spans="2:2">
      <c r="B2521" s="102">
        <v>46933</v>
      </c>
    </row>
    <row r="2522" spans="2:2">
      <c r="B2522" s="102">
        <v>46934</v>
      </c>
    </row>
    <row r="2523" spans="2:2">
      <c r="B2523" s="102">
        <v>46935</v>
      </c>
    </row>
    <row r="2524" spans="2:2">
      <c r="B2524" s="102">
        <v>46936</v>
      </c>
    </row>
    <row r="2525" spans="2:2">
      <c r="B2525" s="102">
        <v>46937</v>
      </c>
    </row>
    <row r="2526" spans="2:2">
      <c r="B2526" s="102">
        <v>46938</v>
      </c>
    </row>
    <row r="2527" spans="2:2">
      <c r="B2527" s="102">
        <v>46939</v>
      </c>
    </row>
    <row r="2528" spans="2:2">
      <c r="B2528" s="102">
        <v>46940</v>
      </c>
    </row>
    <row r="2529" spans="2:2">
      <c r="B2529" s="102">
        <v>46941</v>
      </c>
    </row>
    <row r="2530" spans="2:2">
      <c r="B2530" s="102">
        <v>46942</v>
      </c>
    </row>
    <row r="2531" spans="2:2">
      <c r="B2531" s="102">
        <v>46943</v>
      </c>
    </row>
    <row r="2532" spans="2:2">
      <c r="B2532" s="102">
        <v>46944</v>
      </c>
    </row>
    <row r="2533" spans="2:2">
      <c r="B2533" s="102">
        <v>46945</v>
      </c>
    </row>
    <row r="2534" spans="2:2">
      <c r="B2534" s="102">
        <v>46946</v>
      </c>
    </row>
    <row r="2535" spans="2:2">
      <c r="B2535" s="102">
        <v>46947</v>
      </c>
    </row>
    <row r="2536" spans="2:2">
      <c r="B2536" s="102">
        <v>46948</v>
      </c>
    </row>
    <row r="2537" spans="2:2">
      <c r="B2537" s="102">
        <v>46949</v>
      </c>
    </row>
    <row r="2538" spans="2:2">
      <c r="B2538" s="102">
        <v>46950</v>
      </c>
    </row>
    <row r="2539" spans="2:2">
      <c r="B2539" s="102">
        <v>46951</v>
      </c>
    </row>
    <row r="2540" spans="2:2">
      <c r="B2540" s="102">
        <v>46952</v>
      </c>
    </row>
    <row r="2541" spans="2:2">
      <c r="B2541" s="102">
        <v>46953</v>
      </c>
    </row>
    <row r="2542" spans="2:2">
      <c r="B2542" s="102">
        <v>46954</v>
      </c>
    </row>
    <row r="2543" spans="2:2">
      <c r="B2543" s="102">
        <v>46955</v>
      </c>
    </row>
    <row r="2544" spans="2:2">
      <c r="B2544" s="102">
        <v>46956</v>
      </c>
    </row>
    <row r="2545" spans="2:2">
      <c r="B2545" s="102">
        <v>46957</v>
      </c>
    </row>
    <row r="2546" spans="2:2">
      <c r="B2546" s="102">
        <v>46958</v>
      </c>
    </row>
    <row r="2547" spans="2:2">
      <c r="B2547" s="102">
        <v>46959</v>
      </c>
    </row>
    <row r="2548" spans="2:2">
      <c r="B2548" s="102">
        <v>46960</v>
      </c>
    </row>
    <row r="2549" spans="2:2">
      <c r="B2549" s="102">
        <v>46961</v>
      </c>
    </row>
    <row r="2550" spans="2:2">
      <c r="B2550" s="102">
        <v>46962</v>
      </c>
    </row>
    <row r="2551" spans="2:2">
      <c r="B2551" s="102">
        <v>46963</v>
      </c>
    </row>
    <row r="2552" spans="2:2">
      <c r="B2552" s="102">
        <v>46964</v>
      </c>
    </row>
    <row r="2553" spans="2:2">
      <c r="B2553" s="102">
        <v>46965</v>
      </c>
    </row>
    <row r="2554" spans="2:2">
      <c r="B2554" s="102">
        <v>46966</v>
      </c>
    </row>
    <row r="2555" spans="2:2">
      <c r="B2555" s="102">
        <v>46967</v>
      </c>
    </row>
    <row r="2556" spans="2:2">
      <c r="B2556" s="102">
        <v>46968</v>
      </c>
    </row>
    <row r="2557" spans="2:2">
      <c r="B2557" s="102">
        <v>46969</v>
      </c>
    </row>
    <row r="2558" spans="2:2">
      <c r="B2558" s="102">
        <v>46970</v>
      </c>
    </row>
    <row r="2559" spans="2:2">
      <c r="B2559" s="102">
        <v>46971</v>
      </c>
    </row>
    <row r="2560" spans="2:2">
      <c r="B2560" s="102">
        <v>46972</v>
      </c>
    </row>
    <row r="2561" spans="2:2">
      <c r="B2561" s="102">
        <v>46973</v>
      </c>
    </row>
    <row r="2562" spans="2:2">
      <c r="B2562" s="102">
        <v>46974</v>
      </c>
    </row>
    <row r="2563" spans="2:2">
      <c r="B2563" s="102">
        <v>46975</v>
      </c>
    </row>
    <row r="2564" spans="2:2">
      <c r="B2564" s="102">
        <v>46976</v>
      </c>
    </row>
    <row r="2565" spans="2:2">
      <c r="B2565" s="102">
        <v>46977</v>
      </c>
    </row>
    <row r="2566" spans="2:2">
      <c r="B2566" s="102">
        <v>46978</v>
      </c>
    </row>
    <row r="2567" spans="2:2">
      <c r="B2567" s="102">
        <v>46979</v>
      </c>
    </row>
    <row r="2568" spans="2:2">
      <c r="B2568" s="102">
        <v>46980</v>
      </c>
    </row>
    <row r="2569" spans="2:2">
      <c r="B2569" s="102">
        <v>46981</v>
      </c>
    </row>
    <row r="2570" spans="2:2">
      <c r="B2570" s="102">
        <v>46982</v>
      </c>
    </row>
    <row r="2571" spans="2:2">
      <c r="B2571" s="102">
        <v>46983</v>
      </c>
    </row>
    <row r="2572" spans="2:2">
      <c r="B2572" s="102">
        <v>46984</v>
      </c>
    </row>
    <row r="2573" spans="2:2">
      <c r="B2573" s="102">
        <v>46985</v>
      </c>
    </row>
    <row r="2574" spans="2:2">
      <c r="B2574" s="102">
        <v>46986</v>
      </c>
    </row>
    <row r="2575" spans="2:2">
      <c r="B2575" s="102">
        <v>46987</v>
      </c>
    </row>
    <row r="2576" spans="2:2">
      <c r="B2576" s="102">
        <v>46988</v>
      </c>
    </row>
    <row r="2577" spans="2:2">
      <c r="B2577" s="102">
        <v>46989</v>
      </c>
    </row>
    <row r="2578" spans="2:2">
      <c r="B2578" s="102">
        <v>46990</v>
      </c>
    </row>
    <row r="2579" spans="2:2">
      <c r="B2579" s="102">
        <v>46991</v>
      </c>
    </row>
    <row r="2580" spans="2:2">
      <c r="B2580" s="102">
        <v>46992</v>
      </c>
    </row>
    <row r="2581" spans="2:2">
      <c r="B2581" s="102">
        <v>46993</v>
      </c>
    </row>
    <row r="2582" spans="2:2">
      <c r="B2582" s="102">
        <v>46994</v>
      </c>
    </row>
    <row r="2583" spans="2:2">
      <c r="B2583" s="102">
        <v>46995</v>
      </c>
    </row>
    <row r="2584" spans="2:2">
      <c r="B2584" s="102">
        <v>46996</v>
      </c>
    </row>
    <row r="2585" spans="2:2">
      <c r="B2585" s="102">
        <v>46997</v>
      </c>
    </row>
    <row r="2586" spans="2:2">
      <c r="B2586" s="102">
        <v>46998</v>
      </c>
    </row>
    <row r="2587" spans="2:2">
      <c r="B2587" s="102">
        <v>46999</v>
      </c>
    </row>
    <row r="2588" spans="2:2">
      <c r="B2588" s="102">
        <v>47000</v>
      </c>
    </row>
    <row r="2589" spans="2:2">
      <c r="B2589" s="102">
        <v>47001</v>
      </c>
    </row>
    <row r="2590" spans="2:2">
      <c r="B2590" s="102">
        <v>47002</v>
      </c>
    </row>
    <row r="2591" spans="2:2">
      <c r="B2591" s="102">
        <v>47003</v>
      </c>
    </row>
    <row r="2592" spans="2:2">
      <c r="B2592" s="102">
        <v>47004</v>
      </c>
    </row>
    <row r="2593" spans="2:2">
      <c r="B2593" s="102">
        <v>47005</v>
      </c>
    </row>
    <row r="2594" spans="2:2">
      <c r="B2594" s="102">
        <v>47006</v>
      </c>
    </row>
    <row r="2595" spans="2:2">
      <c r="B2595" s="102">
        <v>47007</v>
      </c>
    </row>
    <row r="2596" spans="2:2">
      <c r="B2596" s="102">
        <v>47008</v>
      </c>
    </row>
    <row r="2597" spans="2:2">
      <c r="B2597" s="102">
        <v>47009</v>
      </c>
    </row>
    <row r="2598" spans="2:2">
      <c r="B2598" s="102">
        <v>47010</v>
      </c>
    </row>
    <row r="2599" spans="2:2">
      <c r="B2599" s="102">
        <v>47011</v>
      </c>
    </row>
    <row r="2600" spans="2:2">
      <c r="B2600" s="102">
        <v>47012</v>
      </c>
    </row>
    <row r="2601" spans="2:2">
      <c r="B2601" s="102">
        <v>47013</v>
      </c>
    </row>
    <row r="2602" spans="2:2">
      <c r="B2602" s="102">
        <v>47014</v>
      </c>
    </row>
    <row r="2603" spans="2:2">
      <c r="B2603" s="102">
        <v>47015</v>
      </c>
    </row>
    <row r="2604" spans="2:2">
      <c r="B2604" s="102">
        <v>47016</v>
      </c>
    </row>
    <row r="2605" spans="2:2">
      <c r="B2605" s="102">
        <v>47017</v>
      </c>
    </row>
    <row r="2606" spans="2:2">
      <c r="B2606" s="102">
        <v>47018</v>
      </c>
    </row>
    <row r="2607" spans="2:2">
      <c r="B2607" s="102">
        <v>47019</v>
      </c>
    </row>
    <row r="2608" spans="2:2">
      <c r="B2608" s="102">
        <v>47020</v>
      </c>
    </row>
    <row r="2609" spans="2:2">
      <c r="B2609" s="102">
        <v>47021</v>
      </c>
    </row>
    <row r="2610" spans="2:2">
      <c r="B2610" s="102">
        <v>47022</v>
      </c>
    </row>
    <row r="2611" spans="2:2">
      <c r="B2611" s="102">
        <v>47023</v>
      </c>
    </row>
    <row r="2612" spans="2:2">
      <c r="B2612" s="102">
        <v>47024</v>
      </c>
    </row>
    <row r="2613" spans="2:2">
      <c r="B2613" s="102">
        <v>47025</v>
      </c>
    </row>
    <row r="2614" spans="2:2">
      <c r="B2614" s="102">
        <v>47026</v>
      </c>
    </row>
    <row r="2615" spans="2:2">
      <c r="B2615" s="102">
        <v>47027</v>
      </c>
    </row>
    <row r="2616" spans="2:2">
      <c r="B2616" s="102">
        <v>47028</v>
      </c>
    </row>
    <row r="2617" spans="2:2">
      <c r="B2617" s="102">
        <v>47029</v>
      </c>
    </row>
    <row r="2618" spans="2:2">
      <c r="B2618" s="102">
        <v>47030</v>
      </c>
    </row>
    <row r="2619" spans="2:2">
      <c r="B2619" s="102">
        <v>47031</v>
      </c>
    </row>
    <row r="2620" spans="2:2">
      <c r="B2620" s="102">
        <v>47032</v>
      </c>
    </row>
    <row r="2621" spans="2:2">
      <c r="B2621" s="102">
        <v>47033</v>
      </c>
    </row>
    <row r="2622" spans="2:2">
      <c r="B2622" s="102">
        <v>47034</v>
      </c>
    </row>
    <row r="2623" spans="2:2">
      <c r="B2623" s="102">
        <v>47035</v>
      </c>
    </row>
    <row r="2624" spans="2:2">
      <c r="B2624" s="102">
        <v>47036</v>
      </c>
    </row>
    <row r="2625" spans="2:2">
      <c r="B2625" s="102">
        <v>47037</v>
      </c>
    </row>
    <row r="2626" spans="2:2">
      <c r="B2626" s="102">
        <v>47038</v>
      </c>
    </row>
    <row r="2627" spans="2:2">
      <c r="B2627" s="102">
        <v>47039</v>
      </c>
    </row>
    <row r="2628" spans="2:2">
      <c r="B2628" s="102">
        <v>47040</v>
      </c>
    </row>
    <row r="2629" spans="2:2">
      <c r="B2629" s="102">
        <v>47041</v>
      </c>
    </row>
    <row r="2630" spans="2:2">
      <c r="B2630" s="102">
        <v>47042</v>
      </c>
    </row>
    <row r="2631" spans="2:2">
      <c r="B2631" s="102">
        <v>47043</v>
      </c>
    </row>
    <row r="2632" spans="2:2">
      <c r="B2632" s="102">
        <v>47044</v>
      </c>
    </row>
    <row r="2633" spans="2:2">
      <c r="B2633" s="102">
        <v>47045</v>
      </c>
    </row>
    <row r="2634" spans="2:2">
      <c r="B2634" s="102">
        <v>47046</v>
      </c>
    </row>
    <row r="2635" spans="2:2">
      <c r="B2635" s="102">
        <v>47047</v>
      </c>
    </row>
    <row r="2636" spans="2:2">
      <c r="B2636" s="102">
        <v>47048</v>
      </c>
    </row>
    <row r="2637" spans="2:2">
      <c r="B2637" s="102">
        <v>47049</v>
      </c>
    </row>
    <row r="2638" spans="2:2">
      <c r="B2638" s="102">
        <v>47050</v>
      </c>
    </row>
    <row r="2639" spans="2:2">
      <c r="B2639" s="102">
        <v>47051</v>
      </c>
    </row>
    <row r="2640" spans="2:2">
      <c r="B2640" s="102">
        <v>47052</v>
      </c>
    </row>
    <row r="2641" spans="2:2">
      <c r="B2641" s="102">
        <v>47053</v>
      </c>
    </row>
    <row r="2642" spans="2:2">
      <c r="B2642" s="102">
        <v>47054</v>
      </c>
    </row>
    <row r="2643" spans="2:2">
      <c r="B2643" s="102">
        <v>47055</v>
      </c>
    </row>
    <row r="2644" spans="2:2">
      <c r="B2644" s="102">
        <v>47056</v>
      </c>
    </row>
    <row r="2645" spans="2:2">
      <c r="B2645" s="102">
        <v>47057</v>
      </c>
    </row>
    <row r="2646" spans="2:2">
      <c r="B2646" s="102">
        <v>47058</v>
      </c>
    </row>
    <row r="2647" spans="2:2">
      <c r="B2647" s="102">
        <v>47059</v>
      </c>
    </row>
    <row r="2648" spans="2:2">
      <c r="B2648" s="102">
        <v>47060</v>
      </c>
    </row>
    <row r="2649" spans="2:2">
      <c r="B2649" s="102">
        <v>47061</v>
      </c>
    </row>
    <row r="2650" spans="2:2">
      <c r="B2650" s="102">
        <v>47062</v>
      </c>
    </row>
    <row r="2651" spans="2:2">
      <c r="B2651" s="102">
        <v>47063</v>
      </c>
    </row>
    <row r="2652" spans="2:2">
      <c r="B2652" s="102">
        <v>47064</v>
      </c>
    </row>
    <row r="2653" spans="2:2">
      <c r="B2653" s="102">
        <v>47065</v>
      </c>
    </row>
    <row r="2654" spans="2:2">
      <c r="B2654" s="102">
        <v>47066</v>
      </c>
    </row>
    <row r="2655" spans="2:2">
      <c r="B2655" s="102">
        <v>47067</v>
      </c>
    </row>
    <row r="2656" spans="2:2">
      <c r="B2656" s="102">
        <v>47068</v>
      </c>
    </row>
    <row r="2657" spans="2:2">
      <c r="B2657" s="102">
        <v>47069</v>
      </c>
    </row>
    <row r="2658" spans="2:2">
      <c r="B2658" s="102">
        <v>47070</v>
      </c>
    </row>
    <row r="2659" spans="2:2">
      <c r="B2659" s="102">
        <v>47071</v>
      </c>
    </row>
    <row r="2660" spans="2:2">
      <c r="B2660" s="102">
        <v>47072</v>
      </c>
    </row>
    <row r="2661" spans="2:2">
      <c r="B2661" s="102">
        <v>47073</v>
      </c>
    </row>
    <row r="2662" spans="2:2">
      <c r="B2662" s="102">
        <v>47074</v>
      </c>
    </row>
    <row r="2663" spans="2:2">
      <c r="B2663" s="102">
        <v>47075</v>
      </c>
    </row>
    <row r="2664" spans="2:2">
      <c r="B2664" s="102">
        <v>47076</v>
      </c>
    </row>
    <row r="2665" spans="2:2">
      <c r="B2665" s="102">
        <v>47077</v>
      </c>
    </row>
    <row r="2666" spans="2:2">
      <c r="B2666" s="102">
        <v>47078</v>
      </c>
    </row>
    <row r="2667" spans="2:2">
      <c r="B2667" s="102">
        <v>47079</v>
      </c>
    </row>
    <row r="2668" spans="2:2">
      <c r="B2668" s="102">
        <v>47080</v>
      </c>
    </row>
    <row r="2669" spans="2:2">
      <c r="B2669" s="102">
        <v>47081</v>
      </c>
    </row>
    <row r="2670" spans="2:2">
      <c r="B2670" s="102">
        <v>47082</v>
      </c>
    </row>
    <row r="2671" spans="2:2">
      <c r="B2671" s="102">
        <v>47083</v>
      </c>
    </row>
    <row r="2672" spans="2:2">
      <c r="B2672" s="102">
        <v>47084</v>
      </c>
    </row>
    <row r="2673" spans="2:2">
      <c r="B2673" s="102">
        <v>47085</v>
      </c>
    </row>
    <row r="2674" spans="2:2">
      <c r="B2674" s="102">
        <v>47086</v>
      </c>
    </row>
    <row r="2675" spans="2:2">
      <c r="B2675" s="102">
        <v>47087</v>
      </c>
    </row>
    <row r="2676" spans="2:2">
      <c r="B2676" s="102">
        <v>47088</v>
      </c>
    </row>
    <row r="2677" spans="2:2">
      <c r="B2677" s="102">
        <v>47089</v>
      </c>
    </row>
    <row r="2678" spans="2:2">
      <c r="B2678" s="102">
        <v>47090</v>
      </c>
    </row>
    <row r="2679" spans="2:2">
      <c r="B2679" s="102">
        <v>47091</v>
      </c>
    </row>
    <row r="2680" spans="2:2">
      <c r="B2680" s="102">
        <v>47092</v>
      </c>
    </row>
    <row r="2681" spans="2:2">
      <c r="B2681" s="102">
        <v>47093</v>
      </c>
    </row>
    <row r="2682" spans="2:2">
      <c r="B2682" s="102">
        <v>47094</v>
      </c>
    </row>
    <row r="2683" spans="2:2">
      <c r="B2683" s="102">
        <v>47095</v>
      </c>
    </row>
    <row r="2684" spans="2:2">
      <c r="B2684" s="102">
        <v>47096</v>
      </c>
    </row>
    <row r="2685" spans="2:2">
      <c r="B2685" s="102">
        <v>47097</v>
      </c>
    </row>
    <row r="2686" spans="2:2">
      <c r="B2686" s="102">
        <v>47098</v>
      </c>
    </row>
    <row r="2687" spans="2:2">
      <c r="B2687" s="102">
        <v>47099</v>
      </c>
    </row>
    <row r="2688" spans="2:2">
      <c r="B2688" s="102">
        <v>47100</v>
      </c>
    </row>
    <row r="2689" spans="2:2">
      <c r="B2689" s="102">
        <v>47101</v>
      </c>
    </row>
    <row r="2690" spans="2:2">
      <c r="B2690" s="102">
        <v>47102</v>
      </c>
    </row>
    <row r="2691" spans="2:2">
      <c r="B2691" s="102">
        <v>47103</v>
      </c>
    </row>
    <row r="2692" spans="2:2">
      <c r="B2692" s="102">
        <v>47104</v>
      </c>
    </row>
    <row r="2693" spans="2:2">
      <c r="B2693" s="102">
        <v>47105</v>
      </c>
    </row>
    <row r="2694" spans="2:2">
      <c r="B2694" s="102">
        <v>47106</v>
      </c>
    </row>
    <row r="2695" spans="2:2">
      <c r="B2695" s="102">
        <v>47107</v>
      </c>
    </row>
    <row r="2696" spans="2:2">
      <c r="B2696" s="102">
        <v>47108</v>
      </c>
    </row>
    <row r="2697" spans="2:2">
      <c r="B2697" s="102">
        <v>47109</v>
      </c>
    </row>
    <row r="2698" spans="2:2">
      <c r="B2698" s="102">
        <v>47110</v>
      </c>
    </row>
    <row r="2699" spans="2:2">
      <c r="B2699" s="102">
        <v>47111</v>
      </c>
    </row>
    <row r="2700" spans="2:2">
      <c r="B2700" s="102">
        <v>47112</v>
      </c>
    </row>
    <row r="2701" spans="2:2">
      <c r="B2701" s="102">
        <v>47113</v>
      </c>
    </row>
    <row r="2702" spans="2:2">
      <c r="B2702" s="102">
        <v>47114</v>
      </c>
    </row>
    <row r="2703" spans="2:2">
      <c r="B2703" s="102">
        <v>47115</v>
      </c>
    </row>
    <row r="2704" spans="2:2">
      <c r="B2704" s="102">
        <v>47116</v>
      </c>
    </row>
    <row r="2705" spans="2:2">
      <c r="B2705" s="102">
        <v>47117</v>
      </c>
    </row>
    <row r="2706" spans="2:2">
      <c r="B2706" s="102">
        <v>47118</v>
      </c>
    </row>
    <row r="2707" spans="2:2">
      <c r="B2707" s="102">
        <v>47119</v>
      </c>
    </row>
    <row r="2708" spans="2:2">
      <c r="B2708" s="102">
        <v>47120</v>
      </c>
    </row>
    <row r="2709" spans="2:2">
      <c r="B2709" s="102">
        <v>47121</v>
      </c>
    </row>
    <row r="2710" spans="2:2">
      <c r="B2710" s="102">
        <v>47122</v>
      </c>
    </row>
    <row r="2711" spans="2:2">
      <c r="B2711" s="102">
        <v>47123</v>
      </c>
    </row>
    <row r="2712" spans="2:2">
      <c r="B2712" s="102">
        <v>47124</v>
      </c>
    </row>
    <row r="2713" spans="2:2">
      <c r="B2713" s="102">
        <v>47125</v>
      </c>
    </row>
    <row r="2714" spans="2:2">
      <c r="B2714" s="102">
        <v>47126</v>
      </c>
    </row>
    <row r="2715" spans="2:2">
      <c r="B2715" s="102">
        <v>47127</v>
      </c>
    </row>
    <row r="2716" spans="2:2">
      <c r="B2716" s="102">
        <v>47128</v>
      </c>
    </row>
    <row r="2717" spans="2:2">
      <c r="B2717" s="102">
        <v>47129</v>
      </c>
    </row>
    <row r="2718" spans="2:2">
      <c r="B2718" s="102">
        <v>47130</v>
      </c>
    </row>
    <row r="2719" spans="2:2">
      <c r="B2719" s="102">
        <v>47131</v>
      </c>
    </row>
    <row r="2720" spans="2:2">
      <c r="B2720" s="102">
        <v>47132</v>
      </c>
    </row>
    <row r="2721" spans="2:2">
      <c r="B2721" s="102">
        <v>47133</v>
      </c>
    </row>
    <row r="2722" spans="2:2">
      <c r="B2722" s="102">
        <v>47134</v>
      </c>
    </row>
    <row r="2723" spans="2:2">
      <c r="B2723" s="102">
        <v>47135</v>
      </c>
    </row>
    <row r="2724" spans="2:2">
      <c r="B2724" s="102">
        <v>47136</v>
      </c>
    </row>
    <row r="2725" spans="2:2">
      <c r="B2725" s="102">
        <v>47137</v>
      </c>
    </row>
    <row r="2726" spans="2:2">
      <c r="B2726" s="102">
        <v>47138</v>
      </c>
    </row>
    <row r="2727" spans="2:2">
      <c r="B2727" s="102">
        <v>47139</v>
      </c>
    </row>
    <row r="2728" spans="2:2">
      <c r="B2728" s="102">
        <v>47140</v>
      </c>
    </row>
    <row r="2729" spans="2:2">
      <c r="B2729" s="102">
        <v>47141</v>
      </c>
    </row>
    <row r="2730" spans="2:2">
      <c r="B2730" s="102">
        <v>47142</v>
      </c>
    </row>
    <row r="2731" spans="2:2">
      <c r="B2731" s="102">
        <v>47143</v>
      </c>
    </row>
    <row r="2732" spans="2:2">
      <c r="B2732" s="102">
        <v>47144</v>
      </c>
    </row>
    <row r="2733" spans="2:2">
      <c r="B2733" s="102">
        <v>47145</v>
      </c>
    </row>
    <row r="2734" spans="2:2">
      <c r="B2734" s="102">
        <v>47146</v>
      </c>
    </row>
    <row r="2735" spans="2:2">
      <c r="B2735" s="102">
        <v>47147</v>
      </c>
    </row>
    <row r="2736" spans="2:2">
      <c r="B2736" s="102">
        <v>47148</v>
      </c>
    </row>
    <row r="2737" spans="2:2">
      <c r="B2737" s="102">
        <v>47149</v>
      </c>
    </row>
    <row r="2738" spans="2:2">
      <c r="B2738" s="102">
        <v>47150</v>
      </c>
    </row>
    <row r="2739" spans="2:2">
      <c r="B2739" s="102">
        <v>47151</v>
      </c>
    </row>
    <row r="2740" spans="2:2">
      <c r="B2740" s="102">
        <v>47152</v>
      </c>
    </row>
    <row r="2741" spans="2:2">
      <c r="B2741" s="102">
        <v>47153</v>
      </c>
    </row>
    <row r="2742" spans="2:2">
      <c r="B2742" s="102">
        <v>47154</v>
      </c>
    </row>
    <row r="2743" spans="2:2">
      <c r="B2743" s="102">
        <v>47155</v>
      </c>
    </row>
    <row r="2744" spans="2:2">
      <c r="B2744" s="102">
        <v>47156</v>
      </c>
    </row>
    <row r="2745" spans="2:2">
      <c r="B2745" s="102">
        <v>47157</v>
      </c>
    </row>
    <row r="2746" spans="2:2">
      <c r="B2746" s="102">
        <v>47158</v>
      </c>
    </row>
    <row r="2747" spans="2:2">
      <c r="B2747" s="102">
        <v>47159</v>
      </c>
    </row>
    <row r="2748" spans="2:2">
      <c r="B2748" s="102">
        <v>47160</v>
      </c>
    </row>
    <row r="2749" spans="2:2">
      <c r="B2749" s="102">
        <v>47161</v>
      </c>
    </row>
    <row r="2750" spans="2:2">
      <c r="B2750" s="102">
        <v>47162</v>
      </c>
    </row>
    <row r="2751" spans="2:2">
      <c r="B2751" s="102">
        <v>47163</v>
      </c>
    </row>
    <row r="2752" spans="2:2">
      <c r="B2752" s="102">
        <v>47164</v>
      </c>
    </row>
    <row r="2753" spans="2:2">
      <c r="B2753" s="102">
        <v>47165</v>
      </c>
    </row>
    <row r="2754" spans="2:2">
      <c r="B2754" s="102">
        <v>47166</v>
      </c>
    </row>
    <row r="2755" spans="2:2">
      <c r="B2755" s="102">
        <v>47167</v>
      </c>
    </row>
    <row r="2756" spans="2:2">
      <c r="B2756" s="102">
        <v>47168</v>
      </c>
    </row>
    <row r="2757" spans="2:2">
      <c r="B2757" s="102">
        <v>47169</v>
      </c>
    </row>
    <row r="2758" spans="2:2">
      <c r="B2758" s="102">
        <v>47170</v>
      </c>
    </row>
    <row r="2759" spans="2:2">
      <c r="B2759" s="102">
        <v>47171</v>
      </c>
    </row>
    <row r="2760" spans="2:2">
      <c r="B2760" s="102">
        <v>47172</v>
      </c>
    </row>
    <row r="2761" spans="2:2">
      <c r="B2761" s="102">
        <v>47173</v>
      </c>
    </row>
    <row r="2762" spans="2:2">
      <c r="B2762" s="102">
        <v>47174</v>
      </c>
    </row>
    <row r="2763" spans="2:2">
      <c r="B2763" s="102">
        <v>47175</v>
      </c>
    </row>
    <row r="2764" spans="2:2">
      <c r="B2764" s="102">
        <v>47176</v>
      </c>
    </row>
    <row r="2765" spans="2:2">
      <c r="B2765" s="102">
        <v>47177</v>
      </c>
    </row>
    <row r="2766" spans="2:2">
      <c r="B2766" s="102">
        <v>47178</v>
      </c>
    </row>
    <row r="2767" spans="2:2">
      <c r="B2767" s="102">
        <v>47179</v>
      </c>
    </row>
    <row r="2768" spans="2:2">
      <c r="B2768" s="102">
        <v>47180</v>
      </c>
    </row>
    <row r="2769" spans="2:2">
      <c r="B2769" s="102">
        <v>47181</v>
      </c>
    </row>
    <row r="2770" spans="2:2">
      <c r="B2770" s="102">
        <v>47182</v>
      </c>
    </row>
    <row r="2771" spans="2:2">
      <c r="B2771" s="102">
        <v>47183</v>
      </c>
    </row>
    <row r="2772" spans="2:2">
      <c r="B2772" s="102">
        <v>47184</v>
      </c>
    </row>
    <row r="2773" spans="2:2">
      <c r="B2773" s="102">
        <v>47185</v>
      </c>
    </row>
    <row r="2774" spans="2:2">
      <c r="B2774" s="102">
        <v>47186</v>
      </c>
    </row>
    <row r="2775" spans="2:2">
      <c r="B2775" s="102">
        <v>47187</v>
      </c>
    </row>
    <row r="2776" spans="2:2">
      <c r="B2776" s="102">
        <v>47188</v>
      </c>
    </row>
    <row r="2777" spans="2:2">
      <c r="B2777" s="102">
        <v>47189</v>
      </c>
    </row>
    <row r="2778" spans="2:2">
      <c r="B2778" s="102">
        <v>47190</v>
      </c>
    </row>
    <row r="2779" spans="2:2">
      <c r="B2779" s="102">
        <v>47191</v>
      </c>
    </row>
    <row r="2780" spans="2:2">
      <c r="B2780" s="102">
        <v>47192</v>
      </c>
    </row>
    <row r="2781" spans="2:2">
      <c r="B2781" s="102">
        <v>47193</v>
      </c>
    </row>
    <row r="2782" spans="2:2">
      <c r="B2782" s="102">
        <v>47194</v>
      </c>
    </row>
    <row r="2783" spans="2:2">
      <c r="B2783" s="102">
        <v>47195</v>
      </c>
    </row>
    <row r="2784" spans="2:2">
      <c r="B2784" s="102">
        <v>47196</v>
      </c>
    </row>
    <row r="2785" spans="2:2">
      <c r="B2785" s="102">
        <v>47197</v>
      </c>
    </row>
    <row r="2786" spans="2:2">
      <c r="B2786" s="102">
        <v>47198</v>
      </c>
    </row>
    <row r="2787" spans="2:2">
      <c r="B2787" s="102">
        <v>47199</v>
      </c>
    </row>
    <row r="2788" spans="2:2">
      <c r="B2788" s="102">
        <v>47200</v>
      </c>
    </row>
    <row r="2789" spans="2:2">
      <c r="B2789" s="102">
        <v>47201</v>
      </c>
    </row>
    <row r="2790" spans="2:2">
      <c r="B2790" s="102">
        <v>47202</v>
      </c>
    </row>
    <row r="2791" spans="2:2">
      <c r="B2791" s="102">
        <v>47203</v>
      </c>
    </row>
    <row r="2792" spans="2:2">
      <c r="B2792" s="102">
        <v>47204</v>
      </c>
    </row>
    <row r="2793" spans="2:2">
      <c r="B2793" s="102">
        <v>47205</v>
      </c>
    </row>
    <row r="2794" spans="2:2">
      <c r="B2794" s="102">
        <v>47206</v>
      </c>
    </row>
    <row r="2795" spans="2:2">
      <c r="B2795" s="102">
        <v>47207</v>
      </c>
    </row>
    <row r="2796" spans="2:2">
      <c r="B2796" s="102">
        <v>47208</v>
      </c>
    </row>
    <row r="2797" spans="2:2">
      <c r="B2797" s="102">
        <v>47209</v>
      </c>
    </row>
    <row r="2798" spans="2:2">
      <c r="B2798" s="102">
        <v>47210</v>
      </c>
    </row>
    <row r="2799" spans="2:2">
      <c r="B2799" s="102">
        <v>47211</v>
      </c>
    </row>
    <row r="2800" spans="2:2">
      <c r="B2800" s="102">
        <v>47212</v>
      </c>
    </row>
    <row r="2801" spans="2:2">
      <c r="B2801" s="102">
        <v>47213</v>
      </c>
    </row>
    <row r="2802" spans="2:2">
      <c r="B2802" s="102">
        <v>47214</v>
      </c>
    </row>
    <row r="2803" spans="2:2">
      <c r="B2803" s="102">
        <v>47215</v>
      </c>
    </row>
    <row r="2804" spans="2:2">
      <c r="B2804" s="102">
        <v>47216</v>
      </c>
    </row>
    <row r="2805" spans="2:2">
      <c r="B2805" s="102">
        <v>47217</v>
      </c>
    </row>
    <row r="2806" spans="2:2">
      <c r="B2806" s="102">
        <v>47218</v>
      </c>
    </row>
    <row r="2807" spans="2:2">
      <c r="B2807" s="102">
        <v>47219</v>
      </c>
    </row>
    <row r="2808" spans="2:2">
      <c r="B2808" s="102">
        <v>47220</v>
      </c>
    </row>
    <row r="2809" spans="2:2">
      <c r="B2809" s="102">
        <v>47221</v>
      </c>
    </row>
    <row r="2810" spans="2:2">
      <c r="B2810" s="102">
        <v>47222</v>
      </c>
    </row>
    <row r="2811" spans="2:2">
      <c r="B2811" s="102">
        <v>47223</v>
      </c>
    </row>
    <row r="2812" spans="2:2">
      <c r="B2812" s="102">
        <v>47224</v>
      </c>
    </row>
    <row r="2813" spans="2:2">
      <c r="B2813" s="102">
        <v>47225</v>
      </c>
    </row>
    <row r="2814" spans="2:2">
      <c r="B2814" s="102">
        <v>47226</v>
      </c>
    </row>
    <row r="2815" spans="2:2">
      <c r="B2815" s="102">
        <v>47227</v>
      </c>
    </row>
    <row r="2816" spans="2:2">
      <c r="B2816" s="102">
        <v>47228</v>
      </c>
    </row>
    <row r="2817" spans="2:2">
      <c r="B2817" s="102">
        <v>47229</v>
      </c>
    </row>
    <row r="2818" spans="2:2">
      <c r="B2818" s="102">
        <v>47230</v>
      </c>
    </row>
    <row r="2819" spans="2:2">
      <c r="B2819" s="102">
        <v>47231</v>
      </c>
    </row>
    <row r="2820" spans="2:2">
      <c r="B2820" s="102">
        <v>47232</v>
      </c>
    </row>
    <row r="2821" spans="2:2">
      <c r="B2821" s="102">
        <v>47233</v>
      </c>
    </row>
    <row r="2822" spans="2:2">
      <c r="B2822" s="102">
        <v>47234</v>
      </c>
    </row>
    <row r="2823" spans="2:2">
      <c r="B2823" s="102">
        <v>47235</v>
      </c>
    </row>
    <row r="2824" spans="2:2">
      <c r="B2824" s="102">
        <v>47236</v>
      </c>
    </row>
    <row r="2825" spans="2:2">
      <c r="B2825" s="102">
        <v>47237</v>
      </c>
    </row>
    <row r="2826" spans="2:2">
      <c r="B2826" s="102">
        <v>47238</v>
      </c>
    </row>
    <row r="2827" spans="2:2">
      <c r="B2827" s="102">
        <v>47239</v>
      </c>
    </row>
    <row r="2828" spans="2:2">
      <c r="B2828" s="102">
        <v>47240</v>
      </c>
    </row>
    <row r="2829" spans="2:2">
      <c r="B2829" s="102">
        <v>47241</v>
      </c>
    </row>
    <row r="2830" spans="2:2">
      <c r="B2830" s="102">
        <v>47242</v>
      </c>
    </row>
    <row r="2831" spans="2:2">
      <c r="B2831" s="102">
        <v>47243</v>
      </c>
    </row>
    <row r="2832" spans="2:2">
      <c r="B2832" s="102">
        <v>47244</v>
      </c>
    </row>
    <row r="2833" spans="2:2">
      <c r="B2833" s="102">
        <v>47245</v>
      </c>
    </row>
    <row r="2834" spans="2:2">
      <c r="B2834" s="102">
        <v>47246</v>
      </c>
    </row>
    <row r="2835" spans="2:2">
      <c r="B2835" s="102">
        <v>47247</v>
      </c>
    </row>
    <row r="2836" spans="2:2">
      <c r="B2836" s="102">
        <v>47248</v>
      </c>
    </row>
    <row r="2837" spans="2:2">
      <c r="B2837" s="102">
        <v>47249</v>
      </c>
    </row>
    <row r="2838" spans="2:2">
      <c r="B2838" s="102">
        <v>47250</v>
      </c>
    </row>
    <row r="2839" spans="2:2">
      <c r="B2839" s="102">
        <v>47251</v>
      </c>
    </row>
    <row r="2840" spans="2:2">
      <c r="B2840" s="102">
        <v>47252</v>
      </c>
    </row>
    <row r="2841" spans="2:2">
      <c r="B2841" s="102">
        <v>47253</v>
      </c>
    </row>
    <row r="2842" spans="2:2">
      <c r="B2842" s="102">
        <v>47254</v>
      </c>
    </row>
    <row r="2843" spans="2:2">
      <c r="B2843" s="102">
        <v>47255</v>
      </c>
    </row>
    <row r="2844" spans="2:2">
      <c r="B2844" s="102">
        <v>47256</v>
      </c>
    </row>
    <row r="2845" spans="2:2">
      <c r="B2845" s="102">
        <v>47257</v>
      </c>
    </row>
    <row r="2846" spans="2:2">
      <c r="B2846" s="102">
        <v>47258</v>
      </c>
    </row>
    <row r="2847" spans="2:2">
      <c r="B2847" s="102">
        <v>47259</v>
      </c>
    </row>
    <row r="2848" spans="2:2">
      <c r="B2848" s="102">
        <v>47260</v>
      </c>
    </row>
    <row r="2849" spans="2:2">
      <c r="B2849" s="102">
        <v>47261</v>
      </c>
    </row>
    <row r="2850" spans="2:2">
      <c r="B2850" s="102">
        <v>47262</v>
      </c>
    </row>
    <row r="2851" spans="2:2">
      <c r="B2851" s="102">
        <v>47263</v>
      </c>
    </row>
    <row r="2852" spans="2:2">
      <c r="B2852" s="102">
        <v>47264</v>
      </c>
    </row>
    <row r="2853" spans="2:2">
      <c r="B2853" s="102">
        <v>47265</v>
      </c>
    </row>
    <row r="2854" spans="2:2">
      <c r="B2854" s="102">
        <v>47266</v>
      </c>
    </row>
    <row r="2855" spans="2:2">
      <c r="B2855" s="102">
        <v>47267</v>
      </c>
    </row>
    <row r="2856" spans="2:2">
      <c r="B2856" s="102">
        <v>47268</v>
      </c>
    </row>
    <row r="2857" spans="2:2">
      <c r="B2857" s="102">
        <v>47269</v>
      </c>
    </row>
    <row r="2858" spans="2:2">
      <c r="B2858" s="102">
        <v>47270</v>
      </c>
    </row>
    <row r="2859" spans="2:2">
      <c r="B2859" s="102">
        <v>47271</v>
      </c>
    </row>
    <row r="2860" spans="2:2">
      <c r="B2860" s="102">
        <v>47272</v>
      </c>
    </row>
    <row r="2861" spans="2:2">
      <c r="B2861" s="102">
        <v>47273</v>
      </c>
    </row>
    <row r="2862" spans="2:2">
      <c r="B2862" s="102">
        <v>47274</v>
      </c>
    </row>
    <row r="2863" spans="2:2">
      <c r="B2863" s="102">
        <v>47275</v>
      </c>
    </row>
    <row r="2864" spans="2:2">
      <c r="B2864" s="102">
        <v>47276</v>
      </c>
    </row>
    <row r="2865" spans="2:2">
      <c r="B2865" s="102">
        <v>47277</v>
      </c>
    </row>
    <row r="2866" spans="2:2">
      <c r="B2866" s="102">
        <v>47278</v>
      </c>
    </row>
    <row r="2867" spans="2:2">
      <c r="B2867" s="102">
        <v>47279</v>
      </c>
    </row>
    <row r="2868" spans="2:2">
      <c r="B2868" s="102">
        <v>47280</v>
      </c>
    </row>
    <row r="2869" spans="2:2">
      <c r="B2869" s="102">
        <v>47281</v>
      </c>
    </row>
    <row r="2870" spans="2:2">
      <c r="B2870" s="102">
        <v>47282</v>
      </c>
    </row>
    <row r="2871" spans="2:2">
      <c r="B2871" s="102">
        <v>47283</v>
      </c>
    </row>
    <row r="2872" spans="2:2">
      <c r="B2872" s="102">
        <v>47284</v>
      </c>
    </row>
    <row r="2873" spans="2:2">
      <c r="B2873" s="102">
        <v>47285</v>
      </c>
    </row>
    <row r="2874" spans="2:2">
      <c r="B2874" s="102">
        <v>47286</v>
      </c>
    </row>
    <row r="2875" spans="2:2">
      <c r="B2875" s="102">
        <v>47287</v>
      </c>
    </row>
    <row r="2876" spans="2:2">
      <c r="B2876" s="102">
        <v>47288</v>
      </c>
    </row>
    <row r="2877" spans="2:2">
      <c r="B2877" s="102">
        <v>47289</v>
      </c>
    </row>
    <row r="2878" spans="2:2">
      <c r="B2878" s="102">
        <v>47290</v>
      </c>
    </row>
    <row r="2879" spans="2:2">
      <c r="B2879" s="102">
        <v>47291</v>
      </c>
    </row>
    <row r="2880" spans="2:2">
      <c r="B2880" s="102">
        <v>47292</v>
      </c>
    </row>
    <row r="2881" spans="2:2">
      <c r="B2881" s="102">
        <v>47293</v>
      </c>
    </row>
    <row r="2882" spans="2:2">
      <c r="B2882" s="102">
        <v>47294</v>
      </c>
    </row>
    <row r="2883" spans="2:2">
      <c r="B2883" s="102">
        <v>47295</v>
      </c>
    </row>
    <row r="2884" spans="2:2">
      <c r="B2884" s="102">
        <v>47296</v>
      </c>
    </row>
    <row r="2885" spans="2:2">
      <c r="B2885" s="102">
        <v>47297</v>
      </c>
    </row>
    <row r="2886" spans="2:2">
      <c r="B2886" s="102">
        <v>47298</v>
      </c>
    </row>
    <row r="2887" spans="2:2">
      <c r="B2887" s="102">
        <v>47299</v>
      </c>
    </row>
    <row r="2888" spans="2:2">
      <c r="B2888" s="102">
        <v>47300</v>
      </c>
    </row>
    <row r="2889" spans="2:2">
      <c r="B2889" s="102">
        <v>47301</v>
      </c>
    </row>
    <row r="2890" spans="2:2">
      <c r="B2890" s="102">
        <v>47302</v>
      </c>
    </row>
    <row r="2891" spans="2:2">
      <c r="B2891" s="102">
        <v>47303</v>
      </c>
    </row>
    <row r="2892" spans="2:2">
      <c r="B2892" s="102">
        <v>47304</v>
      </c>
    </row>
    <row r="2893" spans="2:2">
      <c r="B2893" s="102">
        <v>47305</v>
      </c>
    </row>
    <row r="2894" spans="2:2">
      <c r="B2894" s="102">
        <v>47306</v>
      </c>
    </row>
    <row r="2895" spans="2:2">
      <c r="B2895" s="102">
        <v>47307</v>
      </c>
    </row>
    <row r="2896" spans="2:2">
      <c r="B2896" s="102">
        <v>47308</v>
      </c>
    </row>
    <row r="2897" spans="2:2">
      <c r="B2897" s="102">
        <v>47309</v>
      </c>
    </row>
    <row r="2898" spans="2:2">
      <c r="B2898" s="102">
        <v>47310</v>
      </c>
    </row>
    <row r="2899" spans="2:2">
      <c r="B2899" s="102">
        <v>47311</v>
      </c>
    </row>
    <row r="2900" spans="2:2">
      <c r="B2900" s="102">
        <v>47312</v>
      </c>
    </row>
    <row r="2901" spans="2:2">
      <c r="B2901" s="102">
        <v>47313</v>
      </c>
    </row>
    <row r="2902" spans="2:2">
      <c r="B2902" s="102">
        <v>47314</v>
      </c>
    </row>
    <row r="2903" spans="2:2">
      <c r="B2903" s="102">
        <v>47315</v>
      </c>
    </row>
    <row r="2904" spans="2:2">
      <c r="B2904" s="102">
        <v>47316</v>
      </c>
    </row>
    <row r="2905" spans="2:2">
      <c r="B2905" s="102">
        <v>47317</v>
      </c>
    </row>
    <row r="2906" spans="2:2">
      <c r="B2906" s="102">
        <v>47318</v>
      </c>
    </row>
    <row r="2907" spans="2:2">
      <c r="B2907" s="102">
        <v>47319</v>
      </c>
    </row>
    <row r="2908" spans="2:2">
      <c r="B2908" s="102">
        <v>47320</v>
      </c>
    </row>
    <row r="2909" spans="2:2">
      <c r="B2909" s="102">
        <v>47321</v>
      </c>
    </row>
    <row r="2910" spans="2:2">
      <c r="B2910" s="102">
        <v>47322</v>
      </c>
    </row>
    <row r="2911" spans="2:2">
      <c r="B2911" s="102">
        <v>47323</v>
      </c>
    </row>
    <row r="2912" spans="2:2">
      <c r="B2912" s="102">
        <v>47324</v>
      </c>
    </row>
    <row r="2913" spans="2:2">
      <c r="B2913" s="102">
        <v>47325</v>
      </c>
    </row>
    <row r="2914" spans="2:2">
      <c r="B2914" s="102">
        <v>47326</v>
      </c>
    </row>
    <row r="2915" spans="2:2">
      <c r="B2915" s="102">
        <v>47327</v>
      </c>
    </row>
    <row r="2916" spans="2:2">
      <c r="B2916" s="102">
        <v>47328</v>
      </c>
    </row>
    <row r="2917" spans="2:2">
      <c r="B2917" s="102">
        <v>47329</v>
      </c>
    </row>
    <row r="2918" spans="2:2">
      <c r="B2918" s="102">
        <v>47330</v>
      </c>
    </row>
    <row r="2919" spans="2:2">
      <c r="B2919" s="102">
        <v>47331</v>
      </c>
    </row>
    <row r="2920" spans="2:2">
      <c r="B2920" s="102">
        <v>47332</v>
      </c>
    </row>
    <row r="2921" spans="2:2">
      <c r="B2921" s="102">
        <v>47333</v>
      </c>
    </row>
    <row r="2922" spans="2:2">
      <c r="B2922" s="102">
        <v>47334</v>
      </c>
    </row>
    <row r="2923" spans="2:2">
      <c r="B2923" s="102">
        <v>47335</v>
      </c>
    </row>
    <row r="2924" spans="2:2">
      <c r="B2924" s="102">
        <v>47336</v>
      </c>
    </row>
    <row r="2925" spans="2:2">
      <c r="B2925" s="102">
        <v>47337</v>
      </c>
    </row>
    <row r="2926" spans="2:2">
      <c r="B2926" s="102">
        <v>47338</v>
      </c>
    </row>
    <row r="2927" spans="2:2">
      <c r="B2927" s="102">
        <v>47339</v>
      </c>
    </row>
    <row r="2928" spans="2:2">
      <c r="B2928" s="102">
        <v>47340</v>
      </c>
    </row>
    <row r="2929" spans="2:2">
      <c r="B2929" s="102">
        <v>47341</v>
      </c>
    </row>
    <row r="2930" spans="2:2">
      <c r="B2930" s="102">
        <v>47342</v>
      </c>
    </row>
    <row r="2931" spans="2:2">
      <c r="B2931" s="102">
        <v>47343</v>
      </c>
    </row>
    <row r="2932" spans="2:2">
      <c r="B2932" s="102">
        <v>47344</v>
      </c>
    </row>
    <row r="2933" spans="2:2">
      <c r="B2933" s="102">
        <v>47345</v>
      </c>
    </row>
    <row r="2934" spans="2:2">
      <c r="B2934" s="102">
        <v>47346</v>
      </c>
    </row>
    <row r="2935" spans="2:2">
      <c r="B2935" s="102">
        <v>47347</v>
      </c>
    </row>
    <row r="2936" spans="2:2">
      <c r="B2936" s="102">
        <v>47348</v>
      </c>
    </row>
    <row r="2937" spans="2:2">
      <c r="B2937" s="102">
        <v>47349</v>
      </c>
    </row>
    <row r="2938" spans="2:2">
      <c r="B2938" s="102">
        <v>47350</v>
      </c>
    </row>
    <row r="2939" spans="2:2">
      <c r="B2939" s="102">
        <v>47351</v>
      </c>
    </row>
    <row r="2940" spans="2:2">
      <c r="B2940" s="102">
        <v>47352</v>
      </c>
    </row>
    <row r="2941" spans="2:2">
      <c r="B2941" s="102">
        <v>47353</v>
      </c>
    </row>
    <row r="2942" spans="2:2">
      <c r="B2942" s="102">
        <v>47354</v>
      </c>
    </row>
    <row r="2943" spans="2:2">
      <c r="B2943" s="102">
        <v>47355</v>
      </c>
    </row>
    <row r="2944" spans="2:2">
      <c r="B2944" s="102">
        <v>47356</v>
      </c>
    </row>
    <row r="2945" spans="2:2">
      <c r="B2945" s="102">
        <v>47357</v>
      </c>
    </row>
    <row r="2946" spans="2:2">
      <c r="B2946" s="102">
        <v>47358</v>
      </c>
    </row>
    <row r="2947" spans="2:2">
      <c r="B2947" s="102">
        <v>47359</v>
      </c>
    </row>
    <row r="2948" spans="2:2">
      <c r="B2948" s="102">
        <v>47360</v>
      </c>
    </row>
    <row r="2949" spans="2:2">
      <c r="B2949" s="102">
        <v>47361</v>
      </c>
    </row>
    <row r="2950" spans="2:2">
      <c r="B2950" s="102">
        <v>47362</v>
      </c>
    </row>
    <row r="2951" spans="2:2">
      <c r="B2951" s="102">
        <v>47363</v>
      </c>
    </row>
    <row r="2952" spans="2:2">
      <c r="B2952" s="102">
        <v>47364</v>
      </c>
    </row>
    <row r="2953" spans="2:2">
      <c r="B2953" s="102">
        <v>47365</v>
      </c>
    </row>
    <row r="2954" spans="2:2">
      <c r="B2954" s="102">
        <v>47366</v>
      </c>
    </row>
    <row r="2955" spans="2:2">
      <c r="B2955" s="102">
        <v>47367</v>
      </c>
    </row>
    <row r="2956" spans="2:2">
      <c r="B2956" s="102">
        <v>47368</v>
      </c>
    </row>
    <row r="2957" spans="2:2">
      <c r="B2957" s="102">
        <v>47369</v>
      </c>
    </row>
    <row r="2958" spans="2:2">
      <c r="B2958" s="102">
        <v>47370</v>
      </c>
    </row>
    <row r="2959" spans="2:2">
      <c r="B2959" s="102">
        <v>47371</v>
      </c>
    </row>
    <row r="2960" spans="2:2">
      <c r="B2960" s="102">
        <v>47372</v>
      </c>
    </row>
    <row r="2961" spans="2:2">
      <c r="B2961" s="102">
        <v>47373</v>
      </c>
    </row>
    <row r="2962" spans="2:2">
      <c r="B2962" s="102">
        <v>47374</v>
      </c>
    </row>
    <row r="2963" spans="2:2">
      <c r="B2963" s="102">
        <v>47375</v>
      </c>
    </row>
    <row r="2964" spans="2:2">
      <c r="B2964" s="102">
        <v>47376</v>
      </c>
    </row>
    <row r="2965" spans="2:2">
      <c r="B2965" s="102">
        <v>47377</v>
      </c>
    </row>
    <row r="2966" spans="2:2">
      <c r="B2966" s="102">
        <v>47378</v>
      </c>
    </row>
    <row r="2967" spans="2:2">
      <c r="B2967" s="102">
        <v>47379</v>
      </c>
    </row>
    <row r="2968" spans="2:2">
      <c r="B2968" s="102">
        <v>47380</v>
      </c>
    </row>
    <row r="2969" spans="2:2">
      <c r="B2969" s="102">
        <v>47381</v>
      </c>
    </row>
    <row r="2970" spans="2:2">
      <c r="B2970" s="102">
        <v>47382</v>
      </c>
    </row>
    <row r="2971" spans="2:2">
      <c r="B2971" s="102">
        <v>47383</v>
      </c>
    </row>
    <row r="2972" spans="2:2">
      <c r="B2972" s="102">
        <v>47384</v>
      </c>
    </row>
    <row r="2973" spans="2:2">
      <c r="B2973" s="102">
        <v>47385</v>
      </c>
    </row>
    <row r="2974" spans="2:2">
      <c r="B2974" s="102">
        <v>47386</v>
      </c>
    </row>
    <row r="2975" spans="2:2">
      <c r="B2975" s="102">
        <v>47387</v>
      </c>
    </row>
    <row r="2976" spans="2:2">
      <c r="B2976" s="102">
        <v>47388</v>
      </c>
    </row>
    <row r="2977" spans="2:2">
      <c r="B2977" s="102">
        <v>47389</v>
      </c>
    </row>
    <row r="2978" spans="2:2">
      <c r="B2978" s="102">
        <v>47390</v>
      </c>
    </row>
    <row r="2979" spans="2:2">
      <c r="B2979" s="102">
        <v>47391</v>
      </c>
    </row>
    <row r="2980" spans="2:2">
      <c r="B2980" s="102">
        <v>47392</v>
      </c>
    </row>
    <row r="2981" spans="2:2">
      <c r="B2981" s="102">
        <v>47393</v>
      </c>
    </row>
    <row r="2982" spans="2:2">
      <c r="B2982" s="102">
        <v>47394</v>
      </c>
    </row>
    <row r="2983" spans="2:2">
      <c r="B2983" s="102">
        <v>47395</v>
      </c>
    </row>
    <row r="2984" spans="2:2">
      <c r="B2984" s="102">
        <v>47396</v>
      </c>
    </row>
    <row r="2985" spans="2:2">
      <c r="B2985" s="102">
        <v>47397</v>
      </c>
    </row>
    <row r="2986" spans="2:2">
      <c r="B2986" s="102">
        <v>47398</v>
      </c>
    </row>
    <row r="2987" spans="2:2">
      <c r="B2987" s="102">
        <v>47399</v>
      </c>
    </row>
    <row r="2988" spans="2:2">
      <c r="B2988" s="102">
        <v>47400</v>
      </c>
    </row>
    <row r="2989" spans="2:2">
      <c r="B2989" s="102">
        <v>47401</v>
      </c>
    </row>
    <row r="2990" spans="2:2">
      <c r="B2990" s="102">
        <v>47402</v>
      </c>
    </row>
    <row r="2991" spans="2:2">
      <c r="B2991" s="102">
        <v>47403</v>
      </c>
    </row>
    <row r="2992" spans="2:2">
      <c r="B2992" s="102">
        <v>47404</v>
      </c>
    </row>
    <row r="2993" spans="2:2">
      <c r="B2993" s="102">
        <v>47405</v>
      </c>
    </row>
    <row r="2994" spans="2:2">
      <c r="B2994" s="102">
        <v>47406</v>
      </c>
    </row>
    <row r="2995" spans="2:2">
      <c r="B2995" s="102">
        <v>47407</v>
      </c>
    </row>
    <row r="2996" spans="2:2">
      <c r="B2996" s="102">
        <v>47408</v>
      </c>
    </row>
    <row r="2997" spans="2:2">
      <c r="B2997" s="102">
        <v>47409</v>
      </c>
    </row>
    <row r="2998" spans="2:2">
      <c r="B2998" s="102">
        <v>47410</v>
      </c>
    </row>
    <row r="2999" spans="2:2">
      <c r="B2999" s="102">
        <v>47411</v>
      </c>
    </row>
    <row r="3000" spans="2:2">
      <c r="B3000" s="102">
        <v>47412</v>
      </c>
    </row>
    <row r="3001" spans="2:2">
      <c r="B3001" s="102">
        <v>47413</v>
      </c>
    </row>
    <row r="3002" spans="2:2">
      <c r="B3002" s="102">
        <v>47414</v>
      </c>
    </row>
    <row r="3003" spans="2:2">
      <c r="B3003" s="102">
        <v>47415</v>
      </c>
    </row>
    <row r="3004" spans="2:2">
      <c r="B3004" s="102">
        <v>47416</v>
      </c>
    </row>
    <row r="3005" spans="2:2">
      <c r="B3005" s="102">
        <v>47417</v>
      </c>
    </row>
    <row r="3006" spans="2:2">
      <c r="B3006" s="102">
        <v>47418</v>
      </c>
    </row>
    <row r="3007" spans="2:2">
      <c r="B3007" s="102">
        <v>47419</v>
      </c>
    </row>
    <row r="3008" spans="2:2">
      <c r="B3008" s="102">
        <v>47420</v>
      </c>
    </row>
    <row r="3009" spans="2:2">
      <c r="B3009" s="102">
        <v>47421</v>
      </c>
    </row>
    <row r="3010" spans="2:2">
      <c r="B3010" s="102">
        <v>47422</v>
      </c>
    </row>
    <row r="3011" spans="2:2">
      <c r="B3011" s="102">
        <v>47423</v>
      </c>
    </row>
    <row r="3012" spans="2:2">
      <c r="B3012" s="102">
        <v>47424</v>
      </c>
    </row>
    <row r="3013" spans="2:2">
      <c r="B3013" s="102">
        <v>47425</v>
      </c>
    </row>
    <row r="3014" spans="2:2">
      <c r="B3014" s="102">
        <v>47426</v>
      </c>
    </row>
    <row r="3015" spans="2:2">
      <c r="B3015" s="102">
        <v>47427</v>
      </c>
    </row>
    <row r="3016" spans="2:2">
      <c r="B3016" s="102">
        <v>47428</v>
      </c>
    </row>
    <row r="3017" spans="2:2">
      <c r="B3017" s="102">
        <v>47429</v>
      </c>
    </row>
    <row r="3018" spans="2:2">
      <c r="B3018" s="102">
        <v>47430</v>
      </c>
    </row>
    <row r="3019" spans="2:2">
      <c r="B3019" s="102">
        <v>47431</v>
      </c>
    </row>
    <row r="3020" spans="2:2">
      <c r="B3020" s="102">
        <v>47432</v>
      </c>
    </row>
    <row r="3021" spans="2:2">
      <c r="B3021" s="102">
        <v>47433</v>
      </c>
    </row>
    <row r="3022" spans="2:2">
      <c r="B3022" s="102">
        <v>47434</v>
      </c>
    </row>
    <row r="3023" spans="2:2">
      <c r="B3023" s="102">
        <v>47435</v>
      </c>
    </row>
    <row r="3024" spans="2:2">
      <c r="B3024" s="102">
        <v>47436</v>
      </c>
    </row>
    <row r="3025" spans="2:2">
      <c r="B3025" s="102">
        <v>47437</v>
      </c>
    </row>
    <row r="3026" spans="2:2">
      <c r="B3026" s="102">
        <v>47438</v>
      </c>
    </row>
    <row r="3027" spans="2:2">
      <c r="B3027" s="102">
        <v>47439</v>
      </c>
    </row>
    <row r="3028" spans="2:2">
      <c r="B3028" s="102">
        <v>47440</v>
      </c>
    </row>
    <row r="3029" spans="2:2">
      <c r="B3029" s="102">
        <v>47441</v>
      </c>
    </row>
    <row r="3030" spans="2:2">
      <c r="B3030" s="102">
        <v>47442</v>
      </c>
    </row>
    <row r="3031" spans="2:2">
      <c r="B3031" s="102">
        <v>47443</v>
      </c>
    </row>
    <row r="3032" spans="2:2">
      <c r="B3032" s="102">
        <v>47444</v>
      </c>
    </row>
    <row r="3033" spans="2:2">
      <c r="B3033" s="102">
        <v>47445</v>
      </c>
    </row>
    <row r="3034" spans="2:2">
      <c r="B3034" s="102">
        <v>47446</v>
      </c>
    </row>
    <row r="3035" spans="2:2">
      <c r="B3035" s="102">
        <v>47447</v>
      </c>
    </row>
    <row r="3036" spans="2:2">
      <c r="B3036" s="102">
        <v>47448</v>
      </c>
    </row>
    <row r="3037" spans="2:2">
      <c r="B3037" s="102">
        <v>47449</v>
      </c>
    </row>
    <row r="3038" spans="2:2">
      <c r="B3038" s="102">
        <v>47450</v>
      </c>
    </row>
    <row r="3039" spans="2:2">
      <c r="B3039" s="102">
        <v>47451</v>
      </c>
    </row>
    <row r="3040" spans="2:2">
      <c r="B3040" s="102">
        <v>47452</v>
      </c>
    </row>
    <row r="3041" spans="2:2">
      <c r="B3041" s="102">
        <v>47453</v>
      </c>
    </row>
    <row r="3042" spans="2:2">
      <c r="B3042" s="102">
        <v>47454</v>
      </c>
    </row>
    <row r="3043" spans="2:2">
      <c r="B3043" s="102">
        <v>47455</v>
      </c>
    </row>
    <row r="3044" spans="2:2">
      <c r="B3044" s="102">
        <v>47456</v>
      </c>
    </row>
    <row r="3045" spans="2:2">
      <c r="B3045" s="102">
        <v>47457</v>
      </c>
    </row>
    <row r="3046" spans="2:2">
      <c r="B3046" s="102">
        <v>47458</v>
      </c>
    </row>
    <row r="3047" spans="2:2">
      <c r="B3047" s="102">
        <v>47459</v>
      </c>
    </row>
    <row r="3048" spans="2:2">
      <c r="B3048" s="102">
        <v>47460</v>
      </c>
    </row>
    <row r="3049" spans="2:2">
      <c r="B3049" s="102">
        <v>47461</v>
      </c>
    </row>
    <row r="3050" spans="2:2">
      <c r="B3050" s="102">
        <v>47462</v>
      </c>
    </row>
    <row r="3051" spans="2:2">
      <c r="B3051" s="102">
        <v>47463</v>
      </c>
    </row>
    <row r="3052" spans="2:2">
      <c r="B3052" s="102">
        <v>47464</v>
      </c>
    </row>
    <row r="3053" spans="2:2">
      <c r="B3053" s="102">
        <v>47465</v>
      </c>
    </row>
    <row r="3054" spans="2:2">
      <c r="B3054" s="102">
        <v>47466</v>
      </c>
    </row>
    <row r="3055" spans="2:2">
      <c r="B3055" s="102">
        <v>47467</v>
      </c>
    </row>
    <row r="3056" spans="2:2">
      <c r="B3056" s="102">
        <v>47468</v>
      </c>
    </row>
    <row r="3057" spans="2:2">
      <c r="B3057" s="102">
        <v>47469</v>
      </c>
    </row>
    <row r="3058" spans="2:2">
      <c r="B3058" s="102">
        <v>47470</v>
      </c>
    </row>
    <row r="3059" spans="2:2">
      <c r="B3059" s="102">
        <v>47471</v>
      </c>
    </row>
    <row r="3060" spans="2:2">
      <c r="B3060" s="102">
        <v>47472</v>
      </c>
    </row>
    <row r="3061" spans="2:2">
      <c r="B3061" s="102">
        <v>47473</v>
      </c>
    </row>
    <row r="3062" spans="2:2">
      <c r="B3062" s="102">
        <v>47474</v>
      </c>
    </row>
    <row r="3063" spans="2:2">
      <c r="B3063" s="102">
        <v>47475</v>
      </c>
    </row>
    <row r="3064" spans="2:2">
      <c r="B3064" s="102">
        <v>47476</v>
      </c>
    </row>
    <row r="3065" spans="2:2">
      <c r="B3065" s="102">
        <v>47477</v>
      </c>
    </row>
    <row r="3066" spans="2:2">
      <c r="B3066" s="102">
        <v>47478</v>
      </c>
    </row>
    <row r="3067" spans="2:2">
      <c r="B3067" s="102">
        <v>47479</v>
      </c>
    </row>
    <row r="3068" spans="2:2">
      <c r="B3068" s="102">
        <v>47480</v>
      </c>
    </row>
    <row r="3069" spans="2:2">
      <c r="B3069" s="102">
        <v>47481</v>
      </c>
    </row>
    <row r="3070" spans="2:2">
      <c r="B3070" s="102">
        <v>47482</v>
      </c>
    </row>
    <row r="3071" spans="2:2">
      <c r="B3071" s="102">
        <v>47483</v>
      </c>
    </row>
    <row r="3072" spans="2:2">
      <c r="B3072" s="102">
        <v>47484</v>
      </c>
    </row>
    <row r="3073" spans="2:2">
      <c r="B3073" s="102">
        <v>47485</v>
      </c>
    </row>
    <row r="3074" spans="2:2">
      <c r="B3074" s="102">
        <v>47486</v>
      </c>
    </row>
    <row r="3075" spans="2:2">
      <c r="B3075" s="102">
        <v>47487</v>
      </c>
    </row>
    <row r="3076" spans="2:2">
      <c r="B3076" s="102">
        <v>47488</v>
      </c>
    </row>
    <row r="3077" spans="2:2">
      <c r="B3077" s="102">
        <v>47489</v>
      </c>
    </row>
    <row r="3078" spans="2:2">
      <c r="B3078" s="102">
        <v>47490</v>
      </c>
    </row>
    <row r="3079" spans="2:2">
      <c r="B3079" s="102">
        <v>47491</v>
      </c>
    </row>
    <row r="3080" spans="2:2">
      <c r="B3080" s="102">
        <v>47492</v>
      </c>
    </row>
    <row r="3081" spans="2:2">
      <c r="B3081" s="102">
        <v>47493</v>
      </c>
    </row>
    <row r="3082" spans="2:2">
      <c r="B3082" s="102">
        <v>47494</v>
      </c>
    </row>
    <row r="3083" spans="2:2">
      <c r="B3083" s="102">
        <v>47495</v>
      </c>
    </row>
    <row r="3084" spans="2:2">
      <c r="B3084" s="102">
        <v>47496</v>
      </c>
    </row>
    <row r="3085" spans="2:2">
      <c r="B3085" s="102">
        <v>47497</v>
      </c>
    </row>
    <row r="3086" spans="2:2">
      <c r="B3086" s="102">
        <v>47498</v>
      </c>
    </row>
    <row r="3087" spans="2:2">
      <c r="B3087" s="102">
        <v>47499</v>
      </c>
    </row>
    <row r="3088" spans="2:2">
      <c r="B3088" s="102">
        <v>47500</v>
      </c>
    </row>
    <row r="3089" spans="2:2">
      <c r="B3089" s="102">
        <v>47501</v>
      </c>
    </row>
    <row r="3090" spans="2:2">
      <c r="B3090" s="102">
        <v>47502</v>
      </c>
    </row>
    <row r="3091" spans="2:2">
      <c r="B3091" s="102">
        <v>47503</v>
      </c>
    </row>
    <row r="3092" spans="2:2">
      <c r="B3092" s="102">
        <v>47504</v>
      </c>
    </row>
    <row r="3093" spans="2:2">
      <c r="B3093" s="102">
        <v>47505</v>
      </c>
    </row>
    <row r="3094" spans="2:2">
      <c r="B3094" s="102">
        <v>47506</v>
      </c>
    </row>
    <row r="3095" spans="2:2">
      <c r="B3095" s="102">
        <v>47507</v>
      </c>
    </row>
    <row r="3096" spans="2:2">
      <c r="B3096" s="102">
        <v>47508</v>
      </c>
    </row>
    <row r="3097" spans="2:2">
      <c r="B3097" s="102">
        <v>47509</v>
      </c>
    </row>
    <row r="3098" spans="2:2">
      <c r="B3098" s="102">
        <v>47510</v>
      </c>
    </row>
    <row r="3099" spans="2:2">
      <c r="B3099" s="102">
        <v>47511</v>
      </c>
    </row>
    <row r="3100" spans="2:2">
      <c r="B3100" s="102">
        <v>47512</v>
      </c>
    </row>
    <row r="3101" spans="2:2">
      <c r="B3101" s="102">
        <v>47513</v>
      </c>
    </row>
    <row r="3102" spans="2:2">
      <c r="B3102" s="102">
        <v>47514</v>
      </c>
    </row>
    <row r="3103" spans="2:2">
      <c r="B3103" s="102">
        <v>47515</v>
      </c>
    </row>
    <row r="3104" spans="2:2">
      <c r="B3104" s="102">
        <v>47516</v>
      </c>
    </row>
    <row r="3105" spans="2:2">
      <c r="B3105" s="102">
        <v>47517</v>
      </c>
    </row>
    <row r="3106" spans="2:2">
      <c r="B3106" s="102">
        <v>47518</v>
      </c>
    </row>
    <row r="3107" spans="2:2">
      <c r="B3107" s="102">
        <v>47519</v>
      </c>
    </row>
    <row r="3108" spans="2:2">
      <c r="B3108" s="102">
        <v>47520</v>
      </c>
    </row>
    <row r="3109" spans="2:2">
      <c r="B3109" s="102">
        <v>47521</v>
      </c>
    </row>
    <row r="3110" spans="2:2">
      <c r="B3110" s="102">
        <v>47522</v>
      </c>
    </row>
    <row r="3111" spans="2:2">
      <c r="B3111" s="102">
        <v>47523</v>
      </c>
    </row>
    <row r="3112" spans="2:2">
      <c r="B3112" s="102">
        <v>47524</v>
      </c>
    </row>
    <row r="3113" spans="2:2">
      <c r="B3113" s="102">
        <v>47525</v>
      </c>
    </row>
    <row r="3114" spans="2:2">
      <c r="B3114" s="102">
        <v>47526</v>
      </c>
    </row>
    <row r="3115" spans="2:2">
      <c r="B3115" s="102">
        <v>47527</v>
      </c>
    </row>
    <row r="3116" spans="2:2">
      <c r="B3116" s="102">
        <v>47528</v>
      </c>
    </row>
    <row r="3117" spans="2:2">
      <c r="B3117" s="102">
        <v>47529</v>
      </c>
    </row>
    <row r="3118" spans="2:2">
      <c r="B3118" s="102">
        <v>47530</v>
      </c>
    </row>
    <row r="3119" spans="2:2">
      <c r="B3119" s="102">
        <v>47531</v>
      </c>
    </row>
    <row r="3120" spans="2:2">
      <c r="B3120" s="102">
        <v>47532</v>
      </c>
    </row>
    <row r="3121" spans="2:2">
      <c r="B3121" s="102">
        <v>47533</v>
      </c>
    </row>
    <row r="3122" spans="2:2">
      <c r="B3122" s="102">
        <v>47534</v>
      </c>
    </row>
    <row r="3123" spans="2:2">
      <c r="B3123" s="102">
        <v>47535</v>
      </c>
    </row>
    <row r="3124" spans="2:2">
      <c r="B3124" s="102">
        <v>47536</v>
      </c>
    </row>
    <row r="3125" spans="2:2">
      <c r="B3125" s="102">
        <v>47537</v>
      </c>
    </row>
    <row r="3126" spans="2:2">
      <c r="B3126" s="102">
        <v>47538</v>
      </c>
    </row>
    <row r="3127" spans="2:2">
      <c r="B3127" s="102">
        <v>47539</v>
      </c>
    </row>
    <row r="3128" spans="2:2">
      <c r="B3128" s="102">
        <v>47540</v>
      </c>
    </row>
    <row r="3129" spans="2:2">
      <c r="B3129" s="102">
        <v>47541</v>
      </c>
    </row>
    <row r="3130" spans="2:2">
      <c r="B3130" s="102">
        <v>47542</v>
      </c>
    </row>
    <row r="3131" spans="2:2">
      <c r="B3131" s="102">
        <v>47543</v>
      </c>
    </row>
    <row r="3132" spans="2:2">
      <c r="B3132" s="102">
        <v>47544</v>
      </c>
    </row>
    <row r="3133" spans="2:2">
      <c r="B3133" s="102">
        <v>47545</v>
      </c>
    </row>
    <row r="3134" spans="2:2">
      <c r="B3134" s="102">
        <v>47546</v>
      </c>
    </row>
    <row r="3135" spans="2:2">
      <c r="B3135" s="102">
        <v>47547</v>
      </c>
    </row>
    <row r="3136" spans="2:2">
      <c r="B3136" s="102">
        <v>47548</v>
      </c>
    </row>
    <row r="3137" spans="2:2">
      <c r="B3137" s="102">
        <v>47549</v>
      </c>
    </row>
    <row r="3138" spans="2:2">
      <c r="B3138" s="102">
        <v>47550</v>
      </c>
    </row>
    <row r="3139" spans="2:2">
      <c r="B3139" s="102">
        <v>47551</v>
      </c>
    </row>
    <row r="3140" spans="2:2">
      <c r="B3140" s="102">
        <v>47552</v>
      </c>
    </row>
    <row r="3141" spans="2:2">
      <c r="B3141" s="102">
        <v>47553</v>
      </c>
    </row>
    <row r="3142" spans="2:2">
      <c r="B3142" s="102">
        <v>47554</v>
      </c>
    </row>
    <row r="3143" spans="2:2">
      <c r="B3143" s="102">
        <v>47555</v>
      </c>
    </row>
    <row r="3144" spans="2:2">
      <c r="B3144" s="102">
        <v>47556</v>
      </c>
    </row>
    <row r="3145" spans="2:2">
      <c r="B3145" s="102">
        <v>47557</v>
      </c>
    </row>
    <row r="3146" spans="2:2">
      <c r="B3146" s="102">
        <v>47558</v>
      </c>
    </row>
    <row r="3147" spans="2:2">
      <c r="B3147" s="102">
        <v>47559</v>
      </c>
    </row>
    <row r="3148" spans="2:2">
      <c r="B3148" s="102">
        <v>47560</v>
      </c>
    </row>
    <row r="3149" spans="2:2">
      <c r="B3149" s="102">
        <v>47561</v>
      </c>
    </row>
    <row r="3150" spans="2:2">
      <c r="B3150" s="102">
        <v>47562</v>
      </c>
    </row>
    <row r="3151" spans="2:2">
      <c r="B3151" s="102">
        <v>47563</v>
      </c>
    </row>
    <row r="3152" spans="2:2">
      <c r="B3152" s="102">
        <v>47564</v>
      </c>
    </row>
    <row r="3153" spans="2:2">
      <c r="B3153" s="102">
        <v>47565</v>
      </c>
    </row>
    <row r="3154" spans="2:2">
      <c r="B3154" s="102">
        <v>47566</v>
      </c>
    </row>
    <row r="3155" spans="2:2">
      <c r="B3155" s="102">
        <v>47567</v>
      </c>
    </row>
    <row r="3156" spans="2:2">
      <c r="B3156" s="102">
        <v>47568</v>
      </c>
    </row>
    <row r="3157" spans="2:2">
      <c r="B3157" s="102">
        <v>47569</v>
      </c>
    </row>
    <row r="3158" spans="2:2">
      <c r="B3158" s="102">
        <v>47570</v>
      </c>
    </row>
    <row r="3159" spans="2:2">
      <c r="B3159" s="102">
        <v>47571</v>
      </c>
    </row>
    <row r="3160" spans="2:2">
      <c r="B3160" s="102">
        <v>47572</v>
      </c>
    </row>
    <row r="3161" spans="2:2">
      <c r="B3161" s="102">
        <v>47573</v>
      </c>
    </row>
    <row r="3162" spans="2:2">
      <c r="B3162" s="102">
        <v>47574</v>
      </c>
    </row>
    <row r="3163" spans="2:2">
      <c r="B3163" s="102">
        <v>47575</v>
      </c>
    </row>
    <row r="3164" spans="2:2">
      <c r="B3164" s="102">
        <v>47576</v>
      </c>
    </row>
    <row r="3165" spans="2:2">
      <c r="B3165" s="102">
        <v>47577</v>
      </c>
    </row>
    <row r="3166" spans="2:2">
      <c r="B3166" s="102">
        <v>47578</v>
      </c>
    </row>
    <row r="3167" spans="2:2">
      <c r="B3167" s="102">
        <v>47579</v>
      </c>
    </row>
    <row r="3168" spans="2:2">
      <c r="B3168" s="102">
        <v>47580</v>
      </c>
    </row>
    <row r="3169" spans="2:2">
      <c r="B3169" s="102">
        <v>47581</v>
      </c>
    </row>
    <row r="3170" spans="2:2">
      <c r="B3170" s="102">
        <v>47582</v>
      </c>
    </row>
    <row r="3171" spans="2:2">
      <c r="B3171" s="102">
        <v>47583</v>
      </c>
    </row>
    <row r="3172" spans="2:2">
      <c r="B3172" s="102">
        <v>47584</v>
      </c>
    </row>
    <row r="3173" spans="2:2">
      <c r="B3173" s="102">
        <v>47585</v>
      </c>
    </row>
    <row r="3174" spans="2:2">
      <c r="B3174" s="102">
        <v>47586</v>
      </c>
    </row>
    <row r="3175" spans="2:2">
      <c r="B3175" s="102">
        <v>47587</v>
      </c>
    </row>
    <row r="3176" spans="2:2">
      <c r="B3176" s="102">
        <v>47588</v>
      </c>
    </row>
    <row r="3177" spans="2:2">
      <c r="B3177" s="102">
        <v>47589</v>
      </c>
    </row>
    <row r="3178" spans="2:2">
      <c r="B3178" s="102">
        <v>47590</v>
      </c>
    </row>
    <row r="3179" spans="2:2">
      <c r="B3179" s="102">
        <v>47591</v>
      </c>
    </row>
    <row r="3180" spans="2:2">
      <c r="B3180" s="102">
        <v>47592</v>
      </c>
    </row>
    <row r="3181" spans="2:2">
      <c r="B3181" s="102">
        <v>47593</v>
      </c>
    </row>
    <row r="3182" spans="2:2">
      <c r="B3182" s="102">
        <v>47594</v>
      </c>
    </row>
    <row r="3183" spans="2:2">
      <c r="B3183" s="102">
        <v>47595</v>
      </c>
    </row>
    <row r="3184" spans="2:2">
      <c r="B3184" s="102">
        <v>47596</v>
      </c>
    </row>
    <row r="3185" spans="2:2">
      <c r="B3185" s="102">
        <v>47597</v>
      </c>
    </row>
    <row r="3186" spans="2:2">
      <c r="B3186" s="102">
        <v>47598</v>
      </c>
    </row>
    <row r="3187" spans="2:2">
      <c r="B3187" s="102">
        <v>47599</v>
      </c>
    </row>
    <row r="3188" spans="2:2">
      <c r="B3188" s="102">
        <v>47600</v>
      </c>
    </row>
    <row r="3189" spans="2:2">
      <c r="B3189" s="102">
        <v>47601</v>
      </c>
    </row>
    <row r="3190" spans="2:2">
      <c r="B3190" s="102">
        <v>47602</v>
      </c>
    </row>
    <row r="3191" spans="2:2">
      <c r="B3191" s="102">
        <v>47603</v>
      </c>
    </row>
    <row r="3192" spans="2:2">
      <c r="B3192" s="102">
        <v>47604</v>
      </c>
    </row>
    <row r="3193" spans="2:2">
      <c r="B3193" s="102">
        <v>47605</v>
      </c>
    </row>
    <row r="3194" spans="2:2">
      <c r="B3194" s="102">
        <v>47606</v>
      </c>
    </row>
    <row r="3195" spans="2:2">
      <c r="B3195" s="102">
        <v>47607</v>
      </c>
    </row>
    <row r="3196" spans="2:2">
      <c r="B3196" s="102">
        <v>47608</v>
      </c>
    </row>
    <row r="3197" spans="2:2">
      <c r="B3197" s="102">
        <v>47609</v>
      </c>
    </row>
    <row r="3198" spans="2:2">
      <c r="B3198" s="102">
        <v>47610</v>
      </c>
    </row>
    <row r="3199" spans="2:2">
      <c r="B3199" s="102">
        <v>47611</v>
      </c>
    </row>
    <row r="3200" spans="2:2">
      <c r="B3200" s="102">
        <v>47612</v>
      </c>
    </row>
    <row r="3201" spans="2:2">
      <c r="B3201" s="102">
        <v>47613</v>
      </c>
    </row>
    <row r="3202" spans="2:2">
      <c r="B3202" s="102">
        <v>47614</v>
      </c>
    </row>
    <row r="3203" spans="2:2">
      <c r="B3203" s="102">
        <v>47615</v>
      </c>
    </row>
    <row r="3204" spans="2:2">
      <c r="B3204" s="102">
        <v>47616</v>
      </c>
    </row>
    <row r="3205" spans="2:2">
      <c r="B3205" s="102">
        <v>47617</v>
      </c>
    </row>
    <row r="3206" spans="2:2">
      <c r="B3206" s="102">
        <v>47618</v>
      </c>
    </row>
    <row r="3207" spans="2:2">
      <c r="B3207" s="102">
        <v>47619</v>
      </c>
    </row>
    <row r="3208" spans="2:2">
      <c r="B3208" s="102">
        <v>47620</v>
      </c>
    </row>
    <row r="3209" spans="2:2">
      <c r="B3209" s="102">
        <v>47621</v>
      </c>
    </row>
    <row r="3210" spans="2:2">
      <c r="B3210" s="102">
        <v>47622</v>
      </c>
    </row>
    <row r="3211" spans="2:2">
      <c r="B3211" s="102">
        <v>47623</v>
      </c>
    </row>
    <row r="3212" spans="2:2">
      <c r="B3212" s="102">
        <v>47624</v>
      </c>
    </row>
    <row r="3213" spans="2:2">
      <c r="B3213" s="102">
        <v>47625</v>
      </c>
    </row>
    <row r="3214" spans="2:2">
      <c r="B3214" s="102">
        <v>47626</v>
      </c>
    </row>
    <row r="3215" spans="2:2">
      <c r="B3215" s="102">
        <v>47627</v>
      </c>
    </row>
    <row r="3216" spans="2:2">
      <c r="B3216" s="102">
        <v>47628</v>
      </c>
    </row>
    <row r="3217" spans="2:2">
      <c r="B3217" s="102">
        <v>47629</v>
      </c>
    </row>
    <row r="3218" spans="2:2">
      <c r="B3218" s="102">
        <v>47630</v>
      </c>
    </row>
    <row r="3219" spans="2:2">
      <c r="B3219" s="102">
        <v>47631</v>
      </c>
    </row>
    <row r="3220" spans="2:2">
      <c r="B3220" s="102">
        <v>47632</v>
      </c>
    </row>
    <row r="3221" spans="2:2">
      <c r="B3221" s="102">
        <v>47633</v>
      </c>
    </row>
    <row r="3222" spans="2:2">
      <c r="B3222" s="102">
        <v>47634</v>
      </c>
    </row>
    <row r="3223" spans="2:2">
      <c r="B3223" s="102">
        <v>47635</v>
      </c>
    </row>
    <row r="3224" spans="2:2">
      <c r="B3224" s="102">
        <v>47636</v>
      </c>
    </row>
    <row r="3225" spans="2:2">
      <c r="B3225" s="102">
        <v>47637</v>
      </c>
    </row>
    <row r="3226" spans="2:2">
      <c r="B3226" s="102">
        <v>47638</v>
      </c>
    </row>
    <row r="3227" spans="2:2">
      <c r="B3227" s="102">
        <v>47639</v>
      </c>
    </row>
    <row r="3228" spans="2:2">
      <c r="B3228" s="102">
        <v>47640</v>
      </c>
    </row>
    <row r="3229" spans="2:2">
      <c r="B3229" s="102">
        <v>47641</v>
      </c>
    </row>
    <row r="3230" spans="2:2">
      <c r="B3230" s="102">
        <v>47642</v>
      </c>
    </row>
    <row r="3231" spans="2:2">
      <c r="B3231" s="102">
        <v>47643</v>
      </c>
    </row>
    <row r="3232" spans="2:2">
      <c r="B3232" s="102">
        <v>47644</v>
      </c>
    </row>
    <row r="3233" spans="2:2">
      <c r="B3233" s="102">
        <v>47645</v>
      </c>
    </row>
    <row r="3234" spans="2:2">
      <c r="B3234" s="102">
        <v>47646</v>
      </c>
    </row>
    <row r="3235" spans="2:2">
      <c r="B3235" s="102">
        <v>47647</v>
      </c>
    </row>
    <row r="3236" spans="2:2">
      <c r="B3236" s="102">
        <v>47648</v>
      </c>
    </row>
    <row r="3237" spans="2:2">
      <c r="B3237" s="102">
        <v>47649</v>
      </c>
    </row>
    <row r="3238" spans="2:2">
      <c r="B3238" s="102">
        <v>47650</v>
      </c>
    </row>
    <row r="3239" spans="2:2">
      <c r="B3239" s="102">
        <v>47651</v>
      </c>
    </row>
    <row r="3240" spans="2:2">
      <c r="B3240" s="102">
        <v>47652</v>
      </c>
    </row>
    <row r="3241" spans="2:2">
      <c r="B3241" s="102">
        <v>47653</v>
      </c>
    </row>
    <row r="3242" spans="2:2">
      <c r="B3242" s="102">
        <v>47654</v>
      </c>
    </row>
    <row r="3243" spans="2:2">
      <c r="B3243" s="102">
        <v>47655</v>
      </c>
    </row>
    <row r="3244" spans="2:2">
      <c r="B3244" s="102">
        <v>47656</v>
      </c>
    </row>
    <row r="3245" spans="2:2">
      <c r="B3245" s="102">
        <v>47657</v>
      </c>
    </row>
    <row r="3246" spans="2:2">
      <c r="B3246" s="102">
        <v>47658</v>
      </c>
    </row>
    <row r="3247" spans="2:2">
      <c r="B3247" s="102">
        <v>47659</v>
      </c>
    </row>
    <row r="3248" spans="2:2">
      <c r="B3248" s="102">
        <v>47660</v>
      </c>
    </row>
    <row r="3249" spans="2:2">
      <c r="B3249" s="102">
        <v>47661</v>
      </c>
    </row>
    <row r="3250" spans="2:2">
      <c r="B3250" s="102">
        <v>47662</v>
      </c>
    </row>
    <row r="3251" spans="2:2">
      <c r="B3251" s="102">
        <v>47663</v>
      </c>
    </row>
    <row r="3252" spans="2:2">
      <c r="B3252" s="102">
        <v>47664</v>
      </c>
    </row>
    <row r="3253" spans="2:2">
      <c r="B3253" s="102">
        <v>47665</v>
      </c>
    </row>
    <row r="3254" spans="2:2">
      <c r="B3254" s="102">
        <v>47666</v>
      </c>
    </row>
    <row r="3255" spans="2:2">
      <c r="B3255" s="102">
        <v>47667</v>
      </c>
    </row>
    <row r="3256" spans="2:2">
      <c r="B3256" s="102">
        <v>47668</v>
      </c>
    </row>
    <row r="3257" spans="2:2">
      <c r="B3257" s="102">
        <v>47669</v>
      </c>
    </row>
    <row r="3258" spans="2:2">
      <c r="B3258" s="102">
        <v>47670</v>
      </c>
    </row>
    <row r="3259" spans="2:2">
      <c r="B3259" s="102">
        <v>47671</v>
      </c>
    </row>
    <row r="3260" spans="2:2">
      <c r="B3260" s="102">
        <v>47672</v>
      </c>
    </row>
    <row r="3261" spans="2:2">
      <c r="B3261" s="102">
        <v>47673</v>
      </c>
    </row>
    <row r="3262" spans="2:2">
      <c r="B3262" s="102">
        <v>47674</v>
      </c>
    </row>
    <row r="3263" spans="2:2">
      <c r="B3263" s="102">
        <v>47675</v>
      </c>
    </row>
    <row r="3264" spans="2:2">
      <c r="B3264" s="102">
        <v>47676</v>
      </c>
    </row>
    <row r="3265" spans="2:2">
      <c r="B3265" s="102">
        <v>47677</v>
      </c>
    </row>
    <row r="3266" spans="2:2">
      <c r="B3266" s="102">
        <v>47678</v>
      </c>
    </row>
    <row r="3267" spans="2:2">
      <c r="B3267" s="102">
        <v>47679</v>
      </c>
    </row>
    <row r="3268" spans="2:2">
      <c r="B3268" s="102">
        <v>47680</v>
      </c>
    </row>
    <row r="3269" spans="2:2">
      <c r="B3269" s="102">
        <v>47681</v>
      </c>
    </row>
    <row r="3270" spans="2:2">
      <c r="B3270" s="102">
        <v>47682</v>
      </c>
    </row>
    <row r="3271" spans="2:2">
      <c r="B3271" s="102">
        <v>47683</v>
      </c>
    </row>
    <row r="3272" spans="2:2">
      <c r="B3272" s="102">
        <v>47684</v>
      </c>
    </row>
    <row r="3273" spans="2:2">
      <c r="B3273" s="102">
        <v>47685</v>
      </c>
    </row>
    <row r="3274" spans="2:2">
      <c r="B3274" s="102">
        <v>47686</v>
      </c>
    </row>
    <row r="3275" spans="2:2">
      <c r="B3275" s="102">
        <v>47687</v>
      </c>
    </row>
    <row r="3276" spans="2:2">
      <c r="B3276" s="102">
        <v>47688</v>
      </c>
    </row>
    <row r="3277" spans="2:2">
      <c r="B3277" s="102">
        <v>47689</v>
      </c>
    </row>
    <row r="3278" spans="2:2">
      <c r="B3278" s="102">
        <v>47690</v>
      </c>
    </row>
    <row r="3279" spans="2:2">
      <c r="B3279" s="102">
        <v>47691</v>
      </c>
    </row>
    <row r="3280" spans="2:2">
      <c r="B3280" s="102">
        <v>47692</v>
      </c>
    </row>
    <row r="3281" spans="2:2">
      <c r="B3281" s="102">
        <v>47693</v>
      </c>
    </row>
    <row r="3282" spans="2:2">
      <c r="B3282" s="102">
        <v>47694</v>
      </c>
    </row>
    <row r="3283" spans="2:2">
      <c r="B3283" s="102">
        <v>47695</v>
      </c>
    </row>
    <row r="3284" spans="2:2">
      <c r="B3284" s="102">
        <v>47696</v>
      </c>
    </row>
    <row r="3285" spans="2:2">
      <c r="B3285" s="102">
        <v>47697</v>
      </c>
    </row>
    <row r="3286" spans="2:2">
      <c r="B3286" s="102">
        <v>47698</v>
      </c>
    </row>
    <row r="3287" spans="2:2">
      <c r="B3287" s="102">
        <v>47699</v>
      </c>
    </row>
    <row r="3288" spans="2:2">
      <c r="B3288" s="102">
        <v>47700</v>
      </c>
    </row>
    <row r="3289" spans="2:2">
      <c r="B3289" s="102">
        <v>47701</v>
      </c>
    </row>
    <row r="3290" spans="2:2">
      <c r="B3290" s="102">
        <v>47702</v>
      </c>
    </row>
    <row r="3291" spans="2:2">
      <c r="B3291" s="102">
        <v>47703</v>
      </c>
    </row>
    <row r="3292" spans="2:2">
      <c r="B3292" s="102">
        <v>47704</v>
      </c>
    </row>
    <row r="3293" spans="2:2">
      <c r="B3293" s="102">
        <v>47705</v>
      </c>
    </row>
    <row r="3294" spans="2:2">
      <c r="B3294" s="102">
        <v>47706</v>
      </c>
    </row>
    <row r="3295" spans="2:2">
      <c r="B3295" s="102">
        <v>47707</v>
      </c>
    </row>
    <row r="3296" spans="2:2">
      <c r="B3296" s="102">
        <v>47708</v>
      </c>
    </row>
    <row r="3297" spans="2:2">
      <c r="B3297" s="102">
        <v>47709</v>
      </c>
    </row>
    <row r="3298" spans="2:2">
      <c r="B3298" s="102">
        <v>47710</v>
      </c>
    </row>
    <row r="3299" spans="2:2">
      <c r="B3299" s="102">
        <v>47711</v>
      </c>
    </row>
    <row r="3300" spans="2:2">
      <c r="B3300" s="102">
        <v>47712</v>
      </c>
    </row>
    <row r="3301" spans="2:2">
      <c r="B3301" s="102">
        <v>47713</v>
      </c>
    </row>
    <row r="3302" spans="2:2">
      <c r="B3302" s="102">
        <v>47714</v>
      </c>
    </row>
    <row r="3303" spans="2:2">
      <c r="B3303" s="102">
        <v>47715</v>
      </c>
    </row>
    <row r="3304" spans="2:2">
      <c r="B3304" s="102">
        <v>47716</v>
      </c>
    </row>
    <row r="3305" spans="2:2">
      <c r="B3305" s="102">
        <v>47717</v>
      </c>
    </row>
    <row r="3306" spans="2:2">
      <c r="B3306" s="102">
        <v>47718</v>
      </c>
    </row>
    <row r="3307" spans="2:2">
      <c r="B3307" s="102">
        <v>47719</v>
      </c>
    </row>
    <row r="3308" spans="2:2">
      <c r="B3308" s="102">
        <v>47720</v>
      </c>
    </row>
    <row r="3309" spans="2:2">
      <c r="B3309" s="102">
        <v>47721</v>
      </c>
    </row>
    <row r="3310" spans="2:2">
      <c r="B3310" s="102">
        <v>47722</v>
      </c>
    </row>
    <row r="3311" spans="2:2">
      <c r="B3311" s="102">
        <v>47723</v>
      </c>
    </row>
    <row r="3312" spans="2:2">
      <c r="B3312" s="102">
        <v>47724</v>
      </c>
    </row>
    <row r="3313" spans="2:2">
      <c r="B3313" s="102">
        <v>47725</v>
      </c>
    </row>
    <row r="3314" spans="2:2">
      <c r="B3314" s="102">
        <v>47726</v>
      </c>
    </row>
    <row r="3315" spans="2:2">
      <c r="B3315" s="102">
        <v>47727</v>
      </c>
    </row>
    <row r="3316" spans="2:2">
      <c r="B3316" s="102">
        <v>47728</v>
      </c>
    </row>
    <row r="3317" spans="2:2">
      <c r="B3317" s="102">
        <v>47729</v>
      </c>
    </row>
    <row r="3318" spans="2:2">
      <c r="B3318" s="102">
        <v>47730</v>
      </c>
    </row>
    <row r="3319" spans="2:2">
      <c r="B3319" s="102">
        <v>47731</v>
      </c>
    </row>
    <row r="3320" spans="2:2">
      <c r="B3320" s="102">
        <v>47732</v>
      </c>
    </row>
    <row r="3321" spans="2:2">
      <c r="B3321" s="102">
        <v>47733</v>
      </c>
    </row>
    <row r="3322" spans="2:2">
      <c r="B3322" s="102">
        <v>47734</v>
      </c>
    </row>
    <row r="3323" spans="2:2">
      <c r="B3323" s="102">
        <v>47735</v>
      </c>
    </row>
    <row r="3324" spans="2:2">
      <c r="B3324" s="102">
        <v>47736</v>
      </c>
    </row>
    <row r="3325" spans="2:2">
      <c r="B3325" s="102">
        <v>47737</v>
      </c>
    </row>
    <row r="3326" spans="2:2">
      <c r="B3326" s="102">
        <v>47738</v>
      </c>
    </row>
    <row r="3327" spans="2:2">
      <c r="B3327" s="102">
        <v>47739</v>
      </c>
    </row>
    <row r="3328" spans="2:2">
      <c r="B3328" s="102">
        <v>47740</v>
      </c>
    </row>
    <row r="3329" spans="2:2">
      <c r="B3329" s="102">
        <v>47741</v>
      </c>
    </row>
    <row r="3330" spans="2:2">
      <c r="B3330" s="102">
        <v>47742</v>
      </c>
    </row>
    <row r="3331" spans="2:2">
      <c r="B3331" s="102">
        <v>47743</v>
      </c>
    </row>
    <row r="3332" spans="2:2">
      <c r="B3332" s="102">
        <v>47744</v>
      </c>
    </row>
    <row r="3333" spans="2:2">
      <c r="B3333" s="102">
        <v>47745</v>
      </c>
    </row>
    <row r="3334" spans="2:2">
      <c r="B3334" s="102">
        <v>47746</v>
      </c>
    </row>
    <row r="3335" spans="2:2">
      <c r="B3335" s="102">
        <v>47747</v>
      </c>
    </row>
    <row r="3336" spans="2:2">
      <c r="B3336" s="102">
        <v>47748</v>
      </c>
    </row>
    <row r="3337" spans="2:2">
      <c r="B3337" s="102">
        <v>47749</v>
      </c>
    </row>
    <row r="3338" spans="2:2">
      <c r="B3338" s="102">
        <v>47750</v>
      </c>
    </row>
    <row r="3339" spans="2:2">
      <c r="B3339" s="102">
        <v>47751</v>
      </c>
    </row>
    <row r="3340" spans="2:2">
      <c r="B3340" s="102">
        <v>47752</v>
      </c>
    </row>
    <row r="3341" spans="2:2">
      <c r="B3341" s="102">
        <v>47753</v>
      </c>
    </row>
    <row r="3342" spans="2:2">
      <c r="B3342" s="102">
        <v>47754</v>
      </c>
    </row>
    <row r="3343" spans="2:2">
      <c r="B3343" s="102">
        <v>47755</v>
      </c>
    </row>
    <row r="3344" spans="2:2">
      <c r="B3344" s="102">
        <v>47756</v>
      </c>
    </row>
    <row r="3345" spans="2:2">
      <c r="B3345" s="102">
        <v>47757</v>
      </c>
    </row>
    <row r="3346" spans="2:2">
      <c r="B3346" s="102">
        <v>47758</v>
      </c>
    </row>
    <row r="3347" spans="2:2">
      <c r="B3347" s="102">
        <v>47759</v>
      </c>
    </row>
    <row r="3348" spans="2:2">
      <c r="B3348" s="102">
        <v>47760</v>
      </c>
    </row>
    <row r="3349" spans="2:2">
      <c r="B3349" s="102">
        <v>47761</v>
      </c>
    </row>
    <row r="3350" spans="2:2">
      <c r="B3350" s="102">
        <v>47762</v>
      </c>
    </row>
    <row r="3351" spans="2:2">
      <c r="B3351" s="102">
        <v>47763</v>
      </c>
    </row>
    <row r="3352" spans="2:2">
      <c r="B3352" s="102">
        <v>47764</v>
      </c>
    </row>
    <row r="3353" spans="2:2">
      <c r="B3353" s="102">
        <v>47765</v>
      </c>
    </row>
    <row r="3354" spans="2:2">
      <c r="B3354" s="102">
        <v>47766</v>
      </c>
    </row>
    <row r="3355" spans="2:2">
      <c r="B3355" s="102">
        <v>47767</v>
      </c>
    </row>
    <row r="3356" spans="2:2">
      <c r="B3356" s="102">
        <v>47768</v>
      </c>
    </row>
    <row r="3357" spans="2:2">
      <c r="B3357" s="102">
        <v>47769</v>
      </c>
    </row>
    <row r="3358" spans="2:2">
      <c r="B3358" s="102">
        <v>47770</v>
      </c>
    </row>
    <row r="3359" spans="2:2">
      <c r="B3359" s="102">
        <v>47771</v>
      </c>
    </row>
    <row r="3360" spans="2:2">
      <c r="B3360" s="102">
        <v>47772</v>
      </c>
    </row>
    <row r="3361" spans="2:2">
      <c r="B3361" s="102">
        <v>47773</v>
      </c>
    </row>
    <row r="3362" spans="2:2">
      <c r="B3362" s="102">
        <v>47774</v>
      </c>
    </row>
    <row r="3363" spans="2:2">
      <c r="B3363" s="102">
        <v>47775</v>
      </c>
    </row>
    <row r="3364" spans="2:2">
      <c r="B3364" s="102">
        <v>47776</v>
      </c>
    </row>
    <row r="3365" spans="2:2">
      <c r="B3365" s="102">
        <v>47777</v>
      </c>
    </row>
    <row r="3366" spans="2:2">
      <c r="B3366" s="102">
        <v>47778</v>
      </c>
    </row>
    <row r="3367" spans="2:2">
      <c r="B3367" s="102">
        <v>47779</v>
      </c>
    </row>
    <row r="3368" spans="2:2">
      <c r="B3368" s="102">
        <v>47780</v>
      </c>
    </row>
    <row r="3369" spans="2:2">
      <c r="B3369" s="102">
        <v>47781</v>
      </c>
    </row>
    <row r="3370" spans="2:2">
      <c r="B3370" s="102">
        <v>47782</v>
      </c>
    </row>
    <row r="3371" spans="2:2">
      <c r="B3371" s="102">
        <v>47783</v>
      </c>
    </row>
    <row r="3372" spans="2:2">
      <c r="B3372" s="102">
        <v>47784</v>
      </c>
    </row>
    <row r="3373" spans="2:2">
      <c r="B3373" s="102">
        <v>47785</v>
      </c>
    </row>
    <row r="3374" spans="2:2">
      <c r="B3374" s="102">
        <v>47786</v>
      </c>
    </row>
    <row r="3375" spans="2:2">
      <c r="B3375" s="102">
        <v>47787</v>
      </c>
    </row>
    <row r="3376" spans="2:2">
      <c r="B3376" s="102">
        <v>47788</v>
      </c>
    </row>
    <row r="3377" spans="2:2">
      <c r="B3377" s="102">
        <v>47789</v>
      </c>
    </row>
    <row r="3378" spans="2:2">
      <c r="B3378" s="102">
        <v>47790</v>
      </c>
    </row>
    <row r="3379" spans="2:2">
      <c r="B3379" s="102">
        <v>47791</v>
      </c>
    </row>
    <row r="3380" spans="2:2">
      <c r="B3380" s="102">
        <v>47792</v>
      </c>
    </row>
    <row r="3381" spans="2:2">
      <c r="B3381" s="102">
        <v>47793</v>
      </c>
    </row>
    <row r="3382" spans="2:2">
      <c r="B3382" s="102">
        <v>47794</v>
      </c>
    </row>
    <row r="3383" spans="2:2">
      <c r="B3383" s="102">
        <v>47795</v>
      </c>
    </row>
    <row r="3384" spans="2:2">
      <c r="B3384" s="102">
        <v>47796</v>
      </c>
    </row>
    <row r="3385" spans="2:2">
      <c r="B3385" s="102">
        <v>47797</v>
      </c>
    </row>
    <row r="3386" spans="2:2">
      <c r="B3386" s="102">
        <v>47798</v>
      </c>
    </row>
    <row r="3387" spans="2:2">
      <c r="B3387" s="102">
        <v>47799</v>
      </c>
    </row>
    <row r="3388" spans="2:2">
      <c r="B3388" s="102">
        <v>47800</v>
      </c>
    </row>
    <row r="3389" spans="2:2">
      <c r="B3389" s="102">
        <v>47801</v>
      </c>
    </row>
    <row r="3390" spans="2:2">
      <c r="B3390" s="102">
        <v>47802</v>
      </c>
    </row>
    <row r="3391" spans="2:2">
      <c r="B3391" s="102">
        <v>47803</v>
      </c>
    </row>
    <row r="3392" spans="2:2">
      <c r="B3392" s="102">
        <v>47804</v>
      </c>
    </row>
    <row r="3393" spans="2:2">
      <c r="B3393" s="102">
        <v>47805</v>
      </c>
    </row>
    <row r="3394" spans="2:2">
      <c r="B3394" s="102">
        <v>47806</v>
      </c>
    </row>
    <row r="3395" spans="2:2">
      <c r="B3395" s="102">
        <v>47807</v>
      </c>
    </row>
    <row r="3396" spans="2:2">
      <c r="B3396" s="102">
        <v>47808</v>
      </c>
    </row>
    <row r="3397" spans="2:2">
      <c r="B3397" s="102">
        <v>47809</v>
      </c>
    </row>
    <row r="3398" spans="2:2">
      <c r="B3398" s="102">
        <v>47810</v>
      </c>
    </row>
    <row r="3399" spans="2:2">
      <c r="B3399" s="102">
        <v>47811</v>
      </c>
    </row>
    <row r="3400" spans="2:2">
      <c r="B3400" s="102">
        <v>47812</v>
      </c>
    </row>
    <row r="3401" spans="2:2">
      <c r="B3401" s="102">
        <v>47813</v>
      </c>
    </row>
    <row r="3402" spans="2:2">
      <c r="B3402" s="102">
        <v>47814</v>
      </c>
    </row>
    <row r="3403" spans="2:2">
      <c r="B3403" s="102">
        <v>47815</v>
      </c>
    </row>
    <row r="3404" spans="2:2">
      <c r="B3404" s="102">
        <v>47816</v>
      </c>
    </row>
    <row r="3405" spans="2:2">
      <c r="B3405" s="102">
        <v>47817</v>
      </c>
    </row>
    <row r="3406" spans="2:2">
      <c r="B3406" s="102">
        <v>47818</v>
      </c>
    </row>
    <row r="3407" spans="2:2">
      <c r="B3407" s="102">
        <v>47819</v>
      </c>
    </row>
    <row r="3408" spans="2:2">
      <c r="B3408" s="102">
        <v>47820</v>
      </c>
    </row>
    <row r="3409" spans="2:2">
      <c r="B3409" s="102">
        <v>47821</v>
      </c>
    </row>
    <row r="3410" spans="2:2">
      <c r="B3410" s="102">
        <v>47822</v>
      </c>
    </row>
    <row r="3411" spans="2:2">
      <c r="B3411" s="102">
        <v>47823</v>
      </c>
    </row>
    <row r="3412" spans="2:2">
      <c r="B3412" s="102">
        <v>47824</v>
      </c>
    </row>
    <row r="3413" spans="2:2">
      <c r="B3413" s="102">
        <v>47825</v>
      </c>
    </row>
    <row r="3414" spans="2:2">
      <c r="B3414" s="102">
        <v>47826</v>
      </c>
    </row>
    <row r="3415" spans="2:2">
      <c r="B3415" s="102">
        <v>47827</v>
      </c>
    </row>
    <row r="3416" spans="2:2">
      <c r="B3416" s="102">
        <v>47828</v>
      </c>
    </row>
    <row r="3417" spans="2:2">
      <c r="B3417" s="102">
        <v>47829</v>
      </c>
    </row>
    <row r="3418" spans="2:2">
      <c r="B3418" s="102">
        <v>47830</v>
      </c>
    </row>
    <row r="3419" spans="2:2">
      <c r="B3419" s="102">
        <v>47831</v>
      </c>
    </row>
    <row r="3420" spans="2:2">
      <c r="B3420" s="102">
        <v>47832</v>
      </c>
    </row>
    <row r="3421" spans="2:2">
      <c r="B3421" s="102">
        <v>47833</v>
      </c>
    </row>
    <row r="3422" spans="2:2">
      <c r="B3422" s="102">
        <v>47834</v>
      </c>
    </row>
    <row r="3423" spans="2:2">
      <c r="B3423" s="102">
        <v>47835</v>
      </c>
    </row>
    <row r="3424" spans="2:2">
      <c r="B3424" s="102">
        <v>47836</v>
      </c>
    </row>
    <row r="3425" spans="2:2">
      <c r="B3425" s="102">
        <v>47837</v>
      </c>
    </row>
    <row r="3426" spans="2:2">
      <c r="B3426" s="102">
        <v>47838</v>
      </c>
    </row>
    <row r="3427" spans="2:2">
      <c r="B3427" s="102">
        <v>47839</v>
      </c>
    </row>
    <row r="3428" spans="2:2">
      <c r="B3428" s="102">
        <v>47840</v>
      </c>
    </row>
    <row r="3429" spans="2:2">
      <c r="B3429" s="102">
        <v>47841</v>
      </c>
    </row>
    <row r="3430" spans="2:2">
      <c r="B3430" s="102">
        <v>47842</v>
      </c>
    </row>
    <row r="3431" spans="2:2">
      <c r="B3431" s="102">
        <v>47843</v>
      </c>
    </row>
    <row r="3432" spans="2:2">
      <c r="B3432" s="102">
        <v>47844</v>
      </c>
    </row>
    <row r="3433" spans="2:2">
      <c r="B3433" s="102">
        <v>47845</v>
      </c>
    </row>
    <row r="3434" spans="2:2">
      <c r="B3434" s="102">
        <v>47846</v>
      </c>
    </row>
    <row r="3435" spans="2:2">
      <c r="B3435" s="102">
        <v>47847</v>
      </c>
    </row>
    <row r="3436" spans="2:2">
      <c r="B3436" s="102">
        <v>47848</v>
      </c>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C603-99D5-4D15-B25A-06C8D9DF953D}">
  <sheetPr codeName="Sheet11">
    <tabColor rgb="FF00B050"/>
  </sheetPr>
  <dimension ref="A2:I622"/>
  <sheetViews>
    <sheetView topLeftCell="A584" zoomScale="70" zoomScaleNormal="70" workbookViewId="0">
      <selection activeCell="A623" sqref="A623"/>
    </sheetView>
  </sheetViews>
  <sheetFormatPr defaultRowHeight="15"/>
  <cols>
    <col min="1" max="1" width="10.28515625" bestFit="1" customWidth="1"/>
    <col min="2" max="2" width="11.5703125" bestFit="1" customWidth="1"/>
    <col min="3" max="3" width="9.28515625" bestFit="1" customWidth="1"/>
    <col min="4" max="4" width="9.42578125" bestFit="1" customWidth="1"/>
    <col min="5" max="5" width="20.7109375" bestFit="1" customWidth="1"/>
    <col min="6" max="6" width="6.28515625" bestFit="1" customWidth="1"/>
    <col min="7" max="7" width="88.140625" bestFit="1" customWidth="1"/>
  </cols>
  <sheetData>
    <row r="2" spans="2:9">
      <c r="B2" t="s">
        <v>172</v>
      </c>
      <c r="C2" t="s">
        <v>286</v>
      </c>
      <c r="D2" t="s">
        <v>157</v>
      </c>
      <c r="E2" t="s">
        <v>287</v>
      </c>
      <c r="F2" t="s">
        <v>496</v>
      </c>
      <c r="G2" t="s">
        <v>299</v>
      </c>
    </row>
    <row r="3" spans="2:9">
      <c r="B3" s="102">
        <v>45241</v>
      </c>
      <c r="C3" s="130"/>
      <c r="E3" t="s">
        <v>288</v>
      </c>
      <c r="F3">
        <v>1</v>
      </c>
    </row>
    <row r="4" spans="2:9">
      <c r="B4" s="102">
        <v>45261</v>
      </c>
      <c r="C4" s="130">
        <v>14</v>
      </c>
      <c r="E4" t="s">
        <v>307</v>
      </c>
      <c r="F4">
        <v>1</v>
      </c>
      <c r="G4" t="s">
        <v>300</v>
      </c>
      <c r="I4" t="s">
        <v>13</v>
      </c>
    </row>
    <row r="5" spans="2:9">
      <c r="B5" s="102">
        <v>45261</v>
      </c>
      <c r="C5" s="130">
        <v>22</v>
      </c>
      <c r="E5" t="s">
        <v>309</v>
      </c>
      <c r="F5">
        <v>1.5</v>
      </c>
      <c r="I5" t="s">
        <v>310</v>
      </c>
    </row>
    <row r="6" spans="2:9">
      <c r="B6" s="102">
        <v>45262</v>
      </c>
      <c r="C6" s="130"/>
      <c r="E6" t="s">
        <v>311</v>
      </c>
      <c r="F6">
        <v>1.5</v>
      </c>
    </row>
    <row r="7" spans="2:9">
      <c r="B7" s="102">
        <v>45262</v>
      </c>
      <c r="C7" s="130">
        <v>18</v>
      </c>
      <c r="E7" t="s">
        <v>308</v>
      </c>
      <c r="F7">
        <v>1.5</v>
      </c>
      <c r="I7" t="s">
        <v>13</v>
      </c>
    </row>
    <row r="8" spans="2:9">
      <c r="B8" s="102">
        <v>45263</v>
      </c>
      <c r="C8" s="130">
        <v>11.72</v>
      </c>
      <c r="E8" t="s">
        <v>313</v>
      </c>
      <c r="F8">
        <v>1</v>
      </c>
    </row>
    <row r="9" spans="2:9">
      <c r="B9" s="102">
        <v>45264</v>
      </c>
      <c r="C9" s="130">
        <v>13</v>
      </c>
      <c r="E9" t="s">
        <v>312</v>
      </c>
      <c r="F9">
        <v>1.5</v>
      </c>
    </row>
    <row r="10" spans="2:9">
      <c r="B10" s="102">
        <v>45265</v>
      </c>
      <c r="C10" s="130"/>
      <c r="E10" t="s">
        <v>311</v>
      </c>
      <c r="F10">
        <v>1.5</v>
      </c>
    </row>
    <row r="11" spans="2:9">
      <c r="B11" s="102">
        <v>45265</v>
      </c>
      <c r="C11" s="130">
        <v>17</v>
      </c>
      <c r="E11" t="s">
        <v>309</v>
      </c>
      <c r="F11">
        <v>1.5</v>
      </c>
    </row>
    <row r="12" spans="2:9">
      <c r="B12" s="102"/>
      <c r="C12" s="130"/>
    </row>
    <row r="13" spans="2:9">
      <c r="B13" s="102"/>
      <c r="C13" s="130"/>
    </row>
    <row r="14" spans="2:9">
      <c r="B14" s="102">
        <v>45292</v>
      </c>
      <c r="C14" s="130">
        <v>13.12</v>
      </c>
      <c r="D14" t="s">
        <v>310</v>
      </c>
      <c r="E14" t="s">
        <v>288</v>
      </c>
      <c r="F14" s="1">
        <v>1.5</v>
      </c>
      <c r="G14" t="s">
        <v>467</v>
      </c>
    </row>
    <row r="15" spans="2:9">
      <c r="B15" s="102">
        <v>45292</v>
      </c>
      <c r="C15" s="130"/>
      <c r="D15" t="s">
        <v>13</v>
      </c>
      <c r="E15" t="s">
        <v>309</v>
      </c>
      <c r="F15" s="1">
        <v>1</v>
      </c>
      <c r="G15" t="s">
        <v>388</v>
      </c>
    </row>
    <row r="16" spans="2:9">
      <c r="B16" s="102">
        <v>45293</v>
      </c>
      <c r="C16" s="130"/>
      <c r="D16" t="s">
        <v>399</v>
      </c>
      <c r="E16" t="s">
        <v>288</v>
      </c>
      <c r="F16" s="1">
        <v>1</v>
      </c>
      <c r="G16" t="s">
        <v>391</v>
      </c>
    </row>
    <row r="17" spans="2:7">
      <c r="B17" s="102">
        <v>45293</v>
      </c>
      <c r="C17" s="130">
        <v>19</v>
      </c>
      <c r="D17" t="s">
        <v>13</v>
      </c>
      <c r="E17" t="s">
        <v>392</v>
      </c>
      <c r="F17" s="1">
        <v>1.5</v>
      </c>
      <c r="G17" t="s">
        <v>393</v>
      </c>
    </row>
    <row r="18" spans="2:7">
      <c r="B18" s="102">
        <v>45294</v>
      </c>
      <c r="C18" s="130">
        <v>13</v>
      </c>
      <c r="D18" t="s">
        <v>398</v>
      </c>
      <c r="E18" t="s">
        <v>312</v>
      </c>
      <c r="F18" s="1">
        <v>1.5</v>
      </c>
      <c r="G18" t="s">
        <v>397</v>
      </c>
    </row>
    <row r="19" spans="2:7">
      <c r="B19" s="102">
        <v>45295</v>
      </c>
      <c r="C19" s="130">
        <v>17.13</v>
      </c>
      <c r="D19" t="s">
        <v>310</v>
      </c>
      <c r="E19" t="s">
        <v>288</v>
      </c>
      <c r="F19" s="1">
        <v>1.5</v>
      </c>
      <c r="G19" t="s">
        <v>400</v>
      </c>
    </row>
    <row r="20" spans="2:7">
      <c r="B20" s="102">
        <v>45296</v>
      </c>
      <c r="C20" s="130">
        <v>13</v>
      </c>
      <c r="D20" t="s">
        <v>13</v>
      </c>
      <c r="E20" t="s">
        <v>402</v>
      </c>
      <c r="F20" s="1">
        <v>1</v>
      </c>
      <c r="G20" t="s">
        <v>403</v>
      </c>
    </row>
    <row r="21" spans="2:7">
      <c r="B21" s="102">
        <v>45296</v>
      </c>
      <c r="C21" s="130">
        <v>22</v>
      </c>
      <c r="D21" t="s">
        <v>310</v>
      </c>
      <c r="E21" t="s">
        <v>309</v>
      </c>
      <c r="F21" s="1">
        <v>1.5</v>
      </c>
      <c r="G21" t="s">
        <v>406</v>
      </c>
    </row>
    <row r="22" spans="2:7">
      <c r="B22" s="102">
        <v>45297</v>
      </c>
      <c r="C22" s="130">
        <v>21</v>
      </c>
      <c r="D22" t="s">
        <v>398</v>
      </c>
      <c r="E22" t="s">
        <v>312</v>
      </c>
      <c r="F22" s="1">
        <v>1.5</v>
      </c>
      <c r="G22" t="s">
        <v>431</v>
      </c>
    </row>
    <row r="23" spans="2:7">
      <c r="B23" s="102">
        <v>45298</v>
      </c>
      <c r="C23" s="130">
        <v>19.86</v>
      </c>
      <c r="D23" t="s">
        <v>398</v>
      </c>
      <c r="E23" t="s">
        <v>392</v>
      </c>
      <c r="F23" s="1">
        <v>1.5</v>
      </c>
      <c r="G23" t="s">
        <v>430</v>
      </c>
    </row>
    <row r="24" spans="2:7">
      <c r="B24" s="102">
        <v>45299</v>
      </c>
      <c r="C24" s="130">
        <v>12.69</v>
      </c>
      <c r="D24" t="s">
        <v>310</v>
      </c>
      <c r="E24" t="s">
        <v>288</v>
      </c>
      <c r="F24" s="1">
        <v>1</v>
      </c>
      <c r="G24" t="s">
        <v>428</v>
      </c>
    </row>
    <row r="25" spans="2:7">
      <c r="B25" s="102">
        <v>45299</v>
      </c>
      <c r="C25" s="130">
        <v>16</v>
      </c>
      <c r="D25" t="s">
        <v>310</v>
      </c>
      <c r="E25" t="s">
        <v>309</v>
      </c>
      <c r="F25" s="1">
        <v>1</v>
      </c>
      <c r="G25" t="s">
        <v>427</v>
      </c>
    </row>
    <row r="26" spans="2:7">
      <c r="B26" s="102">
        <v>45300</v>
      </c>
      <c r="C26" s="130">
        <v>20.93</v>
      </c>
      <c r="D26" t="s">
        <v>310</v>
      </c>
      <c r="E26" t="s">
        <v>288</v>
      </c>
      <c r="F26" s="1">
        <v>1.5</v>
      </c>
      <c r="G26" t="s">
        <v>429</v>
      </c>
    </row>
    <row r="27" spans="2:7">
      <c r="B27" s="102">
        <v>45301</v>
      </c>
      <c r="C27" s="130">
        <v>14</v>
      </c>
      <c r="D27" t="s">
        <v>310</v>
      </c>
      <c r="E27" t="s">
        <v>309</v>
      </c>
      <c r="F27" s="1">
        <v>1</v>
      </c>
      <c r="G27" t="s">
        <v>437</v>
      </c>
    </row>
    <row r="28" spans="2:7">
      <c r="B28" s="102">
        <v>45302</v>
      </c>
      <c r="C28" s="63"/>
      <c r="D28" t="s">
        <v>399</v>
      </c>
      <c r="E28" t="s">
        <v>442</v>
      </c>
      <c r="F28" s="1">
        <v>1</v>
      </c>
      <c r="G28" t="s">
        <v>443</v>
      </c>
    </row>
    <row r="29" spans="2:7">
      <c r="B29" s="102">
        <v>45302</v>
      </c>
      <c r="C29" s="63">
        <v>11.72</v>
      </c>
      <c r="D29" t="s">
        <v>398</v>
      </c>
      <c r="E29" t="s">
        <v>402</v>
      </c>
      <c r="F29" s="1">
        <v>1.5</v>
      </c>
      <c r="G29" t="s">
        <v>444</v>
      </c>
    </row>
    <row r="30" spans="2:7">
      <c r="B30" s="102">
        <v>45303</v>
      </c>
      <c r="C30" s="63">
        <v>10.86</v>
      </c>
      <c r="D30" t="s">
        <v>310</v>
      </c>
      <c r="E30" t="s">
        <v>288</v>
      </c>
      <c r="F30" s="1">
        <v>1</v>
      </c>
      <c r="G30" t="s">
        <v>465</v>
      </c>
    </row>
    <row r="31" spans="2:7">
      <c r="B31" s="102">
        <v>45303</v>
      </c>
      <c r="C31" s="63"/>
      <c r="D31" t="s">
        <v>310</v>
      </c>
      <c r="E31" t="s">
        <v>309</v>
      </c>
      <c r="F31" s="1">
        <v>1.5</v>
      </c>
      <c r="G31" t="s">
        <v>457</v>
      </c>
    </row>
    <row r="32" spans="2:7">
      <c r="B32" s="102">
        <v>45304</v>
      </c>
      <c r="C32" s="63">
        <v>12.69</v>
      </c>
      <c r="D32" t="s">
        <v>310</v>
      </c>
      <c r="E32" t="s">
        <v>288</v>
      </c>
      <c r="F32" s="1">
        <v>1</v>
      </c>
      <c r="G32" t="s">
        <v>468</v>
      </c>
    </row>
    <row r="33" spans="2:7">
      <c r="B33" s="102">
        <v>45305</v>
      </c>
      <c r="C33" s="63">
        <v>18.96</v>
      </c>
      <c r="D33" t="s">
        <v>310</v>
      </c>
      <c r="E33" t="s">
        <v>458</v>
      </c>
      <c r="F33" s="1">
        <v>1.5</v>
      </c>
      <c r="G33" t="s">
        <v>459</v>
      </c>
    </row>
    <row r="34" spans="2:7">
      <c r="B34" s="102">
        <v>45305</v>
      </c>
      <c r="C34" s="63"/>
      <c r="D34" t="s">
        <v>399</v>
      </c>
      <c r="E34" t="s">
        <v>460</v>
      </c>
      <c r="F34" s="1">
        <v>0.5</v>
      </c>
    </row>
    <row r="35" spans="2:7">
      <c r="B35" s="102">
        <v>45306</v>
      </c>
      <c r="C35" s="63"/>
      <c r="F35" s="1"/>
    </row>
    <row r="36" spans="2:7">
      <c r="B36" s="102">
        <v>45307</v>
      </c>
      <c r="C36" s="63">
        <v>11.33</v>
      </c>
      <c r="D36" t="s">
        <v>310</v>
      </c>
      <c r="E36" t="s">
        <v>288</v>
      </c>
      <c r="F36" s="1">
        <v>1.5</v>
      </c>
      <c r="G36" t="s">
        <v>466</v>
      </c>
    </row>
    <row r="37" spans="2:7">
      <c r="B37" s="102">
        <v>45308</v>
      </c>
      <c r="C37" s="63">
        <v>10.86</v>
      </c>
      <c r="D37" t="s">
        <v>310</v>
      </c>
      <c r="E37" t="s">
        <v>288</v>
      </c>
      <c r="F37" s="1">
        <v>1</v>
      </c>
      <c r="G37" t="s">
        <v>465</v>
      </c>
    </row>
    <row r="38" spans="2:7">
      <c r="B38" s="102">
        <v>45309</v>
      </c>
      <c r="C38" s="63">
        <v>12.48</v>
      </c>
      <c r="D38" t="s">
        <v>310</v>
      </c>
      <c r="E38" t="s">
        <v>469</v>
      </c>
      <c r="F38" s="1">
        <v>1.5</v>
      </c>
      <c r="G38" t="s">
        <v>470</v>
      </c>
    </row>
    <row r="39" spans="2:7">
      <c r="B39" s="102">
        <v>45310</v>
      </c>
      <c r="C39" s="63">
        <v>11.29</v>
      </c>
      <c r="D39" t="s">
        <v>310</v>
      </c>
      <c r="E39" t="s">
        <v>288</v>
      </c>
      <c r="F39" s="1">
        <v>1</v>
      </c>
      <c r="G39" t="s">
        <v>464</v>
      </c>
    </row>
    <row r="40" spans="2:7">
      <c r="B40" s="102">
        <v>45310</v>
      </c>
      <c r="E40" t="s">
        <v>469</v>
      </c>
      <c r="F40" s="1">
        <v>1</v>
      </c>
      <c r="G40" t="s">
        <v>471</v>
      </c>
    </row>
    <row r="41" spans="2:7">
      <c r="B41" s="102">
        <v>45311</v>
      </c>
      <c r="C41" s="63">
        <v>18.28</v>
      </c>
      <c r="D41" t="s">
        <v>310</v>
      </c>
      <c r="E41" t="s">
        <v>288</v>
      </c>
      <c r="F41" s="1">
        <v>1.5</v>
      </c>
      <c r="G41" t="s">
        <v>463</v>
      </c>
    </row>
    <row r="42" spans="2:7">
      <c r="B42" s="102">
        <v>45311</v>
      </c>
      <c r="C42" s="63">
        <v>22.31</v>
      </c>
      <c r="D42" t="s">
        <v>310</v>
      </c>
      <c r="E42" t="s">
        <v>309</v>
      </c>
      <c r="F42" s="1">
        <v>2</v>
      </c>
      <c r="G42" t="s">
        <v>462</v>
      </c>
    </row>
    <row r="43" spans="2:7">
      <c r="B43" s="102">
        <v>45312</v>
      </c>
      <c r="C43" s="63">
        <v>17.54</v>
      </c>
      <c r="D43" t="s">
        <v>310</v>
      </c>
      <c r="E43" t="s">
        <v>309</v>
      </c>
      <c r="F43" s="1">
        <v>1.5</v>
      </c>
      <c r="G43" t="s">
        <v>461</v>
      </c>
    </row>
    <row r="44" spans="2:7">
      <c r="B44" s="102">
        <v>45313</v>
      </c>
      <c r="C44" s="63">
        <v>10.86</v>
      </c>
      <c r="D44" t="s">
        <v>310</v>
      </c>
      <c r="E44" t="s">
        <v>288</v>
      </c>
      <c r="F44" s="1">
        <v>1</v>
      </c>
      <c r="G44" t="s">
        <v>465</v>
      </c>
    </row>
    <row r="45" spans="2:7">
      <c r="B45" s="102">
        <v>45313</v>
      </c>
      <c r="C45" s="63">
        <v>18</v>
      </c>
      <c r="D45" t="s">
        <v>310</v>
      </c>
      <c r="E45" t="s">
        <v>309</v>
      </c>
      <c r="F45" s="1">
        <v>1.5</v>
      </c>
      <c r="G45" t="s">
        <v>461</v>
      </c>
    </row>
    <row r="46" spans="2:7">
      <c r="B46" s="102">
        <v>45314</v>
      </c>
      <c r="C46" s="63">
        <v>11.33</v>
      </c>
      <c r="D46" t="s">
        <v>310</v>
      </c>
      <c r="E46" t="s">
        <v>288</v>
      </c>
      <c r="F46" s="1">
        <v>1.5</v>
      </c>
      <c r="G46" t="s">
        <v>466</v>
      </c>
    </row>
    <row r="47" spans="2:7">
      <c r="B47" s="102">
        <v>45315</v>
      </c>
      <c r="C47" s="63">
        <v>10.32</v>
      </c>
      <c r="D47" t="s">
        <v>310</v>
      </c>
      <c r="E47" t="s">
        <v>288</v>
      </c>
      <c r="F47" s="1">
        <v>1</v>
      </c>
      <c r="G47" t="s">
        <v>477</v>
      </c>
    </row>
    <row r="48" spans="2:7">
      <c r="B48" s="102">
        <v>45315</v>
      </c>
      <c r="E48" t="s">
        <v>478</v>
      </c>
      <c r="F48" s="1">
        <v>1</v>
      </c>
      <c r="G48" t="s">
        <v>479</v>
      </c>
    </row>
    <row r="49" spans="2:7">
      <c r="B49" s="102">
        <v>45316</v>
      </c>
      <c r="C49" s="63">
        <v>10.79</v>
      </c>
      <c r="D49" t="s">
        <v>310</v>
      </c>
      <c r="E49" t="s">
        <v>288</v>
      </c>
      <c r="F49" s="1">
        <v>1</v>
      </c>
      <c r="G49" t="s">
        <v>480</v>
      </c>
    </row>
    <row r="50" spans="2:7">
      <c r="B50" s="102">
        <v>45316</v>
      </c>
      <c r="C50" s="63">
        <v>20</v>
      </c>
      <c r="D50" t="s">
        <v>310</v>
      </c>
      <c r="E50" t="s">
        <v>309</v>
      </c>
      <c r="F50" s="1">
        <v>2</v>
      </c>
      <c r="G50" t="s">
        <v>481</v>
      </c>
    </row>
    <row r="51" spans="2:7">
      <c r="B51" s="102">
        <v>45317</v>
      </c>
      <c r="E51" t="s">
        <v>478</v>
      </c>
      <c r="F51" s="1">
        <v>1.5</v>
      </c>
      <c r="G51" t="s">
        <v>491</v>
      </c>
    </row>
    <row r="52" spans="2:7">
      <c r="B52" s="102">
        <v>45317</v>
      </c>
      <c r="C52" s="63">
        <v>20.03</v>
      </c>
      <c r="D52" t="s">
        <v>310</v>
      </c>
      <c r="E52" t="s">
        <v>309</v>
      </c>
      <c r="F52" s="1">
        <v>2</v>
      </c>
      <c r="G52" t="s">
        <v>489</v>
      </c>
    </row>
    <row r="53" spans="2:7">
      <c r="B53" s="102">
        <v>45318</v>
      </c>
      <c r="E53" t="s">
        <v>478</v>
      </c>
      <c r="F53" s="1">
        <v>1</v>
      </c>
      <c r="G53" t="s">
        <v>488</v>
      </c>
    </row>
    <row r="54" spans="2:7">
      <c r="B54" s="102">
        <v>45318</v>
      </c>
      <c r="E54" t="s">
        <v>478</v>
      </c>
      <c r="F54" s="1">
        <v>1.5</v>
      </c>
      <c r="G54" t="s">
        <v>490</v>
      </c>
    </row>
    <row r="55" spans="2:7">
      <c r="B55" s="102">
        <v>45319</v>
      </c>
      <c r="E55" t="s">
        <v>478</v>
      </c>
      <c r="F55" s="1">
        <v>1</v>
      </c>
      <c r="G55" t="s">
        <v>488</v>
      </c>
    </row>
    <row r="56" spans="2:7">
      <c r="B56" s="102">
        <v>45319</v>
      </c>
      <c r="E56" t="s">
        <v>478</v>
      </c>
      <c r="F56" s="1">
        <v>1.5</v>
      </c>
      <c r="G56" t="s">
        <v>487</v>
      </c>
    </row>
    <row r="57" spans="2:7">
      <c r="B57" s="102">
        <v>44955</v>
      </c>
      <c r="C57" s="63">
        <v>10.86</v>
      </c>
      <c r="D57" t="s">
        <v>310</v>
      </c>
      <c r="E57" t="s">
        <v>288</v>
      </c>
      <c r="F57" s="1">
        <v>1</v>
      </c>
      <c r="G57" t="s">
        <v>465</v>
      </c>
    </row>
    <row r="58" spans="2:7">
      <c r="B58" s="102">
        <v>45320</v>
      </c>
      <c r="C58" s="63"/>
      <c r="E58" t="s">
        <v>478</v>
      </c>
      <c r="F58" s="1">
        <v>1.5</v>
      </c>
      <c r="G58" t="s">
        <v>493</v>
      </c>
    </row>
    <row r="59" spans="2:7">
      <c r="B59" s="102">
        <v>45321</v>
      </c>
      <c r="C59" s="63">
        <v>11.33</v>
      </c>
      <c r="D59" t="s">
        <v>310</v>
      </c>
      <c r="E59" t="s">
        <v>288</v>
      </c>
      <c r="F59" s="1">
        <v>1.5</v>
      </c>
      <c r="G59" t="s">
        <v>466</v>
      </c>
    </row>
    <row r="60" spans="2:7">
      <c r="B60" s="102">
        <v>45321</v>
      </c>
      <c r="E60" t="s">
        <v>478</v>
      </c>
      <c r="F60" s="1">
        <v>0.5</v>
      </c>
      <c r="G60" t="s">
        <v>494</v>
      </c>
    </row>
    <row r="61" spans="2:7">
      <c r="B61" s="102">
        <v>45322</v>
      </c>
      <c r="C61" s="63">
        <v>12.23</v>
      </c>
      <c r="D61" t="s">
        <v>398</v>
      </c>
      <c r="E61" t="s">
        <v>312</v>
      </c>
      <c r="F61" s="1">
        <v>1</v>
      </c>
      <c r="G61" t="s">
        <v>397</v>
      </c>
    </row>
    <row r="62" spans="2:7">
      <c r="B62" s="102">
        <v>45322</v>
      </c>
      <c r="E62" t="s">
        <v>478</v>
      </c>
      <c r="F62" s="1">
        <v>1.5</v>
      </c>
      <c r="G62" t="s">
        <v>487</v>
      </c>
    </row>
    <row r="63" spans="2:7">
      <c r="B63" s="102">
        <v>45323</v>
      </c>
      <c r="E63" t="s">
        <v>478</v>
      </c>
      <c r="F63" s="1">
        <v>1.5</v>
      </c>
      <c r="G63" t="s">
        <v>487</v>
      </c>
    </row>
    <row r="64" spans="2:7">
      <c r="B64" s="102">
        <v>45323</v>
      </c>
      <c r="E64" t="s">
        <v>478</v>
      </c>
      <c r="F64" s="1">
        <v>0.5</v>
      </c>
      <c r="G64" t="s">
        <v>494</v>
      </c>
    </row>
    <row r="65" spans="2:7">
      <c r="B65" s="102">
        <v>45324</v>
      </c>
      <c r="E65" t="s">
        <v>478</v>
      </c>
      <c r="F65" s="1">
        <v>1.5</v>
      </c>
      <c r="G65" t="s">
        <v>487</v>
      </c>
    </row>
    <row r="66" spans="2:7">
      <c r="B66" s="102">
        <v>45324</v>
      </c>
      <c r="E66" t="s">
        <v>478</v>
      </c>
      <c r="F66" s="1">
        <v>0.5</v>
      </c>
      <c r="G66" t="s">
        <v>494</v>
      </c>
    </row>
    <row r="67" spans="2:7">
      <c r="B67" s="102">
        <v>45325</v>
      </c>
      <c r="E67" t="s">
        <v>478</v>
      </c>
      <c r="F67" s="1">
        <v>1.5</v>
      </c>
      <c r="G67" t="s">
        <v>487</v>
      </c>
    </row>
    <row r="68" spans="2:7">
      <c r="B68" s="102">
        <v>45325</v>
      </c>
      <c r="E68" t="s">
        <v>478</v>
      </c>
      <c r="F68" s="1">
        <v>0.5</v>
      </c>
      <c r="G68" t="s">
        <v>494</v>
      </c>
    </row>
    <row r="69" spans="2:7">
      <c r="B69" s="102">
        <v>45326</v>
      </c>
      <c r="E69" t="s">
        <v>478</v>
      </c>
      <c r="F69" s="1">
        <v>1.5</v>
      </c>
      <c r="G69" t="s">
        <v>491</v>
      </c>
    </row>
    <row r="70" spans="2:7">
      <c r="B70" s="102">
        <v>45326</v>
      </c>
      <c r="C70" s="63">
        <v>20</v>
      </c>
      <c r="D70" t="s">
        <v>310</v>
      </c>
      <c r="E70" t="s">
        <v>309</v>
      </c>
      <c r="F70" s="1">
        <v>1.5</v>
      </c>
      <c r="G70" t="s">
        <v>503</v>
      </c>
    </row>
    <row r="71" spans="2:7">
      <c r="B71" s="102">
        <v>45327</v>
      </c>
      <c r="C71" s="63"/>
    </row>
    <row r="72" spans="2:7">
      <c r="B72" s="102">
        <v>45328</v>
      </c>
      <c r="C72" s="63">
        <v>17.03</v>
      </c>
      <c r="D72" t="s">
        <v>310</v>
      </c>
      <c r="E72" t="s">
        <v>288</v>
      </c>
      <c r="F72" s="1">
        <v>1.5</v>
      </c>
      <c r="G72" t="s">
        <v>466</v>
      </c>
    </row>
    <row r="73" spans="2:7">
      <c r="B73" s="102">
        <v>45328</v>
      </c>
      <c r="C73" s="63"/>
      <c r="E73" t="s">
        <v>478</v>
      </c>
      <c r="F73" s="1">
        <v>1.5</v>
      </c>
      <c r="G73" t="s">
        <v>504</v>
      </c>
    </row>
    <row r="74" spans="2:7">
      <c r="B74" s="102">
        <v>45329</v>
      </c>
      <c r="C74" s="63">
        <v>10.32</v>
      </c>
      <c r="D74" t="s">
        <v>310</v>
      </c>
      <c r="E74" t="s">
        <v>288</v>
      </c>
      <c r="F74" s="1">
        <v>1</v>
      </c>
      <c r="G74" t="s">
        <v>480</v>
      </c>
    </row>
    <row r="75" spans="2:7">
      <c r="B75" s="102">
        <v>45329</v>
      </c>
      <c r="C75" s="63"/>
      <c r="E75" t="s">
        <v>478</v>
      </c>
      <c r="F75" s="1">
        <v>1.5</v>
      </c>
      <c r="G75" t="s">
        <v>523</v>
      </c>
    </row>
    <row r="76" spans="2:7">
      <c r="B76" s="102">
        <v>45330</v>
      </c>
      <c r="C76" s="63"/>
      <c r="E76" t="s">
        <v>478</v>
      </c>
      <c r="F76" s="1">
        <v>1.5</v>
      </c>
      <c r="G76" t="s">
        <v>523</v>
      </c>
    </row>
    <row r="77" spans="2:7">
      <c r="B77" s="102">
        <v>45331</v>
      </c>
      <c r="C77" s="63"/>
      <c r="E77" t="s">
        <v>478</v>
      </c>
      <c r="F77" s="1">
        <v>1.5</v>
      </c>
      <c r="G77" t="s">
        <v>523</v>
      </c>
    </row>
    <row r="78" spans="2:7">
      <c r="B78" s="102">
        <v>45332</v>
      </c>
      <c r="C78" s="63"/>
      <c r="E78" t="s">
        <v>524</v>
      </c>
      <c r="F78" s="1">
        <v>2</v>
      </c>
      <c r="G78" t="s">
        <v>525</v>
      </c>
    </row>
    <row r="79" spans="2:7">
      <c r="B79" s="102">
        <v>45333</v>
      </c>
      <c r="C79" s="63"/>
      <c r="E79" t="s">
        <v>478</v>
      </c>
      <c r="F79" s="1">
        <v>2</v>
      </c>
      <c r="G79" t="s">
        <v>526</v>
      </c>
    </row>
    <row r="80" spans="2:7">
      <c r="B80" s="102">
        <v>45334</v>
      </c>
      <c r="C80" s="63">
        <v>21.12</v>
      </c>
      <c r="D80" t="s">
        <v>310</v>
      </c>
      <c r="E80" t="s">
        <v>309</v>
      </c>
      <c r="F80" s="1">
        <v>2</v>
      </c>
      <c r="G80" t="s">
        <v>527</v>
      </c>
    </row>
    <row r="81" spans="2:7">
      <c r="B81" s="102">
        <v>45335</v>
      </c>
      <c r="C81" s="63">
        <v>17.03</v>
      </c>
      <c r="D81" t="s">
        <v>310</v>
      </c>
      <c r="E81" t="s">
        <v>288</v>
      </c>
      <c r="F81" s="1">
        <v>1.5</v>
      </c>
      <c r="G81" t="s">
        <v>466</v>
      </c>
    </row>
    <row r="82" spans="2:7">
      <c r="B82" s="102">
        <v>45335</v>
      </c>
      <c r="C82" s="63"/>
      <c r="E82" t="s">
        <v>478</v>
      </c>
      <c r="F82" s="1">
        <v>1.5</v>
      </c>
      <c r="G82" t="s">
        <v>523</v>
      </c>
    </row>
    <row r="83" spans="2:7">
      <c r="B83" s="102">
        <v>45336</v>
      </c>
      <c r="C83" s="63">
        <v>8.66</v>
      </c>
      <c r="D83" t="s">
        <v>13</v>
      </c>
      <c r="E83" t="s">
        <v>288</v>
      </c>
      <c r="F83" s="1">
        <v>1</v>
      </c>
      <c r="G83" t="s">
        <v>529</v>
      </c>
    </row>
    <row r="84" spans="2:7">
      <c r="B84" s="102">
        <v>45336</v>
      </c>
      <c r="C84" s="63">
        <v>11.33</v>
      </c>
      <c r="D84" t="s">
        <v>310</v>
      </c>
      <c r="E84" t="s">
        <v>288</v>
      </c>
      <c r="F84" s="1">
        <v>1.5</v>
      </c>
      <c r="G84" t="s">
        <v>466</v>
      </c>
    </row>
    <row r="85" spans="2:7">
      <c r="B85" s="102">
        <v>45337</v>
      </c>
      <c r="C85" s="63"/>
      <c r="F85" s="1">
        <v>1.5</v>
      </c>
      <c r="G85" t="s">
        <v>533</v>
      </c>
    </row>
    <row r="86" spans="2:7">
      <c r="B86" s="102">
        <v>45338</v>
      </c>
      <c r="C86" s="63">
        <v>17.850000000000001</v>
      </c>
      <c r="D86" t="s">
        <v>310</v>
      </c>
      <c r="E86" t="s">
        <v>288</v>
      </c>
      <c r="F86" s="1">
        <v>1.5</v>
      </c>
      <c r="G86" t="s">
        <v>535</v>
      </c>
    </row>
    <row r="87" spans="2:7">
      <c r="B87" s="102">
        <v>45338</v>
      </c>
      <c r="C87" s="63">
        <v>22</v>
      </c>
      <c r="D87" t="s">
        <v>310</v>
      </c>
      <c r="E87" t="s">
        <v>309</v>
      </c>
      <c r="F87" s="1">
        <v>2</v>
      </c>
      <c r="G87" t="s">
        <v>536</v>
      </c>
    </row>
    <row r="88" spans="2:7">
      <c r="B88" s="102">
        <v>45339</v>
      </c>
      <c r="C88" s="63">
        <v>11.72</v>
      </c>
      <c r="D88" t="s">
        <v>398</v>
      </c>
      <c r="E88" t="s">
        <v>402</v>
      </c>
      <c r="F88" s="1">
        <v>1.5</v>
      </c>
      <c r="G88" t="s">
        <v>537</v>
      </c>
    </row>
    <row r="89" spans="2:7">
      <c r="B89" s="102">
        <v>45339</v>
      </c>
      <c r="E89" t="s">
        <v>539</v>
      </c>
      <c r="F89" s="1">
        <v>1</v>
      </c>
      <c r="G89" t="s">
        <v>538</v>
      </c>
    </row>
    <row r="90" spans="2:7">
      <c r="B90" s="102">
        <v>45340</v>
      </c>
      <c r="E90" t="s">
        <v>478</v>
      </c>
      <c r="F90" s="1">
        <v>1</v>
      </c>
      <c r="G90" t="s">
        <v>540</v>
      </c>
    </row>
    <row r="91" spans="2:7">
      <c r="B91" s="102">
        <v>45340</v>
      </c>
      <c r="C91" s="63">
        <v>17.54</v>
      </c>
      <c r="D91" t="s">
        <v>398</v>
      </c>
      <c r="E91" t="s">
        <v>309</v>
      </c>
      <c r="F91" s="1">
        <v>1.5</v>
      </c>
      <c r="G91" t="s">
        <v>461</v>
      </c>
    </row>
    <row r="92" spans="2:7">
      <c r="B92" s="102">
        <v>45341</v>
      </c>
      <c r="C92" s="63">
        <v>11.72</v>
      </c>
      <c r="D92" t="s">
        <v>398</v>
      </c>
      <c r="E92" t="s">
        <v>402</v>
      </c>
      <c r="F92" s="1">
        <v>1.5</v>
      </c>
      <c r="G92" t="s">
        <v>537</v>
      </c>
    </row>
    <row r="93" spans="2:7">
      <c r="B93" s="102">
        <v>45341</v>
      </c>
      <c r="C93" s="63">
        <v>17.54</v>
      </c>
      <c r="D93" t="s">
        <v>398</v>
      </c>
      <c r="E93" t="s">
        <v>309</v>
      </c>
      <c r="F93" s="1">
        <v>1.5</v>
      </c>
      <c r="G93" t="s">
        <v>461</v>
      </c>
    </row>
    <row r="94" spans="2:7">
      <c r="B94" s="102">
        <v>45342</v>
      </c>
      <c r="C94" s="63">
        <v>16.489999999999998</v>
      </c>
      <c r="D94" t="s">
        <v>310</v>
      </c>
      <c r="E94" t="s">
        <v>288</v>
      </c>
      <c r="F94" s="1">
        <v>1.5</v>
      </c>
      <c r="G94" t="s">
        <v>543</v>
      </c>
    </row>
    <row r="95" spans="2:7">
      <c r="B95" s="102">
        <v>45342</v>
      </c>
      <c r="C95" s="63">
        <v>12.26</v>
      </c>
      <c r="D95" t="s">
        <v>398</v>
      </c>
      <c r="E95" t="s">
        <v>402</v>
      </c>
      <c r="F95" s="1">
        <v>1.5</v>
      </c>
      <c r="G95" t="s">
        <v>537</v>
      </c>
    </row>
    <row r="96" spans="2:7">
      <c r="B96" s="102">
        <v>45343</v>
      </c>
      <c r="C96" s="63">
        <v>13</v>
      </c>
      <c r="D96" t="s">
        <v>398</v>
      </c>
      <c r="E96" t="s">
        <v>312</v>
      </c>
      <c r="F96" s="1">
        <v>1</v>
      </c>
      <c r="G96" t="s">
        <v>397</v>
      </c>
    </row>
    <row r="97" spans="2:7">
      <c r="B97" s="102">
        <v>45343</v>
      </c>
      <c r="E97" t="s">
        <v>478</v>
      </c>
      <c r="F97" s="1">
        <v>1.5</v>
      </c>
      <c r="G97" t="s">
        <v>523</v>
      </c>
    </row>
    <row r="98" spans="2:7">
      <c r="B98" s="102">
        <v>45344</v>
      </c>
      <c r="C98" s="63"/>
      <c r="E98" t="s">
        <v>478</v>
      </c>
      <c r="F98" s="1">
        <v>1.5</v>
      </c>
      <c r="G98" t="s">
        <v>523</v>
      </c>
    </row>
    <row r="99" spans="2:7">
      <c r="B99" s="102">
        <v>45345</v>
      </c>
      <c r="E99" t="s">
        <v>478</v>
      </c>
      <c r="F99" s="1">
        <v>1.5</v>
      </c>
      <c r="G99" t="s">
        <v>523</v>
      </c>
    </row>
    <row r="100" spans="2:7">
      <c r="B100" s="102">
        <v>45345</v>
      </c>
      <c r="C100" s="63">
        <v>17.54</v>
      </c>
      <c r="D100" t="s">
        <v>310</v>
      </c>
      <c r="E100" t="s">
        <v>309</v>
      </c>
      <c r="F100" s="1">
        <v>1.5</v>
      </c>
      <c r="G100" t="s">
        <v>461</v>
      </c>
    </row>
    <row r="101" spans="2:7">
      <c r="B101" s="102">
        <v>45346</v>
      </c>
      <c r="C101" s="63">
        <v>16.489999999999998</v>
      </c>
      <c r="D101" t="s">
        <v>310</v>
      </c>
      <c r="E101" t="s">
        <v>288</v>
      </c>
      <c r="F101" s="1">
        <v>1.5</v>
      </c>
      <c r="G101" t="s">
        <v>543</v>
      </c>
    </row>
    <row r="102" spans="2:7">
      <c r="B102" s="102">
        <v>45346</v>
      </c>
      <c r="E102" t="s">
        <v>478</v>
      </c>
      <c r="F102" s="1">
        <v>1.5</v>
      </c>
      <c r="G102" t="s">
        <v>523</v>
      </c>
    </row>
    <row r="103" spans="2:7">
      <c r="B103" s="102">
        <v>45347</v>
      </c>
      <c r="C103" s="63"/>
      <c r="E103" t="s">
        <v>478</v>
      </c>
      <c r="F103" s="1">
        <v>1.5</v>
      </c>
      <c r="G103" t="s">
        <v>523</v>
      </c>
    </row>
    <row r="104" spans="2:7">
      <c r="B104" s="102">
        <v>45348</v>
      </c>
      <c r="C104" s="63">
        <v>10.86</v>
      </c>
      <c r="D104" t="s">
        <v>310</v>
      </c>
      <c r="E104" t="s">
        <v>288</v>
      </c>
      <c r="F104" s="1">
        <v>1</v>
      </c>
      <c r="G104" t="s">
        <v>542</v>
      </c>
    </row>
    <row r="105" spans="2:7">
      <c r="B105" s="102">
        <v>45348</v>
      </c>
      <c r="C105" s="63"/>
      <c r="E105" t="s">
        <v>478</v>
      </c>
      <c r="F105" s="1">
        <v>1.5</v>
      </c>
      <c r="G105" t="s">
        <v>523</v>
      </c>
    </row>
    <row r="106" spans="2:7">
      <c r="B106" s="102">
        <v>45349</v>
      </c>
      <c r="C106" s="63">
        <v>18</v>
      </c>
      <c r="D106" t="s">
        <v>310</v>
      </c>
      <c r="E106" t="s">
        <v>312</v>
      </c>
      <c r="F106" s="1">
        <v>1.5</v>
      </c>
      <c r="G106" t="s">
        <v>541</v>
      </c>
    </row>
    <row r="107" spans="2:7">
      <c r="B107" s="102">
        <v>45350</v>
      </c>
      <c r="C107" s="63">
        <v>10.86</v>
      </c>
      <c r="D107" t="s">
        <v>310</v>
      </c>
      <c r="E107" t="s">
        <v>288</v>
      </c>
      <c r="F107" s="1">
        <v>1</v>
      </c>
      <c r="G107" t="s">
        <v>542</v>
      </c>
    </row>
    <row r="108" spans="2:7">
      <c r="B108" s="102">
        <v>45351</v>
      </c>
      <c r="C108" s="63"/>
      <c r="F108" s="1">
        <v>1</v>
      </c>
      <c r="G108" t="s">
        <v>555</v>
      </c>
    </row>
    <row r="109" spans="2:7">
      <c r="B109" s="102">
        <v>45351</v>
      </c>
      <c r="C109" s="63"/>
      <c r="F109" s="1">
        <v>1</v>
      </c>
      <c r="G109" t="s">
        <v>555</v>
      </c>
    </row>
    <row r="110" spans="2:7">
      <c r="B110" s="102">
        <v>45352</v>
      </c>
      <c r="C110" s="63">
        <v>20.350000000000001</v>
      </c>
      <c r="D110" t="s">
        <v>398</v>
      </c>
      <c r="E110" t="s">
        <v>312</v>
      </c>
      <c r="F110" s="1">
        <v>1.5</v>
      </c>
      <c r="G110" t="s">
        <v>559</v>
      </c>
    </row>
    <row r="111" spans="2:7">
      <c r="B111" s="102">
        <v>44987</v>
      </c>
      <c r="C111" s="63">
        <v>11.33</v>
      </c>
      <c r="D111" t="s">
        <v>310</v>
      </c>
      <c r="E111" t="s">
        <v>288</v>
      </c>
      <c r="F111" s="1">
        <v>1.5</v>
      </c>
      <c r="G111" t="s">
        <v>466</v>
      </c>
    </row>
    <row r="112" spans="2:7">
      <c r="B112" s="102">
        <v>45353</v>
      </c>
      <c r="C112" s="63">
        <v>24</v>
      </c>
      <c r="D112" t="s">
        <v>398</v>
      </c>
      <c r="E112" t="s">
        <v>309</v>
      </c>
      <c r="F112" s="1">
        <v>1.5</v>
      </c>
      <c r="G112" t="s">
        <v>536</v>
      </c>
    </row>
    <row r="113" spans="2:7">
      <c r="B113" s="102">
        <v>45354</v>
      </c>
      <c r="C113" s="63"/>
      <c r="E113" t="s">
        <v>478</v>
      </c>
      <c r="F113" s="1">
        <v>1</v>
      </c>
      <c r="G113" t="s">
        <v>581</v>
      </c>
    </row>
    <row r="114" spans="2:7">
      <c r="B114" s="102">
        <v>45355</v>
      </c>
      <c r="C114" s="63">
        <v>11.33</v>
      </c>
      <c r="D114" t="s">
        <v>310</v>
      </c>
      <c r="E114" t="s">
        <v>288</v>
      </c>
      <c r="F114" s="1">
        <v>1</v>
      </c>
      <c r="G114" t="s">
        <v>464</v>
      </c>
    </row>
    <row r="115" spans="2:7">
      <c r="B115" s="102">
        <v>45355</v>
      </c>
      <c r="C115" s="63">
        <v>19.170000000000002</v>
      </c>
      <c r="D115" t="s">
        <v>310</v>
      </c>
      <c r="E115" t="s">
        <v>309</v>
      </c>
      <c r="F115" s="1">
        <v>1.5</v>
      </c>
      <c r="G115" t="s">
        <v>569</v>
      </c>
    </row>
    <row r="116" spans="2:7">
      <c r="B116" s="102">
        <v>45356</v>
      </c>
      <c r="C116" s="63"/>
      <c r="E116" t="s">
        <v>478</v>
      </c>
      <c r="F116" s="1">
        <v>1.5</v>
      </c>
      <c r="G116" t="s">
        <v>570</v>
      </c>
    </row>
    <row r="117" spans="2:7">
      <c r="B117" s="102">
        <v>45356</v>
      </c>
      <c r="C117" s="63"/>
      <c r="E117" t="s">
        <v>478</v>
      </c>
      <c r="F117" s="1">
        <v>1</v>
      </c>
      <c r="G117" t="s">
        <v>571</v>
      </c>
    </row>
    <row r="118" spans="2:7">
      <c r="B118" s="102">
        <v>45357</v>
      </c>
      <c r="C118" s="63"/>
      <c r="D118" t="s">
        <v>572</v>
      </c>
      <c r="E118" t="s">
        <v>573</v>
      </c>
      <c r="F118" s="1">
        <v>1</v>
      </c>
      <c r="G118" t="s">
        <v>574</v>
      </c>
    </row>
    <row r="119" spans="2:7">
      <c r="B119" s="102">
        <v>45357</v>
      </c>
      <c r="C119" s="63"/>
      <c r="E119" t="s">
        <v>478</v>
      </c>
      <c r="F119" s="1">
        <v>1.5</v>
      </c>
      <c r="G119" t="s">
        <v>570</v>
      </c>
    </row>
    <row r="120" spans="2:7">
      <c r="B120" s="102">
        <v>45358</v>
      </c>
      <c r="C120" s="63"/>
      <c r="E120" t="s">
        <v>478</v>
      </c>
      <c r="F120" s="1">
        <v>1.5</v>
      </c>
      <c r="G120" t="s">
        <v>570</v>
      </c>
    </row>
    <row r="121" spans="2:7">
      <c r="B121" s="102">
        <v>45358</v>
      </c>
      <c r="E121" t="s">
        <v>478</v>
      </c>
      <c r="F121" s="1">
        <v>1.5</v>
      </c>
      <c r="G121" t="s">
        <v>582</v>
      </c>
    </row>
    <row r="122" spans="2:7">
      <c r="B122" s="102">
        <v>45359</v>
      </c>
      <c r="C122" s="63"/>
      <c r="E122" t="s">
        <v>478</v>
      </c>
      <c r="F122" s="1">
        <v>1</v>
      </c>
      <c r="G122" t="s">
        <v>580</v>
      </c>
    </row>
    <row r="123" spans="2:7">
      <c r="B123" s="102">
        <v>45359</v>
      </c>
      <c r="C123" s="63"/>
      <c r="E123" t="s">
        <v>478</v>
      </c>
      <c r="F123" s="1">
        <v>1.5</v>
      </c>
      <c r="G123" t="s">
        <v>579</v>
      </c>
    </row>
    <row r="124" spans="2:7">
      <c r="B124" s="102">
        <v>45360</v>
      </c>
      <c r="C124" s="63">
        <v>10.9</v>
      </c>
      <c r="D124" t="s">
        <v>310</v>
      </c>
      <c r="E124" t="s">
        <v>288</v>
      </c>
      <c r="F124" s="1">
        <v>1</v>
      </c>
      <c r="G124" t="s">
        <v>465</v>
      </c>
    </row>
    <row r="125" spans="2:7">
      <c r="B125" s="102">
        <v>45360</v>
      </c>
      <c r="C125" s="63"/>
      <c r="E125" t="s">
        <v>478</v>
      </c>
      <c r="F125" s="1">
        <v>1.5</v>
      </c>
      <c r="G125" t="s">
        <v>570</v>
      </c>
    </row>
    <row r="126" spans="2:7">
      <c r="B126" s="102">
        <v>45361</v>
      </c>
      <c r="C126" s="63"/>
      <c r="E126" t="s">
        <v>478</v>
      </c>
      <c r="F126" s="1">
        <v>1.5</v>
      </c>
      <c r="G126" t="s">
        <v>582</v>
      </c>
    </row>
    <row r="127" spans="2:7">
      <c r="B127" s="102">
        <v>45361</v>
      </c>
      <c r="C127" s="63"/>
      <c r="E127" t="s">
        <v>478</v>
      </c>
      <c r="F127" s="1">
        <v>1</v>
      </c>
      <c r="G127" t="s">
        <v>583</v>
      </c>
    </row>
    <row r="128" spans="2:7">
      <c r="B128" s="102">
        <v>45362</v>
      </c>
      <c r="C128" s="63"/>
      <c r="E128" t="s">
        <v>478</v>
      </c>
      <c r="F128" s="1">
        <v>1.5</v>
      </c>
      <c r="G128" t="s">
        <v>523</v>
      </c>
    </row>
    <row r="129" spans="2:7">
      <c r="B129" s="102">
        <v>45363</v>
      </c>
      <c r="C129" s="63"/>
      <c r="E129" t="s">
        <v>478</v>
      </c>
      <c r="F129" s="1">
        <v>1</v>
      </c>
      <c r="G129" t="s">
        <v>584</v>
      </c>
    </row>
    <row r="130" spans="2:7">
      <c r="B130" s="102">
        <v>45363</v>
      </c>
      <c r="C130" s="63"/>
      <c r="E130" t="s">
        <v>478</v>
      </c>
      <c r="F130" s="1">
        <v>1</v>
      </c>
      <c r="G130" t="s">
        <v>601</v>
      </c>
    </row>
    <row r="131" spans="2:7">
      <c r="B131" s="102">
        <v>45363</v>
      </c>
      <c r="C131" s="63"/>
      <c r="E131" t="s">
        <v>478</v>
      </c>
      <c r="F131" s="1">
        <v>1.5</v>
      </c>
      <c r="G131" t="s">
        <v>582</v>
      </c>
    </row>
    <row r="132" spans="2:7">
      <c r="B132" s="102">
        <v>45364</v>
      </c>
      <c r="C132" s="63">
        <v>10.9</v>
      </c>
      <c r="D132" t="s">
        <v>310</v>
      </c>
      <c r="E132" t="s">
        <v>288</v>
      </c>
      <c r="F132" s="1">
        <v>1</v>
      </c>
      <c r="G132" t="s">
        <v>465</v>
      </c>
    </row>
    <row r="133" spans="2:7">
      <c r="B133" s="102">
        <v>45364</v>
      </c>
      <c r="C133" s="63"/>
      <c r="E133" t="s">
        <v>478</v>
      </c>
      <c r="F133" s="1">
        <v>1</v>
      </c>
      <c r="G133" t="s">
        <v>601</v>
      </c>
    </row>
    <row r="134" spans="2:7">
      <c r="B134" s="102">
        <v>45365</v>
      </c>
      <c r="C134" s="63"/>
      <c r="E134" t="s">
        <v>478</v>
      </c>
      <c r="F134" s="1">
        <v>1.5</v>
      </c>
      <c r="G134" t="s">
        <v>523</v>
      </c>
    </row>
    <row r="135" spans="2:7">
      <c r="B135" s="102">
        <v>45366</v>
      </c>
      <c r="C135" s="63"/>
      <c r="E135" t="s">
        <v>478</v>
      </c>
      <c r="F135" s="1">
        <v>0.75</v>
      </c>
      <c r="G135" t="s">
        <v>601</v>
      </c>
    </row>
    <row r="136" spans="2:7">
      <c r="B136" s="102">
        <v>45366</v>
      </c>
      <c r="C136" s="63"/>
      <c r="E136" t="s">
        <v>478</v>
      </c>
      <c r="F136" s="1">
        <v>1.5</v>
      </c>
      <c r="G136" t="s">
        <v>523</v>
      </c>
    </row>
    <row r="137" spans="2:7">
      <c r="B137" s="102">
        <v>45367</v>
      </c>
      <c r="C137" s="63">
        <v>11.33</v>
      </c>
      <c r="D137" t="s">
        <v>310</v>
      </c>
      <c r="E137" t="s">
        <v>288</v>
      </c>
      <c r="F137" s="1">
        <v>2</v>
      </c>
      <c r="G137" t="s">
        <v>605</v>
      </c>
    </row>
    <row r="138" spans="2:7">
      <c r="B138" s="102">
        <v>45368</v>
      </c>
      <c r="C138" s="63"/>
      <c r="E138" t="s">
        <v>478</v>
      </c>
      <c r="F138" s="1">
        <v>1.5</v>
      </c>
      <c r="G138" t="s">
        <v>582</v>
      </c>
    </row>
    <row r="139" spans="2:7">
      <c r="B139" s="102">
        <v>45368</v>
      </c>
      <c r="C139" s="63"/>
      <c r="E139" t="s">
        <v>478</v>
      </c>
      <c r="F139" s="1">
        <v>1.5</v>
      </c>
      <c r="G139" t="s">
        <v>523</v>
      </c>
    </row>
    <row r="140" spans="2:7">
      <c r="B140" s="102">
        <v>45369</v>
      </c>
      <c r="C140" s="63">
        <v>10.35</v>
      </c>
      <c r="D140" t="s">
        <v>310</v>
      </c>
      <c r="E140" t="s">
        <v>288</v>
      </c>
      <c r="F140" s="1">
        <v>1</v>
      </c>
      <c r="G140" t="s">
        <v>477</v>
      </c>
    </row>
    <row r="141" spans="2:7">
      <c r="B141" s="102">
        <v>45369</v>
      </c>
      <c r="E141" t="s">
        <v>478</v>
      </c>
      <c r="F141" s="1">
        <v>1.5</v>
      </c>
      <c r="G141" t="s">
        <v>607</v>
      </c>
    </row>
    <row r="142" spans="2:7">
      <c r="B142" s="102">
        <v>45370</v>
      </c>
      <c r="C142" s="63"/>
      <c r="D142" t="s">
        <v>572</v>
      </c>
      <c r="E142" t="s">
        <v>573</v>
      </c>
      <c r="F142" s="1">
        <v>1</v>
      </c>
      <c r="G142" t="s">
        <v>606</v>
      </c>
    </row>
    <row r="143" spans="2:7">
      <c r="B143" s="102">
        <v>45370</v>
      </c>
      <c r="C143" s="63"/>
      <c r="E143" t="s">
        <v>478</v>
      </c>
      <c r="F143" s="1">
        <v>1.5</v>
      </c>
      <c r="G143" t="s">
        <v>582</v>
      </c>
    </row>
    <row r="144" spans="2:7">
      <c r="B144" s="102">
        <v>45371</v>
      </c>
      <c r="C144" s="63"/>
      <c r="E144" t="s">
        <v>478</v>
      </c>
      <c r="F144" s="1">
        <v>1.5</v>
      </c>
      <c r="G144" t="s">
        <v>607</v>
      </c>
    </row>
    <row r="145" spans="2:7">
      <c r="B145" s="102">
        <v>45371</v>
      </c>
      <c r="C145" s="63"/>
      <c r="E145" t="s">
        <v>478</v>
      </c>
      <c r="F145" s="1">
        <v>0.5</v>
      </c>
      <c r="G145" t="s">
        <v>608</v>
      </c>
    </row>
    <row r="146" spans="2:7">
      <c r="B146" s="102">
        <v>45372</v>
      </c>
      <c r="C146" s="63">
        <v>10.35</v>
      </c>
      <c r="D146" t="s">
        <v>310</v>
      </c>
      <c r="E146" t="s">
        <v>288</v>
      </c>
      <c r="F146" s="1">
        <v>1</v>
      </c>
      <c r="G146" t="s">
        <v>609</v>
      </c>
    </row>
    <row r="147" spans="2:7">
      <c r="B147" s="102">
        <v>45372</v>
      </c>
      <c r="C147" s="63"/>
      <c r="E147" t="s">
        <v>478</v>
      </c>
      <c r="F147" s="1">
        <v>1.5</v>
      </c>
      <c r="G147" t="s">
        <v>582</v>
      </c>
    </row>
    <row r="148" spans="2:7">
      <c r="B148" s="102">
        <v>45373</v>
      </c>
      <c r="C148" s="63">
        <v>20.14</v>
      </c>
      <c r="D148" t="s">
        <v>310</v>
      </c>
      <c r="E148" t="s">
        <v>309</v>
      </c>
      <c r="F148" s="1">
        <v>2</v>
      </c>
      <c r="G148" t="s">
        <v>610</v>
      </c>
    </row>
    <row r="149" spans="2:7">
      <c r="B149" s="102">
        <v>45374</v>
      </c>
      <c r="C149" s="63">
        <v>17.03</v>
      </c>
      <c r="D149" t="s">
        <v>310</v>
      </c>
      <c r="E149" t="s">
        <v>288</v>
      </c>
      <c r="F149" s="1">
        <v>1.5</v>
      </c>
      <c r="G149" t="s">
        <v>466</v>
      </c>
    </row>
    <row r="150" spans="2:7">
      <c r="B150" s="102">
        <v>45375</v>
      </c>
      <c r="E150" t="s">
        <v>478</v>
      </c>
      <c r="F150" s="1">
        <v>1.5</v>
      </c>
      <c r="G150" t="s">
        <v>570</v>
      </c>
    </row>
    <row r="151" spans="2:7">
      <c r="B151" s="102">
        <v>45376</v>
      </c>
      <c r="E151" t="s">
        <v>478</v>
      </c>
      <c r="F151" s="1">
        <v>1.5</v>
      </c>
      <c r="G151" t="s">
        <v>582</v>
      </c>
    </row>
    <row r="152" spans="2:7">
      <c r="B152" s="102">
        <v>45376</v>
      </c>
      <c r="E152" t="s">
        <v>478</v>
      </c>
      <c r="F152" s="1">
        <v>1</v>
      </c>
      <c r="G152" t="s">
        <v>612</v>
      </c>
    </row>
    <row r="153" spans="2:7">
      <c r="B153" s="102">
        <v>45377</v>
      </c>
      <c r="C153" s="63">
        <v>11.33</v>
      </c>
      <c r="D153" t="s">
        <v>310</v>
      </c>
      <c r="E153" t="s">
        <v>288</v>
      </c>
      <c r="F153" s="1">
        <v>1.5</v>
      </c>
      <c r="G153" t="s">
        <v>605</v>
      </c>
    </row>
    <row r="154" spans="2:7">
      <c r="B154" s="102">
        <v>45377</v>
      </c>
      <c r="C154" s="63"/>
      <c r="E154" t="s">
        <v>478</v>
      </c>
      <c r="F154" s="1">
        <v>1.5</v>
      </c>
      <c r="G154" t="s">
        <v>523</v>
      </c>
    </row>
    <row r="155" spans="2:7">
      <c r="B155" s="102">
        <v>45378</v>
      </c>
      <c r="E155" t="s">
        <v>478</v>
      </c>
      <c r="F155" s="1">
        <v>1.5</v>
      </c>
      <c r="G155" t="s">
        <v>611</v>
      </c>
    </row>
    <row r="156" spans="2:7">
      <c r="B156" s="102">
        <v>45379</v>
      </c>
      <c r="E156" t="s">
        <v>478</v>
      </c>
      <c r="F156" s="1">
        <v>1.5</v>
      </c>
      <c r="G156" t="s">
        <v>523</v>
      </c>
    </row>
    <row r="157" spans="2:7">
      <c r="B157" s="102">
        <v>45380</v>
      </c>
      <c r="E157" t="s">
        <v>478</v>
      </c>
      <c r="F157" s="1">
        <v>1.5</v>
      </c>
      <c r="G157" t="s">
        <v>582</v>
      </c>
    </row>
    <row r="158" spans="2:7">
      <c r="B158" s="102">
        <v>45380</v>
      </c>
      <c r="C158" s="63">
        <v>18.190000000000001</v>
      </c>
      <c r="D158" t="s">
        <v>310</v>
      </c>
      <c r="E158" t="s">
        <v>309</v>
      </c>
      <c r="F158" s="1">
        <v>1.5</v>
      </c>
      <c r="G158" t="s">
        <v>461</v>
      </c>
    </row>
    <row r="159" spans="2:7">
      <c r="B159" s="102">
        <v>45381</v>
      </c>
      <c r="C159" s="63">
        <v>17.03</v>
      </c>
      <c r="D159" t="s">
        <v>310</v>
      </c>
      <c r="E159" t="s">
        <v>288</v>
      </c>
      <c r="F159" s="1">
        <v>1.5</v>
      </c>
      <c r="G159" t="s">
        <v>605</v>
      </c>
    </row>
    <row r="160" spans="2:7">
      <c r="B160" s="102">
        <v>45382</v>
      </c>
      <c r="E160" t="s">
        <v>614</v>
      </c>
      <c r="F160" s="1">
        <v>1.5</v>
      </c>
      <c r="G160" t="s">
        <v>615</v>
      </c>
    </row>
    <row r="161" spans="2:7">
      <c r="B161" s="102">
        <v>45382</v>
      </c>
      <c r="E161" t="s">
        <v>478</v>
      </c>
      <c r="F161" s="1">
        <v>1.5</v>
      </c>
      <c r="G161" t="s">
        <v>523</v>
      </c>
    </row>
    <row r="162" spans="2:7">
      <c r="B162" s="102">
        <v>45383</v>
      </c>
      <c r="E162" t="s">
        <v>478</v>
      </c>
      <c r="F162" s="1">
        <v>1.5</v>
      </c>
      <c r="G162" t="s">
        <v>617</v>
      </c>
    </row>
    <row r="163" spans="2:7">
      <c r="B163" s="102">
        <v>45383</v>
      </c>
      <c r="C163" s="63">
        <v>18.190000000000001</v>
      </c>
      <c r="D163" t="s">
        <v>310</v>
      </c>
      <c r="E163" t="s">
        <v>309</v>
      </c>
      <c r="F163" s="1">
        <v>1.5</v>
      </c>
      <c r="G163" t="s">
        <v>461</v>
      </c>
    </row>
    <row r="164" spans="2:7">
      <c r="B164" s="102">
        <v>45384</v>
      </c>
      <c r="C164" s="63">
        <v>17.03</v>
      </c>
      <c r="D164" t="s">
        <v>310</v>
      </c>
      <c r="E164" t="s">
        <v>288</v>
      </c>
      <c r="F164" s="1">
        <v>1.5</v>
      </c>
      <c r="G164" t="s">
        <v>605</v>
      </c>
    </row>
    <row r="165" spans="2:7">
      <c r="B165" s="102">
        <v>45384</v>
      </c>
      <c r="E165" t="s">
        <v>478</v>
      </c>
      <c r="F165" s="1">
        <v>1</v>
      </c>
      <c r="G165" t="s">
        <v>504</v>
      </c>
    </row>
    <row r="166" spans="2:7">
      <c r="B166" s="102">
        <v>45385</v>
      </c>
      <c r="C166" s="63">
        <v>17.03</v>
      </c>
      <c r="D166" t="s">
        <v>310</v>
      </c>
      <c r="E166" t="s">
        <v>288</v>
      </c>
      <c r="F166" s="1">
        <v>1.5</v>
      </c>
      <c r="G166" t="s">
        <v>605</v>
      </c>
    </row>
    <row r="167" spans="2:7">
      <c r="B167" s="102">
        <v>45386</v>
      </c>
      <c r="C167" s="63"/>
      <c r="D167" t="s">
        <v>572</v>
      </c>
      <c r="E167" t="s">
        <v>573</v>
      </c>
      <c r="F167" s="1">
        <v>1</v>
      </c>
      <c r="G167" t="s">
        <v>619</v>
      </c>
    </row>
    <row r="168" spans="2:7">
      <c r="B168" s="102">
        <v>45386</v>
      </c>
      <c r="E168" t="s">
        <v>478</v>
      </c>
      <c r="F168" s="1">
        <v>1.5</v>
      </c>
      <c r="G168" t="s">
        <v>582</v>
      </c>
    </row>
    <row r="169" spans="2:7">
      <c r="B169" s="102">
        <v>45387</v>
      </c>
      <c r="E169" t="s">
        <v>478</v>
      </c>
      <c r="F169" s="1">
        <v>1</v>
      </c>
      <c r="G169" t="s">
        <v>624</v>
      </c>
    </row>
    <row r="170" spans="2:7">
      <c r="B170" s="102">
        <v>45387</v>
      </c>
      <c r="D170" t="s">
        <v>310</v>
      </c>
      <c r="E170" t="s">
        <v>309</v>
      </c>
      <c r="F170" s="1">
        <v>1.5</v>
      </c>
      <c r="G170" t="s">
        <v>625</v>
      </c>
    </row>
    <row r="171" spans="2:7">
      <c r="B171" s="102">
        <v>45388</v>
      </c>
      <c r="C171" s="63">
        <v>11.33</v>
      </c>
      <c r="D171" t="s">
        <v>310</v>
      </c>
      <c r="E171" t="s">
        <v>288</v>
      </c>
      <c r="F171" s="1">
        <v>1.5</v>
      </c>
      <c r="G171" t="s">
        <v>466</v>
      </c>
    </row>
    <row r="172" spans="2:7">
      <c r="B172" s="102">
        <v>45389</v>
      </c>
      <c r="C172" s="63">
        <f>1.4+1.9</f>
        <v>3.3</v>
      </c>
      <c r="D172" t="s">
        <v>310</v>
      </c>
      <c r="E172" t="s">
        <v>629</v>
      </c>
      <c r="F172" s="1">
        <v>0.5</v>
      </c>
      <c r="G172" t="s">
        <v>630</v>
      </c>
    </row>
    <row r="173" spans="2:7">
      <c r="B173" s="102">
        <v>45389</v>
      </c>
      <c r="E173" t="s">
        <v>478</v>
      </c>
      <c r="F173" s="1">
        <v>1</v>
      </c>
      <c r="G173" t="s">
        <v>628</v>
      </c>
    </row>
    <row r="174" spans="2:7">
      <c r="B174" s="102">
        <v>45390</v>
      </c>
      <c r="E174" t="s">
        <v>478</v>
      </c>
      <c r="F174" s="1">
        <v>1</v>
      </c>
      <c r="G174" t="s">
        <v>628</v>
      </c>
    </row>
    <row r="175" spans="2:7">
      <c r="B175" s="102">
        <v>45390</v>
      </c>
      <c r="E175" t="s">
        <v>478</v>
      </c>
      <c r="F175" s="1">
        <v>1</v>
      </c>
      <c r="G175" t="s">
        <v>584</v>
      </c>
    </row>
    <row r="176" spans="2:7">
      <c r="B176" s="102">
        <v>45391</v>
      </c>
      <c r="E176" t="s">
        <v>478</v>
      </c>
      <c r="F176" s="1">
        <v>1</v>
      </c>
      <c r="G176" t="s">
        <v>504</v>
      </c>
    </row>
    <row r="177" spans="2:7">
      <c r="B177" s="102">
        <v>45391</v>
      </c>
      <c r="E177" t="s">
        <v>478</v>
      </c>
      <c r="F177" s="1">
        <v>1.5</v>
      </c>
      <c r="G177" t="s">
        <v>582</v>
      </c>
    </row>
    <row r="178" spans="2:7">
      <c r="B178" s="102">
        <v>45392</v>
      </c>
      <c r="C178" s="63">
        <v>13.53</v>
      </c>
      <c r="D178" t="s">
        <v>310</v>
      </c>
      <c r="E178" t="s">
        <v>11</v>
      </c>
      <c r="F178" s="1">
        <v>1</v>
      </c>
      <c r="G178" t="s">
        <v>631</v>
      </c>
    </row>
    <row r="179" spans="2:7">
      <c r="B179" s="102">
        <v>45392</v>
      </c>
      <c r="E179" t="s">
        <v>478</v>
      </c>
      <c r="F179" s="1">
        <v>1</v>
      </c>
      <c r="G179" t="s">
        <v>632</v>
      </c>
    </row>
    <row r="180" spans="2:7">
      <c r="B180" s="102">
        <v>45393</v>
      </c>
      <c r="C180" s="63">
        <v>17.05</v>
      </c>
      <c r="D180" t="s">
        <v>310</v>
      </c>
      <c r="E180" t="s">
        <v>288</v>
      </c>
      <c r="F180" s="1">
        <v>1.5</v>
      </c>
      <c r="G180" t="s">
        <v>466</v>
      </c>
    </row>
    <row r="181" spans="2:7">
      <c r="B181" s="102">
        <v>45393</v>
      </c>
      <c r="E181" t="s">
        <v>478</v>
      </c>
      <c r="F181" s="1">
        <v>0.5</v>
      </c>
      <c r="G181" t="s">
        <v>494</v>
      </c>
    </row>
    <row r="182" spans="2:7">
      <c r="B182" s="102">
        <v>45394</v>
      </c>
      <c r="E182" t="s">
        <v>11</v>
      </c>
      <c r="F182" s="1">
        <v>1</v>
      </c>
      <c r="G182" t="s">
        <v>634</v>
      </c>
    </row>
    <row r="183" spans="2:7">
      <c r="B183" s="102">
        <v>45394</v>
      </c>
      <c r="C183" s="63">
        <v>20.04</v>
      </c>
      <c r="D183" t="s">
        <v>310</v>
      </c>
      <c r="E183" t="s">
        <v>309</v>
      </c>
      <c r="F183" s="1">
        <v>1.5</v>
      </c>
      <c r="G183" t="s">
        <v>461</v>
      </c>
    </row>
    <row r="184" spans="2:7">
      <c r="B184" s="102">
        <v>45395</v>
      </c>
      <c r="E184" t="s">
        <v>478</v>
      </c>
      <c r="F184" s="1">
        <v>0.5</v>
      </c>
      <c r="G184" t="s">
        <v>638</v>
      </c>
    </row>
    <row r="185" spans="2:7">
      <c r="B185" s="102">
        <v>45395</v>
      </c>
      <c r="E185" t="s">
        <v>478</v>
      </c>
      <c r="F185" s="1">
        <v>1</v>
      </c>
      <c r="G185" t="s">
        <v>504</v>
      </c>
    </row>
    <row r="186" spans="2:7">
      <c r="B186" s="102">
        <v>45395</v>
      </c>
      <c r="C186" s="63">
        <v>19.28</v>
      </c>
      <c r="D186" t="s">
        <v>310</v>
      </c>
      <c r="E186" t="s">
        <v>478</v>
      </c>
      <c r="F186" s="1">
        <v>1.5</v>
      </c>
      <c r="G186" t="s">
        <v>639</v>
      </c>
    </row>
    <row r="187" spans="2:7">
      <c r="B187" s="102">
        <v>45396</v>
      </c>
      <c r="E187" t="s">
        <v>478</v>
      </c>
      <c r="F187" s="1">
        <v>0.5</v>
      </c>
      <c r="G187" t="s">
        <v>494</v>
      </c>
    </row>
    <row r="188" spans="2:7">
      <c r="B188" s="102">
        <v>45396</v>
      </c>
      <c r="E188" t="s">
        <v>478</v>
      </c>
      <c r="F188" s="1">
        <v>1.5</v>
      </c>
      <c r="G188" t="s">
        <v>582</v>
      </c>
    </row>
    <row r="189" spans="2:7">
      <c r="B189" s="102">
        <v>45397</v>
      </c>
      <c r="E189" t="s">
        <v>478</v>
      </c>
      <c r="F189" s="1">
        <v>1</v>
      </c>
      <c r="G189" t="s">
        <v>628</v>
      </c>
    </row>
    <row r="190" spans="2:7">
      <c r="B190" s="102">
        <v>45397</v>
      </c>
      <c r="E190" t="s">
        <v>478</v>
      </c>
      <c r="F190" s="1">
        <v>0.5</v>
      </c>
      <c r="G190" t="s">
        <v>494</v>
      </c>
    </row>
    <row r="191" spans="2:7">
      <c r="B191" s="102">
        <v>45398</v>
      </c>
      <c r="E191" t="s">
        <v>478</v>
      </c>
      <c r="F191" s="1">
        <v>1</v>
      </c>
      <c r="G191" t="s">
        <v>504</v>
      </c>
    </row>
    <row r="192" spans="2:7">
      <c r="B192" s="102">
        <v>45398</v>
      </c>
      <c r="E192" t="s">
        <v>478</v>
      </c>
      <c r="F192" s="1">
        <v>1.5</v>
      </c>
      <c r="G192" t="s">
        <v>640</v>
      </c>
    </row>
    <row r="193" spans="2:7">
      <c r="B193" s="102">
        <v>45399</v>
      </c>
      <c r="C193" s="63">
        <v>17.43</v>
      </c>
      <c r="D193" t="s">
        <v>310</v>
      </c>
      <c r="E193" t="s">
        <v>309</v>
      </c>
      <c r="F193" s="1">
        <v>1.5</v>
      </c>
      <c r="G193" t="s">
        <v>641</v>
      </c>
    </row>
    <row r="194" spans="2:7">
      <c r="B194" s="102">
        <v>45400</v>
      </c>
      <c r="E194" t="s">
        <v>478</v>
      </c>
      <c r="F194" s="1">
        <v>1</v>
      </c>
      <c r="G194" t="s">
        <v>628</v>
      </c>
    </row>
    <row r="195" spans="2:7">
      <c r="B195" s="102">
        <v>45400</v>
      </c>
      <c r="E195" t="s">
        <v>478</v>
      </c>
      <c r="F195" s="1">
        <v>1.5</v>
      </c>
      <c r="G195" t="s">
        <v>643</v>
      </c>
    </row>
    <row r="196" spans="2:7">
      <c r="B196" s="102">
        <v>45401</v>
      </c>
      <c r="E196" t="s">
        <v>478</v>
      </c>
      <c r="F196" s="1">
        <v>1.5</v>
      </c>
      <c r="G196" t="s">
        <v>523</v>
      </c>
    </row>
    <row r="197" spans="2:7">
      <c r="B197" s="102">
        <v>45401</v>
      </c>
      <c r="E197" t="s">
        <v>478</v>
      </c>
      <c r="F197" s="1">
        <v>0.5</v>
      </c>
      <c r="G197" t="s">
        <v>494</v>
      </c>
    </row>
    <row r="198" spans="2:7">
      <c r="B198" s="102">
        <v>45402</v>
      </c>
      <c r="E198" t="s">
        <v>614</v>
      </c>
      <c r="F198" s="1">
        <v>1.5</v>
      </c>
      <c r="G198" t="s">
        <v>647</v>
      </c>
    </row>
    <row r="199" spans="2:7">
      <c r="B199" s="102">
        <v>45402</v>
      </c>
      <c r="E199" t="s">
        <v>478</v>
      </c>
      <c r="F199" s="1">
        <v>0.5</v>
      </c>
      <c r="G199" t="s">
        <v>494</v>
      </c>
    </row>
    <row r="200" spans="2:7">
      <c r="B200" s="102">
        <v>45403</v>
      </c>
      <c r="E200" t="s">
        <v>478</v>
      </c>
      <c r="F200" s="1">
        <v>1.5</v>
      </c>
      <c r="G200" t="s">
        <v>643</v>
      </c>
    </row>
    <row r="201" spans="2:7">
      <c r="B201" s="102">
        <v>45404</v>
      </c>
      <c r="E201" t="s">
        <v>649</v>
      </c>
      <c r="F201" s="1">
        <v>1.5</v>
      </c>
      <c r="G201" t="s">
        <v>650</v>
      </c>
    </row>
    <row r="202" spans="2:7">
      <c r="B202" s="102">
        <v>45405</v>
      </c>
      <c r="C202" s="63">
        <v>17.05</v>
      </c>
      <c r="D202" t="s">
        <v>310</v>
      </c>
      <c r="E202" t="s">
        <v>288</v>
      </c>
      <c r="F202" s="1">
        <v>1.5</v>
      </c>
      <c r="G202" t="s">
        <v>466</v>
      </c>
    </row>
    <row r="203" spans="2:7">
      <c r="B203" s="102">
        <v>45405</v>
      </c>
      <c r="E203" t="s">
        <v>478</v>
      </c>
      <c r="F203" s="1">
        <v>0.5</v>
      </c>
      <c r="G203" t="s">
        <v>494</v>
      </c>
    </row>
    <row r="204" spans="2:7">
      <c r="B204" s="102">
        <v>45406</v>
      </c>
      <c r="C204" s="63">
        <v>13.53</v>
      </c>
      <c r="D204" t="s">
        <v>310</v>
      </c>
      <c r="E204" t="s">
        <v>11</v>
      </c>
      <c r="F204" s="1">
        <v>1</v>
      </c>
      <c r="G204" t="s">
        <v>631</v>
      </c>
    </row>
    <row r="205" spans="2:7">
      <c r="B205" s="102">
        <v>45406</v>
      </c>
      <c r="C205" s="63">
        <v>17.66</v>
      </c>
      <c r="D205" t="s">
        <v>398</v>
      </c>
      <c r="E205" t="s">
        <v>651</v>
      </c>
      <c r="F205" s="1">
        <v>1.5</v>
      </c>
      <c r="G205" t="s">
        <v>652</v>
      </c>
    </row>
    <row r="206" spans="2:7">
      <c r="B206" s="102">
        <v>45407</v>
      </c>
      <c r="E206" t="s">
        <v>478</v>
      </c>
      <c r="F206" s="1">
        <v>1.5</v>
      </c>
      <c r="G206" t="s">
        <v>523</v>
      </c>
    </row>
    <row r="207" spans="2:7">
      <c r="B207" s="102">
        <v>45407</v>
      </c>
      <c r="E207" t="s">
        <v>478</v>
      </c>
      <c r="F207" s="1">
        <v>0.5</v>
      </c>
      <c r="G207" t="s">
        <v>494</v>
      </c>
    </row>
    <row r="208" spans="2:7">
      <c r="B208" s="102">
        <v>45408</v>
      </c>
      <c r="C208" s="63">
        <v>17.05</v>
      </c>
      <c r="D208" t="s">
        <v>310</v>
      </c>
      <c r="E208" t="s">
        <v>288</v>
      </c>
      <c r="F208" s="1">
        <v>1.5</v>
      </c>
      <c r="G208" t="s">
        <v>466</v>
      </c>
    </row>
    <row r="209" spans="2:7">
      <c r="B209" s="102">
        <v>45408</v>
      </c>
      <c r="C209" s="63"/>
      <c r="E209" t="s">
        <v>478</v>
      </c>
      <c r="F209" s="1">
        <v>0.5</v>
      </c>
      <c r="G209" t="s">
        <v>494</v>
      </c>
    </row>
    <row r="210" spans="2:7">
      <c r="B210" s="102">
        <v>45409</v>
      </c>
      <c r="C210" s="63">
        <v>17.760000000000002</v>
      </c>
      <c r="D210" t="s">
        <v>398</v>
      </c>
      <c r="E210" t="s">
        <v>651</v>
      </c>
      <c r="F210" s="1">
        <v>1.5</v>
      </c>
      <c r="G210" t="s">
        <v>656</v>
      </c>
    </row>
    <row r="211" spans="2:7">
      <c r="B211" s="102">
        <v>45409</v>
      </c>
      <c r="E211" t="s">
        <v>478</v>
      </c>
      <c r="F211" s="1">
        <v>0.5</v>
      </c>
      <c r="G211" t="s">
        <v>494</v>
      </c>
    </row>
    <row r="212" spans="2:7">
      <c r="B212" s="102">
        <v>45410</v>
      </c>
      <c r="E212" t="s">
        <v>478</v>
      </c>
      <c r="F212" s="1">
        <v>1.5</v>
      </c>
      <c r="G212" t="s">
        <v>655</v>
      </c>
    </row>
    <row r="213" spans="2:7">
      <c r="B213" s="102">
        <v>45411</v>
      </c>
      <c r="C213" s="63">
        <v>17.43</v>
      </c>
      <c r="D213" t="s">
        <v>310</v>
      </c>
      <c r="E213" t="s">
        <v>309</v>
      </c>
      <c r="F213" s="1">
        <v>1.5</v>
      </c>
      <c r="G213" t="s">
        <v>641</v>
      </c>
    </row>
    <row r="214" spans="2:7">
      <c r="B214" s="102">
        <v>45412</v>
      </c>
      <c r="E214" t="s">
        <v>478</v>
      </c>
      <c r="F214" s="1">
        <v>1.5</v>
      </c>
      <c r="G214" t="s">
        <v>655</v>
      </c>
    </row>
    <row r="215" spans="2:7">
      <c r="B215" s="102">
        <v>45413</v>
      </c>
      <c r="C215" s="63">
        <v>13.53</v>
      </c>
      <c r="D215" t="s">
        <v>310</v>
      </c>
      <c r="E215" t="s">
        <v>11</v>
      </c>
      <c r="F215" s="1">
        <v>1</v>
      </c>
      <c r="G215" t="s">
        <v>660</v>
      </c>
    </row>
    <row r="216" spans="2:7">
      <c r="B216" s="102">
        <v>45413</v>
      </c>
      <c r="E216" t="s">
        <v>478</v>
      </c>
      <c r="F216" s="1">
        <v>0.5</v>
      </c>
      <c r="G216" t="s">
        <v>494</v>
      </c>
    </row>
    <row r="217" spans="2:7">
      <c r="B217" s="102">
        <v>45414</v>
      </c>
      <c r="C217" s="63">
        <v>11.35</v>
      </c>
      <c r="D217" t="s">
        <v>310</v>
      </c>
      <c r="E217" t="s">
        <v>288</v>
      </c>
      <c r="F217" s="1">
        <v>1</v>
      </c>
      <c r="G217" t="s">
        <v>464</v>
      </c>
    </row>
    <row r="218" spans="2:7">
      <c r="B218" s="102">
        <v>45414</v>
      </c>
      <c r="C218" s="63">
        <v>17.43</v>
      </c>
      <c r="D218" t="s">
        <v>310</v>
      </c>
      <c r="E218" t="s">
        <v>309</v>
      </c>
      <c r="F218" s="1">
        <v>1.5</v>
      </c>
      <c r="G218" t="s">
        <v>641</v>
      </c>
    </row>
    <row r="219" spans="2:7">
      <c r="B219" s="102">
        <v>45415</v>
      </c>
      <c r="E219" t="s">
        <v>478</v>
      </c>
      <c r="F219" s="1">
        <v>1</v>
      </c>
      <c r="G219" t="s">
        <v>661</v>
      </c>
    </row>
    <row r="220" spans="2:7">
      <c r="B220" s="102">
        <v>45415</v>
      </c>
    </row>
    <row r="221" spans="2:7">
      <c r="B221" s="102">
        <v>45416</v>
      </c>
      <c r="C221" s="63">
        <v>10.92</v>
      </c>
      <c r="D221" t="s">
        <v>310</v>
      </c>
      <c r="E221" t="s">
        <v>288</v>
      </c>
      <c r="F221" s="1">
        <v>1</v>
      </c>
      <c r="G221" t="s">
        <v>468</v>
      </c>
    </row>
    <row r="222" spans="2:7">
      <c r="B222" s="102">
        <v>45416</v>
      </c>
      <c r="C222" s="63">
        <v>20.41</v>
      </c>
      <c r="D222" t="s">
        <v>13</v>
      </c>
      <c r="E222" t="s">
        <v>651</v>
      </c>
      <c r="F222" s="1">
        <v>1.5</v>
      </c>
      <c r="G222" t="s">
        <v>663</v>
      </c>
    </row>
    <row r="223" spans="2:7">
      <c r="B223" s="102">
        <v>45417</v>
      </c>
      <c r="C223" s="63">
        <v>10.85</v>
      </c>
      <c r="D223" t="s">
        <v>398</v>
      </c>
      <c r="E223" t="s">
        <v>402</v>
      </c>
      <c r="F223" s="1">
        <v>1</v>
      </c>
      <c r="G223" t="s">
        <v>662</v>
      </c>
    </row>
    <row r="224" spans="2:7">
      <c r="B224" s="102">
        <v>45417</v>
      </c>
      <c r="E224" t="s">
        <v>478</v>
      </c>
      <c r="F224" s="1">
        <v>0.5</v>
      </c>
      <c r="G224" t="s">
        <v>494</v>
      </c>
    </row>
    <row r="225" spans="2:7">
      <c r="B225" s="102">
        <v>45418</v>
      </c>
      <c r="C225" s="63">
        <v>15.27</v>
      </c>
      <c r="D225" t="s">
        <v>310</v>
      </c>
      <c r="E225" t="s">
        <v>11</v>
      </c>
      <c r="F225" s="1">
        <v>1</v>
      </c>
      <c r="G225" t="s">
        <v>664</v>
      </c>
    </row>
    <row r="226" spans="2:7">
      <c r="B226" s="102">
        <v>45418</v>
      </c>
      <c r="C226" s="63">
        <v>10.85</v>
      </c>
      <c r="D226" t="s">
        <v>398</v>
      </c>
      <c r="E226" t="s">
        <v>402</v>
      </c>
      <c r="F226" s="1">
        <v>1</v>
      </c>
      <c r="G226" t="s">
        <v>662</v>
      </c>
    </row>
    <row r="227" spans="2:7">
      <c r="B227" s="102">
        <v>45419</v>
      </c>
      <c r="E227" t="s">
        <v>478</v>
      </c>
      <c r="F227" s="1">
        <v>0.5</v>
      </c>
      <c r="G227" t="s">
        <v>668</v>
      </c>
    </row>
    <row r="228" spans="2:7">
      <c r="B228" s="102">
        <v>45419</v>
      </c>
      <c r="C228" s="63">
        <v>11.35</v>
      </c>
      <c r="D228" t="s">
        <v>310</v>
      </c>
      <c r="E228" t="s">
        <v>288</v>
      </c>
      <c r="F228" s="1">
        <v>1</v>
      </c>
      <c r="G228" t="s">
        <v>669</v>
      </c>
    </row>
    <row r="229" spans="2:7">
      <c r="B229" s="102">
        <v>45420</v>
      </c>
      <c r="C229" s="63">
        <v>18</v>
      </c>
      <c r="D229" t="s">
        <v>13</v>
      </c>
      <c r="E229" t="s">
        <v>665</v>
      </c>
      <c r="F229" s="1">
        <v>1.5</v>
      </c>
      <c r="G229" t="s">
        <v>666</v>
      </c>
    </row>
    <row r="230" spans="2:7">
      <c r="B230" s="102">
        <v>45420</v>
      </c>
      <c r="E230" t="s">
        <v>478</v>
      </c>
      <c r="F230" s="1">
        <v>1</v>
      </c>
      <c r="G230" t="s">
        <v>667</v>
      </c>
    </row>
    <row r="231" spans="2:7">
      <c r="B231" s="102">
        <v>45421</v>
      </c>
      <c r="C231" s="63">
        <v>13.36</v>
      </c>
      <c r="D231" t="s">
        <v>310</v>
      </c>
      <c r="E231" t="s">
        <v>288</v>
      </c>
      <c r="F231" s="1">
        <v>1</v>
      </c>
      <c r="G231" t="s">
        <v>670</v>
      </c>
    </row>
    <row r="232" spans="2:7">
      <c r="B232" s="102">
        <v>45421</v>
      </c>
      <c r="C232" s="63">
        <v>17.43</v>
      </c>
      <c r="D232" t="s">
        <v>310</v>
      </c>
      <c r="E232" t="s">
        <v>309</v>
      </c>
      <c r="F232" s="1">
        <v>1.5</v>
      </c>
      <c r="G232" t="s">
        <v>641</v>
      </c>
    </row>
    <row r="233" spans="2:7">
      <c r="B233" s="102">
        <v>45422</v>
      </c>
      <c r="C233" s="63">
        <v>11.35</v>
      </c>
      <c r="D233" t="s">
        <v>310</v>
      </c>
      <c r="E233" t="s">
        <v>288</v>
      </c>
      <c r="F233" s="1">
        <v>1</v>
      </c>
      <c r="G233" t="s">
        <v>672</v>
      </c>
    </row>
    <row r="234" spans="2:7">
      <c r="B234" s="102">
        <v>45422</v>
      </c>
      <c r="C234" s="63">
        <v>10.31</v>
      </c>
      <c r="D234" t="s">
        <v>398</v>
      </c>
      <c r="E234" t="s">
        <v>402</v>
      </c>
      <c r="F234" s="1">
        <v>1</v>
      </c>
      <c r="G234" t="s">
        <v>673</v>
      </c>
    </row>
    <row r="235" spans="2:7">
      <c r="B235" s="102">
        <v>45423</v>
      </c>
      <c r="E235" t="s">
        <v>478</v>
      </c>
      <c r="F235" s="1">
        <v>0.5</v>
      </c>
      <c r="G235" t="s">
        <v>674</v>
      </c>
    </row>
    <row r="236" spans="2:7">
      <c r="B236" s="102">
        <v>45423</v>
      </c>
      <c r="C236" s="63">
        <v>11.35</v>
      </c>
      <c r="D236" t="s">
        <v>310</v>
      </c>
      <c r="E236" t="s">
        <v>288</v>
      </c>
      <c r="F236" s="1">
        <v>1</v>
      </c>
      <c r="G236" t="s">
        <v>464</v>
      </c>
    </row>
    <row r="237" spans="2:7">
      <c r="B237" s="102">
        <v>45423</v>
      </c>
      <c r="C237" s="63">
        <v>15.49</v>
      </c>
      <c r="D237" t="s">
        <v>310</v>
      </c>
      <c r="E237" t="s">
        <v>309</v>
      </c>
      <c r="F237" s="1">
        <v>1</v>
      </c>
      <c r="G237" t="s">
        <v>671</v>
      </c>
    </row>
    <row r="238" spans="2:7">
      <c r="B238" s="102">
        <v>45424</v>
      </c>
      <c r="E238" t="s">
        <v>478</v>
      </c>
      <c r="F238" s="1">
        <v>0.5</v>
      </c>
      <c r="G238" t="s">
        <v>674</v>
      </c>
    </row>
    <row r="239" spans="2:7">
      <c r="B239" s="102">
        <v>45424</v>
      </c>
      <c r="C239" s="63">
        <v>10.85</v>
      </c>
      <c r="D239" t="s">
        <v>398</v>
      </c>
      <c r="E239" t="s">
        <v>402</v>
      </c>
      <c r="F239" s="1">
        <v>1</v>
      </c>
      <c r="G239" t="s">
        <v>662</v>
      </c>
    </row>
    <row r="240" spans="2:7">
      <c r="B240" s="102">
        <v>45424</v>
      </c>
      <c r="E240" t="s">
        <v>478</v>
      </c>
      <c r="F240" s="1">
        <v>0.5</v>
      </c>
      <c r="G240" t="s">
        <v>494</v>
      </c>
    </row>
    <row r="241" spans="2:7">
      <c r="B241" s="102">
        <v>45425</v>
      </c>
      <c r="E241" t="s">
        <v>478</v>
      </c>
      <c r="F241" s="1">
        <v>0.75</v>
      </c>
      <c r="G241" t="s">
        <v>675</v>
      </c>
    </row>
    <row r="242" spans="2:7">
      <c r="B242" s="102">
        <v>45425</v>
      </c>
      <c r="E242" t="s">
        <v>478</v>
      </c>
      <c r="F242" s="1">
        <v>0.75</v>
      </c>
      <c r="G242" t="s">
        <v>676</v>
      </c>
    </row>
    <row r="243" spans="2:7">
      <c r="B243" s="102">
        <v>45426</v>
      </c>
      <c r="C243" s="63">
        <v>10.92</v>
      </c>
      <c r="D243" t="s">
        <v>310</v>
      </c>
      <c r="E243" t="s">
        <v>288</v>
      </c>
      <c r="F243" s="1">
        <v>1</v>
      </c>
      <c r="G243" t="s">
        <v>468</v>
      </c>
    </row>
    <row r="244" spans="2:7">
      <c r="B244" s="102">
        <v>45426</v>
      </c>
      <c r="E244" t="s">
        <v>478</v>
      </c>
      <c r="F244" s="1">
        <v>1.5</v>
      </c>
      <c r="G244" t="s">
        <v>582</v>
      </c>
    </row>
    <row r="245" spans="2:7">
      <c r="B245" s="102">
        <v>45427</v>
      </c>
      <c r="E245" t="s">
        <v>478</v>
      </c>
      <c r="F245" s="1">
        <v>0.5</v>
      </c>
      <c r="G245" t="s">
        <v>677</v>
      </c>
    </row>
    <row r="246" spans="2:7">
      <c r="B246" s="102">
        <v>45427</v>
      </c>
      <c r="C246" s="63">
        <v>17.43</v>
      </c>
      <c r="D246" t="s">
        <v>310</v>
      </c>
      <c r="E246" t="s">
        <v>309</v>
      </c>
      <c r="F246" s="1">
        <v>1.5</v>
      </c>
      <c r="G246" t="s">
        <v>641</v>
      </c>
    </row>
    <row r="247" spans="2:7">
      <c r="B247" s="102">
        <v>45428</v>
      </c>
      <c r="C247" s="63">
        <f>2*1.9</f>
        <v>3.8</v>
      </c>
      <c r="D247" t="s">
        <v>310</v>
      </c>
      <c r="E247" t="s">
        <v>11</v>
      </c>
      <c r="F247" s="1">
        <v>0.5</v>
      </c>
      <c r="G247" t="s">
        <v>679</v>
      </c>
    </row>
    <row r="248" spans="2:7">
      <c r="B248" s="102">
        <v>45428</v>
      </c>
      <c r="C248" s="63">
        <v>11.35</v>
      </c>
      <c r="D248" t="s">
        <v>310</v>
      </c>
      <c r="E248" t="s">
        <v>288</v>
      </c>
      <c r="F248" s="1">
        <v>1</v>
      </c>
      <c r="G248" t="s">
        <v>464</v>
      </c>
    </row>
    <row r="249" spans="2:7">
      <c r="B249" s="102">
        <v>45428</v>
      </c>
      <c r="E249" t="s">
        <v>478</v>
      </c>
      <c r="F249" s="1">
        <v>0.5</v>
      </c>
      <c r="G249" t="s">
        <v>494</v>
      </c>
    </row>
    <row r="250" spans="2:7">
      <c r="B250" s="102">
        <v>45429</v>
      </c>
      <c r="C250" s="63">
        <v>10.31</v>
      </c>
      <c r="D250" t="s">
        <v>398</v>
      </c>
      <c r="E250" t="s">
        <v>402</v>
      </c>
      <c r="F250" s="1">
        <v>1</v>
      </c>
      <c r="G250" t="s">
        <v>673</v>
      </c>
    </row>
    <row r="251" spans="2:7">
      <c r="B251" s="102">
        <v>45429</v>
      </c>
      <c r="C251" s="63">
        <v>11.35</v>
      </c>
      <c r="D251" t="s">
        <v>310</v>
      </c>
      <c r="E251" t="s">
        <v>288</v>
      </c>
      <c r="F251" s="1">
        <v>1</v>
      </c>
      <c r="G251" t="s">
        <v>464</v>
      </c>
    </row>
    <row r="252" spans="2:7">
      <c r="B252" s="102">
        <v>45429</v>
      </c>
      <c r="E252" t="s">
        <v>478</v>
      </c>
      <c r="F252" s="1">
        <v>0.5</v>
      </c>
      <c r="G252" t="s">
        <v>494</v>
      </c>
    </row>
    <row r="253" spans="2:7">
      <c r="B253" s="102">
        <v>45430</v>
      </c>
      <c r="C253" s="63">
        <v>1.9</v>
      </c>
      <c r="D253" t="s">
        <v>310</v>
      </c>
      <c r="E253" t="s">
        <v>11</v>
      </c>
      <c r="F253" s="1">
        <v>0.5</v>
      </c>
      <c r="G253" t="s">
        <v>680</v>
      </c>
    </row>
    <row r="254" spans="2:7">
      <c r="B254" s="102">
        <v>45430</v>
      </c>
      <c r="C254" s="63">
        <v>17.43</v>
      </c>
      <c r="D254" t="s">
        <v>310</v>
      </c>
      <c r="E254" t="s">
        <v>309</v>
      </c>
      <c r="F254" s="1">
        <v>1.5</v>
      </c>
      <c r="G254" t="s">
        <v>641</v>
      </c>
    </row>
    <row r="255" spans="2:7">
      <c r="B255" s="102">
        <v>45430</v>
      </c>
      <c r="C255" s="63">
        <v>10.85</v>
      </c>
      <c r="D255" t="s">
        <v>398</v>
      </c>
      <c r="E255" t="s">
        <v>402</v>
      </c>
      <c r="F255" s="1">
        <v>1</v>
      </c>
      <c r="G255" t="s">
        <v>662</v>
      </c>
    </row>
    <row r="256" spans="2:7">
      <c r="B256" s="102">
        <v>45431</v>
      </c>
      <c r="E256" t="s">
        <v>478</v>
      </c>
      <c r="F256" s="1">
        <v>0.5</v>
      </c>
      <c r="G256" t="s">
        <v>678</v>
      </c>
    </row>
    <row r="257" spans="2:7">
      <c r="B257" s="102">
        <v>45431</v>
      </c>
      <c r="C257" s="63">
        <v>10.85</v>
      </c>
      <c r="D257" t="s">
        <v>398</v>
      </c>
      <c r="E257" t="s">
        <v>402</v>
      </c>
      <c r="F257" s="1">
        <v>1</v>
      </c>
      <c r="G257" t="s">
        <v>662</v>
      </c>
    </row>
    <row r="258" spans="2:7">
      <c r="B258" s="102">
        <v>45431</v>
      </c>
      <c r="E258" t="s">
        <v>478</v>
      </c>
      <c r="F258" s="1">
        <v>0.5</v>
      </c>
      <c r="G258" t="s">
        <v>494</v>
      </c>
    </row>
    <row r="259" spans="2:7">
      <c r="B259" s="102">
        <v>45432</v>
      </c>
      <c r="E259" t="s">
        <v>478</v>
      </c>
      <c r="F259" s="1">
        <v>1.5</v>
      </c>
      <c r="G259" t="s">
        <v>684</v>
      </c>
    </row>
    <row r="260" spans="2:7">
      <c r="B260" s="102">
        <v>45433</v>
      </c>
      <c r="C260" s="63">
        <v>11.35</v>
      </c>
      <c r="D260" t="s">
        <v>310</v>
      </c>
      <c r="E260" t="s">
        <v>288</v>
      </c>
      <c r="F260" s="1">
        <v>1.5</v>
      </c>
      <c r="G260" t="s">
        <v>686</v>
      </c>
    </row>
    <row r="261" spans="2:7">
      <c r="B261" s="102">
        <v>45433</v>
      </c>
      <c r="C261" s="63">
        <v>10.85</v>
      </c>
      <c r="D261" t="s">
        <v>398</v>
      </c>
      <c r="E261" t="s">
        <v>402</v>
      </c>
      <c r="F261" s="1">
        <v>1</v>
      </c>
      <c r="G261" t="s">
        <v>662</v>
      </c>
    </row>
    <row r="262" spans="2:7">
      <c r="B262" s="102">
        <v>45434</v>
      </c>
      <c r="C262" s="63"/>
      <c r="E262" t="s">
        <v>478</v>
      </c>
      <c r="F262" s="1">
        <v>0.5</v>
      </c>
      <c r="G262" t="s">
        <v>674</v>
      </c>
    </row>
    <row r="263" spans="2:7">
      <c r="B263" s="102">
        <v>45434</v>
      </c>
      <c r="C263" s="63">
        <v>14.77</v>
      </c>
      <c r="D263" t="s">
        <v>398</v>
      </c>
      <c r="E263" t="s">
        <v>312</v>
      </c>
      <c r="F263" s="1">
        <v>1.5</v>
      </c>
      <c r="G263" t="s">
        <v>685</v>
      </c>
    </row>
    <row r="264" spans="2:7">
      <c r="B264" s="102">
        <v>45435</v>
      </c>
      <c r="E264" t="s">
        <v>478</v>
      </c>
      <c r="F264" s="1">
        <v>1.5</v>
      </c>
      <c r="G264" t="s">
        <v>687</v>
      </c>
    </row>
    <row r="265" spans="2:7">
      <c r="B265" s="102">
        <v>45436</v>
      </c>
      <c r="E265" t="s">
        <v>478</v>
      </c>
      <c r="F265" s="1">
        <v>1.5</v>
      </c>
      <c r="G265" t="s">
        <v>687</v>
      </c>
    </row>
    <row r="266" spans="2:7">
      <c r="B266" s="102">
        <v>45436</v>
      </c>
      <c r="E266" t="s">
        <v>478</v>
      </c>
      <c r="F266" s="1">
        <v>1.5</v>
      </c>
      <c r="G266" t="s">
        <v>640</v>
      </c>
    </row>
    <row r="267" spans="2:7">
      <c r="B267" s="102">
        <v>45437</v>
      </c>
      <c r="C267" s="63">
        <v>11.35</v>
      </c>
      <c r="D267" t="s">
        <v>310</v>
      </c>
      <c r="E267" t="s">
        <v>288</v>
      </c>
      <c r="F267" s="1">
        <v>1</v>
      </c>
      <c r="G267" t="s">
        <v>464</v>
      </c>
    </row>
    <row r="268" spans="2:7">
      <c r="B268" s="102">
        <v>45437</v>
      </c>
      <c r="E268" t="s">
        <v>689</v>
      </c>
      <c r="F268" s="1">
        <v>0.5</v>
      </c>
      <c r="G268" t="s">
        <v>690</v>
      </c>
    </row>
    <row r="269" spans="2:7">
      <c r="B269" s="102">
        <v>45438</v>
      </c>
      <c r="C269" s="63">
        <v>10.85</v>
      </c>
      <c r="D269" t="s">
        <v>310</v>
      </c>
      <c r="E269" t="s">
        <v>402</v>
      </c>
      <c r="F269" s="1">
        <v>1</v>
      </c>
      <c r="G269" t="s">
        <v>662</v>
      </c>
    </row>
    <row r="270" spans="2:7">
      <c r="B270" s="102">
        <v>45439</v>
      </c>
      <c r="E270" t="s">
        <v>478</v>
      </c>
      <c r="F270" s="1">
        <v>1</v>
      </c>
      <c r="G270" t="s">
        <v>688</v>
      </c>
    </row>
    <row r="271" spans="2:7">
      <c r="B271" s="102">
        <v>45440</v>
      </c>
      <c r="C271">
        <v>10.37</v>
      </c>
      <c r="D271" t="s">
        <v>310</v>
      </c>
      <c r="E271" t="s">
        <v>288</v>
      </c>
      <c r="F271" s="1">
        <v>1</v>
      </c>
      <c r="G271" t="s">
        <v>465</v>
      </c>
    </row>
    <row r="272" spans="2:7">
      <c r="B272" s="102">
        <v>45441</v>
      </c>
      <c r="C272" s="63">
        <v>10.85</v>
      </c>
      <c r="D272" t="s">
        <v>310</v>
      </c>
      <c r="E272" t="s">
        <v>402</v>
      </c>
      <c r="F272" s="1">
        <v>1</v>
      </c>
      <c r="G272" t="s">
        <v>692</v>
      </c>
    </row>
    <row r="273" spans="2:7">
      <c r="B273" s="102">
        <v>45442</v>
      </c>
      <c r="C273" s="63">
        <v>11.35</v>
      </c>
      <c r="D273" t="s">
        <v>310</v>
      </c>
      <c r="E273" t="s">
        <v>288</v>
      </c>
      <c r="F273" s="1">
        <v>1</v>
      </c>
      <c r="G273" t="s">
        <v>691</v>
      </c>
    </row>
    <row r="274" spans="2:7">
      <c r="B274" s="102">
        <v>45443</v>
      </c>
      <c r="E274" t="s">
        <v>478</v>
      </c>
      <c r="F274" s="1">
        <v>1</v>
      </c>
      <c r="G274" t="s">
        <v>688</v>
      </c>
    </row>
    <row r="275" spans="2:7">
      <c r="B275" s="102">
        <v>45443</v>
      </c>
      <c r="C275" s="63">
        <v>10.85</v>
      </c>
      <c r="D275" t="s">
        <v>310</v>
      </c>
      <c r="E275" t="s">
        <v>402</v>
      </c>
      <c r="F275" s="1">
        <v>1</v>
      </c>
      <c r="G275" t="s">
        <v>692</v>
      </c>
    </row>
    <row r="276" spans="2:7">
      <c r="B276" s="102">
        <v>45444</v>
      </c>
      <c r="C276" s="63">
        <v>11.35</v>
      </c>
      <c r="D276" t="s">
        <v>310</v>
      </c>
      <c r="E276" t="s">
        <v>288</v>
      </c>
      <c r="F276" s="1">
        <v>1</v>
      </c>
      <c r="G276" t="s">
        <v>696</v>
      </c>
    </row>
    <row r="277" spans="2:7">
      <c r="B277" s="102">
        <v>45444</v>
      </c>
      <c r="C277" s="63">
        <v>12.62</v>
      </c>
      <c r="D277" t="s">
        <v>310</v>
      </c>
      <c r="E277" t="s">
        <v>458</v>
      </c>
      <c r="F277" s="1">
        <v>1.5</v>
      </c>
      <c r="G277" t="s">
        <v>697</v>
      </c>
    </row>
    <row r="278" spans="2:7">
      <c r="B278" s="102">
        <v>45445</v>
      </c>
      <c r="C278" s="63"/>
      <c r="E278" t="s">
        <v>478</v>
      </c>
      <c r="F278" s="1">
        <v>1.5</v>
      </c>
      <c r="G278" t="s">
        <v>523</v>
      </c>
    </row>
    <row r="279" spans="2:7">
      <c r="B279" s="102">
        <v>45446</v>
      </c>
      <c r="C279" s="63"/>
      <c r="E279" t="s">
        <v>478</v>
      </c>
      <c r="F279" s="1">
        <v>1</v>
      </c>
      <c r="G279" t="s">
        <v>688</v>
      </c>
    </row>
    <row r="280" spans="2:7">
      <c r="B280" s="102">
        <v>45446</v>
      </c>
      <c r="C280" s="63"/>
      <c r="E280" t="s">
        <v>478</v>
      </c>
      <c r="F280" s="1">
        <v>1.5</v>
      </c>
      <c r="G280" t="s">
        <v>640</v>
      </c>
    </row>
    <row r="281" spans="2:7">
      <c r="B281" s="102">
        <v>45447</v>
      </c>
      <c r="C281" s="63"/>
      <c r="E281" t="s">
        <v>478</v>
      </c>
      <c r="F281" s="1">
        <v>1.5</v>
      </c>
      <c r="G281" t="s">
        <v>523</v>
      </c>
    </row>
    <row r="282" spans="2:7">
      <c r="B282" s="102">
        <v>45448</v>
      </c>
      <c r="C282" s="63"/>
      <c r="E282" t="s">
        <v>478</v>
      </c>
      <c r="F282" s="1">
        <v>1</v>
      </c>
      <c r="G282" t="s">
        <v>688</v>
      </c>
    </row>
    <row r="283" spans="2:7">
      <c r="B283" s="102">
        <v>45448</v>
      </c>
      <c r="C283" s="63">
        <v>15.49</v>
      </c>
      <c r="D283" t="s">
        <v>310</v>
      </c>
      <c r="E283" t="s">
        <v>309</v>
      </c>
      <c r="F283" s="1">
        <v>1.5</v>
      </c>
      <c r="G283" t="s">
        <v>702</v>
      </c>
    </row>
    <row r="284" spans="2:7">
      <c r="B284" s="102">
        <v>45449</v>
      </c>
      <c r="C284" s="63"/>
      <c r="E284" t="s">
        <v>478</v>
      </c>
      <c r="F284" s="1">
        <v>1</v>
      </c>
      <c r="G284" t="s">
        <v>661</v>
      </c>
    </row>
    <row r="285" spans="2:7">
      <c r="B285" s="102">
        <v>45450</v>
      </c>
      <c r="C285" s="63"/>
    </row>
    <row r="286" spans="2:7">
      <c r="B286" s="102">
        <v>45451</v>
      </c>
      <c r="C286" s="63">
        <v>10.85</v>
      </c>
      <c r="D286" t="s">
        <v>398</v>
      </c>
      <c r="E286" t="s">
        <v>402</v>
      </c>
      <c r="F286" s="1">
        <v>1</v>
      </c>
      <c r="G286" t="s">
        <v>662</v>
      </c>
    </row>
    <row r="287" spans="2:7">
      <c r="B287" s="102">
        <v>45452</v>
      </c>
      <c r="C287" s="63"/>
    </row>
    <row r="288" spans="2:7">
      <c r="B288" s="102">
        <v>45452</v>
      </c>
      <c r="C288" s="63"/>
    </row>
    <row r="289" spans="2:7">
      <c r="B289" s="102">
        <v>45453</v>
      </c>
      <c r="C289" s="63">
        <v>10.85</v>
      </c>
      <c r="D289" t="s">
        <v>398</v>
      </c>
      <c r="E289" t="s">
        <v>402</v>
      </c>
      <c r="F289" s="1">
        <v>1</v>
      </c>
      <c r="G289" t="s">
        <v>662</v>
      </c>
    </row>
    <row r="290" spans="2:7">
      <c r="B290" s="102">
        <v>45454</v>
      </c>
      <c r="C290" s="63"/>
    </row>
    <row r="291" spans="2:7">
      <c r="B291" s="102">
        <v>45455</v>
      </c>
      <c r="C291" s="63">
        <v>11.35</v>
      </c>
      <c r="D291" t="s">
        <v>310</v>
      </c>
      <c r="E291" t="s">
        <v>288</v>
      </c>
      <c r="F291" s="1">
        <v>1</v>
      </c>
      <c r="G291" t="s">
        <v>464</v>
      </c>
    </row>
    <row r="292" spans="2:7">
      <c r="B292" s="102">
        <v>45456</v>
      </c>
      <c r="C292" s="63"/>
      <c r="E292" t="s">
        <v>478</v>
      </c>
      <c r="F292" s="1">
        <v>1</v>
      </c>
      <c r="G292" t="s">
        <v>711</v>
      </c>
    </row>
    <row r="293" spans="2:7">
      <c r="B293" s="102">
        <v>45456</v>
      </c>
      <c r="C293" s="63">
        <v>10.85</v>
      </c>
      <c r="D293" t="s">
        <v>398</v>
      </c>
      <c r="E293" t="s">
        <v>402</v>
      </c>
      <c r="F293" s="1">
        <v>1</v>
      </c>
      <c r="G293" t="s">
        <v>692</v>
      </c>
    </row>
    <row r="294" spans="2:7">
      <c r="B294" s="102">
        <v>45456</v>
      </c>
      <c r="C294" s="63"/>
      <c r="E294" t="s">
        <v>478</v>
      </c>
      <c r="F294" s="1">
        <v>0.5</v>
      </c>
      <c r="G294" t="s">
        <v>712</v>
      </c>
    </row>
    <row r="295" spans="2:7">
      <c r="B295" s="102">
        <v>45457</v>
      </c>
      <c r="C295" s="63"/>
      <c r="E295" t="s">
        <v>478</v>
      </c>
      <c r="F295" s="1">
        <v>1</v>
      </c>
      <c r="G295" t="s">
        <v>711</v>
      </c>
    </row>
    <row r="296" spans="2:7">
      <c r="B296" s="102">
        <v>45457</v>
      </c>
      <c r="C296" s="63">
        <v>10.92</v>
      </c>
      <c r="D296" t="s">
        <v>310</v>
      </c>
      <c r="E296" t="s">
        <v>288</v>
      </c>
      <c r="F296" s="1">
        <v>1</v>
      </c>
      <c r="G296" t="s">
        <v>465</v>
      </c>
    </row>
    <row r="297" spans="2:7">
      <c r="B297" s="102">
        <v>45457</v>
      </c>
      <c r="C297" s="63"/>
      <c r="E297" t="s">
        <v>478</v>
      </c>
      <c r="F297" s="1">
        <v>0.5</v>
      </c>
      <c r="G297" t="s">
        <v>712</v>
      </c>
    </row>
    <row r="298" spans="2:7">
      <c r="B298" s="102">
        <v>45458</v>
      </c>
      <c r="C298" s="63"/>
      <c r="E298" t="s">
        <v>478</v>
      </c>
      <c r="F298" s="1">
        <v>1.5</v>
      </c>
      <c r="G298" t="s">
        <v>687</v>
      </c>
    </row>
    <row r="299" spans="2:7">
      <c r="B299" s="102">
        <v>45458</v>
      </c>
      <c r="C299" s="63"/>
      <c r="E299" t="s">
        <v>478</v>
      </c>
      <c r="F299" s="1">
        <v>1.5</v>
      </c>
      <c r="G299" t="s">
        <v>640</v>
      </c>
    </row>
    <row r="300" spans="2:7">
      <c r="B300" s="102">
        <v>45459</v>
      </c>
      <c r="C300" s="63"/>
      <c r="E300" t="s">
        <v>713</v>
      </c>
      <c r="F300" s="1">
        <v>1</v>
      </c>
      <c r="G300" t="s">
        <v>714</v>
      </c>
    </row>
    <row r="301" spans="2:7">
      <c r="B301" s="102">
        <v>45459</v>
      </c>
      <c r="C301" s="63">
        <v>12.62</v>
      </c>
      <c r="D301" t="s">
        <v>398</v>
      </c>
      <c r="E301" t="s">
        <v>651</v>
      </c>
      <c r="F301" s="1">
        <v>1.5</v>
      </c>
      <c r="G301" t="s">
        <v>715</v>
      </c>
    </row>
    <row r="302" spans="2:7">
      <c r="B302" s="102">
        <v>45460</v>
      </c>
      <c r="C302" s="63">
        <v>11.72</v>
      </c>
      <c r="D302" t="s">
        <v>310</v>
      </c>
      <c r="E302" t="s">
        <v>288</v>
      </c>
      <c r="F302" s="1">
        <v>1</v>
      </c>
      <c r="G302" t="s">
        <v>716</v>
      </c>
    </row>
    <row r="303" spans="2:7">
      <c r="B303" s="102">
        <v>45460</v>
      </c>
      <c r="C303" s="63"/>
      <c r="E303" t="s">
        <v>478</v>
      </c>
      <c r="F303" s="1">
        <v>0.5</v>
      </c>
      <c r="G303" t="s">
        <v>712</v>
      </c>
    </row>
    <row r="304" spans="2:7">
      <c r="B304" s="102">
        <v>45461</v>
      </c>
      <c r="C304" s="63"/>
      <c r="E304" t="s">
        <v>478</v>
      </c>
      <c r="F304" s="1">
        <v>0.5</v>
      </c>
      <c r="G304" t="s">
        <v>712</v>
      </c>
    </row>
    <row r="305" spans="2:7">
      <c r="B305" s="102">
        <v>45461</v>
      </c>
    </row>
    <row r="306" spans="2:7">
      <c r="B306" s="102">
        <v>45462</v>
      </c>
    </row>
    <row r="307" spans="2:7">
      <c r="B307" s="102">
        <v>45462</v>
      </c>
    </row>
    <row r="308" spans="2:7">
      <c r="B308" s="102">
        <v>45463</v>
      </c>
      <c r="E308" t="s">
        <v>478</v>
      </c>
      <c r="F308" s="1">
        <v>1.5</v>
      </c>
      <c r="G308" t="s">
        <v>640</v>
      </c>
    </row>
    <row r="309" spans="2:7">
      <c r="B309" s="102">
        <v>45463</v>
      </c>
      <c r="D309" t="s">
        <v>310</v>
      </c>
      <c r="E309" t="s">
        <v>402</v>
      </c>
      <c r="F309" s="1">
        <v>1</v>
      </c>
      <c r="G309" t="s">
        <v>719</v>
      </c>
    </row>
    <row r="310" spans="2:7">
      <c r="B310" s="102">
        <v>45464</v>
      </c>
      <c r="E310" t="s">
        <v>478</v>
      </c>
      <c r="F310" s="1">
        <v>1</v>
      </c>
      <c r="G310" t="s">
        <v>720</v>
      </c>
    </row>
    <row r="311" spans="2:7">
      <c r="B311" s="102">
        <v>45464</v>
      </c>
      <c r="C311" s="63">
        <v>11.72</v>
      </c>
      <c r="D311" t="s">
        <v>310</v>
      </c>
      <c r="E311" t="s">
        <v>288</v>
      </c>
      <c r="F311" s="1">
        <v>1</v>
      </c>
      <c r="G311" t="s">
        <v>716</v>
      </c>
    </row>
    <row r="312" spans="2:7">
      <c r="B312" s="102">
        <v>45465</v>
      </c>
      <c r="C312" s="63"/>
      <c r="E312" t="s">
        <v>721</v>
      </c>
      <c r="F312" s="1">
        <v>1</v>
      </c>
      <c r="G312" t="s">
        <v>722</v>
      </c>
    </row>
    <row r="313" spans="2:7">
      <c r="B313" s="102">
        <v>45465</v>
      </c>
      <c r="C313" s="63">
        <v>11.72</v>
      </c>
      <c r="D313" t="s">
        <v>310</v>
      </c>
      <c r="E313" t="s">
        <v>288</v>
      </c>
      <c r="F313" s="1">
        <v>1</v>
      </c>
      <c r="G313" t="s">
        <v>723</v>
      </c>
    </row>
    <row r="314" spans="2:7">
      <c r="B314" s="102">
        <v>45466</v>
      </c>
      <c r="C314" s="63"/>
      <c r="E314" t="s">
        <v>478</v>
      </c>
      <c r="F314" s="1">
        <v>1</v>
      </c>
      <c r="G314" t="s">
        <v>688</v>
      </c>
    </row>
    <row r="315" spans="2:7">
      <c r="B315" s="102">
        <v>45466</v>
      </c>
      <c r="C315" s="63">
        <v>14</v>
      </c>
      <c r="D315" t="s">
        <v>310</v>
      </c>
      <c r="E315" t="s">
        <v>309</v>
      </c>
      <c r="F315" s="1">
        <v>1.5</v>
      </c>
      <c r="G315" t="s">
        <v>724</v>
      </c>
    </row>
    <row r="316" spans="2:7">
      <c r="C316" s="63"/>
    </row>
    <row r="317" spans="2:7">
      <c r="C317" s="63"/>
    </row>
    <row r="318" spans="2:7">
      <c r="C318" s="63"/>
    </row>
    <row r="319" spans="2:7">
      <c r="C319" s="63"/>
    </row>
    <row r="320" spans="2:7">
      <c r="C320" s="63"/>
    </row>
    <row r="321" spans="1:7">
      <c r="C321" s="63"/>
    </row>
    <row r="322" spans="1:7">
      <c r="C322" s="63"/>
      <c r="F322" s="1"/>
    </row>
    <row r="323" spans="1:7">
      <c r="A323" t="s">
        <v>737</v>
      </c>
      <c r="B323" s="102">
        <v>45470</v>
      </c>
      <c r="C323" s="63">
        <v>10.85</v>
      </c>
      <c r="D323" t="s">
        <v>310</v>
      </c>
      <c r="E323" t="s">
        <v>402</v>
      </c>
      <c r="F323" s="1">
        <v>1</v>
      </c>
      <c r="G323" t="s">
        <v>692</v>
      </c>
    </row>
    <row r="324" spans="1:7">
      <c r="C324" s="63"/>
      <c r="F324" s="1"/>
    </row>
    <row r="325" spans="1:7">
      <c r="C325" s="63"/>
      <c r="F325" s="1"/>
    </row>
    <row r="326" spans="1:7">
      <c r="A326" t="s">
        <v>737</v>
      </c>
      <c r="B326" s="102">
        <v>45472</v>
      </c>
      <c r="C326" s="63">
        <v>14.43</v>
      </c>
      <c r="D326" t="s">
        <v>310</v>
      </c>
      <c r="E326" t="s">
        <v>402</v>
      </c>
      <c r="F326" s="1">
        <v>1.5</v>
      </c>
      <c r="G326" t="s">
        <v>738</v>
      </c>
    </row>
    <row r="327" spans="1:7">
      <c r="C327" s="63"/>
      <c r="F327" s="1"/>
    </row>
    <row r="328" spans="1:7">
      <c r="A328" t="s">
        <v>737</v>
      </c>
      <c r="B328" s="102">
        <v>45473</v>
      </c>
      <c r="C328" s="63">
        <v>14.97</v>
      </c>
      <c r="D328" t="s">
        <v>398</v>
      </c>
      <c r="E328" t="s">
        <v>735</v>
      </c>
      <c r="F328" s="1">
        <v>1.5</v>
      </c>
      <c r="G328" t="s">
        <v>736</v>
      </c>
    </row>
    <row r="329" spans="1:7">
      <c r="C329" s="63"/>
    </row>
    <row r="330" spans="1:7">
      <c r="C330" s="63"/>
    </row>
    <row r="331" spans="1:7">
      <c r="A331" t="s">
        <v>737</v>
      </c>
      <c r="B331" s="102">
        <v>45474</v>
      </c>
      <c r="C331" s="63">
        <v>14.97</v>
      </c>
      <c r="D331" t="s">
        <v>398</v>
      </c>
      <c r="E331" t="s">
        <v>735</v>
      </c>
      <c r="F331" s="1">
        <v>1.5</v>
      </c>
      <c r="G331" t="s">
        <v>742</v>
      </c>
    </row>
    <row r="332" spans="1:7">
      <c r="A332" t="s">
        <v>737</v>
      </c>
      <c r="B332" s="102">
        <v>45475</v>
      </c>
      <c r="C332" s="63">
        <v>14.43</v>
      </c>
      <c r="D332" t="s">
        <v>398</v>
      </c>
      <c r="E332" t="s">
        <v>735</v>
      </c>
      <c r="F332" s="1">
        <v>1.5</v>
      </c>
      <c r="G332" t="s">
        <v>738</v>
      </c>
    </row>
    <row r="333" spans="1:7">
      <c r="C333" s="63"/>
    </row>
    <row r="334" spans="1:7">
      <c r="C334" s="63"/>
    </row>
    <row r="335" spans="1:7">
      <c r="A335" t="s">
        <v>741</v>
      </c>
      <c r="B335" s="102">
        <v>45478</v>
      </c>
      <c r="C335" s="63">
        <v>14.97</v>
      </c>
      <c r="D335" t="s">
        <v>398</v>
      </c>
      <c r="E335" t="s">
        <v>735</v>
      </c>
      <c r="F335" s="1">
        <v>1.5</v>
      </c>
      <c r="G335" t="s">
        <v>742</v>
      </c>
    </row>
    <row r="336" spans="1:7">
      <c r="C336" s="63"/>
      <c r="G336" t="s">
        <v>44</v>
      </c>
    </row>
    <row r="337" spans="1:7">
      <c r="C337" s="63"/>
    </row>
    <row r="338" spans="1:7">
      <c r="C338" s="63"/>
    </row>
    <row r="339" spans="1:7">
      <c r="C339" s="63"/>
    </row>
    <row r="340" spans="1:7">
      <c r="A340" t="s">
        <v>737</v>
      </c>
      <c r="B340" s="102">
        <v>45482</v>
      </c>
      <c r="C340" s="63">
        <v>14.43</v>
      </c>
      <c r="D340" t="s">
        <v>398</v>
      </c>
      <c r="E340" t="s">
        <v>735</v>
      </c>
      <c r="F340" s="1">
        <v>1.5</v>
      </c>
      <c r="G340" t="s">
        <v>736</v>
      </c>
    </row>
    <row r="341" spans="1:7">
      <c r="C341" s="63"/>
    </row>
    <row r="342" spans="1:7">
      <c r="C342" s="63"/>
    </row>
    <row r="343" spans="1:7">
      <c r="A343" t="s">
        <v>741</v>
      </c>
      <c r="B343" s="102">
        <v>45484</v>
      </c>
      <c r="C343" s="63"/>
      <c r="D343" t="s">
        <v>310</v>
      </c>
      <c r="E343" t="s">
        <v>629</v>
      </c>
      <c r="F343" s="1">
        <v>0.5</v>
      </c>
      <c r="G343" t="s">
        <v>747</v>
      </c>
    </row>
    <row r="344" spans="1:7">
      <c r="A344" t="s">
        <v>737</v>
      </c>
      <c r="B344" s="102">
        <v>45484</v>
      </c>
      <c r="C344" s="63">
        <v>14.43</v>
      </c>
      <c r="D344" t="s">
        <v>13</v>
      </c>
      <c r="E344" t="s">
        <v>735</v>
      </c>
      <c r="F344" s="1">
        <v>1.5</v>
      </c>
      <c r="G344" t="s">
        <v>748</v>
      </c>
    </row>
    <row r="345" spans="1:7">
      <c r="A345" t="s">
        <v>749</v>
      </c>
      <c r="B345" s="102">
        <v>45485</v>
      </c>
      <c r="C345" s="63"/>
      <c r="E345" t="s">
        <v>478</v>
      </c>
      <c r="F345" s="1">
        <v>0.5</v>
      </c>
      <c r="G345" t="s">
        <v>677</v>
      </c>
    </row>
    <row r="346" spans="1:7">
      <c r="A346" t="s">
        <v>741</v>
      </c>
      <c r="B346" s="102">
        <v>45485</v>
      </c>
      <c r="C346" s="63">
        <v>11.72</v>
      </c>
      <c r="D346" t="s">
        <v>310</v>
      </c>
      <c r="E346" t="s">
        <v>288</v>
      </c>
      <c r="F346" s="1">
        <v>1</v>
      </c>
      <c r="G346" t="s">
        <v>716</v>
      </c>
    </row>
    <row r="347" spans="1:7">
      <c r="A347" t="s">
        <v>737</v>
      </c>
      <c r="B347" s="102">
        <v>45485</v>
      </c>
      <c r="E347" t="s">
        <v>478</v>
      </c>
      <c r="F347" s="1">
        <v>0.5</v>
      </c>
      <c r="G347" t="s">
        <v>750</v>
      </c>
    </row>
    <row r="348" spans="1:7">
      <c r="A348" t="s">
        <v>741</v>
      </c>
      <c r="B348" s="102">
        <v>45486</v>
      </c>
      <c r="E348" t="s">
        <v>478</v>
      </c>
      <c r="F348" s="1">
        <v>1</v>
      </c>
      <c r="G348" t="s">
        <v>754</v>
      </c>
    </row>
    <row r="349" spans="1:7">
      <c r="A349" t="s">
        <v>737</v>
      </c>
      <c r="B349" s="102">
        <v>45486</v>
      </c>
      <c r="E349" t="s">
        <v>309</v>
      </c>
      <c r="F349" s="1">
        <v>1.5</v>
      </c>
      <c r="G349" t="s">
        <v>753</v>
      </c>
    </row>
    <row r="351" spans="1:7">
      <c r="A351" t="s">
        <v>741</v>
      </c>
      <c r="B351" s="102">
        <v>45487</v>
      </c>
      <c r="E351" t="s">
        <v>478</v>
      </c>
      <c r="F351" s="1">
        <v>1</v>
      </c>
      <c r="G351" t="s">
        <v>756</v>
      </c>
    </row>
    <row r="352" spans="1:7">
      <c r="A352" t="s">
        <v>737</v>
      </c>
      <c r="B352" s="102">
        <v>45487</v>
      </c>
      <c r="C352" s="63">
        <v>14.43</v>
      </c>
      <c r="D352" t="s">
        <v>13</v>
      </c>
      <c r="E352" t="s">
        <v>735</v>
      </c>
      <c r="F352" s="1">
        <v>1.5</v>
      </c>
      <c r="G352" t="s">
        <v>757</v>
      </c>
    </row>
    <row r="353" spans="1:7">
      <c r="A353" t="s">
        <v>741</v>
      </c>
      <c r="B353" s="102">
        <v>45488</v>
      </c>
      <c r="E353" t="s">
        <v>478</v>
      </c>
      <c r="F353" s="1">
        <v>1</v>
      </c>
      <c r="G353" t="s">
        <v>755</v>
      </c>
    </row>
    <row r="354" spans="1:7">
      <c r="A354" t="s">
        <v>737</v>
      </c>
      <c r="B354" s="102">
        <v>45488</v>
      </c>
      <c r="E354" t="s">
        <v>478</v>
      </c>
      <c r="F354" s="1">
        <v>1</v>
      </c>
      <c r="G354" t="s">
        <v>756</v>
      </c>
    </row>
    <row r="355" spans="1:7">
      <c r="A355" t="s">
        <v>741</v>
      </c>
      <c r="B355" s="102">
        <v>45489</v>
      </c>
      <c r="E355" t="s">
        <v>478</v>
      </c>
      <c r="F355" s="1">
        <v>1</v>
      </c>
      <c r="G355" t="s">
        <v>758</v>
      </c>
    </row>
    <row r="356" spans="1:7">
      <c r="A356" t="s">
        <v>737</v>
      </c>
      <c r="B356" s="102">
        <v>45489</v>
      </c>
      <c r="E356" t="s">
        <v>478</v>
      </c>
      <c r="F356" s="1">
        <v>0.5</v>
      </c>
      <c r="G356" t="s">
        <v>494</v>
      </c>
    </row>
    <row r="357" spans="1:7">
      <c r="A357" t="s">
        <v>741</v>
      </c>
      <c r="B357" s="102">
        <v>45490</v>
      </c>
      <c r="E357" t="s">
        <v>478</v>
      </c>
      <c r="F357" s="1">
        <v>1</v>
      </c>
      <c r="G357" t="s">
        <v>759</v>
      </c>
    </row>
    <row r="358" spans="1:7">
      <c r="A358" t="s">
        <v>737</v>
      </c>
      <c r="B358" s="102">
        <v>45490</v>
      </c>
      <c r="E358" t="s">
        <v>478</v>
      </c>
      <c r="F358" s="1">
        <v>1.5</v>
      </c>
      <c r="G358" t="s">
        <v>760</v>
      </c>
    </row>
    <row r="359" spans="1:7">
      <c r="A359" t="s">
        <v>741</v>
      </c>
      <c r="B359" s="102">
        <v>45491</v>
      </c>
      <c r="C359" s="63">
        <v>11.72</v>
      </c>
      <c r="D359" t="s">
        <v>310</v>
      </c>
      <c r="E359" t="s">
        <v>288</v>
      </c>
      <c r="F359" s="1">
        <v>1</v>
      </c>
      <c r="G359" t="s">
        <v>716</v>
      </c>
    </row>
    <row r="360" spans="1:7">
      <c r="A360" t="s">
        <v>737</v>
      </c>
      <c r="B360" s="102">
        <v>45491</v>
      </c>
      <c r="E360" t="s">
        <v>478</v>
      </c>
      <c r="F360" s="1">
        <v>1.5</v>
      </c>
      <c r="G360" t="s">
        <v>761</v>
      </c>
    </row>
    <row r="361" spans="1:7">
      <c r="A361" t="s">
        <v>741</v>
      </c>
      <c r="B361" s="102">
        <v>45492</v>
      </c>
      <c r="C361" s="63">
        <v>11.72</v>
      </c>
      <c r="D361" t="s">
        <v>310</v>
      </c>
      <c r="E361" t="s">
        <v>288</v>
      </c>
      <c r="F361" s="1">
        <v>1</v>
      </c>
      <c r="G361" t="s">
        <v>716</v>
      </c>
    </row>
    <row r="362" spans="1:7">
      <c r="A362" t="s">
        <v>737</v>
      </c>
      <c r="B362" s="102">
        <v>45492</v>
      </c>
      <c r="E362" t="s">
        <v>478</v>
      </c>
      <c r="F362" s="1">
        <v>1.5</v>
      </c>
      <c r="G362" t="s">
        <v>762</v>
      </c>
    </row>
    <row r="363" spans="1:7">
      <c r="A363" t="s">
        <v>741</v>
      </c>
      <c r="B363" s="102">
        <v>45493</v>
      </c>
      <c r="E363" t="s">
        <v>478</v>
      </c>
      <c r="F363" s="1">
        <v>1</v>
      </c>
      <c r="G363" t="s">
        <v>763</v>
      </c>
    </row>
    <row r="364" spans="1:7">
      <c r="A364" t="s">
        <v>737</v>
      </c>
      <c r="B364" s="102">
        <v>45493</v>
      </c>
      <c r="E364" t="s">
        <v>478</v>
      </c>
      <c r="F364" s="1">
        <v>1.5</v>
      </c>
      <c r="G364" t="s">
        <v>764</v>
      </c>
    </row>
    <row r="365" spans="1:7">
      <c r="A365" t="s">
        <v>737</v>
      </c>
      <c r="B365" s="102">
        <v>45494</v>
      </c>
      <c r="C365" s="63">
        <v>16.27</v>
      </c>
      <c r="D365" t="s">
        <v>13</v>
      </c>
      <c r="E365" t="s">
        <v>735</v>
      </c>
      <c r="F365" s="1">
        <v>1.5</v>
      </c>
      <c r="G365" t="s">
        <v>765</v>
      </c>
    </row>
    <row r="366" spans="1:7">
      <c r="A366" t="s">
        <v>741</v>
      </c>
      <c r="B366" s="102">
        <v>45495</v>
      </c>
      <c r="E366" t="s">
        <v>478</v>
      </c>
      <c r="F366" s="1">
        <v>1</v>
      </c>
      <c r="G366" t="s">
        <v>763</v>
      </c>
    </row>
    <row r="367" spans="1:7">
      <c r="A367" t="s">
        <v>737</v>
      </c>
      <c r="B367" s="102">
        <v>45495</v>
      </c>
      <c r="E367" t="s">
        <v>478</v>
      </c>
      <c r="F367" s="1">
        <v>1.5</v>
      </c>
      <c r="G367" t="s">
        <v>766</v>
      </c>
    </row>
    <row r="368" spans="1:7">
      <c r="A368" t="s">
        <v>749</v>
      </c>
      <c r="B368" s="102">
        <v>45496</v>
      </c>
      <c r="E368" t="s">
        <v>478</v>
      </c>
      <c r="F368" s="1">
        <v>0.5</v>
      </c>
      <c r="G368" t="s">
        <v>677</v>
      </c>
    </row>
    <row r="369" spans="1:7">
      <c r="A369" t="s">
        <v>741</v>
      </c>
      <c r="B369" s="102">
        <v>45496</v>
      </c>
      <c r="C369" s="63">
        <v>11.72</v>
      </c>
      <c r="D369" t="s">
        <v>310</v>
      </c>
      <c r="E369" t="s">
        <v>288</v>
      </c>
      <c r="F369" s="1">
        <v>1</v>
      </c>
      <c r="G369" t="s">
        <v>716</v>
      </c>
    </row>
    <row r="370" spans="1:7">
      <c r="A370" t="s">
        <v>741</v>
      </c>
      <c r="B370" s="102">
        <v>45497</v>
      </c>
      <c r="E370" t="s">
        <v>478</v>
      </c>
      <c r="F370" s="1">
        <v>1</v>
      </c>
      <c r="G370" t="s">
        <v>767</v>
      </c>
    </row>
    <row r="371" spans="1:7">
      <c r="A371" t="s">
        <v>737</v>
      </c>
      <c r="B371" s="102">
        <v>45497</v>
      </c>
      <c r="D371" t="s">
        <v>310</v>
      </c>
      <c r="E371" t="s">
        <v>312</v>
      </c>
      <c r="F371" s="1">
        <v>1.5</v>
      </c>
      <c r="G371" t="s">
        <v>768</v>
      </c>
    </row>
    <row r="372" spans="1:7">
      <c r="A372" t="s">
        <v>741</v>
      </c>
      <c r="B372" s="102">
        <v>45498</v>
      </c>
      <c r="C372" s="63">
        <v>11.72</v>
      </c>
      <c r="D372" t="s">
        <v>310</v>
      </c>
      <c r="E372" t="s">
        <v>288</v>
      </c>
      <c r="F372" s="1">
        <v>1</v>
      </c>
      <c r="G372" t="s">
        <v>716</v>
      </c>
    </row>
    <row r="373" spans="1:7">
      <c r="A373" t="s">
        <v>737</v>
      </c>
      <c r="B373" s="102">
        <v>45498</v>
      </c>
      <c r="E373" t="s">
        <v>478</v>
      </c>
      <c r="F373" s="1">
        <v>0.5</v>
      </c>
      <c r="G373" t="s">
        <v>494</v>
      </c>
    </row>
    <row r="374" spans="1:7">
      <c r="A374" t="s">
        <v>741</v>
      </c>
      <c r="B374" s="102">
        <v>45499</v>
      </c>
      <c r="E374" t="s">
        <v>478</v>
      </c>
      <c r="F374" s="1">
        <v>1</v>
      </c>
      <c r="G374" t="s">
        <v>767</v>
      </c>
    </row>
    <row r="375" spans="1:7">
      <c r="A375" t="s">
        <v>737</v>
      </c>
      <c r="B375" s="102">
        <v>45499</v>
      </c>
      <c r="E375" t="s">
        <v>478</v>
      </c>
      <c r="F375" s="1">
        <v>1</v>
      </c>
      <c r="G375" t="s">
        <v>769</v>
      </c>
    </row>
    <row r="376" spans="1:7">
      <c r="A376" t="s">
        <v>741</v>
      </c>
      <c r="B376" s="102">
        <v>45500</v>
      </c>
      <c r="E376" t="s">
        <v>774</v>
      </c>
      <c r="F376" s="1">
        <v>1.5</v>
      </c>
      <c r="G376" t="s">
        <v>775</v>
      </c>
    </row>
    <row r="377" spans="1:7">
      <c r="A377" t="s">
        <v>737</v>
      </c>
      <c r="B377" s="102">
        <v>45500</v>
      </c>
      <c r="E377" t="s">
        <v>772</v>
      </c>
      <c r="F377" s="1">
        <v>0.5</v>
      </c>
      <c r="G377" t="s">
        <v>773</v>
      </c>
    </row>
    <row r="378" spans="1:7">
      <c r="A378" t="s">
        <v>741</v>
      </c>
      <c r="B378" s="102">
        <v>45501</v>
      </c>
      <c r="C378" s="63">
        <v>16.27</v>
      </c>
      <c r="D378" t="s">
        <v>13</v>
      </c>
      <c r="E378" t="s">
        <v>735</v>
      </c>
      <c r="F378" s="1">
        <v>1.5</v>
      </c>
      <c r="G378" t="s">
        <v>770</v>
      </c>
    </row>
    <row r="379" spans="1:7">
      <c r="A379" t="s">
        <v>737</v>
      </c>
      <c r="B379" s="102">
        <v>45501</v>
      </c>
      <c r="E379" t="s">
        <v>478</v>
      </c>
      <c r="F379" s="1">
        <v>0.5</v>
      </c>
      <c r="G379" t="s">
        <v>771</v>
      </c>
    </row>
    <row r="380" spans="1:7">
      <c r="A380" t="s">
        <v>741</v>
      </c>
      <c r="B380" s="102">
        <v>45502</v>
      </c>
      <c r="C380" s="63">
        <v>11.72</v>
      </c>
      <c r="D380" t="s">
        <v>310</v>
      </c>
      <c r="E380" t="s">
        <v>288</v>
      </c>
      <c r="F380" s="1">
        <v>1</v>
      </c>
      <c r="G380" t="s">
        <v>716</v>
      </c>
    </row>
    <row r="381" spans="1:7">
      <c r="A381" t="s">
        <v>737</v>
      </c>
      <c r="B381" s="102">
        <v>45502</v>
      </c>
      <c r="E381" t="s">
        <v>478</v>
      </c>
      <c r="F381" s="1">
        <v>0.5</v>
      </c>
      <c r="G381" t="s">
        <v>771</v>
      </c>
    </row>
    <row r="382" spans="1:7">
      <c r="A382" t="s">
        <v>741</v>
      </c>
      <c r="B382" s="102">
        <v>45503</v>
      </c>
      <c r="E382" t="s">
        <v>478</v>
      </c>
      <c r="F382" s="1">
        <v>1.5</v>
      </c>
      <c r="G382" t="s">
        <v>640</v>
      </c>
    </row>
    <row r="383" spans="1:7">
      <c r="A383" t="s">
        <v>737</v>
      </c>
      <c r="B383" s="102">
        <v>45503</v>
      </c>
      <c r="E383" t="s">
        <v>478</v>
      </c>
      <c r="F383" s="1">
        <v>0.5</v>
      </c>
      <c r="G383" t="s">
        <v>771</v>
      </c>
    </row>
    <row r="384" spans="1:7">
      <c r="A384" t="s">
        <v>741</v>
      </c>
      <c r="B384" s="102">
        <v>45504</v>
      </c>
      <c r="C384">
        <v>16.489999999999998</v>
      </c>
      <c r="D384" t="s">
        <v>398</v>
      </c>
      <c r="E384" t="s">
        <v>665</v>
      </c>
      <c r="F384" s="1">
        <v>1.5</v>
      </c>
      <c r="G384" t="s">
        <v>779</v>
      </c>
    </row>
    <row r="385" spans="1:7">
      <c r="A385" t="s">
        <v>737</v>
      </c>
      <c r="B385" s="102">
        <v>45504</v>
      </c>
      <c r="E385" t="s">
        <v>478</v>
      </c>
      <c r="F385" s="1">
        <v>0.5</v>
      </c>
      <c r="G385" t="s">
        <v>771</v>
      </c>
    </row>
    <row r="386" spans="1:7">
      <c r="A386" t="s">
        <v>741</v>
      </c>
      <c r="B386" s="102">
        <v>45505</v>
      </c>
      <c r="E386" t="s">
        <v>478</v>
      </c>
      <c r="F386" s="1">
        <v>1.5</v>
      </c>
      <c r="G386" t="s">
        <v>766</v>
      </c>
    </row>
    <row r="387" spans="1:7">
      <c r="A387" t="s">
        <v>737</v>
      </c>
      <c r="B387" s="102">
        <v>45505</v>
      </c>
      <c r="E387" t="s">
        <v>478</v>
      </c>
      <c r="F387" s="1">
        <v>1.5</v>
      </c>
      <c r="G387" t="s">
        <v>782</v>
      </c>
    </row>
    <row r="388" spans="1:7">
      <c r="A388" t="s">
        <v>741</v>
      </c>
      <c r="B388" s="102">
        <v>45506</v>
      </c>
      <c r="C388" s="63">
        <v>11.72</v>
      </c>
      <c r="D388" t="s">
        <v>310</v>
      </c>
      <c r="E388" t="s">
        <v>288</v>
      </c>
      <c r="F388" s="1">
        <v>1</v>
      </c>
      <c r="G388" t="s">
        <v>716</v>
      </c>
    </row>
    <row r="389" spans="1:7">
      <c r="A389" t="s">
        <v>737</v>
      </c>
      <c r="B389" s="102">
        <v>45506</v>
      </c>
      <c r="E389" t="s">
        <v>478</v>
      </c>
      <c r="F389" s="1">
        <v>0.5</v>
      </c>
      <c r="G389" t="s">
        <v>494</v>
      </c>
    </row>
    <row r="390" spans="1:7">
      <c r="A390" t="s">
        <v>741</v>
      </c>
      <c r="B390" s="102">
        <v>45507</v>
      </c>
      <c r="E390" t="s">
        <v>478</v>
      </c>
      <c r="F390" s="370">
        <v>0.5</v>
      </c>
      <c r="G390" t="s">
        <v>781</v>
      </c>
    </row>
    <row r="391" spans="1:7">
      <c r="A391" t="s">
        <v>737</v>
      </c>
      <c r="B391" s="102">
        <v>45507</v>
      </c>
      <c r="C391" s="63">
        <v>16.27</v>
      </c>
      <c r="D391" t="s">
        <v>13</v>
      </c>
      <c r="E391" t="s">
        <v>735</v>
      </c>
      <c r="F391" s="1">
        <v>2</v>
      </c>
      <c r="G391" t="s">
        <v>765</v>
      </c>
    </row>
    <row r="392" spans="1:7">
      <c r="A392" t="s">
        <v>783</v>
      </c>
      <c r="B392" s="102">
        <v>45507</v>
      </c>
      <c r="E392" t="s">
        <v>478</v>
      </c>
      <c r="F392" s="370">
        <v>0.5</v>
      </c>
      <c r="G392" t="s">
        <v>781</v>
      </c>
    </row>
    <row r="393" spans="1:7">
      <c r="A393" t="s">
        <v>741</v>
      </c>
      <c r="B393" s="102">
        <v>45508</v>
      </c>
      <c r="E393" t="s">
        <v>478</v>
      </c>
      <c r="F393" s="1">
        <v>1.5</v>
      </c>
      <c r="G393" t="s">
        <v>766</v>
      </c>
    </row>
    <row r="394" spans="1:7">
      <c r="A394" t="s">
        <v>737</v>
      </c>
      <c r="B394" s="102">
        <v>45509</v>
      </c>
      <c r="E394" t="s">
        <v>478</v>
      </c>
      <c r="F394" s="1">
        <v>1</v>
      </c>
      <c r="G394" t="s">
        <v>787</v>
      </c>
    </row>
    <row r="395" spans="1:7">
      <c r="A395" t="s">
        <v>737</v>
      </c>
      <c r="B395" s="102">
        <v>45510</v>
      </c>
      <c r="F395" s="1">
        <v>1</v>
      </c>
      <c r="G395" t="s">
        <v>786</v>
      </c>
    </row>
    <row r="396" spans="1:7">
      <c r="A396" t="s">
        <v>741</v>
      </c>
      <c r="B396" s="102">
        <v>45511</v>
      </c>
      <c r="C396" s="63">
        <v>11.72</v>
      </c>
      <c r="D396" t="s">
        <v>310</v>
      </c>
      <c r="E396" t="s">
        <v>288</v>
      </c>
      <c r="F396" s="1">
        <v>1</v>
      </c>
      <c r="G396" t="s">
        <v>716</v>
      </c>
    </row>
    <row r="397" spans="1:7">
      <c r="A397" t="s">
        <v>737</v>
      </c>
      <c r="B397" s="102">
        <v>45511</v>
      </c>
      <c r="E397" t="s">
        <v>478</v>
      </c>
      <c r="F397" s="1">
        <v>1</v>
      </c>
      <c r="G397" t="s">
        <v>785</v>
      </c>
    </row>
    <row r="398" spans="1:7">
      <c r="A398" t="s">
        <v>737</v>
      </c>
      <c r="B398" s="102">
        <v>45512</v>
      </c>
      <c r="F398" s="1">
        <v>1</v>
      </c>
      <c r="G398" t="s">
        <v>764</v>
      </c>
    </row>
    <row r="399" spans="1:7">
      <c r="A399" t="s">
        <v>741</v>
      </c>
      <c r="B399" s="102">
        <v>45513</v>
      </c>
      <c r="C399" s="63">
        <v>11.72</v>
      </c>
      <c r="D399" t="s">
        <v>310</v>
      </c>
      <c r="E399" t="s">
        <v>288</v>
      </c>
      <c r="F399" s="1">
        <v>1</v>
      </c>
      <c r="G399" t="s">
        <v>716</v>
      </c>
    </row>
    <row r="400" spans="1:7">
      <c r="A400" t="s">
        <v>737</v>
      </c>
      <c r="B400" s="102">
        <v>45513</v>
      </c>
      <c r="F400" s="1">
        <v>0.5</v>
      </c>
      <c r="G400" t="s">
        <v>791</v>
      </c>
    </row>
    <row r="401" spans="1:7">
      <c r="A401" t="s">
        <v>741</v>
      </c>
      <c r="B401" s="102">
        <v>45514</v>
      </c>
      <c r="C401" s="63">
        <v>11.29</v>
      </c>
      <c r="D401" t="s">
        <v>310</v>
      </c>
      <c r="E401" t="s">
        <v>288</v>
      </c>
      <c r="F401" s="1">
        <v>1</v>
      </c>
      <c r="G401" t="s">
        <v>790</v>
      </c>
    </row>
    <row r="402" spans="1:7">
      <c r="A402" t="s">
        <v>737</v>
      </c>
      <c r="B402" s="102">
        <v>45514</v>
      </c>
      <c r="E402" t="s">
        <v>309</v>
      </c>
      <c r="F402" s="1">
        <v>1</v>
      </c>
      <c r="G402" t="s">
        <v>789</v>
      </c>
    </row>
    <row r="403" spans="1:7">
      <c r="A403" t="s">
        <v>741</v>
      </c>
      <c r="B403" s="102">
        <v>45515</v>
      </c>
      <c r="C403" s="63"/>
      <c r="F403" s="1">
        <v>0.5</v>
      </c>
      <c r="G403" t="s">
        <v>788</v>
      </c>
    </row>
    <row r="404" spans="1:7">
      <c r="A404" t="s">
        <v>737</v>
      </c>
      <c r="B404" s="102">
        <v>45515</v>
      </c>
      <c r="C404" s="63"/>
      <c r="E404" t="s">
        <v>478</v>
      </c>
      <c r="F404" s="1">
        <v>1</v>
      </c>
      <c r="G404" t="s">
        <v>786</v>
      </c>
    </row>
    <row r="405" spans="1:7">
      <c r="A405" t="s">
        <v>737</v>
      </c>
      <c r="B405" s="102">
        <v>45516</v>
      </c>
      <c r="C405" s="63">
        <v>11.29</v>
      </c>
      <c r="D405" t="s">
        <v>310</v>
      </c>
      <c r="E405" t="s">
        <v>288</v>
      </c>
      <c r="F405" s="1">
        <v>1</v>
      </c>
      <c r="G405" t="s">
        <v>790</v>
      </c>
    </row>
    <row r="406" spans="1:7">
      <c r="A406" t="s">
        <v>741</v>
      </c>
      <c r="B406" s="102">
        <v>45517</v>
      </c>
      <c r="C406" s="63"/>
      <c r="E406" t="s">
        <v>478</v>
      </c>
      <c r="F406" s="1">
        <v>1</v>
      </c>
      <c r="G406" t="s">
        <v>834</v>
      </c>
    </row>
    <row r="407" spans="1:7">
      <c r="A407" t="s">
        <v>737</v>
      </c>
      <c r="B407" s="102">
        <v>45517</v>
      </c>
      <c r="C407" s="63"/>
      <c r="E407" t="s">
        <v>478</v>
      </c>
      <c r="F407" s="1">
        <v>1</v>
      </c>
      <c r="G407" t="s">
        <v>800</v>
      </c>
    </row>
    <row r="408" spans="1:7">
      <c r="B408" s="102">
        <v>45518</v>
      </c>
      <c r="C408" s="63"/>
      <c r="F408" s="1"/>
    </row>
    <row r="409" spans="1:7">
      <c r="A409" t="s">
        <v>741</v>
      </c>
      <c r="B409" s="102">
        <v>45519</v>
      </c>
      <c r="C409" s="63"/>
      <c r="E409" t="s">
        <v>832</v>
      </c>
      <c r="F409" s="1">
        <v>1</v>
      </c>
      <c r="G409" t="s">
        <v>838</v>
      </c>
    </row>
    <row r="410" spans="1:7">
      <c r="A410" t="s">
        <v>737</v>
      </c>
      <c r="B410" s="102">
        <v>45519</v>
      </c>
      <c r="E410" t="s">
        <v>478</v>
      </c>
      <c r="F410" s="1">
        <v>1</v>
      </c>
      <c r="G410" t="s">
        <v>829</v>
      </c>
    </row>
    <row r="411" spans="1:7">
      <c r="A411" t="s">
        <v>741</v>
      </c>
      <c r="B411" s="102">
        <v>45520</v>
      </c>
      <c r="E411" t="s">
        <v>478</v>
      </c>
      <c r="F411" s="1">
        <v>1</v>
      </c>
      <c r="G411" t="s">
        <v>833</v>
      </c>
    </row>
    <row r="412" spans="1:7">
      <c r="A412" t="s">
        <v>737</v>
      </c>
      <c r="B412" s="102">
        <v>45520</v>
      </c>
      <c r="E412" t="s">
        <v>478</v>
      </c>
      <c r="F412" s="1">
        <v>1</v>
      </c>
      <c r="G412" t="s">
        <v>833</v>
      </c>
    </row>
    <row r="413" spans="1:7">
      <c r="A413" t="s">
        <v>741</v>
      </c>
      <c r="B413" s="102">
        <v>45521</v>
      </c>
      <c r="C413" s="63"/>
      <c r="E413" t="s">
        <v>830</v>
      </c>
      <c r="F413" s="1">
        <v>1</v>
      </c>
      <c r="G413" t="s">
        <v>831</v>
      </c>
    </row>
    <row r="414" spans="1:7">
      <c r="A414" t="s">
        <v>737</v>
      </c>
      <c r="B414" s="102">
        <v>45521</v>
      </c>
      <c r="C414" s="63"/>
      <c r="E414" t="s">
        <v>478</v>
      </c>
      <c r="F414" s="1">
        <v>1</v>
      </c>
      <c r="G414" t="s">
        <v>825</v>
      </c>
    </row>
    <row r="415" spans="1:7">
      <c r="B415" s="102">
        <v>45522</v>
      </c>
      <c r="C415" s="63"/>
      <c r="E415" t="s">
        <v>478</v>
      </c>
      <c r="F415" s="1">
        <v>1</v>
      </c>
      <c r="G415" t="s">
        <v>829</v>
      </c>
    </row>
    <row r="416" spans="1:7">
      <c r="A416" t="s">
        <v>741</v>
      </c>
      <c r="B416" s="102">
        <v>45523</v>
      </c>
      <c r="C416" s="63">
        <v>11.72</v>
      </c>
      <c r="D416" t="s">
        <v>310</v>
      </c>
      <c r="E416" t="s">
        <v>311</v>
      </c>
      <c r="F416" s="1">
        <v>1</v>
      </c>
      <c r="G416" t="s">
        <v>801</v>
      </c>
    </row>
    <row r="417" spans="1:7">
      <c r="B417" s="102">
        <v>45524</v>
      </c>
      <c r="C417" s="63"/>
      <c r="E417" t="s">
        <v>478</v>
      </c>
      <c r="F417" s="1">
        <v>1.5</v>
      </c>
      <c r="G417" t="s">
        <v>828</v>
      </c>
    </row>
    <row r="418" spans="1:7">
      <c r="B418" s="102">
        <v>45525</v>
      </c>
      <c r="C418" s="63"/>
      <c r="E418" t="s">
        <v>478</v>
      </c>
      <c r="F418" s="1">
        <v>1.5</v>
      </c>
      <c r="G418" t="s">
        <v>827</v>
      </c>
    </row>
    <row r="419" spans="1:7">
      <c r="A419" t="s">
        <v>737</v>
      </c>
      <c r="B419" s="102">
        <v>45526</v>
      </c>
      <c r="C419" s="63">
        <v>11.72</v>
      </c>
      <c r="D419" t="s">
        <v>310</v>
      </c>
      <c r="E419" t="s">
        <v>311</v>
      </c>
      <c r="F419" s="1">
        <v>1.5</v>
      </c>
      <c r="G419" t="s">
        <v>835</v>
      </c>
    </row>
    <row r="420" spans="1:7">
      <c r="B420" s="102">
        <v>45527</v>
      </c>
      <c r="C420" s="63"/>
      <c r="E420" t="s">
        <v>478</v>
      </c>
      <c r="F420" s="1">
        <v>1.5</v>
      </c>
      <c r="G420" t="s">
        <v>828</v>
      </c>
    </row>
    <row r="421" spans="1:7">
      <c r="A421" t="s">
        <v>741</v>
      </c>
      <c r="B421" s="102">
        <v>45528</v>
      </c>
      <c r="C421" s="63">
        <v>11.72</v>
      </c>
      <c r="D421" t="s">
        <v>310</v>
      </c>
      <c r="E421" t="s">
        <v>311</v>
      </c>
      <c r="F421" s="1">
        <v>1.5</v>
      </c>
      <c r="G421" t="s">
        <v>837</v>
      </c>
    </row>
    <row r="422" spans="1:7">
      <c r="A422" t="s">
        <v>737</v>
      </c>
      <c r="B422" s="102">
        <v>45528</v>
      </c>
      <c r="C422" s="63"/>
      <c r="E422" t="s">
        <v>478</v>
      </c>
      <c r="F422" s="1">
        <v>1</v>
      </c>
      <c r="G422" t="s">
        <v>825</v>
      </c>
    </row>
    <row r="423" spans="1:7">
      <c r="B423" s="102">
        <v>45529</v>
      </c>
      <c r="C423" s="63"/>
      <c r="E423" t="s">
        <v>402</v>
      </c>
      <c r="F423" s="1">
        <v>1</v>
      </c>
      <c r="G423" t="s">
        <v>826</v>
      </c>
    </row>
    <row r="424" spans="1:7">
      <c r="A424" t="s">
        <v>741</v>
      </c>
      <c r="B424" s="102">
        <v>45530</v>
      </c>
      <c r="C424" s="63">
        <v>11.72</v>
      </c>
      <c r="D424" t="s">
        <v>310</v>
      </c>
      <c r="E424" t="s">
        <v>311</v>
      </c>
      <c r="F424" s="1">
        <v>1</v>
      </c>
      <c r="G424" t="s">
        <v>801</v>
      </c>
    </row>
    <row r="425" spans="1:7">
      <c r="A425" t="s">
        <v>737</v>
      </c>
      <c r="B425" s="102">
        <v>45530</v>
      </c>
      <c r="C425" s="63"/>
      <c r="E425" t="s">
        <v>478</v>
      </c>
      <c r="F425" s="1">
        <v>1</v>
      </c>
      <c r="G425" t="s">
        <v>825</v>
      </c>
    </row>
    <row r="426" spans="1:7">
      <c r="B426" s="102">
        <v>45531</v>
      </c>
      <c r="C426" s="63"/>
      <c r="E426" t="s">
        <v>478</v>
      </c>
      <c r="F426" s="1">
        <v>1</v>
      </c>
      <c r="G426" t="s">
        <v>824</v>
      </c>
    </row>
    <row r="427" spans="1:7">
      <c r="B427" s="102">
        <v>45532</v>
      </c>
      <c r="C427" s="63"/>
      <c r="E427" t="s">
        <v>478</v>
      </c>
      <c r="F427" s="1">
        <v>1.5</v>
      </c>
      <c r="G427" t="s">
        <v>823</v>
      </c>
    </row>
    <row r="428" spans="1:7">
      <c r="B428" s="102">
        <v>45533</v>
      </c>
      <c r="C428" s="63"/>
      <c r="E428" t="s">
        <v>821</v>
      </c>
      <c r="F428" s="1">
        <v>0.5</v>
      </c>
      <c r="G428" t="s">
        <v>822</v>
      </c>
    </row>
    <row r="429" spans="1:7">
      <c r="A429" t="s">
        <v>741</v>
      </c>
      <c r="B429" s="102">
        <v>45533</v>
      </c>
      <c r="C429" s="63"/>
      <c r="E429" t="s">
        <v>478</v>
      </c>
      <c r="F429" s="1">
        <v>1</v>
      </c>
      <c r="G429" t="s">
        <v>820</v>
      </c>
    </row>
    <row r="430" spans="1:7">
      <c r="A430" t="s">
        <v>737</v>
      </c>
      <c r="B430" s="102">
        <v>45533</v>
      </c>
      <c r="C430" s="63"/>
      <c r="E430" t="s">
        <v>478</v>
      </c>
      <c r="F430" s="1">
        <v>0.5</v>
      </c>
      <c r="G430" t="s">
        <v>819</v>
      </c>
    </row>
    <row r="431" spans="1:7">
      <c r="A431" t="s">
        <v>741</v>
      </c>
      <c r="B431" s="102">
        <v>45534</v>
      </c>
      <c r="C431" s="63">
        <v>11.72</v>
      </c>
      <c r="D431" t="s">
        <v>310</v>
      </c>
      <c r="E431" t="s">
        <v>311</v>
      </c>
      <c r="F431" s="1">
        <v>1.5</v>
      </c>
      <c r="G431" t="s">
        <v>836</v>
      </c>
    </row>
    <row r="432" spans="1:7">
      <c r="A432" t="s">
        <v>737</v>
      </c>
      <c r="B432" s="102">
        <v>45534</v>
      </c>
      <c r="C432" s="63"/>
      <c r="E432" t="s">
        <v>478</v>
      </c>
      <c r="F432" s="1">
        <v>1</v>
      </c>
      <c r="G432" t="s">
        <v>818</v>
      </c>
    </row>
    <row r="433" spans="1:7">
      <c r="A433" t="s">
        <v>737</v>
      </c>
      <c r="B433" s="102">
        <v>45535</v>
      </c>
      <c r="C433" s="63">
        <v>11.35</v>
      </c>
      <c r="D433" t="s">
        <v>310</v>
      </c>
      <c r="E433" t="s">
        <v>311</v>
      </c>
      <c r="F433" s="1">
        <v>1</v>
      </c>
      <c r="G433" t="s">
        <v>810</v>
      </c>
    </row>
    <row r="434" spans="1:7">
      <c r="B434" s="102">
        <v>45536</v>
      </c>
      <c r="C434" s="63"/>
      <c r="E434" t="s">
        <v>478</v>
      </c>
      <c r="F434" s="1">
        <v>2.5</v>
      </c>
      <c r="G434" t="s">
        <v>811</v>
      </c>
    </row>
    <row r="435" spans="1:7">
      <c r="B435" s="102">
        <v>45537</v>
      </c>
      <c r="C435" s="63"/>
      <c r="E435" t="s">
        <v>478</v>
      </c>
      <c r="F435" s="1">
        <v>2</v>
      </c>
      <c r="G435" t="s">
        <v>809</v>
      </c>
    </row>
    <row r="436" spans="1:7">
      <c r="A436" t="s">
        <v>737</v>
      </c>
      <c r="B436" s="102">
        <v>45538</v>
      </c>
      <c r="C436" s="63">
        <v>10.92</v>
      </c>
      <c r="D436" t="s">
        <v>310</v>
      </c>
      <c r="E436" t="s">
        <v>311</v>
      </c>
      <c r="F436" s="1">
        <v>1.5</v>
      </c>
      <c r="G436" t="s">
        <v>808</v>
      </c>
    </row>
    <row r="437" spans="1:7">
      <c r="B437" s="102">
        <v>45539</v>
      </c>
      <c r="C437" s="63"/>
      <c r="D437" t="s">
        <v>805</v>
      </c>
      <c r="E437" t="s">
        <v>312</v>
      </c>
      <c r="F437" s="1">
        <v>1.5</v>
      </c>
      <c r="G437" t="s">
        <v>806</v>
      </c>
    </row>
    <row r="438" spans="1:7">
      <c r="A438" t="s">
        <v>741</v>
      </c>
      <c r="B438" s="102">
        <v>45540</v>
      </c>
      <c r="C438" s="63">
        <v>11.68</v>
      </c>
      <c r="D438" t="s">
        <v>310</v>
      </c>
      <c r="E438" t="s">
        <v>311</v>
      </c>
      <c r="F438" s="1">
        <v>1</v>
      </c>
      <c r="G438" t="s">
        <v>801</v>
      </c>
    </row>
    <row r="439" spans="1:7">
      <c r="A439" t="s">
        <v>749</v>
      </c>
      <c r="B439" s="102">
        <v>45541</v>
      </c>
      <c r="E439" t="s">
        <v>478</v>
      </c>
      <c r="F439" s="1">
        <v>0.5</v>
      </c>
      <c r="G439" t="s">
        <v>711</v>
      </c>
    </row>
    <row r="440" spans="1:7">
      <c r="A440" t="s">
        <v>741</v>
      </c>
      <c r="B440" s="102">
        <v>45541</v>
      </c>
      <c r="C440" s="63">
        <v>11.72</v>
      </c>
      <c r="D440" t="s">
        <v>310</v>
      </c>
      <c r="E440" t="s">
        <v>311</v>
      </c>
      <c r="F440" s="1">
        <v>1</v>
      </c>
      <c r="G440" t="s">
        <v>801</v>
      </c>
    </row>
    <row r="441" spans="1:7">
      <c r="A441" t="s">
        <v>741</v>
      </c>
      <c r="B441" s="102">
        <v>45542</v>
      </c>
      <c r="C441" s="63">
        <v>14.51</v>
      </c>
      <c r="D441" t="s">
        <v>398</v>
      </c>
      <c r="E441" t="s">
        <v>312</v>
      </c>
      <c r="F441" s="1">
        <v>1.5</v>
      </c>
      <c r="G441" t="s">
        <v>817</v>
      </c>
    </row>
    <row r="442" spans="1:7">
      <c r="A442" t="s">
        <v>737</v>
      </c>
      <c r="B442" s="102">
        <v>45542</v>
      </c>
      <c r="C442" s="63"/>
      <c r="E442" t="s">
        <v>478</v>
      </c>
      <c r="F442" s="1">
        <v>1</v>
      </c>
      <c r="G442" t="s">
        <v>804</v>
      </c>
    </row>
    <row r="443" spans="1:7">
      <c r="A443" t="s">
        <v>737</v>
      </c>
      <c r="B443" s="102">
        <v>45543</v>
      </c>
      <c r="C443" s="63"/>
      <c r="E443" t="s">
        <v>478</v>
      </c>
      <c r="F443" s="1">
        <v>1.5</v>
      </c>
      <c r="G443" t="s">
        <v>803</v>
      </c>
    </row>
    <row r="444" spans="1:7">
      <c r="A444" t="s">
        <v>737</v>
      </c>
      <c r="B444" s="102">
        <v>45544</v>
      </c>
      <c r="C444" s="63">
        <v>12.16</v>
      </c>
      <c r="D444" t="s">
        <v>310</v>
      </c>
      <c r="E444" t="s">
        <v>311</v>
      </c>
      <c r="F444" s="1">
        <v>2</v>
      </c>
      <c r="G444" t="s">
        <v>802</v>
      </c>
    </row>
    <row r="445" spans="1:7">
      <c r="A445" t="s">
        <v>737</v>
      </c>
      <c r="B445" s="102">
        <v>45545</v>
      </c>
      <c r="C445" s="63"/>
      <c r="E445" t="s">
        <v>478</v>
      </c>
      <c r="F445" s="1">
        <v>1</v>
      </c>
      <c r="G445" t="s">
        <v>800</v>
      </c>
    </row>
    <row r="446" spans="1:7">
      <c r="A446" t="s">
        <v>741</v>
      </c>
      <c r="B446" s="102">
        <v>45546</v>
      </c>
      <c r="C446" s="63">
        <v>11.72</v>
      </c>
      <c r="D446" t="s">
        <v>310</v>
      </c>
      <c r="E446" t="s">
        <v>311</v>
      </c>
      <c r="F446" s="1">
        <v>1</v>
      </c>
      <c r="G446" t="s">
        <v>801</v>
      </c>
    </row>
    <row r="447" spans="1:7">
      <c r="A447" t="s">
        <v>737</v>
      </c>
      <c r="B447" s="102">
        <v>45546</v>
      </c>
      <c r="C447" s="63"/>
      <c r="D447" t="s">
        <v>310</v>
      </c>
      <c r="E447" t="s">
        <v>309</v>
      </c>
      <c r="F447" s="1">
        <v>1</v>
      </c>
      <c r="G447" t="s">
        <v>799</v>
      </c>
    </row>
    <row r="448" spans="1:7">
      <c r="A448" t="s">
        <v>741</v>
      </c>
      <c r="B448" s="102">
        <v>45547</v>
      </c>
      <c r="C448" s="63"/>
      <c r="E448" t="s">
        <v>797</v>
      </c>
      <c r="F448" s="1">
        <v>0.5</v>
      </c>
      <c r="G448" t="s">
        <v>798</v>
      </c>
    </row>
    <row r="449" spans="1:7">
      <c r="A449" t="s">
        <v>737</v>
      </c>
      <c r="B449" s="102">
        <v>45547</v>
      </c>
      <c r="C449" s="63"/>
      <c r="E449" t="s">
        <v>478</v>
      </c>
      <c r="F449" s="1">
        <v>1</v>
      </c>
      <c r="G449" t="s">
        <v>661</v>
      </c>
    </row>
    <row r="450" spans="1:7">
      <c r="A450" t="s">
        <v>749</v>
      </c>
      <c r="B450" s="102">
        <v>45548</v>
      </c>
      <c r="C450" s="63"/>
      <c r="E450" t="s">
        <v>478</v>
      </c>
      <c r="F450" s="1">
        <v>0.5</v>
      </c>
      <c r="G450" t="s">
        <v>711</v>
      </c>
    </row>
    <row r="451" spans="1:7">
      <c r="A451" t="s">
        <v>741</v>
      </c>
      <c r="B451" s="102">
        <v>45548</v>
      </c>
      <c r="C451" s="63">
        <v>11.22</v>
      </c>
      <c r="D451" t="s">
        <v>310</v>
      </c>
      <c r="E451" t="s">
        <v>311</v>
      </c>
      <c r="F451" s="1">
        <v>1.5</v>
      </c>
      <c r="G451" t="s">
        <v>795</v>
      </c>
    </row>
    <row r="452" spans="1:7">
      <c r="A452" t="s">
        <v>737</v>
      </c>
      <c r="B452" s="102">
        <v>45548</v>
      </c>
      <c r="C452" s="63"/>
      <c r="E452" t="s">
        <v>478</v>
      </c>
      <c r="F452" s="1">
        <v>0.5</v>
      </c>
      <c r="G452" t="s">
        <v>796</v>
      </c>
    </row>
    <row r="453" spans="1:7">
      <c r="A453" t="s">
        <v>749</v>
      </c>
      <c r="B453" s="102">
        <v>45549</v>
      </c>
      <c r="C453" s="63"/>
      <c r="E453" t="s">
        <v>478</v>
      </c>
      <c r="F453" s="1">
        <v>0.5</v>
      </c>
      <c r="G453" t="s">
        <v>794</v>
      </c>
    </row>
    <row r="454" spans="1:7">
      <c r="A454" t="s">
        <v>737</v>
      </c>
      <c r="B454" s="102">
        <v>45549</v>
      </c>
      <c r="C454" s="63"/>
      <c r="E454" t="s">
        <v>478</v>
      </c>
      <c r="F454" s="1">
        <v>1.5</v>
      </c>
      <c r="G454" t="s">
        <v>807</v>
      </c>
    </row>
    <row r="455" spans="1:7">
      <c r="A455" t="s">
        <v>737</v>
      </c>
      <c r="B455" s="102">
        <v>45550</v>
      </c>
      <c r="C455" s="63">
        <v>15</v>
      </c>
      <c r="D455" t="s">
        <v>398</v>
      </c>
      <c r="E455" t="s">
        <v>312</v>
      </c>
      <c r="F455" s="1">
        <v>1.5</v>
      </c>
      <c r="G455" t="s">
        <v>812</v>
      </c>
    </row>
    <row r="456" spans="1:7">
      <c r="A456" t="s">
        <v>737</v>
      </c>
      <c r="B456" s="102">
        <v>45551</v>
      </c>
      <c r="C456" s="63"/>
      <c r="E456" t="s">
        <v>478</v>
      </c>
      <c r="F456" s="1">
        <v>1.5</v>
      </c>
      <c r="G456" t="s">
        <v>813</v>
      </c>
    </row>
    <row r="457" spans="1:7">
      <c r="A457" t="s">
        <v>737</v>
      </c>
      <c r="B457" s="102">
        <v>45552</v>
      </c>
      <c r="C457" s="63"/>
      <c r="E457" t="s">
        <v>478</v>
      </c>
      <c r="F457" s="1">
        <v>1.5</v>
      </c>
      <c r="G457" t="s">
        <v>814</v>
      </c>
    </row>
    <row r="458" spans="1:7">
      <c r="A458" t="s">
        <v>737</v>
      </c>
      <c r="B458" s="102">
        <v>45553</v>
      </c>
      <c r="C458" s="63">
        <v>16.27</v>
      </c>
      <c r="D458" t="s">
        <v>13</v>
      </c>
      <c r="E458" t="s">
        <v>402</v>
      </c>
      <c r="F458" s="1">
        <v>1.5</v>
      </c>
      <c r="G458" t="s">
        <v>815</v>
      </c>
    </row>
    <row r="459" spans="1:7">
      <c r="A459" t="s">
        <v>737</v>
      </c>
      <c r="B459" s="102">
        <v>45554</v>
      </c>
      <c r="C459" s="63"/>
      <c r="E459" t="s">
        <v>478</v>
      </c>
      <c r="F459" s="1">
        <v>1.5</v>
      </c>
      <c r="G459" t="s">
        <v>816</v>
      </c>
    </row>
    <row r="460" spans="1:7">
      <c r="A460" t="s">
        <v>741</v>
      </c>
      <c r="B460" s="102">
        <v>45555</v>
      </c>
      <c r="C460" s="63">
        <v>11.72</v>
      </c>
      <c r="D460" t="s">
        <v>310</v>
      </c>
      <c r="E460" t="s">
        <v>311</v>
      </c>
      <c r="F460" s="1">
        <v>1</v>
      </c>
      <c r="G460" t="s">
        <v>801</v>
      </c>
    </row>
    <row r="461" spans="1:7">
      <c r="A461" t="s">
        <v>737</v>
      </c>
      <c r="B461" s="102">
        <v>45555</v>
      </c>
      <c r="C461" s="63">
        <v>14.51</v>
      </c>
      <c r="D461" t="s">
        <v>310</v>
      </c>
      <c r="E461" t="s">
        <v>312</v>
      </c>
      <c r="F461" s="1">
        <v>1.5</v>
      </c>
      <c r="G461" t="s">
        <v>840</v>
      </c>
    </row>
    <row r="462" spans="1:7">
      <c r="A462" t="s">
        <v>841</v>
      </c>
      <c r="B462" s="102">
        <v>45555</v>
      </c>
      <c r="E462" t="s">
        <v>478</v>
      </c>
      <c r="F462" s="1">
        <v>0.5</v>
      </c>
      <c r="G462" t="s">
        <v>842</v>
      </c>
    </row>
    <row r="463" spans="1:7">
      <c r="A463" t="s">
        <v>741</v>
      </c>
      <c r="B463" s="102">
        <v>45556</v>
      </c>
      <c r="C463" s="63">
        <v>15.84</v>
      </c>
      <c r="D463" t="s">
        <v>310</v>
      </c>
      <c r="E463" t="s">
        <v>402</v>
      </c>
      <c r="F463" s="1">
        <v>1</v>
      </c>
      <c r="G463" t="s">
        <v>846</v>
      </c>
    </row>
    <row r="464" spans="1:7">
      <c r="A464" t="s">
        <v>737</v>
      </c>
      <c r="B464" s="102">
        <v>45556</v>
      </c>
      <c r="E464" t="s">
        <v>478</v>
      </c>
      <c r="F464" s="1">
        <v>1</v>
      </c>
      <c r="G464" t="s">
        <v>845</v>
      </c>
    </row>
    <row r="465" spans="1:7">
      <c r="A465" t="s">
        <v>741</v>
      </c>
      <c r="B465" s="102">
        <v>45557</v>
      </c>
      <c r="C465" s="63">
        <f>1.9*2</f>
        <v>3.8</v>
      </c>
      <c r="D465" t="s">
        <v>310</v>
      </c>
      <c r="E465" t="s">
        <v>629</v>
      </c>
      <c r="F465" s="1">
        <v>0.5</v>
      </c>
      <c r="G465" t="s">
        <v>847</v>
      </c>
    </row>
    <row r="466" spans="1:7">
      <c r="A466" t="s">
        <v>741</v>
      </c>
      <c r="B466" s="102">
        <v>45557</v>
      </c>
      <c r="C466" s="63">
        <v>14.51</v>
      </c>
      <c r="D466" t="s">
        <v>398</v>
      </c>
      <c r="E466" t="s">
        <v>312</v>
      </c>
      <c r="F466" s="1">
        <v>1.5</v>
      </c>
      <c r="G466" t="s">
        <v>843</v>
      </c>
    </row>
    <row r="467" spans="1:7">
      <c r="A467" t="s">
        <v>737</v>
      </c>
      <c r="B467" s="102">
        <v>45557</v>
      </c>
      <c r="E467" t="s">
        <v>478</v>
      </c>
      <c r="F467" s="1">
        <v>1</v>
      </c>
      <c r="G467" t="s">
        <v>844</v>
      </c>
    </row>
    <row r="468" spans="1:7">
      <c r="A468" t="s">
        <v>737</v>
      </c>
      <c r="B468" s="102">
        <v>45558</v>
      </c>
      <c r="C468" s="6">
        <v>11.35</v>
      </c>
      <c r="D468" t="s">
        <v>310</v>
      </c>
      <c r="E468" t="s">
        <v>288</v>
      </c>
      <c r="F468" s="1">
        <v>1.5</v>
      </c>
      <c r="G468" t="s">
        <v>849</v>
      </c>
    </row>
    <row r="469" spans="1:7">
      <c r="A469" t="s">
        <v>737</v>
      </c>
      <c r="B469" s="102">
        <v>45559</v>
      </c>
      <c r="C469" s="6">
        <v>15</v>
      </c>
      <c r="D469" t="s">
        <v>398</v>
      </c>
      <c r="E469" t="s">
        <v>312</v>
      </c>
      <c r="F469" s="1">
        <v>1.5</v>
      </c>
      <c r="G469" t="s">
        <v>843</v>
      </c>
    </row>
    <row r="470" spans="1:7">
      <c r="A470" t="s">
        <v>741</v>
      </c>
      <c r="B470" s="102">
        <v>45560</v>
      </c>
      <c r="C470" s="6">
        <v>14</v>
      </c>
      <c r="D470" t="s">
        <v>398</v>
      </c>
      <c r="E470" t="s">
        <v>665</v>
      </c>
      <c r="F470" s="1">
        <v>1.5</v>
      </c>
      <c r="G470" t="s">
        <v>779</v>
      </c>
    </row>
    <row r="471" spans="1:7">
      <c r="A471" t="s">
        <v>737</v>
      </c>
      <c r="B471" s="102">
        <v>45560</v>
      </c>
      <c r="E471" t="s">
        <v>478</v>
      </c>
      <c r="F471" s="1">
        <v>1</v>
      </c>
      <c r="G471" t="s">
        <v>848</v>
      </c>
    </row>
    <row r="472" spans="1:7">
      <c r="A472" t="s">
        <v>737</v>
      </c>
      <c r="B472" s="102">
        <v>45561</v>
      </c>
      <c r="C472" s="6">
        <v>10.85</v>
      </c>
      <c r="D472" t="s">
        <v>13</v>
      </c>
      <c r="E472" t="s">
        <v>402</v>
      </c>
      <c r="F472" s="1">
        <v>1</v>
      </c>
      <c r="G472" t="s">
        <v>850</v>
      </c>
    </row>
    <row r="473" spans="1:7">
      <c r="A473" t="s">
        <v>741</v>
      </c>
      <c r="B473" s="102">
        <v>45562</v>
      </c>
      <c r="C473" s="6">
        <v>11.35</v>
      </c>
      <c r="D473" t="s">
        <v>310</v>
      </c>
      <c r="E473" t="s">
        <v>288</v>
      </c>
      <c r="F473" s="1">
        <v>1.5</v>
      </c>
      <c r="G473" t="s">
        <v>851</v>
      </c>
    </row>
    <row r="474" spans="1:7">
      <c r="A474" t="s">
        <v>737</v>
      </c>
      <c r="B474" s="102">
        <v>45562</v>
      </c>
      <c r="E474" t="s">
        <v>478</v>
      </c>
      <c r="F474" s="1">
        <v>0.5</v>
      </c>
      <c r="G474" t="s">
        <v>854</v>
      </c>
    </row>
    <row r="475" spans="1:7">
      <c r="A475" t="s">
        <v>741</v>
      </c>
      <c r="B475" s="102">
        <v>45563</v>
      </c>
      <c r="C475" s="6">
        <v>11.35</v>
      </c>
      <c r="D475" t="s">
        <v>310</v>
      </c>
      <c r="E475" t="s">
        <v>288</v>
      </c>
      <c r="F475" s="1">
        <v>1</v>
      </c>
      <c r="G475" t="s">
        <v>852</v>
      </c>
    </row>
    <row r="476" spans="1:7">
      <c r="A476" t="s">
        <v>737</v>
      </c>
      <c r="B476" s="102">
        <v>45563</v>
      </c>
      <c r="C476" s="6">
        <v>16.48</v>
      </c>
      <c r="D476" t="s">
        <v>310</v>
      </c>
      <c r="E476" t="s">
        <v>309</v>
      </c>
      <c r="F476" s="1">
        <v>1.5</v>
      </c>
      <c r="G476" t="s">
        <v>853</v>
      </c>
    </row>
    <row r="477" spans="1:7">
      <c r="A477" t="s">
        <v>749</v>
      </c>
      <c r="B477" s="102">
        <v>45564</v>
      </c>
      <c r="E477" t="s">
        <v>478</v>
      </c>
      <c r="F477" s="1">
        <v>0.5</v>
      </c>
      <c r="G477" t="s">
        <v>858</v>
      </c>
    </row>
    <row r="478" spans="1:7">
      <c r="A478" t="s">
        <v>737</v>
      </c>
      <c r="B478" s="102">
        <v>45564</v>
      </c>
      <c r="C478" s="6">
        <v>16.27</v>
      </c>
      <c r="D478" t="s">
        <v>398</v>
      </c>
      <c r="E478" t="s">
        <v>402</v>
      </c>
      <c r="F478" s="1">
        <v>1.5</v>
      </c>
      <c r="G478" t="s">
        <v>855</v>
      </c>
    </row>
    <row r="479" spans="1:7">
      <c r="A479" t="s">
        <v>856</v>
      </c>
      <c r="B479" s="102">
        <v>45564</v>
      </c>
      <c r="E479" t="s">
        <v>478</v>
      </c>
      <c r="F479" s="1">
        <v>0.5</v>
      </c>
      <c r="G479" t="s">
        <v>857</v>
      </c>
    </row>
    <row r="480" spans="1:7">
      <c r="A480" t="s">
        <v>737</v>
      </c>
      <c r="B480" s="102">
        <v>45565</v>
      </c>
      <c r="C480" s="6">
        <v>13.09</v>
      </c>
      <c r="D480" t="s">
        <v>398</v>
      </c>
      <c r="E480" t="s">
        <v>651</v>
      </c>
      <c r="F480" s="1">
        <v>1</v>
      </c>
      <c r="G480" t="s">
        <v>860</v>
      </c>
    </row>
    <row r="481" spans="1:7">
      <c r="A481" t="s">
        <v>737</v>
      </c>
      <c r="B481" s="102">
        <v>45566</v>
      </c>
      <c r="C481" s="63">
        <v>15</v>
      </c>
      <c r="D481" t="s">
        <v>13</v>
      </c>
      <c r="E481" t="s">
        <v>312</v>
      </c>
      <c r="F481" s="1">
        <v>1</v>
      </c>
      <c r="G481" t="s">
        <v>861</v>
      </c>
    </row>
    <row r="482" spans="1:7">
      <c r="A482" t="s">
        <v>741</v>
      </c>
      <c r="B482" s="102">
        <v>45567</v>
      </c>
      <c r="C482" s="63">
        <v>14.97</v>
      </c>
      <c r="D482" t="s">
        <v>13</v>
      </c>
      <c r="E482" t="s">
        <v>402</v>
      </c>
      <c r="F482" s="1">
        <v>1.5</v>
      </c>
      <c r="G482" t="s">
        <v>862</v>
      </c>
    </row>
    <row r="483" spans="1:7">
      <c r="A483" t="s">
        <v>863</v>
      </c>
      <c r="B483" s="102">
        <v>45567</v>
      </c>
      <c r="C483" s="63">
        <v>16.48</v>
      </c>
      <c r="D483" t="s">
        <v>310</v>
      </c>
      <c r="E483" t="s">
        <v>309</v>
      </c>
      <c r="F483" s="1">
        <v>1</v>
      </c>
      <c r="G483" t="s">
        <v>853</v>
      </c>
    </row>
    <row r="484" spans="1:7">
      <c r="A484" t="s">
        <v>863</v>
      </c>
      <c r="B484" s="102">
        <v>45568</v>
      </c>
      <c r="C484" s="63">
        <v>11.35</v>
      </c>
      <c r="D484" t="s">
        <v>310</v>
      </c>
      <c r="E484" t="s">
        <v>288</v>
      </c>
      <c r="F484" s="1">
        <v>1</v>
      </c>
      <c r="G484" t="s">
        <v>864</v>
      </c>
    </row>
    <row r="485" spans="1:7">
      <c r="A485" t="s">
        <v>737</v>
      </c>
      <c r="B485" s="102">
        <v>45569</v>
      </c>
      <c r="C485" s="63"/>
      <c r="E485" t="s">
        <v>402</v>
      </c>
      <c r="F485" s="1">
        <v>1</v>
      </c>
      <c r="G485" t="s">
        <v>850</v>
      </c>
    </row>
    <row r="486" spans="1:7">
      <c r="A486" t="s">
        <v>841</v>
      </c>
      <c r="B486" s="102">
        <v>45569</v>
      </c>
      <c r="C486" s="63"/>
      <c r="E486" t="s">
        <v>478</v>
      </c>
      <c r="F486" s="1">
        <v>0.5</v>
      </c>
      <c r="G486" t="s">
        <v>866</v>
      </c>
    </row>
    <row r="487" spans="1:7">
      <c r="A487" t="s">
        <v>741</v>
      </c>
      <c r="B487" s="102">
        <v>45570</v>
      </c>
      <c r="C487" s="63">
        <v>13.88</v>
      </c>
      <c r="D487" t="s">
        <v>398</v>
      </c>
      <c r="E487" t="s">
        <v>312</v>
      </c>
      <c r="F487" s="1">
        <v>1</v>
      </c>
      <c r="G487" t="s">
        <v>865</v>
      </c>
    </row>
    <row r="488" spans="1:7">
      <c r="A488" t="s">
        <v>863</v>
      </c>
      <c r="B488" s="102">
        <v>45570</v>
      </c>
      <c r="C488" s="63">
        <v>11.35</v>
      </c>
      <c r="D488" t="s">
        <v>310</v>
      </c>
      <c r="E488" t="s">
        <v>288</v>
      </c>
      <c r="F488" s="1">
        <v>1</v>
      </c>
      <c r="G488" t="s">
        <v>864</v>
      </c>
    </row>
    <row r="489" spans="1:7">
      <c r="A489" t="s">
        <v>741</v>
      </c>
      <c r="B489" s="102">
        <v>45571</v>
      </c>
      <c r="C489" s="63">
        <v>33.24</v>
      </c>
      <c r="E489" t="s">
        <v>312</v>
      </c>
      <c r="F489" s="1">
        <v>1</v>
      </c>
      <c r="G489" t="s">
        <v>879</v>
      </c>
    </row>
    <row r="490" spans="1:7">
      <c r="A490" t="s">
        <v>741</v>
      </c>
      <c r="B490" s="102">
        <v>45572</v>
      </c>
      <c r="C490" s="63">
        <v>13</v>
      </c>
      <c r="D490" t="s">
        <v>310</v>
      </c>
      <c r="E490" t="s">
        <v>312</v>
      </c>
      <c r="F490" s="1">
        <v>1</v>
      </c>
      <c r="G490" t="s">
        <v>865</v>
      </c>
    </row>
    <row r="491" spans="1:7">
      <c r="A491" t="s">
        <v>737</v>
      </c>
      <c r="B491" s="102">
        <v>45573</v>
      </c>
      <c r="C491" s="63">
        <v>14.51</v>
      </c>
      <c r="D491" t="s">
        <v>310</v>
      </c>
      <c r="E491" t="s">
        <v>312</v>
      </c>
      <c r="F491" s="1">
        <v>1.5</v>
      </c>
      <c r="G491" t="s">
        <v>874</v>
      </c>
    </row>
    <row r="492" spans="1:7">
      <c r="A492" t="s">
        <v>741</v>
      </c>
      <c r="B492" s="102">
        <v>45574</v>
      </c>
      <c r="C492" s="63">
        <v>13.14</v>
      </c>
      <c r="D492" t="s">
        <v>310</v>
      </c>
      <c r="E492" t="s">
        <v>288</v>
      </c>
      <c r="F492" s="1">
        <v>1.5</v>
      </c>
      <c r="G492" t="s">
        <v>864</v>
      </c>
    </row>
    <row r="493" spans="1:7">
      <c r="A493" t="s">
        <v>737</v>
      </c>
      <c r="B493" s="102">
        <v>45574</v>
      </c>
      <c r="C493" s="63">
        <v>14.64</v>
      </c>
      <c r="D493" t="s">
        <v>13</v>
      </c>
      <c r="E493" t="s">
        <v>402</v>
      </c>
      <c r="F493" s="1">
        <v>1.5</v>
      </c>
      <c r="G493" t="s">
        <v>875</v>
      </c>
    </row>
    <row r="494" spans="1:7">
      <c r="A494" t="s">
        <v>737</v>
      </c>
      <c r="B494" s="102">
        <v>45575</v>
      </c>
      <c r="C494" s="63">
        <f>13.51</f>
        <v>13.51</v>
      </c>
      <c r="D494" t="s">
        <v>310</v>
      </c>
      <c r="E494" t="s">
        <v>876</v>
      </c>
      <c r="F494" s="1">
        <v>1.5</v>
      </c>
      <c r="G494" t="s">
        <v>878</v>
      </c>
    </row>
    <row r="495" spans="1:7">
      <c r="A495" t="s">
        <v>741</v>
      </c>
      <c r="B495" s="102">
        <v>45576</v>
      </c>
      <c r="C495" s="63">
        <v>11.35</v>
      </c>
      <c r="D495" t="s">
        <v>310</v>
      </c>
      <c r="E495" t="s">
        <v>288</v>
      </c>
      <c r="F495" s="1">
        <v>1</v>
      </c>
      <c r="G495" t="s">
        <v>864</v>
      </c>
    </row>
    <row r="496" spans="1:7">
      <c r="A496" t="s">
        <v>737</v>
      </c>
      <c r="B496" s="102">
        <v>45576</v>
      </c>
      <c r="C496" s="63">
        <f>14</f>
        <v>14</v>
      </c>
      <c r="D496" t="s">
        <v>310</v>
      </c>
      <c r="E496" t="s">
        <v>876</v>
      </c>
      <c r="F496" s="1">
        <v>1.5</v>
      </c>
      <c r="G496" t="s">
        <v>877</v>
      </c>
    </row>
    <row r="497" spans="1:7">
      <c r="A497" t="s">
        <v>741</v>
      </c>
      <c r="B497" s="102">
        <v>45577</v>
      </c>
      <c r="C497" s="63">
        <v>15</v>
      </c>
      <c r="D497" t="s">
        <v>398</v>
      </c>
      <c r="E497" t="s">
        <v>312</v>
      </c>
      <c r="F497" s="1">
        <v>1.5</v>
      </c>
      <c r="G497" t="s">
        <v>861</v>
      </c>
    </row>
    <row r="498" spans="1:7">
      <c r="A498" t="s">
        <v>737</v>
      </c>
      <c r="B498" s="102">
        <v>45577</v>
      </c>
      <c r="C498" s="63">
        <v>10.85</v>
      </c>
      <c r="D498" t="s">
        <v>310</v>
      </c>
      <c r="E498" t="s">
        <v>288</v>
      </c>
      <c r="F498" s="1">
        <v>1</v>
      </c>
      <c r="G498" t="s">
        <v>872</v>
      </c>
    </row>
    <row r="499" spans="1:7">
      <c r="A499" t="s">
        <v>841</v>
      </c>
      <c r="B499" s="102">
        <v>45577</v>
      </c>
      <c r="C499" s="63"/>
      <c r="E499" t="s">
        <v>478</v>
      </c>
      <c r="F499" s="1">
        <v>0.5</v>
      </c>
      <c r="G499" t="s">
        <v>494</v>
      </c>
    </row>
    <row r="500" spans="1:7">
      <c r="A500" t="s">
        <v>741</v>
      </c>
      <c r="B500" s="102">
        <v>45578</v>
      </c>
      <c r="C500" s="63"/>
      <c r="E500" t="s">
        <v>478</v>
      </c>
      <c r="F500" s="1">
        <v>1</v>
      </c>
      <c r="G500" t="s">
        <v>873</v>
      </c>
    </row>
    <row r="501" spans="1:7">
      <c r="A501" t="s">
        <v>737</v>
      </c>
      <c r="B501" s="102">
        <v>45578</v>
      </c>
      <c r="C501" s="63">
        <v>12.93</v>
      </c>
      <c r="D501" t="s">
        <v>398</v>
      </c>
      <c r="E501" t="s">
        <v>312</v>
      </c>
      <c r="F501" s="1">
        <v>1</v>
      </c>
      <c r="G501" t="s">
        <v>865</v>
      </c>
    </row>
    <row r="502" spans="1:7">
      <c r="A502" t="s">
        <v>841</v>
      </c>
      <c r="B502" s="102">
        <v>45578</v>
      </c>
      <c r="C502" s="63"/>
      <c r="E502" t="s">
        <v>478</v>
      </c>
      <c r="F502" s="1">
        <v>0.5</v>
      </c>
      <c r="G502" t="s">
        <v>494</v>
      </c>
    </row>
    <row r="503" spans="1:7">
      <c r="A503" t="s">
        <v>741</v>
      </c>
      <c r="B503" s="102">
        <v>45579</v>
      </c>
      <c r="C503" s="63">
        <v>13.88</v>
      </c>
      <c r="D503" t="s">
        <v>310</v>
      </c>
      <c r="E503" t="s">
        <v>312</v>
      </c>
      <c r="F503" s="1">
        <v>1</v>
      </c>
      <c r="G503" t="s">
        <v>880</v>
      </c>
    </row>
    <row r="504" spans="1:7">
      <c r="A504" t="s">
        <v>737</v>
      </c>
      <c r="B504" s="102">
        <v>45579</v>
      </c>
      <c r="C504" s="63">
        <v>22.43</v>
      </c>
      <c r="D504" t="s">
        <v>310</v>
      </c>
      <c r="E504" t="s">
        <v>876</v>
      </c>
      <c r="F504" s="1">
        <v>1.5</v>
      </c>
      <c r="G504" t="s">
        <v>872</v>
      </c>
    </row>
    <row r="505" spans="1:7">
      <c r="A505" t="s">
        <v>741</v>
      </c>
      <c r="B505" s="102">
        <v>45580</v>
      </c>
      <c r="C505" s="63"/>
      <c r="E505" t="s">
        <v>478</v>
      </c>
      <c r="F505" s="1">
        <v>1</v>
      </c>
      <c r="G505" t="s">
        <v>882</v>
      </c>
    </row>
    <row r="506" spans="1:7">
      <c r="A506" t="s">
        <v>737</v>
      </c>
      <c r="B506" s="102">
        <v>45580</v>
      </c>
      <c r="C506" s="63">
        <v>13.88</v>
      </c>
      <c r="D506" t="s">
        <v>398</v>
      </c>
      <c r="E506" t="s">
        <v>312</v>
      </c>
      <c r="F506" s="1">
        <v>1</v>
      </c>
      <c r="G506" t="s">
        <v>865</v>
      </c>
    </row>
    <row r="507" spans="1:7">
      <c r="A507" t="s">
        <v>741</v>
      </c>
      <c r="B507" s="102">
        <v>45581</v>
      </c>
      <c r="C507" s="63">
        <v>10</v>
      </c>
      <c r="D507" t="s">
        <v>398</v>
      </c>
      <c r="E507" t="s">
        <v>665</v>
      </c>
      <c r="F507" s="1">
        <v>1.5</v>
      </c>
      <c r="G507" t="s">
        <v>881</v>
      </c>
    </row>
    <row r="508" spans="1:7">
      <c r="A508" t="s">
        <v>737</v>
      </c>
      <c r="B508" s="102">
        <v>45581</v>
      </c>
      <c r="C508" s="63">
        <v>32.26</v>
      </c>
      <c r="D508" t="s">
        <v>310</v>
      </c>
      <c r="E508" t="s">
        <v>876</v>
      </c>
      <c r="F508" s="1">
        <v>1.5</v>
      </c>
      <c r="G508" t="s">
        <v>877</v>
      </c>
    </row>
    <row r="509" spans="1:7">
      <c r="A509" t="s">
        <v>741</v>
      </c>
      <c r="B509" s="102">
        <v>45582</v>
      </c>
      <c r="C509" s="63">
        <v>11.35</v>
      </c>
      <c r="D509" t="s">
        <v>310</v>
      </c>
      <c r="E509" t="s">
        <v>288</v>
      </c>
      <c r="F509" s="1">
        <v>1.5</v>
      </c>
      <c r="G509" t="s">
        <v>864</v>
      </c>
    </row>
    <row r="510" spans="1:7">
      <c r="A510" t="s">
        <v>737</v>
      </c>
      <c r="B510" s="102">
        <v>45582</v>
      </c>
      <c r="C510" s="63"/>
      <c r="E510" t="s">
        <v>478</v>
      </c>
      <c r="F510" s="1">
        <v>1.5</v>
      </c>
      <c r="G510" t="s">
        <v>873</v>
      </c>
    </row>
    <row r="511" spans="1:7">
      <c r="A511" t="s">
        <v>741</v>
      </c>
      <c r="B511" s="102">
        <v>45583</v>
      </c>
      <c r="E511" t="s">
        <v>478</v>
      </c>
      <c r="F511" s="1">
        <v>1</v>
      </c>
      <c r="G511" t="s">
        <v>883</v>
      </c>
    </row>
    <row r="512" spans="1:7">
      <c r="A512" t="s">
        <v>737</v>
      </c>
      <c r="B512" s="102">
        <v>45583</v>
      </c>
      <c r="C512" s="63"/>
      <c r="D512" t="s">
        <v>310</v>
      </c>
      <c r="E512" t="s">
        <v>876</v>
      </c>
      <c r="F512" s="1">
        <v>1.5</v>
      </c>
      <c r="G512" t="s">
        <v>877</v>
      </c>
    </row>
    <row r="513" spans="1:7">
      <c r="A513" t="s">
        <v>741</v>
      </c>
      <c r="B513" s="102">
        <v>45584</v>
      </c>
      <c r="C513" s="63">
        <v>14.51</v>
      </c>
      <c r="D513" t="s">
        <v>398</v>
      </c>
      <c r="E513" t="s">
        <v>312</v>
      </c>
      <c r="F513" s="1">
        <v>1.5</v>
      </c>
      <c r="G513" t="s">
        <v>861</v>
      </c>
    </row>
    <row r="514" spans="1:7">
      <c r="A514" t="s">
        <v>737</v>
      </c>
      <c r="B514" s="102">
        <v>45584</v>
      </c>
      <c r="E514" t="s">
        <v>478</v>
      </c>
      <c r="F514" s="1">
        <v>1</v>
      </c>
      <c r="G514" t="s">
        <v>883</v>
      </c>
    </row>
    <row r="515" spans="1:7">
      <c r="A515" t="s">
        <v>741</v>
      </c>
      <c r="B515" s="102">
        <v>45585</v>
      </c>
      <c r="E515" t="s">
        <v>478</v>
      </c>
      <c r="F515" s="1">
        <v>1</v>
      </c>
      <c r="G515" t="s">
        <v>884</v>
      </c>
    </row>
    <row r="516" spans="1:7">
      <c r="A516" t="s">
        <v>737</v>
      </c>
      <c r="B516" s="102">
        <v>45585</v>
      </c>
      <c r="C516" s="63">
        <v>15</v>
      </c>
      <c r="D516" t="s">
        <v>398</v>
      </c>
      <c r="E516" t="s">
        <v>312</v>
      </c>
      <c r="F516" s="1">
        <v>1.5</v>
      </c>
      <c r="G516" t="s">
        <v>885</v>
      </c>
    </row>
    <row r="517" spans="1:7">
      <c r="A517" t="s">
        <v>741</v>
      </c>
      <c r="B517" s="102">
        <v>45586</v>
      </c>
      <c r="D517" t="s">
        <v>310</v>
      </c>
      <c r="E517" t="s">
        <v>11</v>
      </c>
      <c r="F517" s="1">
        <v>0.5</v>
      </c>
      <c r="G517" t="s">
        <v>886</v>
      </c>
    </row>
    <row r="518" spans="1:7">
      <c r="A518" t="s">
        <v>737</v>
      </c>
      <c r="B518" s="102">
        <v>45586</v>
      </c>
      <c r="C518" s="63"/>
      <c r="E518" t="s">
        <v>478</v>
      </c>
      <c r="F518" s="1">
        <v>1.5</v>
      </c>
      <c r="G518" t="s">
        <v>844</v>
      </c>
    </row>
    <row r="519" spans="1:7">
      <c r="A519" t="s">
        <v>737</v>
      </c>
      <c r="B519" s="102">
        <v>45587</v>
      </c>
      <c r="C519" s="63"/>
      <c r="E519" t="s">
        <v>478</v>
      </c>
      <c r="F519" s="1">
        <v>1</v>
      </c>
      <c r="G519" t="s">
        <v>884</v>
      </c>
    </row>
    <row r="520" spans="1:7">
      <c r="A520" t="s">
        <v>737</v>
      </c>
      <c r="B520" s="102">
        <v>45588</v>
      </c>
      <c r="C520" s="63">
        <v>33.67</v>
      </c>
      <c r="D520" t="s">
        <v>310</v>
      </c>
      <c r="E520" t="s">
        <v>876</v>
      </c>
      <c r="F520" s="1">
        <v>1.5</v>
      </c>
      <c r="G520" t="s">
        <v>889</v>
      </c>
    </row>
    <row r="521" spans="1:7">
      <c r="A521" t="s">
        <v>737</v>
      </c>
      <c r="B521" s="102">
        <v>45589</v>
      </c>
      <c r="C521" s="63">
        <v>14.51</v>
      </c>
      <c r="D521" t="s">
        <v>398</v>
      </c>
      <c r="E521" t="s">
        <v>312</v>
      </c>
      <c r="F521" s="1">
        <v>1</v>
      </c>
      <c r="G521" t="s">
        <v>888</v>
      </c>
    </row>
    <row r="522" spans="1:7">
      <c r="A522" t="s">
        <v>741</v>
      </c>
      <c r="B522" s="102">
        <v>45590</v>
      </c>
      <c r="C522" s="63">
        <v>11.35</v>
      </c>
      <c r="D522" t="s">
        <v>310</v>
      </c>
      <c r="E522" t="s">
        <v>288</v>
      </c>
      <c r="F522" s="1">
        <v>1</v>
      </c>
      <c r="G522" t="s">
        <v>872</v>
      </c>
    </row>
    <row r="523" spans="1:7">
      <c r="A523" t="s">
        <v>737</v>
      </c>
      <c r="B523" s="102">
        <v>45590</v>
      </c>
      <c r="C523" s="63">
        <v>19.03</v>
      </c>
      <c r="D523" t="s">
        <v>398</v>
      </c>
      <c r="E523" t="s">
        <v>392</v>
      </c>
      <c r="F523" s="1">
        <v>1.5</v>
      </c>
      <c r="G523" t="s">
        <v>894</v>
      </c>
    </row>
    <row r="524" spans="1:7">
      <c r="A524" t="s">
        <v>741</v>
      </c>
      <c r="B524" s="102">
        <v>45591</v>
      </c>
      <c r="C524" s="63">
        <v>15</v>
      </c>
      <c r="D524" t="s">
        <v>310</v>
      </c>
      <c r="E524" t="s">
        <v>312</v>
      </c>
      <c r="F524" s="1">
        <v>1.5</v>
      </c>
      <c r="G524" t="s">
        <v>861</v>
      </c>
    </row>
    <row r="525" spans="1:7">
      <c r="A525" t="s">
        <v>737</v>
      </c>
      <c r="B525" s="102">
        <v>45591</v>
      </c>
      <c r="C525" s="63">
        <v>23.03</v>
      </c>
      <c r="D525" t="s">
        <v>310</v>
      </c>
      <c r="E525" t="s">
        <v>876</v>
      </c>
      <c r="F525" s="1">
        <v>1.5</v>
      </c>
      <c r="G525" t="s">
        <v>893</v>
      </c>
    </row>
    <row r="526" spans="1:7">
      <c r="A526" t="s">
        <v>741</v>
      </c>
      <c r="B526" s="102">
        <v>45592</v>
      </c>
      <c r="C526" s="63">
        <v>15</v>
      </c>
      <c r="D526" t="s">
        <v>398</v>
      </c>
      <c r="E526" t="s">
        <v>312</v>
      </c>
      <c r="F526" s="1">
        <v>1.5</v>
      </c>
      <c r="G526" t="s">
        <v>861</v>
      </c>
    </row>
    <row r="527" spans="1:7">
      <c r="A527" t="s">
        <v>737</v>
      </c>
      <c r="B527" s="102">
        <v>45592</v>
      </c>
      <c r="C527" s="63">
        <v>34.69</v>
      </c>
      <c r="D527" t="s">
        <v>310</v>
      </c>
      <c r="E527" t="s">
        <v>392</v>
      </c>
      <c r="F527" s="1">
        <v>1.5</v>
      </c>
      <c r="G527" t="s">
        <v>894</v>
      </c>
    </row>
    <row r="528" spans="1:7">
      <c r="A528" t="s">
        <v>737</v>
      </c>
      <c r="B528" s="102">
        <v>45593</v>
      </c>
      <c r="C528" s="63">
        <v>14.51</v>
      </c>
      <c r="D528" t="s">
        <v>398</v>
      </c>
      <c r="E528" t="s">
        <v>312</v>
      </c>
      <c r="F528" s="1">
        <v>1.5</v>
      </c>
      <c r="G528" t="s">
        <v>861</v>
      </c>
    </row>
    <row r="529" spans="1:7">
      <c r="A529" t="s">
        <v>737</v>
      </c>
      <c r="B529" s="102">
        <v>45594</v>
      </c>
      <c r="C529" s="63">
        <v>36.47</v>
      </c>
      <c r="D529" t="s">
        <v>310</v>
      </c>
      <c r="E529" t="s">
        <v>392</v>
      </c>
      <c r="F529" s="1">
        <v>1.5</v>
      </c>
      <c r="G529" t="s">
        <v>894</v>
      </c>
    </row>
    <row r="530" spans="1:7">
      <c r="A530" t="s">
        <v>741</v>
      </c>
      <c r="B530" s="102">
        <v>45595</v>
      </c>
      <c r="C530" s="63">
        <v>20</v>
      </c>
      <c r="D530" t="s">
        <v>398</v>
      </c>
      <c r="E530" t="s">
        <v>665</v>
      </c>
      <c r="F530" s="1">
        <v>1.5</v>
      </c>
      <c r="G530" t="s">
        <v>881</v>
      </c>
    </row>
    <row r="531" spans="1:7">
      <c r="A531" t="s">
        <v>737</v>
      </c>
      <c r="B531" s="102">
        <v>45595</v>
      </c>
      <c r="C531" s="63"/>
      <c r="E531" t="s">
        <v>478</v>
      </c>
      <c r="F531" s="1">
        <v>0.5</v>
      </c>
      <c r="G531" t="s">
        <v>896</v>
      </c>
    </row>
    <row r="532" spans="1:7">
      <c r="A532" t="s">
        <v>737</v>
      </c>
      <c r="B532" s="102">
        <v>45596</v>
      </c>
      <c r="C532" s="63">
        <v>36.9</v>
      </c>
      <c r="D532" t="s">
        <v>310</v>
      </c>
      <c r="E532" t="s">
        <v>392</v>
      </c>
      <c r="F532" s="1">
        <v>1.5</v>
      </c>
      <c r="G532" t="s">
        <v>894</v>
      </c>
    </row>
    <row r="533" spans="1:7">
      <c r="A533" t="s">
        <v>841</v>
      </c>
      <c r="B533" s="102">
        <v>45596</v>
      </c>
      <c r="C533" s="63"/>
      <c r="E533" t="s">
        <v>478</v>
      </c>
      <c r="F533" s="1">
        <v>0.5</v>
      </c>
      <c r="G533" t="s">
        <v>897</v>
      </c>
    </row>
    <row r="534" spans="1:7">
      <c r="A534" t="s">
        <v>741</v>
      </c>
      <c r="B534" s="102">
        <v>45597</v>
      </c>
      <c r="C534" s="63">
        <v>11.31</v>
      </c>
      <c r="D534" t="s">
        <v>310</v>
      </c>
      <c r="E534" t="s">
        <v>288</v>
      </c>
      <c r="F534" s="1">
        <v>1</v>
      </c>
      <c r="G534" t="s">
        <v>900</v>
      </c>
    </row>
    <row r="535" spans="1:7">
      <c r="A535" t="s">
        <v>737</v>
      </c>
      <c r="B535" s="102">
        <v>45597</v>
      </c>
      <c r="C535" s="63">
        <v>15</v>
      </c>
      <c r="D535" t="s">
        <v>398</v>
      </c>
      <c r="E535" t="s">
        <v>312</v>
      </c>
      <c r="F535" s="1">
        <v>1</v>
      </c>
      <c r="G535" t="s">
        <v>861</v>
      </c>
    </row>
    <row r="536" spans="1:7">
      <c r="B536" s="102">
        <v>45598</v>
      </c>
      <c r="C536" s="63">
        <f>1.4+1.9*2</f>
        <v>5.1999999999999993</v>
      </c>
      <c r="D536" t="s">
        <v>398</v>
      </c>
      <c r="E536" t="s">
        <v>903</v>
      </c>
      <c r="F536" s="1">
        <v>0.5</v>
      </c>
      <c r="G536" t="s">
        <v>494</v>
      </c>
    </row>
    <row r="537" spans="1:7">
      <c r="A537" t="s">
        <v>741</v>
      </c>
      <c r="B537" s="102">
        <v>45598</v>
      </c>
      <c r="C537" s="63">
        <v>11.31</v>
      </c>
      <c r="D537" t="s">
        <v>310</v>
      </c>
      <c r="E537" t="s">
        <v>288</v>
      </c>
      <c r="F537" s="1">
        <v>1</v>
      </c>
      <c r="G537" t="s">
        <v>904</v>
      </c>
    </row>
    <row r="538" spans="1:7">
      <c r="B538" s="102">
        <v>45598</v>
      </c>
      <c r="C538" s="63"/>
      <c r="E538" t="s">
        <v>901</v>
      </c>
      <c r="F538" s="1">
        <v>0.5</v>
      </c>
      <c r="G538" t="s">
        <v>902</v>
      </c>
    </row>
    <row r="539" spans="1:7">
      <c r="A539" t="s">
        <v>737</v>
      </c>
      <c r="B539" s="102">
        <v>45598</v>
      </c>
      <c r="C539" s="63">
        <v>19.100000000000001</v>
      </c>
      <c r="D539" t="s">
        <v>310</v>
      </c>
      <c r="E539" t="s">
        <v>392</v>
      </c>
      <c r="F539" s="1">
        <v>1.5</v>
      </c>
      <c r="G539" t="s">
        <v>894</v>
      </c>
    </row>
    <row r="540" spans="1:7">
      <c r="A540" t="s">
        <v>863</v>
      </c>
      <c r="B540" s="102">
        <v>45599</v>
      </c>
      <c r="C540" s="63"/>
      <c r="E540" t="s">
        <v>478</v>
      </c>
      <c r="F540" s="1">
        <v>1.5</v>
      </c>
      <c r="G540" t="s">
        <v>844</v>
      </c>
    </row>
    <row r="541" spans="1:7">
      <c r="A541" t="s">
        <v>841</v>
      </c>
      <c r="B541" s="102">
        <v>45599</v>
      </c>
      <c r="C541" s="63"/>
      <c r="E541" t="s">
        <v>478</v>
      </c>
      <c r="F541" s="1">
        <v>0.5</v>
      </c>
      <c r="G541" t="s">
        <v>899</v>
      </c>
    </row>
    <row r="542" spans="1:7">
      <c r="B542" s="102">
        <v>45600</v>
      </c>
      <c r="C542" s="63"/>
      <c r="F542" s="1"/>
    </row>
    <row r="543" spans="1:7">
      <c r="B543" s="102">
        <v>45601</v>
      </c>
      <c r="C543" s="63"/>
    </row>
    <row r="544" spans="1:7">
      <c r="B544" s="102">
        <v>45602</v>
      </c>
      <c r="C544" s="63"/>
    </row>
    <row r="545" spans="1:7">
      <c r="C545" s="63"/>
    </row>
    <row r="546" spans="1:7">
      <c r="C546" s="63"/>
    </row>
    <row r="547" spans="1:7">
      <c r="B547" s="102">
        <v>45603</v>
      </c>
      <c r="C547" s="63">
        <v>35.86</v>
      </c>
      <c r="D547" t="s">
        <v>310</v>
      </c>
      <c r="E547" t="s">
        <v>392</v>
      </c>
      <c r="F547">
        <v>1.5</v>
      </c>
      <c r="G547" t="s">
        <v>894</v>
      </c>
    </row>
    <row r="548" spans="1:7">
      <c r="B548" s="102">
        <v>45604</v>
      </c>
      <c r="C548" s="63">
        <v>10.88</v>
      </c>
      <c r="D548" t="s">
        <v>310</v>
      </c>
      <c r="E548" t="s">
        <v>288</v>
      </c>
      <c r="F548">
        <v>1.5</v>
      </c>
    </row>
    <row r="549" spans="1:7">
      <c r="A549" t="s">
        <v>737</v>
      </c>
      <c r="B549" s="102">
        <v>45605</v>
      </c>
      <c r="C549" s="63">
        <v>35.86</v>
      </c>
      <c r="D549" t="s">
        <v>310</v>
      </c>
      <c r="E549" t="s">
        <v>288</v>
      </c>
    </row>
    <row r="550" spans="1:7">
      <c r="A550" t="s">
        <v>841</v>
      </c>
      <c r="B550" s="102">
        <v>45605</v>
      </c>
      <c r="C550" s="63">
        <v>35.340000000000003</v>
      </c>
      <c r="D550" t="s">
        <v>310</v>
      </c>
      <c r="E550" t="s">
        <v>392</v>
      </c>
      <c r="F550">
        <v>1.5</v>
      </c>
      <c r="G550" t="s">
        <v>915</v>
      </c>
    </row>
    <row r="551" spans="1:7">
      <c r="A551" t="s">
        <v>741</v>
      </c>
      <c r="B551" s="102">
        <v>45606</v>
      </c>
      <c r="C551" s="63">
        <v>18</v>
      </c>
      <c r="D551" t="s">
        <v>310</v>
      </c>
      <c r="E551" t="s">
        <v>312</v>
      </c>
      <c r="F551">
        <v>1.5</v>
      </c>
      <c r="G551" t="s">
        <v>909</v>
      </c>
    </row>
    <row r="552" spans="1:7">
      <c r="A552" t="s">
        <v>737</v>
      </c>
      <c r="B552" s="102">
        <v>45606</v>
      </c>
      <c r="C552" s="63">
        <v>19</v>
      </c>
      <c r="D552" t="s">
        <v>310</v>
      </c>
      <c r="E552" t="s">
        <v>312</v>
      </c>
      <c r="F552">
        <v>1.5</v>
      </c>
      <c r="G552" t="s">
        <v>908</v>
      </c>
    </row>
    <row r="553" spans="1:7">
      <c r="B553" s="102">
        <v>45607</v>
      </c>
      <c r="C553" s="63">
        <v>19</v>
      </c>
      <c r="D553" t="s">
        <v>310</v>
      </c>
      <c r="E553" t="s">
        <v>912</v>
      </c>
      <c r="F553">
        <v>1.5</v>
      </c>
      <c r="G553" t="s">
        <v>911</v>
      </c>
    </row>
    <row r="554" spans="1:7">
      <c r="A554" t="s">
        <v>737</v>
      </c>
      <c r="B554" s="102">
        <v>45608</v>
      </c>
      <c r="C554" s="63">
        <v>15</v>
      </c>
      <c r="D554" t="s">
        <v>398</v>
      </c>
      <c r="E554" t="s">
        <v>312</v>
      </c>
      <c r="F554">
        <v>1.5</v>
      </c>
      <c r="G554" t="s">
        <v>911</v>
      </c>
    </row>
    <row r="555" spans="1:7">
      <c r="B555" s="102">
        <v>45608</v>
      </c>
      <c r="C555">
        <v>25.62</v>
      </c>
      <c r="D555" t="s">
        <v>398</v>
      </c>
      <c r="E555" t="s">
        <v>288</v>
      </c>
      <c r="F555">
        <v>1.5</v>
      </c>
    </row>
    <row r="556" spans="1:7">
      <c r="B556" s="102">
        <v>45609</v>
      </c>
      <c r="C556" s="63">
        <v>10.88</v>
      </c>
      <c r="D556" t="s">
        <v>310</v>
      </c>
      <c r="E556" t="s">
        <v>288</v>
      </c>
      <c r="F556">
        <v>1.5</v>
      </c>
    </row>
    <row r="557" spans="1:7">
      <c r="B557" s="102">
        <v>45609</v>
      </c>
      <c r="C557" s="63">
        <v>19</v>
      </c>
      <c r="D557" t="s">
        <v>310</v>
      </c>
      <c r="E557" t="s">
        <v>912</v>
      </c>
      <c r="F557">
        <v>1.5</v>
      </c>
      <c r="G557" t="s">
        <v>911</v>
      </c>
    </row>
    <row r="558" spans="1:7">
      <c r="B558" s="102">
        <v>45610</v>
      </c>
      <c r="C558" s="63">
        <v>36.69</v>
      </c>
      <c r="D558" t="s">
        <v>310</v>
      </c>
      <c r="E558" t="s">
        <v>392</v>
      </c>
      <c r="F558">
        <v>1.5</v>
      </c>
      <c r="G558" t="s">
        <v>915</v>
      </c>
    </row>
    <row r="559" spans="1:7">
      <c r="B559" s="102">
        <v>45611</v>
      </c>
      <c r="C559" s="63">
        <v>31.8</v>
      </c>
      <c r="D559" t="s">
        <v>310</v>
      </c>
      <c r="E559" t="s">
        <v>288</v>
      </c>
      <c r="F559">
        <v>1.5</v>
      </c>
    </row>
    <row r="560" spans="1:7">
      <c r="B560" s="102">
        <v>45611</v>
      </c>
      <c r="C560" s="63">
        <v>35.340000000000003</v>
      </c>
      <c r="D560" t="s">
        <v>310</v>
      </c>
      <c r="E560" t="s">
        <v>392</v>
      </c>
      <c r="F560">
        <v>1.5</v>
      </c>
      <c r="G560" t="s">
        <v>915</v>
      </c>
    </row>
    <row r="561" spans="1:7">
      <c r="A561" t="s">
        <v>741</v>
      </c>
      <c r="B561" s="102">
        <v>45612</v>
      </c>
      <c r="C561" s="63">
        <v>11.31</v>
      </c>
      <c r="D561" t="s">
        <v>310</v>
      </c>
      <c r="E561" t="s">
        <v>288</v>
      </c>
      <c r="F561" s="1">
        <v>1</v>
      </c>
      <c r="G561" t="s">
        <v>900</v>
      </c>
    </row>
    <row r="562" spans="1:7">
      <c r="A562" t="s">
        <v>737</v>
      </c>
      <c r="B562" s="102">
        <v>45612</v>
      </c>
      <c r="C562" s="63">
        <v>8</v>
      </c>
      <c r="D562" t="s">
        <v>310</v>
      </c>
      <c r="E562" t="s">
        <v>912</v>
      </c>
    </row>
    <row r="563" spans="1:7">
      <c r="A563" t="s">
        <v>841</v>
      </c>
      <c r="B563" s="102">
        <v>45612</v>
      </c>
      <c r="C563" s="63">
        <v>25.76</v>
      </c>
      <c r="D563" t="s">
        <v>310</v>
      </c>
      <c r="E563" t="s">
        <v>392</v>
      </c>
      <c r="F563">
        <v>1.5</v>
      </c>
      <c r="G563" t="s">
        <v>915</v>
      </c>
    </row>
    <row r="564" spans="1:7">
      <c r="B564" s="102">
        <v>45613</v>
      </c>
      <c r="C564" s="63">
        <v>22</v>
      </c>
      <c r="D564" t="s">
        <v>310</v>
      </c>
      <c r="E564" t="s">
        <v>912</v>
      </c>
      <c r="F564">
        <v>1.5</v>
      </c>
      <c r="G564" t="s">
        <v>911</v>
      </c>
    </row>
    <row r="565" spans="1:7">
      <c r="A565" t="s">
        <v>741</v>
      </c>
      <c r="B565" s="102">
        <v>45614</v>
      </c>
      <c r="C565" s="63">
        <v>15</v>
      </c>
      <c r="D565" t="s">
        <v>398</v>
      </c>
      <c r="E565" t="s">
        <v>312</v>
      </c>
      <c r="F565">
        <v>1.5</v>
      </c>
      <c r="G565" t="s">
        <v>911</v>
      </c>
    </row>
    <row r="566" spans="1:7">
      <c r="A566" t="s">
        <v>737</v>
      </c>
      <c r="B566" s="102">
        <v>45614</v>
      </c>
      <c r="C566" s="63">
        <v>20</v>
      </c>
      <c r="D566" t="s">
        <v>310</v>
      </c>
      <c r="E566" t="s">
        <v>912</v>
      </c>
      <c r="F566">
        <v>1.5</v>
      </c>
      <c r="G566" t="s">
        <v>909</v>
      </c>
    </row>
    <row r="567" spans="1:7">
      <c r="A567" t="s">
        <v>737</v>
      </c>
      <c r="B567" s="102">
        <v>45615</v>
      </c>
      <c r="C567" s="63">
        <v>15</v>
      </c>
      <c r="D567" t="s">
        <v>398</v>
      </c>
      <c r="E567" t="s">
        <v>312</v>
      </c>
      <c r="F567">
        <v>1.5</v>
      </c>
      <c r="G567" t="s">
        <v>910</v>
      </c>
    </row>
    <row r="568" spans="1:7">
      <c r="A568" t="s">
        <v>737</v>
      </c>
      <c r="B568" s="102">
        <v>45616</v>
      </c>
      <c r="C568" s="63">
        <v>36.69</v>
      </c>
      <c r="D568" t="s">
        <v>310</v>
      </c>
      <c r="E568" t="s">
        <v>392</v>
      </c>
      <c r="F568">
        <v>1.5</v>
      </c>
      <c r="G568" t="s">
        <v>915</v>
      </c>
    </row>
    <row r="569" spans="1:7">
      <c r="A569" t="s">
        <v>737</v>
      </c>
      <c r="B569" s="102">
        <v>45617</v>
      </c>
      <c r="C569" s="63">
        <v>15</v>
      </c>
      <c r="D569" t="s">
        <v>398</v>
      </c>
      <c r="E569" t="s">
        <v>312</v>
      </c>
      <c r="F569">
        <v>1.5</v>
      </c>
      <c r="G569" t="s">
        <v>911</v>
      </c>
    </row>
    <row r="570" spans="1:7">
      <c r="A570" t="s">
        <v>741</v>
      </c>
      <c r="B570" s="102">
        <v>45618</v>
      </c>
      <c r="C570" s="63">
        <v>22.97</v>
      </c>
      <c r="D570" t="s">
        <v>310</v>
      </c>
      <c r="E570" t="s">
        <v>288</v>
      </c>
      <c r="F570">
        <v>1.5</v>
      </c>
      <c r="G570" t="s">
        <v>914</v>
      </c>
    </row>
    <row r="571" spans="1:7">
      <c r="A571" t="s">
        <v>737</v>
      </c>
      <c r="B571" s="102">
        <v>45618</v>
      </c>
      <c r="C571" s="63">
        <v>38.590000000000003</v>
      </c>
      <c r="D571" t="s">
        <v>310</v>
      </c>
      <c r="E571" t="s">
        <v>392</v>
      </c>
      <c r="F571">
        <v>1.5</v>
      </c>
      <c r="G571" t="s">
        <v>916</v>
      </c>
    </row>
    <row r="572" spans="1:7">
      <c r="A572" t="s">
        <v>741</v>
      </c>
      <c r="B572" s="102">
        <v>45619</v>
      </c>
      <c r="C572" s="63">
        <v>0</v>
      </c>
      <c r="D572" t="s">
        <v>572</v>
      </c>
      <c r="E572" t="s">
        <v>288</v>
      </c>
      <c r="F572">
        <v>1.5</v>
      </c>
      <c r="G572" t="s">
        <v>914</v>
      </c>
    </row>
    <row r="573" spans="1:7">
      <c r="A573" t="s">
        <v>737</v>
      </c>
      <c r="B573" s="102">
        <v>45619</v>
      </c>
      <c r="C573" s="63">
        <v>22.5</v>
      </c>
      <c r="D573" t="s">
        <v>310</v>
      </c>
      <c r="E573" t="s">
        <v>912</v>
      </c>
      <c r="F573">
        <v>1.5</v>
      </c>
      <c r="G573" t="s">
        <v>913</v>
      </c>
    </row>
    <row r="582" spans="1:7">
      <c r="A582" t="s">
        <v>741</v>
      </c>
      <c r="B582" s="102">
        <v>45627</v>
      </c>
      <c r="C582">
        <v>15.51</v>
      </c>
      <c r="D582" t="s">
        <v>398</v>
      </c>
      <c r="E582" t="s">
        <v>312</v>
      </c>
      <c r="F582">
        <v>1.5</v>
      </c>
      <c r="G582" t="s">
        <v>911</v>
      </c>
    </row>
    <row r="584" spans="1:7">
      <c r="A584" t="s">
        <v>737</v>
      </c>
      <c r="B584" s="102">
        <v>45628</v>
      </c>
      <c r="C584">
        <v>12.88</v>
      </c>
      <c r="D584" t="s">
        <v>398</v>
      </c>
      <c r="E584" t="s">
        <v>312</v>
      </c>
      <c r="F584">
        <v>1</v>
      </c>
      <c r="G584" t="s">
        <v>922</v>
      </c>
    </row>
    <row r="590" spans="1:7">
      <c r="A590" t="s">
        <v>737</v>
      </c>
      <c r="B590" s="102">
        <v>45633</v>
      </c>
      <c r="C590">
        <v>15.51</v>
      </c>
      <c r="D590" t="s">
        <v>398</v>
      </c>
      <c r="E590" t="s">
        <v>312</v>
      </c>
      <c r="F590">
        <v>1.5</v>
      </c>
      <c r="G590" t="s">
        <v>911</v>
      </c>
    </row>
    <row r="597" spans="1:7">
      <c r="A597" t="s">
        <v>737</v>
      </c>
      <c r="B597" s="102">
        <v>45641</v>
      </c>
      <c r="C597">
        <v>14.99</v>
      </c>
      <c r="D597" t="s">
        <v>398</v>
      </c>
      <c r="E597" t="s">
        <v>312</v>
      </c>
      <c r="F597">
        <v>1.5</v>
      </c>
      <c r="G597" t="s">
        <v>911</v>
      </c>
    </row>
    <row r="602" spans="1:7">
      <c r="A602" t="s">
        <v>737</v>
      </c>
      <c r="B602" s="102">
        <v>45647</v>
      </c>
      <c r="C602">
        <v>14.51</v>
      </c>
      <c r="D602" t="s">
        <v>398</v>
      </c>
      <c r="E602" t="s">
        <v>312</v>
      </c>
      <c r="F602">
        <v>1.5</v>
      </c>
      <c r="G602" t="s">
        <v>911</v>
      </c>
    </row>
    <row r="606" spans="1:7">
      <c r="A606" t="s">
        <v>749</v>
      </c>
      <c r="B606" s="102">
        <v>45651</v>
      </c>
      <c r="E606" t="s">
        <v>937</v>
      </c>
      <c r="F606">
        <v>1</v>
      </c>
      <c r="G606" t="s">
        <v>938</v>
      </c>
    </row>
    <row r="607" spans="1:7">
      <c r="A607" t="s">
        <v>737</v>
      </c>
      <c r="B607" s="102">
        <v>45651</v>
      </c>
      <c r="E607" t="s">
        <v>935</v>
      </c>
      <c r="F607">
        <v>1.5</v>
      </c>
      <c r="G607" t="s">
        <v>936</v>
      </c>
    </row>
    <row r="614" spans="1:7">
      <c r="B614" s="102">
        <v>45292</v>
      </c>
      <c r="E614" t="s">
        <v>311</v>
      </c>
    </row>
    <row r="615" spans="1:7">
      <c r="E615" t="s">
        <v>478</v>
      </c>
      <c r="F615">
        <v>1</v>
      </c>
      <c r="G615" t="s">
        <v>942</v>
      </c>
    </row>
    <row r="616" spans="1:7">
      <c r="B616" s="102">
        <v>45293</v>
      </c>
    </row>
    <row r="619" spans="1:7">
      <c r="A619" t="s">
        <v>737</v>
      </c>
      <c r="B619" s="102">
        <v>45660</v>
      </c>
      <c r="C619">
        <v>15.72</v>
      </c>
      <c r="D619" t="s">
        <v>398</v>
      </c>
      <c r="E619" t="s">
        <v>312</v>
      </c>
      <c r="F619">
        <v>1.5</v>
      </c>
      <c r="G619" t="s">
        <v>911</v>
      </c>
    </row>
    <row r="621" spans="1:7">
      <c r="A621" t="s">
        <v>741</v>
      </c>
      <c r="B621" s="102">
        <v>45694</v>
      </c>
      <c r="C621">
        <v>15.72</v>
      </c>
      <c r="D621" t="s">
        <v>13</v>
      </c>
      <c r="E621" t="s">
        <v>312</v>
      </c>
      <c r="F621">
        <v>1.5</v>
      </c>
      <c r="G621" t="s">
        <v>911</v>
      </c>
    </row>
    <row r="622" spans="1:7">
      <c r="A622" t="s">
        <v>737</v>
      </c>
      <c r="B622" s="102">
        <v>45694</v>
      </c>
      <c r="C622">
        <v>17.510000000000002</v>
      </c>
      <c r="D622" t="s">
        <v>13</v>
      </c>
      <c r="E622" t="s">
        <v>392</v>
      </c>
      <c r="F622">
        <v>1.5</v>
      </c>
      <c r="G622" t="s">
        <v>945</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69698-745D-431C-86C8-84DB9BECF204}">
  <sheetPr codeName="Sheet6">
    <tabColor theme="6" tint="0.39997558519241921"/>
  </sheetPr>
  <dimension ref="A1:AF56"/>
  <sheetViews>
    <sheetView workbookViewId="0">
      <selection activeCell="A31" sqref="A31"/>
    </sheetView>
  </sheetViews>
  <sheetFormatPr defaultRowHeight="15"/>
  <cols>
    <col min="7" max="7" width="10.7109375" customWidth="1"/>
    <col min="9" max="9" width="10.5703125" bestFit="1" customWidth="1"/>
    <col min="12" max="12" width="11.5703125" bestFit="1" customWidth="1"/>
    <col min="13" max="13" width="11.28515625" bestFit="1" customWidth="1"/>
    <col min="15" max="15" width="15" customWidth="1"/>
    <col min="16" max="16" width="10.5703125" bestFit="1" customWidth="1"/>
    <col min="17" max="17" width="9.28515625" bestFit="1" customWidth="1"/>
    <col min="19" max="19" width="9.28515625" bestFit="1" customWidth="1"/>
    <col min="25" max="25" width="10.5703125" bestFit="1" customWidth="1"/>
  </cols>
  <sheetData>
    <row r="1" spans="1:29" ht="15.75" thickBot="1"/>
    <row r="2" spans="1:29" ht="15.75" thickBot="1">
      <c r="E2" s="446" t="s">
        <v>436</v>
      </c>
      <c r="F2" s="446"/>
      <c r="G2" s="446"/>
      <c r="H2" s="446"/>
      <c r="I2" s="446"/>
      <c r="J2" s="446"/>
      <c r="K2" s="446"/>
      <c r="L2" s="1" t="s">
        <v>384</v>
      </c>
      <c r="M2" s="1" t="s">
        <v>369</v>
      </c>
      <c r="N2" s="63"/>
      <c r="O2" s="3"/>
      <c r="P2" s="269" t="s">
        <v>317</v>
      </c>
      <c r="Q2" s="275" t="s">
        <v>369</v>
      </c>
      <c r="U2" s="1"/>
      <c r="V2" s="1"/>
      <c r="W2" s="1"/>
      <c r="X2" s="1"/>
      <c r="Z2" s="1"/>
      <c r="AC2" s="8"/>
    </row>
    <row r="3" spans="1:29" ht="15.75" thickTop="1">
      <c r="A3" s="391" t="s">
        <v>1002</v>
      </c>
      <c r="B3" s="392"/>
      <c r="C3" s="392"/>
      <c r="D3" s="392"/>
      <c r="E3" s="393" t="s">
        <v>12</v>
      </c>
      <c r="F3" s="394" t="s">
        <v>408</v>
      </c>
      <c r="G3" s="395" t="s">
        <v>405</v>
      </c>
      <c r="H3" s="395"/>
      <c r="I3" s="395"/>
      <c r="J3" s="392"/>
      <c r="K3" s="392"/>
      <c r="L3" s="396">
        <f>P4-P5</f>
        <v>8885.4500000000007</v>
      </c>
      <c r="M3" s="397">
        <f>Bitcoin!C5-Bitcoin!E6</f>
        <v>-50.979999999999563</v>
      </c>
      <c r="O3" s="143" t="s">
        <v>343</v>
      </c>
      <c r="P3" s="276">
        <f>Stocks!D8</f>
        <v>10755.35</v>
      </c>
      <c r="Q3" s="259">
        <f>Bitcoin!C8</f>
        <v>153.5675729236367</v>
      </c>
      <c r="T3" s="8"/>
      <c r="U3" s="63"/>
      <c r="V3" s="63"/>
      <c r="W3" s="63"/>
      <c r="X3" s="63"/>
    </row>
    <row r="4" spans="1:29">
      <c r="A4" s="398"/>
      <c r="B4" s="399"/>
      <c r="C4" s="399"/>
      <c r="D4" s="399"/>
      <c r="E4" s="400" t="s">
        <v>12</v>
      </c>
      <c r="F4" s="84" t="s">
        <v>408</v>
      </c>
      <c r="G4" s="399"/>
      <c r="H4" s="399"/>
      <c r="I4" s="399"/>
      <c r="J4" s="399"/>
      <c r="K4" s="399"/>
      <c r="L4" s="399"/>
      <c r="M4" s="401"/>
      <c r="O4" s="144" t="s">
        <v>382</v>
      </c>
      <c r="P4" s="277">
        <f>Stocks!D5</f>
        <v>14320.56</v>
      </c>
      <c r="Q4" s="260">
        <f>Bitcoin!C5</f>
        <v>1145.5500000000002</v>
      </c>
      <c r="T4" s="8"/>
      <c r="U4" s="63"/>
      <c r="V4" s="63"/>
      <c r="W4" s="63"/>
      <c r="X4" s="63"/>
    </row>
    <row r="5" spans="1:29">
      <c r="A5" s="391" t="s">
        <v>1003</v>
      </c>
      <c r="B5" s="392"/>
      <c r="C5" s="392"/>
      <c r="D5" s="392"/>
      <c r="E5" s="393" t="s">
        <v>425</v>
      </c>
      <c r="F5" s="394" t="s">
        <v>408</v>
      </c>
      <c r="G5" s="395" t="s">
        <v>407</v>
      </c>
      <c r="H5" s="395"/>
      <c r="I5" s="395"/>
      <c r="J5" s="392"/>
      <c r="K5" s="392"/>
      <c r="L5" s="396">
        <f>L3+L23</f>
        <v>10069.36</v>
      </c>
      <c r="M5" s="397">
        <f>M3+M23</f>
        <v>-35.306860045109261</v>
      </c>
      <c r="O5" s="144" t="s">
        <v>383</v>
      </c>
      <c r="P5" s="277">
        <f>Stocks!D6</f>
        <v>5435.11</v>
      </c>
      <c r="Q5" s="260">
        <f>Bitcoin!E6</f>
        <v>1196.5299999999997</v>
      </c>
      <c r="T5" s="8"/>
      <c r="U5" s="63"/>
      <c r="V5" s="63"/>
      <c r="W5" s="63"/>
      <c r="X5" s="63"/>
    </row>
    <row r="6" spans="1:29" ht="15.75" thickBot="1">
      <c r="A6" s="402"/>
      <c r="E6" s="8" t="s">
        <v>425</v>
      </c>
      <c r="F6" s="1" t="s">
        <v>408</v>
      </c>
      <c r="G6" t="s">
        <v>414</v>
      </c>
      <c r="L6" s="6">
        <f>P4-P6</f>
        <v>10069.36</v>
      </c>
      <c r="M6" s="354">
        <f>Q4-Q6</f>
        <v>-35.306860045109261</v>
      </c>
      <c r="O6" s="146" t="s">
        <v>424</v>
      </c>
      <c r="P6" s="278">
        <f>Stocks!M4</f>
        <v>4251.2</v>
      </c>
      <c r="Q6" s="279">
        <f>Bitcoin!T13</f>
        <v>1180.8568600451094</v>
      </c>
      <c r="S6" s="6"/>
      <c r="V6" s="8"/>
      <c r="W6" s="63"/>
      <c r="X6" s="63"/>
      <c r="Y6" s="63"/>
      <c r="Z6" s="63"/>
    </row>
    <row r="7" spans="1:29">
      <c r="A7" s="398"/>
      <c r="B7" s="399"/>
      <c r="C7" s="399"/>
      <c r="D7" s="399"/>
      <c r="E7" s="400" t="s">
        <v>425</v>
      </c>
      <c r="F7" s="84" t="s">
        <v>408</v>
      </c>
      <c r="G7" s="399" t="s">
        <v>434</v>
      </c>
      <c r="H7" s="399"/>
      <c r="I7" s="399"/>
      <c r="J7" s="399"/>
      <c r="K7" s="399"/>
      <c r="L7" s="403">
        <f>P4-P5+L22</f>
        <v>10069.36</v>
      </c>
      <c r="M7" s="404">
        <f>Q4-Q5+M23</f>
        <v>-35.306860045109261</v>
      </c>
      <c r="O7" s="273"/>
      <c r="V7" s="8"/>
      <c r="W7" s="63"/>
      <c r="X7" s="63"/>
      <c r="Y7" s="63"/>
      <c r="Z7" s="63"/>
    </row>
    <row r="8" spans="1:29">
      <c r="A8" s="391" t="s">
        <v>1004</v>
      </c>
      <c r="B8" s="392"/>
      <c r="C8" s="392"/>
      <c r="D8" s="392"/>
      <c r="E8" s="393" t="s">
        <v>426</v>
      </c>
      <c r="F8" s="394" t="s">
        <v>408</v>
      </c>
      <c r="G8" s="395" t="s">
        <v>454</v>
      </c>
      <c r="H8" s="392"/>
      <c r="I8" s="392"/>
      <c r="J8" s="393"/>
      <c r="K8" s="405"/>
      <c r="L8" s="405">
        <f>L3+L13+L23</f>
        <v>782.75</v>
      </c>
      <c r="M8" s="406">
        <f>M3+M13+M23</f>
        <v>-8153.68</v>
      </c>
      <c r="O8" s="271" t="s">
        <v>286</v>
      </c>
      <c r="P8" s="271">
        <v>782.75</v>
      </c>
      <c r="V8" s="8"/>
      <c r="W8" s="63"/>
      <c r="X8" s="63"/>
      <c r="Y8" s="63"/>
      <c r="Z8" s="63"/>
    </row>
    <row r="9" spans="1:29">
      <c r="A9" s="402"/>
      <c r="E9" s="8" t="s">
        <v>426</v>
      </c>
      <c r="F9" s="1" t="s">
        <v>408</v>
      </c>
      <c r="G9" t="s">
        <v>447</v>
      </c>
      <c r="L9" s="6">
        <f>L3+L17</f>
        <v>782.75</v>
      </c>
      <c r="M9" s="354">
        <f>M3+L17</f>
        <v>-8153.68</v>
      </c>
      <c r="V9" s="8"/>
      <c r="Y9" s="63"/>
      <c r="Z9" s="130"/>
    </row>
    <row r="10" spans="1:29">
      <c r="A10" s="398"/>
      <c r="B10" s="399"/>
      <c r="C10" s="399"/>
      <c r="D10" s="399"/>
      <c r="E10" s="400" t="s">
        <v>426</v>
      </c>
      <c r="F10" s="84" t="s">
        <v>408</v>
      </c>
      <c r="G10" s="399"/>
      <c r="H10" s="399"/>
      <c r="I10" s="399"/>
      <c r="J10" s="399"/>
      <c r="K10" s="399"/>
      <c r="L10" s="399"/>
      <c r="M10" s="401"/>
      <c r="V10" s="8"/>
      <c r="Y10" s="63"/>
      <c r="Z10" s="63"/>
    </row>
    <row r="11" spans="1:29">
      <c r="A11" s="391" t="s">
        <v>1005</v>
      </c>
      <c r="B11" s="392"/>
      <c r="C11" s="392"/>
      <c r="D11" s="392"/>
      <c r="E11" s="393" t="s">
        <v>435</v>
      </c>
      <c r="F11" s="394" t="s">
        <v>408</v>
      </c>
      <c r="G11" s="392" t="s">
        <v>455</v>
      </c>
      <c r="H11" s="392"/>
      <c r="I11" s="392"/>
      <c r="J11" s="392"/>
      <c r="K11" s="392"/>
      <c r="L11" s="405">
        <f>P5-L22</f>
        <v>4251.2</v>
      </c>
      <c r="M11" s="406">
        <f>Q5-M22</f>
        <v>1180.8568600451094</v>
      </c>
      <c r="P11" s="6"/>
      <c r="V11" s="8"/>
      <c r="Y11" s="63"/>
      <c r="Z11" s="63"/>
    </row>
    <row r="12" spans="1:29">
      <c r="A12" s="398" t="s">
        <v>1006</v>
      </c>
      <c r="B12" s="399"/>
      <c r="C12" s="399"/>
      <c r="D12" s="399"/>
      <c r="E12" s="400" t="s">
        <v>435</v>
      </c>
      <c r="F12" s="84" t="s">
        <v>408</v>
      </c>
      <c r="G12" s="399"/>
      <c r="H12" s="399"/>
      <c r="I12" s="399"/>
      <c r="J12" s="399"/>
      <c r="K12" s="399"/>
      <c r="L12" s="403"/>
      <c r="M12" s="404"/>
      <c r="V12" s="8"/>
      <c r="Y12" s="63"/>
      <c r="Z12" s="63"/>
      <c r="AA12" s="6"/>
    </row>
    <row r="13" spans="1:29">
      <c r="A13" s="391" t="s">
        <v>1007</v>
      </c>
      <c r="B13" s="392"/>
      <c r="C13" s="392"/>
      <c r="D13" s="392"/>
      <c r="E13" s="393" t="s">
        <v>422</v>
      </c>
      <c r="F13" s="394" t="s">
        <v>408</v>
      </c>
      <c r="G13" s="392" t="s">
        <v>451</v>
      </c>
      <c r="H13" s="392"/>
      <c r="I13" s="392"/>
      <c r="J13" s="392"/>
      <c r="K13" s="392"/>
      <c r="L13" s="407">
        <f>L9-L6</f>
        <v>-9286.61</v>
      </c>
      <c r="M13" s="408">
        <f>M9-M6</f>
        <v>-8118.3731399548906</v>
      </c>
      <c r="P13" s="6"/>
      <c r="V13" s="8"/>
      <c r="W13" s="63"/>
      <c r="X13" s="63"/>
      <c r="Y13" s="63"/>
      <c r="Z13" s="63"/>
    </row>
    <row r="14" spans="1:29">
      <c r="A14" s="398"/>
      <c r="B14" s="399"/>
      <c r="C14" s="399"/>
      <c r="D14" s="399"/>
      <c r="E14" s="400" t="s">
        <v>422</v>
      </c>
      <c r="F14" s="84" t="s">
        <v>408</v>
      </c>
      <c r="G14" s="399"/>
      <c r="H14" s="399"/>
      <c r="I14" s="399"/>
      <c r="J14" s="399"/>
      <c r="K14" s="399"/>
      <c r="L14" s="403"/>
      <c r="M14" s="404"/>
      <c r="V14" s="8"/>
      <c r="W14" s="63"/>
      <c r="X14" s="63"/>
      <c r="Y14" s="63"/>
      <c r="Z14" s="63"/>
    </row>
    <row r="15" spans="1:29">
      <c r="A15" s="391"/>
      <c r="B15" s="392"/>
      <c r="C15" s="392"/>
      <c r="D15" s="392"/>
      <c r="E15" s="393" t="s">
        <v>421</v>
      </c>
      <c r="F15" s="394" t="s">
        <v>408</v>
      </c>
      <c r="G15" s="392" t="s">
        <v>416</v>
      </c>
      <c r="H15" s="392"/>
      <c r="I15" s="392"/>
      <c r="J15" s="392"/>
      <c r="K15" s="392"/>
      <c r="L15" s="396">
        <f>L18+L25</f>
        <v>-7416.71</v>
      </c>
      <c r="M15" s="397">
        <f>M18+M25</f>
        <v>-7913.8255670312546</v>
      </c>
      <c r="V15" s="8"/>
      <c r="W15" s="63"/>
      <c r="X15" s="63"/>
      <c r="Y15" s="63"/>
      <c r="Z15" s="63"/>
      <c r="AA15" s="63"/>
    </row>
    <row r="16" spans="1:29">
      <c r="A16" s="398"/>
      <c r="B16" s="399"/>
      <c r="C16" s="399"/>
      <c r="D16" s="399"/>
      <c r="E16" s="400" t="s">
        <v>421</v>
      </c>
      <c r="F16" s="84" t="s">
        <v>408</v>
      </c>
      <c r="G16" s="399" t="s">
        <v>439</v>
      </c>
      <c r="H16" s="399"/>
      <c r="I16" s="399"/>
      <c r="J16" s="399"/>
      <c r="K16" s="399"/>
      <c r="L16" s="403">
        <f>L20+L13</f>
        <v>-7416.7100000000009</v>
      </c>
      <c r="M16" s="404">
        <f>M13+M20</f>
        <v>-7913.8255670312546</v>
      </c>
      <c r="V16" s="8"/>
      <c r="W16" s="63"/>
      <c r="X16" s="63"/>
      <c r="Y16" s="63"/>
      <c r="Z16" s="63"/>
      <c r="AA16" s="63"/>
    </row>
    <row r="17" spans="1:32">
      <c r="A17" s="391" t="s">
        <v>1008</v>
      </c>
      <c r="B17" s="392"/>
      <c r="C17" s="392"/>
      <c r="D17" s="392"/>
      <c r="E17" s="393" t="s">
        <v>418</v>
      </c>
      <c r="F17" s="394" t="s">
        <v>408</v>
      </c>
      <c r="G17" s="392" t="s">
        <v>440</v>
      </c>
      <c r="H17" s="392"/>
      <c r="I17" s="392"/>
      <c r="J17" s="392"/>
      <c r="K17" s="392"/>
      <c r="L17" s="396">
        <f>P8-L3</f>
        <v>-8102.7000000000007</v>
      </c>
      <c r="M17" s="397">
        <f>M9-M3</f>
        <v>-8102.7000000000007</v>
      </c>
      <c r="V17" s="8"/>
      <c r="W17" s="63"/>
      <c r="X17" s="63"/>
      <c r="Y17" s="63"/>
      <c r="Z17" s="63"/>
    </row>
    <row r="18" spans="1:32">
      <c r="A18" s="398"/>
      <c r="B18" s="399"/>
      <c r="C18" s="399"/>
      <c r="D18" s="399"/>
      <c r="E18" s="400" t="s">
        <v>418</v>
      </c>
      <c r="F18" s="84" t="s">
        <v>408</v>
      </c>
      <c r="G18" s="399" t="s">
        <v>441</v>
      </c>
      <c r="H18" s="399"/>
      <c r="I18" s="399"/>
      <c r="J18" s="399"/>
      <c r="K18" s="399"/>
      <c r="L18" s="409">
        <f>P8+P5-P4</f>
        <v>-8102.7</v>
      </c>
      <c r="M18" s="410">
        <f>M8+Q5-Q4</f>
        <v>-8102.7000000000007</v>
      </c>
      <c r="V18" s="8"/>
      <c r="Y18" s="63"/>
      <c r="Z18" s="63"/>
    </row>
    <row r="19" spans="1:32">
      <c r="A19" s="391" t="s">
        <v>1009</v>
      </c>
      <c r="B19" s="392"/>
      <c r="C19" s="392"/>
      <c r="D19" s="392"/>
      <c r="E19" s="393" t="s">
        <v>410</v>
      </c>
      <c r="F19" s="394" t="s">
        <v>408</v>
      </c>
      <c r="G19" s="392" t="s">
        <v>423</v>
      </c>
      <c r="H19" s="392"/>
      <c r="I19" s="392"/>
      <c r="J19" s="392"/>
      <c r="K19" s="392"/>
      <c r="L19" s="396">
        <f>L15-L13</f>
        <v>1869.9000000000005</v>
      </c>
      <c r="M19" s="397">
        <f>M15-M13</f>
        <v>204.54757292363593</v>
      </c>
      <c r="V19" s="8"/>
      <c r="W19" s="63"/>
      <c r="X19" s="63"/>
      <c r="Y19" s="63"/>
      <c r="Z19" s="63"/>
    </row>
    <row r="20" spans="1:32">
      <c r="A20" s="402" t="s">
        <v>1010</v>
      </c>
      <c r="E20" s="8" t="s">
        <v>410</v>
      </c>
      <c r="F20" s="1" t="s">
        <v>408</v>
      </c>
      <c r="G20" t="s">
        <v>409</v>
      </c>
      <c r="L20" s="6">
        <f>P3-L3</f>
        <v>1869.8999999999996</v>
      </c>
      <c r="M20" s="354">
        <f>Q3-M3</f>
        <v>204.54757292363627</v>
      </c>
      <c r="V20" s="8"/>
      <c r="Y20" s="130"/>
      <c r="Z20" s="63"/>
    </row>
    <row r="21" spans="1:32">
      <c r="A21" s="398"/>
      <c r="B21" s="399"/>
      <c r="C21" s="399"/>
      <c r="D21" s="399"/>
      <c r="E21" s="400" t="s">
        <v>410</v>
      </c>
      <c r="F21" s="84" t="s">
        <v>408</v>
      </c>
      <c r="G21" s="399" t="s">
        <v>411</v>
      </c>
      <c r="H21" s="399"/>
      <c r="I21" s="399"/>
      <c r="J21" s="399"/>
      <c r="K21" s="399"/>
      <c r="L21" s="403">
        <f>L23+L25</f>
        <v>1869.8999999999996</v>
      </c>
      <c r="M21" s="404">
        <f>M23+M25</f>
        <v>204.54757292363627</v>
      </c>
      <c r="V21" s="8"/>
      <c r="W21" s="130"/>
      <c r="X21" s="130"/>
      <c r="Y21" s="130"/>
      <c r="Z21" s="63"/>
    </row>
    <row r="22" spans="1:32">
      <c r="A22" s="391" t="s">
        <v>1011</v>
      </c>
      <c r="B22" s="392"/>
      <c r="C22" s="392"/>
      <c r="D22" s="392"/>
      <c r="E22" s="393" t="s">
        <v>380</v>
      </c>
      <c r="F22" s="394" t="s">
        <v>408</v>
      </c>
      <c r="G22" s="392" t="s">
        <v>412</v>
      </c>
      <c r="H22" s="392"/>
      <c r="I22" s="392"/>
      <c r="J22" s="392"/>
      <c r="K22" s="392"/>
      <c r="L22" s="396">
        <f>P5-P6</f>
        <v>1183.9099999999999</v>
      </c>
      <c r="M22" s="397">
        <f>Q5-Q6</f>
        <v>15.673139954890303</v>
      </c>
      <c r="V22" s="8"/>
      <c r="W22" s="130"/>
      <c r="X22" s="130"/>
      <c r="Y22" s="130"/>
      <c r="Z22" s="63"/>
    </row>
    <row r="23" spans="1:32">
      <c r="A23" s="402" t="s">
        <v>1014</v>
      </c>
      <c r="E23" s="8" t="s">
        <v>380</v>
      </c>
      <c r="F23" s="1" t="s">
        <v>408</v>
      </c>
      <c r="G23" s="119" t="s">
        <v>453</v>
      </c>
      <c r="H23" s="119"/>
      <c r="I23" s="119"/>
      <c r="L23" s="6">
        <f>L6-L3</f>
        <v>1183.9099999999999</v>
      </c>
      <c r="M23" s="354">
        <f>M6-M3</f>
        <v>15.673139954890303</v>
      </c>
      <c r="V23" s="8"/>
      <c r="W23" s="130"/>
      <c r="X23" s="130"/>
      <c r="Y23" s="130"/>
      <c r="Z23" s="63"/>
    </row>
    <row r="24" spans="1:32">
      <c r="A24" s="398"/>
      <c r="B24" s="399"/>
      <c r="C24" s="399"/>
      <c r="D24" s="399"/>
      <c r="E24" s="400" t="s">
        <v>380</v>
      </c>
      <c r="F24" s="84" t="s">
        <v>408</v>
      </c>
      <c r="G24" s="399" t="s">
        <v>452</v>
      </c>
      <c r="H24" s="399"/>
      <c r="I24" s="399"/>
      <c r="J24" s="399"/>
      <c r="K24" s="399"/>
      <c r="L24" s="403">
        <f>L7+P5-P4</f>
        <v>1183.9100000000017</v>
      </c>
      <c r="M24" s="404">
        <f>M6+Q5-Q4</f>
        <v>15.673139954890303</v>
      </c>
      <c r="V24" s="8"/>
      <c r="W24" s="130"/>
      <c r="X24" s="130"/>
      <c r="Y24" s="130"/>
      <c r="Z24" s="63"/>
    </row>
    <row r="25" spans="1:32">
      <c r="A25" s="391" t="s">
        <v>1013</v>
      </c>
      <c r="B25" s="392"/>
      <c r="C25" s="392"/>
      <c r="D25" s="392"/>
      <c r="E25" s="393" t="s">
        <v>381</v>
      </c>
      <c r="F25" s="394" t="s">
        <v>408</v>
      </c>
      <c r="G25" s="392" t="s">
        <v>413</v>
      </c>
      <c r="H25" s="392"/>
      <c r="I25" s="392"/>
      <c r="J25" s="392"/>
      <c r="K25" s="392"/>
      <c r="L25" s="396">
        <f>P3-L6</f>
        <v>685.98999999999978</v>
      </c>
      <c r="M25" s="397">
        <f>Q3-M6</f>
        <v>188.87443296874596</v>
      </c>
      <c r="N25" s="25"/>
      <c r="V25" s="8"/>
    </row>
    <row r="26" spans="1:32">
      <c r="A26" s="398" t="s">
        <v>1012</v>
      </c>
      <c r="B26" s="399"/>
      <c r="C26" s="399"/>
      <c r="D26" s="399"/>
      <c r="E26" s="400" t="s">
        <v>381</v>
      </c>
      <c r="F26" s="84" t="s">
        <v>408</v>
      </c>
      <c r="G26" s="399"/>
      <c r="H26" s="399"/>
      <c r="I26" s="399"/>
      <c r="J26" s="399"/>
      <c r="K26" s="399"/>
      <c r="L26" s="399"/>
      <c r="M26" s="401"/>
      <c r="V26" s="8"/>
      <c r="AE26" s="270"/>
    </row>
    <row r="27" spans="1:32">
      <c r="E27" s="8" t="s">
        <v>433</v>
      </c>
      <c r="F27" s="1" t="s">
        <v>408</v>
      </c>
      <c r="G27" t="s">
        <v>450</v>
      </c>
      <c r="L27" s="118">
        <f>L20/P4</f>
        <v>0.1305745026730798</v>
      </c>
      <c r="M27" s="118">
        <f>M20/Q4</f>
        <v>0.17855839808269935</v>
      </c>
      <c r="N27" s="274"/>
      <c r="Y27" s="271"/>
      <c r="Z27" s="271"/>
      <c r="AA27" s="63"/>
      <c r="AB27" s="280"/>
      <c r="AD27" s="272"/>
    </row>
    <row r="28" spans="1:32">
      <c r="E28" s="8" t="s">
        <v>419</v>
      </c>
      <c r="F28" s="1" t="s">
        <v>408</v>
      </c>
      <c r="G28" t="s">
        <v>449</v>
      </c>
      <c r="L28" s="118">
        <f>L22/L11</f>
        <v>0.27848842679713959</v>
      </c>
      <c r="M28" s="118"/>
      <c r="N28" s="25"/>
      <c r="V28" s="8"/>
      <c r="W28" s="6"/>
    </row>
    <row r="29" spans="1:32">
      <c r="E29" s="8" t="s">
        <v>420</v>
      </c>
      <c r="F29" s="1" t="s">
        <v>408</v>
      </c>
      <c r="G29" t="s">
        <v>448</v>
      </c>
      <c r="L29" s="118">
        <f>L25/L5</f>
        <v>6.8126474770988404E-2</v>
      </c>
      <c r="M29" s="118">
        <f>M25/M5</f>
        <v>-5.3495109088554882</v>
      </c>
    </row>
    <row r="31" spans="1:32">
      <c r="E31" s="8" t="s">
        <v>446</v>
      </c>
      <c r="F31" s="1" t="s">
        <v>408</v>
      </c>
      <c r="G31" t="s">
        <v>445</v>
      </c>
      <c r="I31" s="119"/>
      <c r="L31" s="6">
        <f>P5+P3</f>
        <v>16190.46</v>
      </c>
      <c r="M31" s="6">
        <f>Q5+Q3</f>
        <v>1350.0975729236366</v>
      </c>
      <c r="N31" s="25"/>
      <c r="AF31" s="1"/>
    </row>
    <row r="32" spans="1:32">
      <c r="L32" s="302">
        <f>L31/P4</f>
        <v>1.1305745026730798</v>
      </c>
      <c r="M32" s="302">
        <f>M31/Q4</f>
        <v>1.1785583980826995</v>
      </c>
      <c r="AF32" s="63"/>
    </row>
    <row r="33" spans="5:32">
      <c r="AF33" s="63"/>
    </row>
    <row r="34" spans="5:32">
      <c r="E34" s="8" t="s">
        <v>17</v>
      </c>
      <c r="F34" s="1" t="s">
        <v>408</v>
      </c>
      <c r="G34" s="119" t="s">
        <v>415</v>
      </c>
      <c r="AF34" s="63"/>
    </row>
    <row r="35" spans="5:32">
      <c r="E35" s="8" t="s">
        <v>17</v>
      </c>
      <c r="F35" s="1" t="s">
        <v>408</v>
      </c>
      <c r="G35" t="s">
        <v>417</v>
      </c>
    </row>
    <row r="56" spans="32:32">
      <c r="AF56" s="271"/>
    </row>
  </sheetData>
  <mergeCells count="1">
    <mergeCell ref="E2:K2"/>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D4AE-2DBB-429A-BE87-61187AB96684}">
  <sheetPr codeName="Sheet22"/>
  <dimension ref="B2:H17"/>
  <sheetViews>
    <sheetView workbookViewId="0">
      <selection activeCell="F30" sqref="F30"/>
    </sheetView>
  </sheetViews>
  <sheetFormatPr defaultColWidth="8.85546875" defaultRowHeight="15"/>
  <sheetData>
    <row r="2" spans="2:8">
      <c r="B2">
        <v>10</v>
      </c>
      <c r="C2" s="256">
        <v>0.03</v>
      </c>
      <c r="E2">
        <v>10</v>
      </c>
      <c r="F2" s="257">
        <v>9.9000000000000005E-2</v>
      </c>
    </row>
    <row r="3" spans="2:8">
      <c r="B3">
        <v>50</v>
      </c>
      <c r="C3" s="256">
        <f>1.12/50</f>
        <v>2.2400000000000003E-2</v>
      </c>
      <c r="E3">
        <v>25</v>
      </c>
      <c r="F3" s="257">
        <v>5.96E-2</v>
      </c>
    </row>
    <row r="4" spans="2:8">
      <c r="B4">
        <v>100</v>
      </c>
      <c r="C4" s="256">
        <v>0.02</v>
      </c>
      <c r="E4">
        <v>50</v>
      </c>
      <c r="F4" s="257">
        <v>3.9899999999999998E-2</v>
      </c>
    </row>
    <row r="5" spans="2:8">
      <c r="B5">
        <v>1000</v>
      </c>
      <c r="C5" s="256">
        <v>1.7600000000000001E-2</v>
      </c>
      <c r="E5">
        <v>200</v>
      </c>
      <c r="F5" s="257">
        <v>1.495E-2</v>
      </c>
    </row>
    <row r="12" spans="2:8">
      <c r="D12">
        <v>100</v>
      </c>
      <c r="F12" t="s">
        <v>365</v>
      </c>
      <c r="G12">
        <f>0.0374*H12^(-0.116)</f>
        <v>2.1452368123442263E-2</v>
      </c>
      <c r="H12">
        <v>120.5044583488217</v>
      </c>
    </row>
    <row r="13" spans="2:8">
      <c r="B13" t="s">
        <v>365</v>
      </c>
      <c r="C13">
        <f>0.0374*D12^(-0.116)</f>
        <v>2.1921567352824675E-2</v>
      </c>
      <c r="F13" t="s">
        <v>366</v>
      </c>
      <c r="G13">
        <f>0.4454*H12^(-0.633)</f>
        <v>2.1452368126447342E-2</v>
      </c>
    </row>
    <row r="14" spans="2:8">
      <c r="B14" t="s">
        <v>366</v>
      </c>
      <c r="C14">
        <f>0.4454*D12^(-0.633)</f>
        <v>2.4140719658488324E-2</v>
      </c>
    </row>
    <row r="16" spans="2:8">
      <c r="G16">
        <f>ABS(G13-G12)</f>
        <v>3.0050788246693827E-12</v>
      </c>
    </row>
    <row r="17" spans="3:3">
      <c r="C17">
        <f>ABS(C14-C13)</f>
        <v>2.2191523056636492E-3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8D13-7026-4CBE-8A95-33FE626E4F47}">
  <sheetPr codeName="Sheet23"/>
  <dimension ref="B2:C151"/>
  <sheetViews>
    <sheetView topLeftCell="A2" workbookViewId="0">
      <selection activeCell="B151" sqref="B151"/>
    </sheetView>
  </sheetViews>
  <sheetFormatPr defaultColWidth="8.85546875" defaultRowHeight="15"/>
  <cols>
    <col min="2" max="2" width="15.85546875" bestFit="1" customWidth="1"/>
    <col min="3" max="3" width="11.42578125" bestFit="1" customWidth="1"/>
  </cols>
  <sheetData>
    <row r="2" spans="2:3">
      <c r="B2" s="225">
        <v>44307</v>
      </c>
      <c r="C2" s="6">
        <f>Bitcoin!L5</f>
        <v>69774.710000000006</v>
      </c>
    </row>
    <row r="3" spans="2:3">
      <c r="B3" s="225">
        <v>44314</v>
      </c>
      <c r="C3" s="6">
        <f>C2</f>
        <v>69774.710000000006</v>
      </c>
    </row>
    <row r="4" spans="2:3">
      <c r="B4" s="225">
        <v>44321</v>
      </c>
      <c r="C4" s="6">
        <f t="shared" ref="C4:C67" si="0">C3</f>
        <v>69774.710000000006</v>
      </c>
    </row>
    <row r="5" spans="2:3">
      <c r="B5" s="225">
        <v>44328</v>
      </c>
      <c r="C5" s="6">
        <f t="shared" si="0"/>
        <v>69774.710000000006</v>
      </c>
    </row>
    <row r="6" spans="2:3">
      <c r="B6" s="225">
        <v>44335</v>
      </c>
      <c r="C6" s="6">
        <f t="shared" si="0"/>
        <v>69774.710000000006</v>
      </c>
    </row>
    <row r="7" spans="2:3">
      <c r="B7" s="225">
        <v>44342</v>
      </c>
      <c r="C7" s="6">
        <f t="shared" si="0"/>
        <v>69774.710000000006</v>
      </c>
    </row>
    <row r="8" spans="2:3">
      <c r="B8" s="225">
        <v>44349</v>
      </c>
      <c r="C8" s="6">
        <f t="shared" si="0"/>
        <v>69774.710000000006</v>
      </c>
    </row>
    <row r="9" spans="2:3">
      <c r="B9" s="225">
        <v>44356</v>
      </c>
      <c r="C9" s="6">
        <f t="shared" si="0"/>
        <v>69774.710000000006</v>
      </c>
    </row>
    <row r="10" spans="2:3">
      <c r="B10" s="225">
        <v>44363</v>
      </c>
      <c r="C10" s="6">
        <f t="shared" si="0"/>
        <v>69774.710000000006</v>
      </c>
    </row>
    <row r="11" spans="2:3">
      <c r="B11" s="225">
        <v>44370</v>
      </c>
      <c r="C11" s="6">
        <f t="shared" si="0"/>
        <v>69774.710000000006</v>
      </c>
    </row>
    <row r="12" spans="2:3">
      <c r="B12" s="225">
        <v>44377</v>
      </c>
      <c r="C12" s="6">
        <f t="shared" si="0"/>
        <v>69774.710000000006</v>
      </c>
    </row>
    <row r="13" spans="2:3">
      <c r="B13" s="225">
        <v>44384</v>
      </c>
      <c r="C13" s="6">
        <f t="shared" si="0"/>
        <v>69774.710000000006</v>
      </c>
    </row>
    <row r="14" spans="2:3">
      <c r="B14" s="225">
        <v>44391</v>
      </c>
      <c r="C14" s="6">
        <f t="shared" si="0"/>
        <v>69774.710000000006</v>
      </c>
    </row>
    <row r="15" spans="2:3">
      <c r="B15" s="225">
        <v>44398</v>
      </c>
      <c r="C15" s="6">
        <f t="shared" si="0"/>
        <v>69774.710000000006</v>
      </c>
    </row>
    <row r="16" spans="2:3">
      <c r="B16" s="225">
        <v>44405</v>
      </c>
      <c r="C16" s="6">
        <f t="shared" si="0"/>
        <v>69774.710000000006</v>
      </c>
    </row>
    <row r="17" spans="2:3">
      <c r="B17" s="225">
        <v>44412</v>
      </c>
      <c r="C17" s="6">
        <f t="shared" si="0"/>
        <v>69774.710000000006</v>
      </c>
    </row>
    <row r="18" spans="2:3">
      <c r="B18" s="225">
        <v>44419</v>
      </c>
      <c r="C18" s="6">
        <f t="shared" si="0"/>
        <v>69774.710000000006</v>
      </c>
    </row>
    <row r="19" spans="2:3">
      <c r="B19" s="225">
        <v>44426</v>
      </c>
      <c r="C19" s="6">
        <f t="shared" si="0"/>
        <v>69774.710000000006</v>
      </c>
    </row>
    <row r="20" spans="2:3">
      <c r="B20" s="225">
        <v>44433</v>
      </c>
      <c r="C20" s="6">
        <f t="shared" si="0"/>
        <v>69774.710000000006</v>
      </c>
    </row>
    <row r="21" spans="2:3">
      <c r="B21" s="225">
        <v>44440</v>
      </c>
      <c r="C21" s="6">
        <f t="shared" si="0"/>
        <v>69774.710000000006</v>
      </c>
    </row>
    <row r="22" spans="2:3">
      <c r="B22" s="225">
        <v>44447</v>
      </c>
      <c r="C22" s="6">
        <f t="shared" si="0"/>
        <v>69774.710000000006</v>
      </c>
    </row>
    <row r="23" spans="2:3">
      <c r="B23" s="225">
        <v>44454</v>
      </c>
      <c r="C23" s="6">
        <f t="shared" si="0"/>
        <v>69774.710000000006</v>
      </c>
    </row>
    <row r="24" spans="2:3">
      <c r="B24" s="225">
        <v>44461</v>
      </c>
      <c r="C24" s="6">
        <f t="shared" si="0"/>
        <v>69774.710000000006</v>
      </c>
    </row>
    <row r="25" spans="2:3">
      <c r="B25" s="225">
        <v>44468</v>
      </c>
      <c r="C25" s="6">
        <f t="shared" si="0"/>
        <v>69774.710000000006</v>
      </c>
    </row>
    <row r="26" spans="2:3">
      <c r="B26" s="225">
        <v>44475</v>
      </c>
      <c r="C26" s="6">
        <f t="shared" si="0"/>
        <v>69774.710000000006</v>
      </c>
    </row>
    <row r="27" spans="2:3">
      <c r="B27" s="225">
        <v>44482</v>
      </c>
      <c r="C27" s="6">
        <f t="shared" si="0"/>
        <v>69774.710000000006</v>
      </c>
    </row>
    <row r="28" spans="2:3">
      <c r="B28" s="225">
        <v>44489</v>
      </c>
      <c r="C28" s="6">
        <f t="shared" si="0"/>
        <v>69774.710000000006</v>
      </c>
    </row>
    <row r="29" spans="2:3">
      <c r="B29" s="225">
        <v>44496</v>
      </c>
      <c r="C29" s="6">
        <f t="shared" si="0"/>
        <v>69774.710000000006</v>
      </c>
    </row>
    <row r="30" spans="2:3">
      <c r="B30" s="225">
        <v>44503</v>
      </c>
      <c r="C30" s="6">
        <f t="shared" si="0"/>
        <v>69774.710000000006</v>
      </c>
    </row>
    <row r="31" spans="2:3">
      <c r="B31" s="225">
        <v>44510</v>
      </c>
      <c r="C31" s="6">
        <f t="shared" si="0"/>
        <v>69774.710000000006</v>
      </c>
    </row>
    <row r="32" spans="2:3">
      <c r="B32" s="225">
        <v>44517</v>
      </c>
      <c r="C32" s="6">
        <f t="shared" si="0"/>
        <v>69774.710000000006</v>
      </c>
    </row>
    <row r="33" spans="2:3">
      <c r="B33" s="225">
        <v>44524</v>
      </c>
      <c r="C33" s="6">
        <f t="shared" si="0"/>
        <v>69774.710000000006</v>
      </c>
    </row>
    <row r="34" spans="2:3">
      <c r="B34" s="225">
        <v>44531</v>
      </c>
      <c r="C34" s="6">
        <f t="shared" si="0"/>
        <v>69774.710000000006</v>
      </c>
    </row>
    <row r="35" spans="2:3">
      <c r="B35" s="225">
        <v>44538</v>
      </c>
      <c r="C35" s="6">
        <f t="shared" si="0"/>
        <v>69774.710000000006</v>
      </c>
    </row>
    <row r="36" spans="2:3">
      <c r="B36" s="225">
        <v>44545</v>
      </c>
      <c r="C36" s="6">
        <f t="shared" si="0"/>
        <v>69774.710000000006</v>
      </c>
    </row>
    <row r="37" spans="2:3">
      <c r="B37" s="225">
        <v>44552</v>
      </c>
      <c r="C37" s="6">
        <f t="shared" si="0"/>
        <v>69774.710000000006</v>
      </c>
    </row>
    <row r="38" spans="2:3">
      <c r="B38" s="225">
        <v>44559</v>
      </c>
      <c r="C38" s="6">
        <f t="shared" si="0"/>
        <v>69774.710000000006</v>
      </c>
    </row>
    <row r="39" spans="2:3">
      <c r="B39" s="225">
        <v>44566</v>
      </c>
      <c r="C39" s="6">
        <f t="shared" si="0"/>
        <v>69774.710000000006</v>
      </c>
    </row>
    <row r="40" spans="2:3">
      <c r="B40" s="225">
        <v>44573</v>
      </c>
      <c r="C40" s="6">
        <f t="shared" si="0"/>
        <v>69774.710000000006</v>
      </c>
    </row>
    <row r="41" spans="2:3">
      <c r="B41" s="225">
        <v>44580</v>
      </c>
      <c r="C41" s="6">
        <f t="shared" si="0"/>
        <v>69774.710000000006</v>
      </c>
    </row>
    <row r="42" spans="2:3">
      <c r="B42" s="225">
        <v>44587</v>
      </c>
      <c r="C42" s="6">
        <f t="shared" si="0"/>
        <v>69774.710000000006</v>
      </c>
    </row>
    <row r="43" spans="2:3">
      <c r="B43" s="225">
        <v>44594</v>
      </c>
      <c r="C43" s="6">
        <f t="shared" si="0"/>
        <v>69774.710000000006</v>
      </c>
    </row>
    <row r="44" spans="2:3">
      <c r="B44" s="225">
        <v>44601</v>
      </c>
      <c r="C44" s="6">
        <f t="shared" si="0"/>
        <v>69774.710000000006</v>
      </c>
    </row>
    <row r="45" spans="2:3">
      <c r="B45" s="225">
        <v>44608</v>
      </c>
      <c r="C45" s="6">
        <f t="shared" si="0"/>
        <v>69774.710000000006</v>
      </c>
    </row>
    <row r="46" spans="2:3">
      <c r="B46" s="225">
        <v>44615</v>
      </c>
      <c r="C46" s="6">
        <f t="shared" si="0"/>
        <v>69774.710000000006</v>
      </c>
    </row>
    <row r="47" spans="2:3">
      <c r="B47" s="225">
        <v>44622</v>
      </c>
      <c r="C47" s="6">
        <f t="shared" si="0"/>
        <v>69774.710000000006</v>
      </c>
    </row>
    <row r="48" spans="2:3">
      <c r="B48" s="225">
        <v>44629</v>
      </c>
      <c r="C48" s="6">
        <f t="shared" si="0"/>
        <v>69774.710000000006</v>
      </c>
    </row>
    <row r="49" spans="2:3">
      <c r="B49" s="225">
        <v>44636</v>
      </c>
      <c r="C49" s="6">
        <f t="shared" si="0"/>
        <v>69774.710000000006</v>
      </c>
    </row>
    <row r="50" spans="2:3">
      <c r="B50" s="225">
        <v>44643</v>
      </c>
      <c r="C50" s="6">
        <f t="shared" si="0"/>
        <v>69774.710000000006</v>
      </c>
    </row>
    <row r="51" spans="2:3">
      <c r="B51" s="225">
        <v>44650</v>
      </c>
      <c r="C51" s="6">
        <f t="shared" si="0"/>
        <v>69774.710000000006</v>
      </c>
    </row>
    <row r="52" spans="2:3">
      <c r="B52" s="225">
        <v>44657</v>
      </c>
      <c r="C52" s="6">
        <f t="shared" si="0"/>
        <v>69774.710000000006</v>
      </c>
    </row>
    <row r="53" spans="2:3">
      <c r="B53" s="225">
        <v>44664</v>
      </c>
      <c r="C53" s="6">
        <f t="shared" si="0"/>
        <v>69774.710000000006</v>
      </c>
    </row>
    <row r="54" spans="2:3">
      <c r="B54" s="225">
        <v>44671</v>
      </c>
      <c r="C54" s="6">
        <f t="shared" si="0"/>
        <v>69774.710000000006</v>
      </c>
    </row>
    <row r="55" spans="2:3">
      <c r="B55" s="225">
        <v>44678</v>
      </c>
      <c r="C55" s="6">
        <f t="shared" si="0"/>
        <v>69774.710000000006</v>
      </c>
    </row>
    <row r="56" spans="2:3">
      <c r="B56" s="225">
        <v>44685</v>
      </c>
      <c r="C56" s="6">
        <f t="shared" si="0"/>
        <v>69774.710000000006</v>
      </c>
    </row>
    <row r="57" spans="2:3">
      <c r="B57" s="225">
        <v>44692</v>
      </c>
      <c r="C57" s="6">
        <f t="shared" si="0"/>
        <v>69774.710000000006</v>
      </c>
    </row>
    <row r="58" spans="2:3">
      <c r="B58" s="225">
        <v>44699</v>
      </c>
      <c r="C58" s="6">
        <f t="shared" si="0"/>
        <v>69774.710000000006</v>
      </c>
    </row>
    <row r="59" spans="2:3">
      <c r="B59" s="225">
        <v>44706</v>
      </c>
      <c r="C59" s="6">
        <f t="shared" si="0"/>
        <v>69774.710000000006</v>
      </c>
    </row>
    <row r="60" spans="2:3">
      <c r="B60" s="225">
        <v>44713</v>
      </c>
      <c r="C60" s="6">
        <f t="shared" si="0"/>
        <v>69774.710000000006</v>
      </c>
    </row>
    <row r="61" spans="2:3">
      <c r="B61" s="225">
        <v>44720</v>
      </c>
      <c r="C61" s="6">
        <f t="shared" si="0"/>
        <v>69774.710000000006</v>
      </c>
    </row>
    <row r="62" spans="2:3">
      <c r="B62" s="225">
        <v>44727</v>
      </c>
      <c r="C62" s="6">
        <f t="shared" si="0"/>
        <v>69774.710000000006</v>
      </c>
    </row>
    <row r="63" spans="2:3">
      <c r="B63" s="225">
        <v>44734</v>
      </c>
      <c r="C63" s="6">
        <f t="shared" si="0"/>
        <v>69774.710000000006</v>
      </c>
    </row>
    <row r="64" spans="2:3">
      <c r="B64" s="225">
        <v>44741</v>
      </c>
      <c r="C64" s="6">
        <f t="shared" si="0"/>
        <v>69774.710000000006</v>
      </c>
    </row>
    <row r="65" spans="2:3">
      <c r="B65" s="225">
        <v>44748</v>
      </c>
      <c r="C65" s="6">
        <f t="shared" si="0"/>
        <v>69774.710000000006</v>
      </c>
    </row>
    <row r="66" spans="2:3">
      <c r="B66" s="225">
        <v>44755</v>
      </c>
      <c r="C66" s="6">
        <f t="shared" si="0"/>
        <v>69774.710000000006</v>
      </c>
    </row>
    <row r="67" spans="2:3">
      <c r="B67" s="225">
        <v>44762</v>
      </c>
      <c r="C67" s="6">
        <f t="shared" si="0"/>
        <v>69774.710000000006</v>
      </c>
    </row>
    <row r="68" spans="2:3">
      <c r="B68" s="225">
        <v>44769</v>
      </c>
      <c r="C68" s="6">
        <f t="shared" ref="C68:C131" si="1">C67</f>
        <v>69774.710000000006</v>
      </c>
    </row>
    <row r="69" spans="2:3">
      <c r="B69" s="225">
        <v>44776</v>
      </c>
      <c r="C69" s="6">
        <f t="shared" si="1"/>
        <v>69774.710000000006</v>
      </c>
    </row>
    <row r="70" spans="2:3">
      <c r="B70" s="225">
        <v>44783</v>
      </c>
      <c r="C70" s="6">
        <f t="shared" si="1"/>
        <v>69774.710000000006</v>
      </c>
    </row>
    <row r="71" spans="2:3">
      <c r="B71" s="225">
        <v>44790</v>
      </c>
      <c r="C71" s="6">
        <f t="shared" si="1"/>
        <v>69774.710000000006</v>
      </c>
    </row>
    <row r="72" spans="2:3">
      <c r="B72" s="225">
        <v>44797</v>
      </c>
      <c r="C72" s="6">
        <f t="shared" si="1"/>
        <v>69774.710000000006</v>
      </c>
    </row>
    <row r="73" spans="2:3">
      <c r="B73" s="225">
        <v>44804</v>
      </c>
      <c r="C73" s="6">
        <f t="shared" si="1"/>
        <v>69774.710000000006</v>
      </c>
    </row>
    <row r="74" spans="2:3">
      <c r="B74" s="225">
        <v>44811</v>
      </c>
      <c r="C74" s="6">
        <f t="shared" si="1"/>
        <v>69774.710000000006</v>
      </c>
    </row>
    <row r="75" spans="2:3">
      <c r="B75" s="225">
        <v>44818</v>
      </c>
      <c r="C75" s="6">
        <f t="shared" si="1"/>
        <v>69774.710000000006</v>
      </c>
    </row>
    <row r="76" spans="2:3">
      <c r="B76" s="225">
        <v>44825</v>
      </c>
      <c r="C76" s="6">
        <f t="shared" si="1"/>
        <v>69774.710000000006</v>
      </c>
    </row>
    <row r="77" spans="2:3">
      <c r="B77" s="225">
        <v>44832</v>
      </c>
      <c r="C77" s="6">
        <f t="shared" si="1"/>
        <v>69774.710000000006</v>
      </c>
    </row>
    <row r="78" spans="2:3">
      <c r="B78" s="225">
        <v>44839</v>
      </c>
      <c r="C78" s="6">
        <f t="shared" si="1"/>
        <v>69774.710000000006</v>
      </c>
    </row>
    <row r="79" spans="2:3">
      <c r="B79" s="225">
        <v>44846</v>
      </c>
      <c r="C79" s="6">
        <f t="shared" si="1"/>
        <v>69774.710000000006</v>
      </c>
    </row>
    <row r="80" spans="2:3">
      <c r="B80" s="225">
        <v>44853</v>
      </c>
      <c r="C80" s="6">
        <f t="shared" si="1"/>
        <v>69774.710000000006</v>
      </c>
    </row>
    <row r="81" spans="2:3">
      <c r="B81" s="225">
        <v>44860</v>
      </c>
      <c r="C81" s="6">
        <f t="shared" si="1"/>
        <v>69774.710000000006</v>
      </c>
    </row>
    <row r="82" spans="2:3">
      <c r="B82" s="225">
        <v>44867</v>
      </c>
      <c r="C82" s="6">
        <f t="shared" si="1"/>
        <v>69774.710000000006</v>
      </c>
    </row>
    <row r="83" spans="2:3">
      <c r="B83" s="225">
        <v>44874</v>
      </c>
      <c r="C83" s="6">
        <f t="shared" si="1"/>
        <v>69774.710000000006</v>
      </c>
    </row>
    <row r="84" spans="2:3">
      <c r="B84" s="225">
        <v>44881</v>
      </c>
      <c r="C84" s="6">
        <f t="shared" si="1"/>
        <v>69774.710000000006</v>
      </c>
    </row>
    <row r="85" spans="2:3">
      <c r="B85" s="225">
        <v>44888</v>
      </c>
      <c r="C85" s="6">
        <f t="shared" si="1"/>
        <v>69774.710000000006</v>
      </c>
    </row>
    <row r="86" spans="2:3">
      <c r="B86" s="225">
        <v>44895</v>
      </c>
      <c r="C86" s="6">
        <f t="shared" si="1"/>
        <v>69774.710000000006</v>
      </c>
    </row>
    <row r="87" spans="2:3">
      <c r="B87" s="225">
        <v>44902</v>
      </c>
      <c r="C87" s="6">
        <f t="shared" si="1"/>
        <v>69774.710000000006</v>
      </c>
    </row>
    <row r="88" spans="2:3">
      <c r="B88" s="225">
        <v>44909</v>
      </c>
      <c r="C88" s="6">
        <f t="shared" si="1"/>
        <v>69774.710000000006</v>
      </c>
    </row>
    <row r="89" spans="2:3">
      <c r="B89" s="225">
        <v>44916</v>
      </c>
      <c r="C89" s="6">
        <f t="shared" si="1"/>
        <v>69774.710000000006</v>
      </c>
    </row>
    <row r="90" spans="2:3">
      <c r="B90" s="225">
        <v>44923</v>
      </c>
      <c r="C90" s="6">
        <f t="shared" si="1"/>
        <v>69774.710000000006</v>
      </c>
    </row>
    <row r="91" spans="2:3">
      <c r="B91" s="225">
        <v>44930</v>
      </c>
      <c r="C91" s="6">
        <f t="shared" si="1"/>
        <v>69774.710000000006</v>
      </c>
    </row>
    <row r="92" spans="2:3">
      <c r="B92" s="225">
        <v>44937</v>
      </c>
      <c r="C92" s="6">
        <f t="shared" si="1"/>
        <v>69774.710000000006</v>
      </c>
    </row>
    <row r="93" spans="2:3">
      <c r="B93" s="225">
        <v>44944</v>
      </c>
      <c r="C93" s="6">
        <f t="shared" si="1"/>
        <v>69774.710000000006</v>
      </c>
    </row>
    <row r="94" spans="2:3">
      <c r="B94" s="225">
        <v>44951</v>
      </c>
      <c r="C94" s="6">
        <f t="shared" si="1"/>
        <v>69774.710000000006</v>
      </c>
    </row>
    <row r="95" spans="2:3">
      <c r="B95" s="225">
        <v>44958</v>
      </c>
      <c r="C95" s="6">
        <f t="shared" si="1"/>
        <v>69774.710000000006</v>
      </c>
    </row>
    <row r="96" spans="2:3">
      <c r="B96" s="225">
        <v>44965</v>
      </c>
      <c r="C96" s="6">
        <f t="shared" si="1"/>
        <v>69774.710000000006</v>
      </c>
    </row>
    <row r="97" spans="2:3">
      <c r="B97" s="225">
        <v>44972</v>
      </c>
      <c r="C97" s="6">
        <f t="shared" si="1"/>
        <v>69774.710000000006</v>
      </c>
    </row>
    <row r="98" spans="2:3">
      <c r="B98" s="225">
        <v>44979</v>
      </c>
      <c r="C98" s="6">
        <f t="shared" si="1"/>
        <v>69774.710000000006</v>
      </c>
    </row>
    <row r="99" spans="2:3">
      <c r="B99" s="225">
        <v>44986</v>
      </c>
      <c r="C99" s="6">
        <f t="shared" si="1"/>
        <v>69774.710000000006</v>
      </c>
    </row>
    <row r="100" spans="2:3">
      <c r="B100" s="225">
        <v>44993</v>
      </c>
      <c r="C100" s="6">
        <f t="shared" si="1"/>
        <v>69774.710000000006</v>
      </c>
    </row>
    <row r="101" spans="2:3">
      <c r="B101" s="225">
        <v>45000</v>
      </c>
      <c r="C101" s="6">
        <f t="shared" si="1"/>
        <v>69774.710000000006</v>
      </c>
    </row>
    <row r="102" spans="2:3">
      <c r="B102" s="225">
        <v>45007</v>
      </c>
      <c r="C102" s="6">
        <f t="shared" si="1"/>
        <v>69774.710000000006</v>
      </c>
    </row>
    <row r="103" spans="2:3">
      <c r="B103" s="225">
        <v>45014</v>
      </c>
      <c r="C103" s="6">
        <f t="shared" si="1"/>
        <v>69774.710000000006</v>
      </c>
    </row>
    <row r="104" spans="2:3">
      <c r="B104" s="225">
        <v>45021</v>
      </c>
      <c r="C104" s="6">
        <f t="shared" si="1"/>
        <v>69774.710000000006</v>
      </c>
    </row>
    <row r="105" spans="2:3">
      <c r="B105" s="225">
        <v>45028</v>
      </c>
      <c r="C105" s="6">
        <f t="shared" si="1"/>
        <v>69774.710000000006</v>
      </c>
    </row>
    <row r="106" spans="2:3">
      <c r="B106" s="225">
        <v>45035</v>
      </c>
      <c r="C106" s="6">
        <f t="shared" si="1"/>
        <v>69774.710000000006</v>
      </c>
    </row>
    <row r="107" spans="2:3">
      <c r="B107" s="225">
        <v>45042</v>
      </c>
      <c r="C107" s="6">
        <f t="shared" si="1"/>
        <v>69774.710000000006</v>
      </c>
    </row>
    <row r="108" spans="2:3">
      <c r="B108" s="225">
        <v>45049</v>
      </c>
      <c r="C108" s="6">
        <f t="shared" si="1"/>
        <v>69774.710000000006</v>
      </c>
    </row>
    <row r="109" spans="2:3">
      <c r="B109" s="225">
        <v>45056</v>
      </c>
      <c r="C109" s="6">
        <f t="shared" si="1"/>
        <v>69774.710000000006</v>
      </c>
    </row>
    <row r="110" spans="2:3">
      <c r="B110" s="225">
        <v>45063</v>
      </c>
      <c r="C110" s="6">
        <f t="shared" si="1"/>
        <v>69774.710000000006</v>
      </c>
    </row>
    <row r="111" spans="2:3">
      <c r="B111" s="225">
        <v>45070</v>
      </c>
      <c r="C111" s="6">
        <f t="shared" si="1"/>
        <v>69774.710000000006</v>
      </c>
    </row>
    <row r="112" spans="2:3">
      <c r="B112" s="225">
        <v>45077</v>
      </c>
      <c r="C112" s="6">
        <f t="shared" si="1"/>
        <v>69774.710000000006</v>
      </c>
    </row>
    <row r="113" spans="2:3">
      <c r="B113" s="225">
        <v>45084</v>
      </c>
      <c r="C113" s="6">
        <f t="shared" si="1"/>
        <v>69774.710000000006</v>
      </c>
    </row>
    <row r="114" spans="2:3">
      <c r="B114" s="225">
        <v>45091</v>
      </c>
      <c r="C114" s="6">
        <f t="shared" si="1"/>
        <v>69774.710000000006</v>
      </c>
    </row>
    <row r="115" spans="2:3">
      <c r="B115" s="225">
        <v>45098</v>
      </c>
      <c r="C115" s="6">
        <f t="shared" si="1"/>
        <v>69774.710000000006</v>
      </c>
    </row>
    <row r="116" spans="2:3">
      <c r="B116" s="225">
        <v>45105</v>
      </c>
      <c r="C116" s="6">
        <f t="shared" si="1"/>
        <v>69774.710000000006</v>
      </c>
    </row>
    <row r="117" spans="2:3">
      <c r="B117" s="225">
        <v>45112</v>
      </c>
      <c r="C117" s="6">
        <f t="shared" si="1"/>
        <v>69774.710000000006</v>
      </c>
    </row>
    <row r="118" spans="2:3">
      <c r="B118" s="225">
        <v>45119</v>
      </c>
      <c r="C118" s="6">
        <f t="shared" si="1"/>
        <v>69774.710000000006</v>
      </c>
    </row>
    <row r="119" spans="2:3">
      <c r="B119" s="225">
        <v>45126</v>
      </c>
      <c r="C119" s="6">
        <f t="shared" si="1"/>
        <v>69774.710000000006</v>
      </c>
    </row>
    <row r="120" spans="2:3">
      <c r="B120" s="225">
        <v>45133</v>
      </c>
      <c r="C120" s="6">
        <f t="shared" si="1"/>
        <v>69774.710000000006</v>
      </c>
    </row>
    <row r="121" spans="2:3">
      <c r="B121" s="225">
        <v>45140</v>
      </c>
      <c r="C121" s="6">
        <f t="shared" si="1"/>
        <v>69774.710000000006</v>
      </c>
    </row>
    <row r="122" spans="2:3">
      <c r="B122" s="225">
        <v>45147</v>
      </c>
      <c r="C122" s="6">
        <f t="shared" si="1"/>
        <v>69774.710000000006</v>
      </c>
    </row>
    <row r="123" spans="2:3">
      <c r="B123" s="225">
        <v>45154</v>
      </c>
      <c r="C123" s="6">
        <f t="shared" si="1"/>
        <v>69774.710000000006</v>
      </c>
    </row>
    <row r="124" spans="2:3">
      <c r="B124" s="225">
        <v>45161</v>
      </c>
      <c r="C124" s="6">
        <f t="shared" si="1"/>
        <v>69774.710000000006</v>
      </c>
    </row>
    <row r="125" spans="2:3">
      <c r="B125" s="225">
        <v>45168</v>
      </c>
      <c r="C125" s="6">
        <f t="shared" si="1"/>
        <v>69774.710000000006</v>
      </c>
    </row>
    <row r="126" spans="2:3">
      <c r="B126" s="225">
        <v>45175</v>
      </c>
      <c r="C126" s="6">
        <f t="shared" si="1"/>
        <v>69774.710000000006</v>
      </c>
    </row>
    <row r="127" spans="2:3">
      <c r="B127" s="225">
        <v>45182</v>
      </c>
      <c r="C127" s="6">
        <f t="shared" si="1"/>
        <v>69774.710000000006</v>
      </c>
    </row>
    <row r="128" spans="2:3">
      <c r="B128" s="225">
        <v>45189</v>
      </c>
      <c r="C128" s="6">
        <f t="shared" si="1"/>
        <v>69774.710000000006</v>
      </c>
    </row>
    <row r="129" spans="2:3">
      <c r="B129" s="225">
        <v>45196</v>
      </c>
      <c r="C129" s="6">
        <f t="shared" si="1"/>
        <v>69774.710000000006</v>
      </c>
    </row>
    <row r="130" spans="2:3">
      <c r="B130" s="225">
        <v>45203</v>
      </c>
      <c r="C130" s="6">
        <f t="shared" si="1"/>
        <v>69774.710000000006</v>
      </c>
    </row>
    <row r="131" spans="2:3">
      <c r="B131" s="225">
        <v>45210</v>
      </c>
      <c r="C131" s="6">
        <f t="shared" si="1"/>
        <v>69774.710000000006</v>
      </c>
    </row>
    <row r="132" spans="2:3">
      <c r="B132" s="225">
        <v>45217</v>
      </c>
      <c r="C132" s="6">
        <f t="shared" ref="C132:C151" si="2">C131</f>
        <v>69774.710000000006</v>
      </c>
    </row>
    <row r="133" spans="2:3">
      <c r="B133" s="225">
        <v>45224</v>
      </c>
      <c r="C133" s="6">
        <f t="shared" si="2"/>
        <v>69774.710000000006</v>
      </c>
    </row>
    <row r="134" spans="2:3">
      <c r="B134" s="225">
        <v>45231</v>
      </c>
      <c r="C134" s="6">
        <f t="shared" si="2"/>
        <v>69774.710000000006</v>
      </c>
    </row>
    <row r="135" spans="2:3">
      <c r="B135" s="225">
        <v>45238</v>
      </c>
      <c r="C135" s="6">
        <f t="shared" si="2"/>
        <v>69774.710000000006</v>
      </c>
    </row>
    <row r="136" spans="2:3">
      <c r="B136" s="225">
        <v>45245</v>
      </c>
      <c r="C136" s="6">
        <f t="shared" si="2"/>
        <v>69774.710000000006</v>
      </c>
    </row>
    <row r="137" spans="2:3">
      <c r="B137" s="225">
        <v>45252</v>
      </c>
      <c r="C137" s="6">
        <f t="shared" si="2"/>
        <v>69774.710000000006</v>
      </c>
    </row>
    <row r="138" spans="2:3">
      <c r="B138" s="225">
        <v>45259</v>
      </c>
      <c r="C138" s="6">
        <f t="shared" si="2"/>
        <v>69774.710000000006</v>
      </c>
    </row>
    <row r="139" spans="2:3">
      <c r="B139" s="225">
        <v>45266</v>
      </c>
      <c r="C139" s="6">
        <f t="shared" si="2"/>
        <v>69774.710000000006</v>
      </c>
    </row>
    <row r="140" spans="2:3">
      <c r="B140" s="225">
        <v>45273</v>
      </c>
      <c r="C140" s="6">
        <f t="shared" si="2"/>
        <v>69774.710000000006</v>
      </c>
    </row>
    <row r="141" spans="2:3">
      <c r="B141" s="225">
        <v>45280</v>
      </c>
      <c r="C141" s="6">
        <f t="shared" si="2"/>
        <v>69774.710000000006</v>
      </c>
    </row>
    <row r="142" spans="2:3">
      <c r="B142" s="225">
        <v>45287</v>
      </c>
      <c r="C142" s="6">
        <f t="shared" si="2"/>
        <v>69774.710000000006</v>
      </c>
    </row>
    <row r="143" spans="2:3">
      <c r="B143" s="225">
        <v>45294</v>
      </c>
      <c r="C143" s="6">
        <f t="shared" si="2"/>
        <v>69774.710000000006</v>
      </c>
    </row>
    <row r="144" spans="2:3">
      <c r="B144" s="225">
        <v>45301</v>
      </c>
      <c r="C144" s="6">
        <f t="shared" si="2"/>
        <v>69774.710000000006</v>
      </c>
    </row>
    <row r="145" spans="2:3">
      <c r="B145" s="225">
        <v>45308</v>
      </c>
      <c r="C145" s="6">
        <f t="shared" si="2"/>
        <v>69774.710000000006</v>
      </c>
    </row>
    <row r="146" spans="2:3">
      <c r="B146" s="225">
        <v>45315</v>
      </c>
      <c r="C146" s="6">
        <f t="shared" si="2"/>
        <v>69774.710000000006</v>
      </c>
    </row>
    <row r="147" spans="2:3">
      <c r="B147" s="225">
        <v>45322</v>
      </c>
      <c r="C147" s="6">
        <f t="shared" si="2"/>
        <v>69774.710000000006</v>
      </c>
    </row>
    <row r="148" spans="2:3">
      <c r="B148" s="225">
        <v>45329</v>
      </c>
      <c r="C148" s="6">
        <f t="shared" si="2"/>
        <v>69774.710000000006</v>
      </c>
    </row>
    <row r="149" spans="2:3">
      <c r="B149" s="225">
        <v>45336</v>
      </c>
      <c r="C149" s="6">
        <f t="shared" si="2"/>
        <v>69774.710000000006</v>
      </c>
    </row>
    <row r="150" spans="2:3">
      <c r="B150" s="225">
        <v>45343</v>
      </c>
      <c r="C150" s="6">
        <f t="shared" si="2"/>
        <v>69774.710000000006</v>
      </c>
    </row>
    <row r="151" spans="2:3">
      <c r="B151" s="225">
        <v>45350</v>
      </c>
      <c r="C151" s="6">
        <f t="shared" si="2"/>
        <v>69774.710000000006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A3B1-06EE-0D4A-BA8F-CE02C136FA79}">
  <sheetPr codeName="Sheet19"/>
  <dimension ref="C8:G32"/>
  <sheetViews>
    <sheetView zoomScaleNormal="150" zoomScaleSheetLayoutView="100" workbookViewId="0">
      <selection activeCell="F9" sqref="F9"/>
    </sheetView>
  </sheetViews>
  <sheetFormatPr defaultRowHeight="15"/>
  <cols>
    <col min="6" max="6" width="10.7109375" bestFit="1" customWidth="1"/>
  </cols>
  <sheetData>
    <row r="8" spans="3:7">
      <c r="F8">
        <v>96.16</v>
      </c>
      <c r="G8">
        <v>35</v>
      </c>
    </row>
    <row r="9" spans="3:7">
      <c r="C9" t="s">
        <v>48</v>
      </c>
      <c r="D9">
        <v>1</v>
      </c>
      <c r="F9" s="130">
        <f>SUM(D9:D22)*(F8+G8)</f>
        <v>1836.24</v>
      </c>
      <c r="G9" t="s">
        <v>303</v>
      </c>
    </row>
    <row r="10" spans="3:7">
      <c r="C10" t="s">
        <v>49</v>
      </c>
      <c r="D10">
        <v>1</v>
      </c>
    </row>
    <row r="11" spans="3:7">
      <c r="C11" t="s">
        <v>52</v>
      </c>
      <c r="D11">
        <v>1</v>
      </c>
    </row>
    <row r="12" spans="3:7">
      <c r="C12" t="s">
        <v>0</v>
      </c>
      <c r="D12">
        <v>1</v>
      </c>
    </row>
    <row r="13" spans="3:7">
      <c r="C13" t="s">
        <v>1</v>
      </c>
      <c r="D13">
        <v>1</v>
      </c>
    </row>
    <row r="14" spans="3:7">
      <c r="C14" t="s">
        <v>301</v>
      </c>
      <c r="D14">
        <v>1</v>
      </c>
    </row>
    <row r="15" spans="3:7">
      <c r="C15" t="s">
        <v>2</v>
      </c>
      <c r="D15">
        <v>1</v>
      </c>
    </row>
    <row r="16" spans="3:7">
      <c r="C16" t="s">
        <v>23</v>
      </c>
      <c r="D16">
        <v>1</v>
      </c>
    </row>
    <row r="17" spans="3:4">
      <c r="C17" t="s">
        <v>24</v>
      </c>
      <c r="D17">
        <v>1</v>
      </c>
    </row>
    <row r="18" spans="3:4">
      <c r="C18" t="s">
        <v>25</v>
      </c>
      <c r="D18">
        <v>1</v>
      </c>
    </row>
    <row r="19" spans="3:4">
      <c r="C19" t="s">
        <v>26</v>
      </c>
      <c r="D19">
        <v>1</v>
      </c>
    </row>
    <row r="20" spans="3:4">
      <c r="C20" t="s">
        <v>302</v>
      </c>
      <c r="D20">
        <v>1</v>
      </c>
    </row>
    <row r="21" spans="3:4">
      <c r="C21" t="s">
        <v>48</v>
      </c>
      <c r="D21">
        <v>1</v>
      </c>
    </row>
    <row r="22" spans="3:4">
      <c r="C22" t="s">
        <v>49</v>
      </c>
      <c r="D22">
        <v>1</v>
      </c>
    </row>
    <row r="23" spans="3:4">
      <c r="C23" t="s">
        <v>52</v>
      </c>
      <c r="D23">
        <v>1</v>
      </c>
    </row>
    <row r="24" spans="3:4">
      <c r="C24" t="s">
        <v>0</v>
      </c>
      <c r="D24">
        <v>1</v>
      </c>
    </row>
    <row r="25" spans="3:4">
      <c r="C25" t="s">
        <v>1</v>
      </c>
      <c r="D25">
        <v>1</v>
      </c>
    </row>
    <row r="26" spans="3:4">
      <c r="C26" t="s">
        <v>301</v>
      </c>
      <c r="D26">
        <v>1</v>
      </c>
    </row>
    <row r="27" spans="3:4">
      <c r="C27" t="s">
        <v>2</v>
      </c>
      <c r="D27">
        <v>1</v>
      </c>
    </row>
    <row r="28" spans="3:4">
      <c r="C28" t="s">
        <v>23</v>
      </c>
      <c r="D28">
        <v>1</v>
      </c>
    </row>
    <row r="29" spans="3:4">
      <c r="C29" t="s">
        <v>24</v>
      </c>
      <c r="D29">
        <v>1</v>
      </c>
    </row>
    <row r="30" spans="3:4">
      <c r="C30" t="s">
        <v>25</v>
      </c>
      <c r="D30">
        <v>1</v>
      </c>
    </row>
    <row r="31" spans="3:4">
      <c r="C31" t="s">
        <v>26</v>
      </c>
      <c r="D31">
        <v>1</v>
      </c>
    </row>
    <row r="32" spans="3:4">
      <c r="C32" t="s">
        <v>302</v>
      </c>
      <c r="D32">
        <v>1</v>
      </c>
    </row>
  </sheetData>
  <phoneticPr fontId="16" alignment="center"/>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025A-BAA5-4B73-A2FA-8448CB504FB5}">
  <sheetPr>
    <tabColor rgb="FFFFFF00"/>
  </sheetPr>
  <dimension ref="B2:T23"/>
  <sheetViews>
    <sheetView workbookViewId="0">
      <selection activeCell="Q4" sqref="Q4"/>
    </sheetView>
  </sheetViews>
  <sheetFormatPr defaultRowHeight="15"/>
  <cols>
    <col min="19" max="19" width="9.7109375" bestFit="1" customWidth="1"/>
  </cols>
  <sheetData>
    <row r="2" spans="2:20" ht="17.25">
      <c r="B2" t="s">
        <v>924</v>
      </c>
      <c r="R2" s="272" t="s">
        <v>934</v>
      </c>
      <c r="S2" s="117">
        <f>SUM(S9:S19)</f>
        <v>50.015000000000107</v>
      </c>
      <c r="T2" s="63">
        <f>-S2</f>
        <v>-50.015000000000107</v>
      </c>
    </row>
    <row r="3" spans="2:20" ht="17.25">
      <c r="B3" t="s">
        <v>931</v>
      </c>
      <c r="D3" s="375" t="s">
        <v>925</v>
      </c>
      <c r="E3" s="375" t="s">
        <v>172</v>
      </c>
      <c r="F3" s="375" t="s">
        <v>926</v>
      </c>
      <c r="G3" s="375" t="s">
        <v>172</v>
      </c>
      <c r="H3" s="375" t="s">
        <v>927</v>
      </c>
      <c r="I3" s="375" t="s">
        <v>172</v>
      </c>
      <c r="J3" s="375" t="s">
        <v>928</v>
      </c>
      <c r="K3" s="375" t="s">
        <v>172</v>
      </c>
      <c r="L3" s="375" t="s">
        <v>929</v>
      </c>
      <c r="M3" s="375" t="s">
        <v>172</v>
      </c>
      <c r="N3" s="375"/>
      <c r="O3" s="375" t="s">
        <v>5</v>
      </c>
      <c r="P3" s="375" t="s">
        <v>303</v>
      </c>
      <c r="Q3" s="375" t="s">
        <v>930</v>
      </c>
      <c r="R3" s="375" t="s">
        <v>933</v>
      </c>
      <c r="S3" s="376" t="s">
        <v>932</v>
      </c>
      <c r="T3" s="63"/>
    </row>
    <row r="4" spans="2:20">
      <c r="B4" s="105">
        <v>45292</v>
      </c>
      <c r="F4">
        <v>43</v>
      </c>
      <c r="H4">
        <v>61</v>
      </c>
      <c r="J4">
        <v>50</v>
      </c>
      <c r="L4">
        <v>106.3</v>
      </c>
      <c r="O4" s="63">
        <f t="shared" ref="O4:O19" si="0">SUM(D4,F4,H4,J4,L4)</f>
        <v>260.3</v>
      </c>
      <c r="P4" s="63">
        <f t="shared" ref="P4:P19" si="1">O4/2</f>
        <v>130.15</v>
      </c>
      <c r="Q4" s="63">
        <f>Data!F433</f>
        <v>130</v>
      </c>
      <c r="S4" s="63">
        <f t="shared" ref="S4:S19" si="2">P4-Q4</f>
        <v>0.15000000000000568</v>
      </c>
      <c r="T4" s="63">
        <f t="shared" ref="T4:T9" si="3">Q4-P4</f>
        <v>-0.15000000000000568</v>
      </c>
    </row>
    <row r="5" spans="2:20">
      <c r="B5" s="105">
        <v>45323</v>
      </c>
      <c r="O5" s="63">
        <f t="shared" si="0"/>
        <v>0</v>
      </c>
      <c r="P5" s="63">
        <f t="shared" si="1"/>
        <v>0</v>
      </c>
      <c r="Q5" s="63">
        <f>Data!F450</f>
        <v>99</v>
      </c>
      <c r="R5" s="374"/>
      <c r="S5" s="63">
        <f t="shared" si="2"/>
        <v>-99</v>
      </c>
      <c r="T5" s="63">
        <f t="shared" si="3"/>
        <v>99</v>
      </c>
    </row>
    <row r="6" spans="2:20">
      <c r="B6" s="105">
        <v>45352</v>
      </c>
      <c r="D6">
        <v>53.5</v>
      </c>
      <c r="F6">
        <v>36.4</v>
      </c>
      <c r="H6">
        <v>72.069999999999993</v>
      </c>
      <c r="J6">
        <v>67.11</v>
      </c>
      <c r="L6">
        <v>106.3</v>
      </c>
      <c r="O6" s="63">
        <f t="shared" si="0"/>
        <v>335.38</v>
      </c>
      <c r="P6" s="63">
        <f t="shared" si="1"/>
        <v>167.69</v>
      </c>
      <c r="Q6" s="63">
        <f>Data!F467</f>
        <v>10</v>
      </c>
      <c r="R6" s="374"/>
      <c r="S6" s="63">
        <f t="shared" si="2"/>
        <v>157.69</v>
      </c>
      <c r="T6" s="63">
        <f t="shared" si="3"/>
        <v>-157.69</v>
      </c>
    </row>
    <row r="7" spans="2:20">
      <c r="B7" s="105">
        <v>45383</v>
      </c>
      <c r="D7">
        <v>58.67</v>
      </c>
      <c r="F7">
        <v>37.08</v>
      </c>
      <c r="H7">
        <v>68.069999999999993</v>
      </c>
      <c r="J7">
        <v>58.67</v>
      </c>
      <c r="L7">
        <v>106.3</v>
      </c>
      <c r="O7" s="63">
        <f t="shared" si="0"/>
        <v>328.79</v>
      </c>
      <c r="P7" s="63">
        <f t="shared" si="1"/>
        <v>164.39500000000001</v>
      </c>
      <c r="Q7" s="63">
        <f>Data!F484</f>
        <v>30</v>
      </c>
      <c r="R7" s="374"/>
      <c r="S7" s="63">
        <f t="shared" si="2"/>
        <v>134.39500000000001</v>
      </c>
      <c r="T7" s="63">
        <f t="shared" si="3"/>
        <v>-134.39500000000001</v>
      </c>
    </row>
    <row r="8" spans="2:20">
      <c r="B8" s="105">
        <v>45413</v>
      </c>
      <c r="D8">
        <v>67.11</v>
      </c>
      <c r="F8">
        <v>53.09</v>
      </c>
      <c r="H8">
        <v>63.42</v>
      </c>
      <c r="L8">
        <v>106.3</v>
      </c>
      <c r="O8" s="63">
        <f t="shared" si="0"/>
        <v>289.92</v>
      </c>
      <c r="P8" s="63">
        <f t="shared" si="1"/>
        <v>144.96</v>
      </c>
      <c r="Q8" s="63">
        <f>Data!F501</f>
        <v>410</v>
      </c>
      <c r="R8" s="374"/>
      <c r="S8" s="63">
        <f t="shared" si="2"/>
        <v>-265.03999999999996</v>
      </c>
      <c r="T8" s="63">
        <f t="shared" si="3"/>
        <v>265.03999999999996</v>
      </c>
    </row>
    <row r="9" spans="2:20">
      <c r="B9" s="105">
        <v>45444</v>
      </c>
      <c r="D9" s="63">
        <v>67.11</v>
      </c>
      <c r="F9" s="63">
        <v>53.09</v>
      </c>
      <c r="H9" s="63">
        <v>63.42</v>
      </c>
      <c r="J9" s="63">
        <v>58.67</v>
      </c>
      <c r="L9" s="63">
        <v>106.3</v>
      </c>
      <c r="O9" s="63">
        <f t="shared" si="0"/>
        <v>348.59000000000003</v>
      </c>
      <c r="P9" s="63">
        <f t="shared" si="1"/>
        <v>174.29500000000002</v>
      </c>
      <c r="Q9" s="63">
        <f>Data!F518</f>
        <v>170</v>
      </c>
      <c r="S9" s="63">
        <f t="shared" si="2"/>
        <v>4.2950000000000159</v>
      </c>
      <c r="T9" s="63">
        <f t="shared" si="3"/>
        <v>-4.2950000000000159</v>
      </c>
    </row>
    <row r="10" spans="2:20">
      <c r="B10" s="105">
        <v>45474</v>
      </c>
      <c r="D10" s="63">
        <v>67.11</v>
      </c>
      <c r="F10" s="63">
        <v>53.09</v>
      </c>
      <c r="H10" s="63">
        <v>63.42</v>
      </c>
      <c r="J10" s="63">
        <v>58.67</v>
      </c>
      <c r="L10" s="63">
        <v>106.3</v>
      </c>
      <c r="O10" s="63">
        <f t="shared" si="0"/>
        <v>348.59000000000003</v>
      </c>
      <c r="P10" s="63">
        <f t="shared" si="1"/>
        <v>174.29500000000002</v>
      </c>
      <c r="Q10" s="63">
        <f>Data!F535</f>
        <v>170</v>
      </c>
      <c r="S10" s="63">
        <f t="shared" si="2"/>
        <v>4.2950000000000159</v>
      </c>
      <c r="T10" s="63">
        <f t="shared" ref="T10:T19" si="4">Q10-P10</f>
        <v>-4.2950000000000159</v>
      </c>
    </row>
    <row r="11" spans="2:20">
      <c r="B11" s="105">
        <v>45505</v>
      </c>
      <c r="D11" s="63">
        <v>67.11</v>
      </c>
      <c r="F11" s="63">
        <v>53.09</v>
      </c>
      <c r="H11" s="63">
        <v>63.42</v>
      </c>
      <c r="J11" s="63">
        <v>58.67</v>
      </c>
      <c r="L11" s="63">
        <v>106.3</v>
      </c>
      <c r="O11" s="63">
        <f t="shared" si="0"/>
        <v>348.59000000000003</v>
      </c>
      <c r="P11" s="63">
        <f t="shared" si="1"/>
        <v>174.29500000000002</v>
      </c>
      <c r="Q11" s="63">
        <f>Data!F552</f>
        <v>170</v>
      </c>
      <c r="S11" s="63">
        <f t="shared" si="2"/>
        <v>4.2950000000000159</v>
      </c>
      <c r="T11" s="63">
        <f t="shared" si="4"/>
        <v>-4.2950000000000159</v>
      </c>
    </row>
    <row r="12" spans="2:20">
      <c r="B12" s="105">
        <v>45536</v>
      </c>
      <c r="D12" s="63">
        <v>67.11</v>
      </c>
      <c r="F12" s="63">
        <v>136.63</v>
      </c>
      <c r="H12" s="63">
        <v>63.42</v>
      </c>
      <c r="J12" s="63">
        <v>58.67</v>
      </c>
      <c r="L12" s="63">
        <v>106.3</v>
      </c>
      <c r="O12" s="63">
        <f t="shared" si="0"/>
        <v>432.13000000000005</v>
      </c>
      <c r="P12" s="63">
        <f t="shared" si="1"/>
        <v>216.06500000000003</v>
      </c>
      <c r="Q12" s="63">
        <f>Data!F569</f>
        <v>200</v>
      </c>
      <c r="R12" s="374">
        <v>45605</v>
      </c>
      <c r="S12" s="63">
        <f t="shared" si="2"/>
        <v>16.065000000000026</v>
      </c>
      <c r="T12" s="63">
        <f t="shared" si="4"/>
        <v>-16.065000000000026</v>
      </c>
    </row>
    <row r="13" spans="2:20">
      <c r="B13" s="105">
        <v>45566</v>
      </c>
      <c r="D13" s="63">
        <v>67.11</v>
      </c>
      <c r="F13" s="63">
        <f>22.5+79.29</f>
        <v>101.79</v>
      </c>
      <c r="H13" s="63">
        <f>36.12+35.29</f>
        <v>71.41</v>
      </c>
      <c r="J13" s="63">
        <f>70.4</f>
        <v>70.400000000000006</v>
      </c>
      <c r="L13" s="63">
        <v>44.11</v>
      </c>
      <c r="O13" s="63">
        <f t="shared" si="0"/>
        <v>354.82000000000005</v>
      </c>
      <c r="P13" s="63">
        <f t="shared" si="1"/>
        <v>177.41000000000003</v>
      </c>
      <c r="Q13" s="63">
        <f>Data!F586</f>
        <v>200</v>
      </c>
      <c r="R13" s="374">
        <v>45652</v>
      </c>
      <c r="S13" s="63">
        <f t="shared" si="2"/>
        <v>-22.589999999999975</v>
      </c>
      <c r="T13" s="63">
        <f t="shared" si="4"/>
        <v>22.589999999999975</v>
      </c>
    </row>
    <row r="14" spans="2:20">
      <c r="B14" s="105">
        <v>45597</v>
      </c>
      <c r="D14" s="63">
        <v>75.55</v>
      </c>
      <c r="F14" s="63">
        <v>76.209999999999994</v>
      </c>
      <c r="H14" s="63">
        <v>81.11</v>
      </c>
      <c r="J14" s="63">
        <v>75.55</v>
      </c>
      <c r="L14" s="63">
        <v>60</v>
      </c>
      <c r="O14" s="63">
        <f t="shared" si="0"/>
        <v>368.42</v>
      </c>
      <c r="P14" s="63">
        <f t="shared" si="1"/>
        <v>184.21</v>
      </c>
      <c r="Q14" s="63">
        <f>Data!F603</f>
        <v>200</v>
      </c>
      <c r="R14" s="374">
        <v>45652</v>
      </c>
      <c r="S14" s="63">
        <f t="shared" si="2"/>
        <v>-15.789999999999992</v>
      </c>
      <c r="T14" s="63">
        <f t="shared" si="4"/>
        <v>15.789999999999992</v>
      </c>
    </row>
    <row r="15" spans="2:20">
      <c r="B15" s="105">
        <v>45627</v>
      </c>
      <c r="D15" s="63"/>
      <c r="F15" s="63">
        <v>58.89</v>
      </c>
      <c r="H15" s="63"/>
      <c r="J15" s="63"/>
      <c r="L15" s="63">
        <v>60</v>
      </c>
      <c r="O15" s="63">
        <f t="shared" si="0"/>
        <v>118.89</v>
      </c>
      <c r="P15" s="63">
        <f t="shared" si="1"/>
        <v>59.445</v>
      </c>
      <c r="Q15" s="63"/>
      <c r="R15" s="374"/>
      <c r="S15" s="63">
        <f t="shared" si="2"/>
        <v>59.445</v>
      </c>
      <c r="T15" s="63">
        <f t="shared" si="4"/>
        <v>-59.445</v>
      </c>
    </row>
    <row r="16" spans="2:20">
      <c r="B16" s="105">
        <v>45658</v>
      </c>
      <c r="D16" s="63"/>
      <c r="F16" s="63"/>
      <c r="H16" s="63"/>
      <c r="J16" s="63"/>
      <c r="L16" s="63"/>
      <c r="O16" s="63">
        <f t="shared" si="0"/>
        <v>0</v>
      </c>
      <c r="P16" s="63">
        <f t="shared" si="1"/>
        <v>0</v>
      </c>
      <c r="Q16" s="63"/>
      <c r="R16" s="374"/>
      <c r="S16" s="63">
        <f t="shared" si="2"/>
        <v>0</v>
      </c>
      <c r="T16" s="63">
        <f t="shared" si="4"/>
        <v>0</v>
      </c>
    </row>
    <row r="17" spans="2:20">
      <c r="B17" s="105">
        <v>45689</v>
      </c>
      <c r="D17" s="63"/>
      <c r="F17" s="63"/>
      <c r="H17" s="63"/>
      <c r="J17" s="63"/>
      <c r="L17" s="63"/>
      <c r="O17" s="63">
        <f t="shared" si="0"/>
        <v>0</v>
      </c>
      <c r="P17" s="63">
        <f t="shared" si="1"/>
        <v>0</v>
      </c>
      <c r="Q17" s="63"/>
      <c r="R17" s="374"/>
      <c r="S17" s="63">
        <f t="shared" si="2"/>
        <v>0</v>
      </c>
      <c r="T17" s="63">
        <f t="shared" si="4"/>
        <v>0</v>
      </c>
    </row>
    <row r="18" spans="2:20">
      <c r="B18" s="105">
        <v>45717</v>
      </c>
      <c r="D18" s="63"/>
      <c r="F18" s="63"/>
      <c r="H18" s="63"/>
      <c r="J18" s="63"/>
      <c r="L18" s="63"/>
      <c r="O18" s="63">
        <f t="shared" si="0"/>
        <v>0</v>
      </c>
      <c r="P18" s="63">
        <f t="shared" si="1"/>
        <v>0</v>
      </c>
      <c r="Q18" s="63"/>
      <c r="R18" s="374"/>
      <c r="S18" s="63">
        <f t="shared" si="2"/>
        <v>0</v>
      </c>
      <c r="T18" s="63">
        <f t="shared" si="4"/>
        <v>0</v>
      </c>
    </row>
    <row r="19" spans="2:20">
      <c r="B19" s="105">
        <v>45748</v>
      </c>
      <c r="D19" s="63"/>
      <c r="F19" s="63"/>
      <c r="H19" s="63"/>
      <c r="J19" s="63"/>
      <c r="L19" s="63"/>
      <c r="O19" s="63">
        <f t="shared" si="0"/>
        <v>0</v>
      </c>
      <c r="P19" s="63">
        <f t="shared" si="1"/>
        <v>0</v>
      </c>
      <c r="Q19" s="63"/>
      <c r="R19" s="374"/>
      <c r="S19" s="63">
        <f t="shared" si="2"/>
        <v>0</v>
      </c>
      <c r="T19" s="63">
        <f t="shared" si="4"/>
        <v>0</v>
      </c>
    </row>
    <row r="21" spans="2:20">
      <c r="D21">
        <f>SUM(D6:D14)</f>
        <v>590.38</v>
      </c>
      <c r="J21">
        <f>SUM(J4:J14)</f>
        <v>556.41</v>
      </c>
    </row>
    <row r="23" spans="2:20">
      <c r="B23" s="105"/>
    </row>
  </sheetData>
  <conditionalFormatting sqref="S2:S19">
    <cfRule type="colorScale" priority="1">
      <colorScale>
        <cfvo type="min"/>
        <cfvo type="percentile" val="50"/>
        <cfvo type="max"/>
        <color rgb="FF63BE7B"/>
        <color rgb="FFFFEB84"/>
        <color rgb="FFF8696B"/>
      </colorScale>
    </cfRule>
  </conditionalFormatting>
  <conditionalFormatting sqref="T2:T19">
    <cfRule type="dataBar" priority="2">
      <dataBar showValue="0">
        <cfvo type="min"/>
        <cfvo type="max"/>
        <color rgb="FF63C384"/>
      </dataBar>
      <extLst>
        <ext xmlns:x14="http://schemas.microsoft.com/office/spreadsheetml/2009/9/main" uri="{B025F937-C7B1-47D3-B67F-A62EFF666E3E}">
          <x14:id>{3AB4F4A8-1146-470C-8459-ED1087B25547}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AB4F4A8-1146-470C-8459-ED1087B25547}">
            <x14:dataBar minLength="0" maxLength="100" border="1" negativeBarBorderColorSameAsPositive="0">
              <x14:cfvo type="autoMin"/>
              <x14:cfvo type="autoMax"/>
              <x14:borderColor rgb="FF63C384"/>
              <x14:negativeFillColor rgb="FFFF0000"/>
              <x14:negativeBorderColor rgb="FFFF0000"/>
              <x14:axisColor rgb="FF000000"/>
            </x14:dataBar>
          </x14:cfRule>
          <xm:sqref>T2:T19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3169-38B6-4826-84EC-92FE17CE2F12}">
  <dimension ref="A1:P94"/>
  <sheetViews>
    <sheetView topLeftCell="A39" workbookViewId="0">
      <selection activeCell="P31" sqref="P31"/>
    </sheetView>
  </sheetViews>
  <sheetFormatPr defaultRowHeight="15"/>
  <sheetData>
    <row r="1" spans="1:16" ht="18.75">
      <c r="A1" s="411" t="s">
        <v>1015</v>
      </c>
      <c r="B1" s="412"/>
      <c r="C1" s="412"/>
      <c r="D1" s="412"/>
      <c r="E1" s="412"/>
      <c r="F1" s="412"/>
      <c r="G1" s="412"/>
      <c r="H1" s="412"/>
      <c r="K1" s="413" t="s">
        <v>1016</v>
      </c>
      <c r="L1" s="412"/>
      <c r="M1" s="412"/>
      <c r="N1" s="412"/>
      <c r="O1" s="412"/>
      <c r="P1" s="412"/>
    </row>
    <row r="2" spans="1:16">
      <c r="A2" s="414" t="s">
        <v>1017</v>
      </c>
      <c r="K2" s="415" t="s">
        <v>1018</v>
      </c>
      <c r="L2" s="416" t="s">
        <v>1019</v>
      </c>
      <c r="M2" s="416" t="s">
        <v>1020</v>
      </c>
      <c r="N2" s="415" t="s">
        <v>1021</v>
      </c>
      <c r="O2" s="416" t="s">
        <v>1022</v>
      </c>
      <c r="P2" s="416" t="s">
        <v>1023</v>
      </c>
    </row>
    <row r="3" spans="1:16">
      <c r="K3" s="417" t="s">
        <v>1024</v>
      </c>
      <c r="L3" s="418" t="s">
        <v>1025</v>
      </c>
      <c r="M3" s="418" t="s">
        <v>1026</v>
      </c>
      <c r="N3" s="419" t="s">
        <v>1027</v>
      </c>
      <c r="O3" s="420" t="s">
        <v>1028</v>
      </c>
      <c r="P3" s="420" t="s">
        <v>1029</v>
      </c>
    </row>
    <row r="4" spans="1:16">
      <c r="A4" s="416" t="s">
        <v>102</v>
      </c>
      <c r="B4" s="416" t="s">
        <v>254</v>
      </c>
      <c r="C4" s="416" t="s">
        <v>379</v>
      </c>
      <c r="D4" s="416" t="s">
        <v>12</v>
      </c>
      <c r="E4" s="416" t="s">
        <v>1030</v>
      </c>
      <c r="F4" s="416" t="s">
        <v>1031</v>
      </c>
      <c r="G4" s="416" t="s">
        <v>1032</v>
      </c>
      <c r="K4" s="417" t="s">
        <v>1033</v>
      </c>
      <c r="L4" s="418" t="s">
        <v>1034</v>
      </c>
      <c r="M4" s="418" t="s">
        <v>1035</v>
      </c>
      <c r="N4" s="419" t="s">
        <v>1036</v>
      </c>
      <c r="O4" s="420" t="s">
        <v>1037</v>
      </c>
      <c r="P4" s="420" t="s">
        <v>1038</v>
      </c>
    </row>
    <row r="5" spans="1:16">
      <c r="A5" s="1">
        <v>0</v>
      </c>
      <c r="B5" s="421">
        <v>3000</v>
      </c>
      <c r="C5" s="421">
        <v>2800</v>
      </c>
      <c r="D5" s="421">
        <v>1000</v>
      </c>
      <c r="E5" s="1" t="s">
        <v>1039</v>
      </c>
      <c r="F5" s="1" t="s">
        <v>1039</v>
      </c>
      <c r="G5" s="1" t="s">
        <v>1039</v>
      </c>
      <c r="K5" s="417" t="s">
        <v>1040</v>
      </c>
      <c r="L5" s="418" t="s">
        <v>1041</v>
      </c>
      <c r="M5" s="418" t="s">
        <v>1035</v>
      </c>
      <c r="N5" s="419" t="s">
        <v>1042</v>
      </c>
      <c r="O5" s="420" t="s">
        <v>1043</v>
      </c>
      <c r="P5" s="420" t="s">
        <v>1038</v>
      </c>
    </row>
    <row r="6" spans="1:16">
      <c r="A6" s="1">
        <v>1</v>
      </c>
      <c r="B6" s="421">
        <v>3000</v>
      </c>
      <c r="C6" s="421">
        <v>2700</v>
      </c>
      <c r="D6" s="421">
        <f t="shared" ref="D6:D17" si="0">D5+B6-C6</f>
        <v>1300</v>
      </c>
      <c r="E6" s="421">
        <f t="shared" ref="E6:E17" si="1">D6-D5</f>
        <v>300</v>
      </c>
      <c r="F6" s="1" t="s">
        <v>1039</v>
      </c>
      <c r="G6" s="1" t="s">
        <v>1039</v>
      </c>
      <c r="K6" s="417" t="s">
        <v>1044</v>
      </c>
      <c r="L6" s="418" t="s">
        <v>1045</v>
      </c>
      <c r="M6" s="418" t="s">
        <v>1035</v>
      </c>
      <c r="N6" s="419" t="s">
        <v>1046</v>
      </c>
      <c r="O6" s="420" t="s">
        <v>1047</v>
      </c>
      <c r="P6" s="420" t="s">
        <v>1038</v>
      </c>
    </row>
    <row r="7" spans="1:16">
      <c r="A7" s="1">
        <v>2</v>
      </c>
      <c r="B7" s="421">
        <v>3200</v>
      </c>
      <c r="C7" s="421">
        <v>2600</v>
      </c>
      <c r="D7" s="421">
        <f t="shared" si="0"/>
        <v>1900</v>
      </c>
      <c r="E7" s="421">
        <f t="shared" si="1"/>
        <v>600</v>
      </c>
      <c r="F7" s="421">
        <f t="shared" ref="F7:F17" si="2">E7-E6</f>
        <v>300</v>
      </c>
      <c r="G7" s="1" t="s">
        <v>1039</v>
      </c>
      <c r="K7" s="417" t="s">
        <v>1048</v>
      </c>
      <c r="L7" s="418" t="s">
        <v>1049</v>
      </c>
      <c r="M7" s="418" t="s">
        <v>1035</v>
      </c>
      <c r="N7" s="419" t="s">
        <v>1050</v>
      </c>
      <c r="O7" s="420" t="s">
        <v>1051</v>
      </c>
      <c r="P7" s="420" t="s">
        <v>1038</v>
      </c>
    </row>
    <row r="8" spans="1:16">
      <c r="A8" s="1">
        <v>3</v>
      </c>
      <c r="B8" s="421">
        <v>3100</v>
      </c>
      <c r="C8" s="421">
        <v>2500</v>
      </c>
      <c r="D8" s="421">
        <f t="shared" si="0"/>
        <v>2500</v>
      </c>
      <c r="E8" s="421">
        <f t="shared" si="1"/>
        <v>600</v>
      </c>
      <c r="F8" s="421">
        <f t="shared" si="2"/>
        <v>0</v>
      </c>
      <c r="G8" s="421">
        <f t="shared" ref="G8:G17" si="3">F8-F7</f>
        <v>-300</v>
      </c>
      <c r="K8" s="417" t="s">
        <v>1031</v>
      </c>
      <c r="L8" s="418" t="s">
        <v>1052</v>
      </c>
      <c r="M8" s="418" t="s">
        <v>1053</v>
      </c>
      <c r="N8" s="419" t="s">
        <v>1054</v>
      </c>
      <c r="O8" s="420" t="s">
        <v>1055</v>
      </c>
      <c r="P8" s="420" t="s">
        <v>1056</v>
      </c>
    </row>
    <row r="9" spans="1:16">
      <c r="A9" s="1">
        <v>4</v>
      </c>
      <c r="B9" s="421">
        <v>3000</v>
      </c>
      <c r="C9" s="421">
        <v>2400</v>
      </c>
      <c r="D9" s="421">
        <f t="shared" si="0"/>
        <v>3100</v>
      </c>
      <c r="E9" s="421">
        <f t="shared" si="1"/>
        <v>600</v>
      </c>
      <c r="F9" s="421">
        <f t="shared" si="2"/>
        <v>0</v>
      </c>
      <c r="G9" s="421">
        <f t="shared" si="3"/>
        <v>0</v>
      </c>
      <c r="K9" s="417" t="s">
        <v>1057</v>
      </c>
      <c r="L9" s="418" t="s">
        <v>1058</v>
      </c>
      <c r="M9" s="418" t="s">
        <v>1059</v>
      </c>
      <c r="N9" s="419" t="s">
        <v>1060</v>
      </c>
      <c r="O9" s="420" t="s">
        <v>1061</v>
      </c>
      <c r="P9" s="420" t="s">
        <v>1062</v>
      </c>
    </row>
    <row r="10" spans="1:16">
      <c r="A10" s="1">
        <v>5</v>
      </c>
      <c r="B10" s="421">
        <v>3500</v>
      </c>
      <c r="C10" s="421">
        <v>2600</v>
      </c>
      <c r="D10" s="421">
        <f t="shared" si="0"/>
        <v>4000</v>
      </c>
      <c r="E10" s="421">
        <f t="shared" si="1"/>
        <v>900</v>
      </c>
      <c r="F10" s="421">
        <f t="shared" si="2"/>
        <v>300</v>
      </c>
      <c r="G10" s="421">
        <f t="shared" si="3"/>
        <v>300</v>
      </c>
    </row>
    <row r="11" spans="1:16" ht="15.75">
      <c r="A11" s="1">
        <v>6</v>
      </c>
      <c r="B11" s="421">
        <v>3200</v>
      </c>
      <c r="C11" s="421">
        <v>2800</v>
      </c>
      <c r="D11" s="421">
        <f t="shared" si="0"/>
        <v>4400</v>
      </c>
      <c r="E11" s="421">
        <f t="shared" si="1"/>
        <v>400</v>
      </c>
      <c r="F11" s="421">
        <f t="shared" si="2"/>
        <v>-500</v>
      </c>
      <c r="G11" s="421">
        <f t="shared" si="3"/>
        <v>-800</v>
      </c>
      <c r="K11" s="413" t="s">
        <v>1063</v>
      </c>
      <c r="L11" s="412"/>
      <c r="M11" s="412"/>
      <c r="N11" s="412"/>
      <c r="O11" s="412"/>
      <c r="P11" s="412"/>
    </row>
    <row r="12" spans="1:16">
      <c r="A12" s="1">
        <v>7</v>
      </c>
      <c r="B12" s="421">
        <v>3000</v>
      </c>
      <c r="C12" s="421">
        <v>2900</v>
      </c>
      <c r="D12" s="421">
        <f t="shared" si="0"/>
        <v>4500</v>
      </c>
      <c r="E12" s="421">
        <f t="shared" si="1"/>
        <v>100</v>
      </c>
      <c r="F12" s="421">
        <f t="shared" si="2"/>
        <v>-300</v>
      </c>
      <c r="G12" s="421">
        <f t="shared" si="3"/>
        <v>200</v>
      </c>
    </row>
    <row r="13" spans="1:16">
      <c r="A13" s="1">
        <v>8</v>
      </c>
      <c r="B13" s="421">
        <v>2800</v>
      </c>
      <c r="C13" s="421">
        <v>3200</v>
      </c>
      <c r="D13" s="421">
        <f t="shared" si="0"/>
        <v>4100</v>
      </c>
      <c r="E13" s="421">
        <f t="shared" si="1"/>
        <v>-400</v>
      </c>
      <c r="F13" s="421">
        <f t="shared" si="2"/>
        <v>-500</v>
      </c>
      <c r="G13" s="421">
        <f t="shared" si="3"/>
        <v>-200</v>
      </c>
      <c r="K13" s="272" t="s">
        <v>1064</v>
      </c>
      <c r="L13" s="414" t="s">
        <v>1065</v>
      </c>
    </row>
    <row r="14" spans="1:16">
      <c r="A14" s="1">
        <v>9</v>
      </c>
      <c r="B14" s="421">
        <v>3100</v>
      </c>
      <c r="C14" s="421">
        <v>2700</v>
      </c>
      <c r="D14" s="421">
        <f t="shared" si="0"/>
        <v>4500</v>
      </c>
      <c r="E14" s="421">
        <f t="shared" si="1"/>
        <v>400</v>
      </c>
      <c r="F14" s="421">
        <f t="shared" si="2"/>
        <v>800</v>
      </c>
      <c r="G14" s="421">
        <f t="shared" si="3"/>
        <v>1300</v>
      </c>
    </row>
    <row r="15" spans="1:16">
      <c r="A15" s="1">
        <v>10</v>
      </c>
      <c r="B15" s="421">
        <v>3200</v>
      </c>
      <c r="C15" s="421">
        <v>2500</v>
      </c>
      <c r="D15" s="421">
        <f t="shared" si="0"/>
        <v>5200</v>
      </c>
      <c r="E15" s="421">
        <f t="shared" si="1"/>
        <v>700</v>
      </c>
      <c r="F15" s="421">
        <f t="shared" si="2"/>
        <v>300</v>
      </c>
      <c r="G15" s="421">
        <f t="shared" si="3"/>
        <v>-500</v>
      </c>
      <c r="K15" s="272" t="s">
        <v>1066</v>
      </c>
      <c r="L15" s="414" t="s">
        <v>1067</v>
      </c>
    </row>
    <row r="16" spans="1:16">
      <c r="A16" s="1">
        <v>11</v>
      </c>
      <c r="B16" s="421">
        <v>3300</v>
      </c>
      <c r="C16" s="421">
        <v>2400</v>
      </c>
      <c r="D16" s="421">
        <f t="shared" si="0"/>
        <v>6100</v>
      </c>
      <c r="E16" s="421">
        <f t="shared" si="1"/>
        <v>900</v>
      </c>
      <c r="F16" s="421">
        <f t="shared" si="2"/>
        <v>200</v>
      </c>
      <c r="G16" s="421">
        <f t="shared" si="3"/>
        <v>-100</v>
      </c>
    </row>
    <row r="17" spans="1:16">
      <c r="A17" s="1">
        <v>12</v>
      </c>
      <c r="B17" s="421">
        <v>3400</v>
      </c>
      <c r="C17" s="421">
        <v>2500</v>
      </c>
      <c r="D17" s="421">
        <f t="shared" si="0"/>
        <v>7000</v>
      </c>
      <c r="E17" s="421">
        <f t="shared" si="1"/>
        <v>900</v>
      </c>
      <c r="F17" s="421">
        <f t="shared" si="2"/>
        <v>0</v>
      </c>
      <c r="G17" s="421">
        <f t="shared" si="3"/>
        <v>-200</v>
      </c>
      <c r="K17" s="272" t="s">
        <v>1068</v>
      </c>
    </row>
    <row r="18" spans="1:16">
      <c r="K18" s="414" t="s">
        <v>1069</v>
      </c>
    </row>
    <row r="19" spans="1:16" ht="15.75">
      <c r="A19" s="413" t="s">
        <v>1070</v>
      </c>
      <c r="B19" s="412"/>
      <c r="C19" s="412"/>
      <c r="D19" s="412"/>
      <c r="E19" s="412"/>
      <c r="F19" s="412"/>
      <c r="G19" s="412"/>
    </row>
    <row r="20" spans="1:16" ht="15.75">
      <c r="K20" s="413" t="s">
        <v>1071</v>
      </c>
      <c r="L20" s="412"/>
      <c r="M20" s="412"/>
      <c r="N20" s="412"/>
      <c r="O20" s="412"/>
      <c r="P20" s="412"/>
    </row>
    <row r="21" spans="1:16">
      <c r="A21" s="415" t="s">
        <v>1072</v>
      </c>
      <c r="B21" s="416" t="s">
        <v>181</v>
      </c>
      <c r="C21" s="416" t="s">
        <v>1020</v>
      </c>
      <c r="D21" s="415" t="s">
        <v>1073</v>
      </c>
      <c r="K21" s="416" t="s">
        <v>1074</v>
      </c>
      <c r="L21" s="415" t="s">
        <v>1075</v>
      </c>
      <c r="M21" s="415" t="s">
        <v>1076</v>
      </c>
      <c r="N21" s="415" t="s">
        <v>1077</v>
      </c>
    </row>
    <row r="22" spans="1:16">
      <c r="A22" t="s">
        <v>1078</v>
      </c>
      <c r="B22" s="422">
        <f>D5</f>
        <v>1000</v>
      </c>
      <c r="C22" t="s">
        <v>1026</v>
      </c>
      <c r="D22" t="s">
        <v>1079</v>
      </c>
      <c r="K22" s="423" t="s">
        <v>1080</v>
      </c>
      <c r="L22" t="s">
        <v>1081</v>
      </c>
      <c r="M22" t="s">
        <v>1082</v>
      </c>
      <c r="N22" t="s">
        <v>1083</v>
      </c>
    </row>
    <row r="23" spans="1:16">
      <c r="A23" t="s">
        <v>1084</v>
      </c>
      <c r="B23" s="422">
        <f>D17</f>
        <v>7000</v>
      </c>
      <c r="C23" t="s">
        <v>1026</v>
      </c>
      <c r="D23" t="s">
        <v>1085</v>
      </c>
      <c r="K23" s="423" t="s">
        <v>1080</v>
      </c>
      <c r="L23" t="s">
        <v>1086</v>
      </c>
      <c r="M23" t="s">
        <v>1087</v>
      </c>
      <c r="N23" t="s">
        <v>1088</v>
      </c>
    </row>
    <row r="24" spans="1:16">
      <c r="A24" t="s">
        <v>1089</v>
      </c>
      <c r="B24" s="422">
        <f>SUM(B5:B17)</f>
        <v>40800</v>
      </c>
      <c r="C24" t="s">
        <v>1026</v>
      </c>
      <c r="D24" t="s">
        <v>1090</v>
      </c>
      <c r="K24" s="423" t="s">
        <v>1080</v>
      </c>
      <c r="L24" t="s">
        <v>1091</v>
      </c>
      <c r="M24" t="s">
        <v>1092</v>
      </c>
      <c r="N24" t="s">
        <v>1093</v>
      </c>
    </row>
    <row r="25" spans="1:16">
      <c r="A25" t="s">
        <v>1094</v>
      </c>
      <c r="B25" s="422">
        <f>SUM(C5:C17)</f>
        <v>34600</v>
      </c>
      <c r="C25" t="s">
        <v>1026</v>
      </c>
      <c r="D25" t="s">
        <v>1095</v>
      </c>
      <c r="K25" s="423" t="s">
        <v>1080</v>
      </c>
      <c r="L25" t="s">
        <v>1096</v>
      </c>
      <c r="M25" t="s">
        <v>1097</v>
      </c>
      <c r="N25" t="s">
        <v>1098</v>
      </c>
    </row>
    <row r="26" spans="1:16">
      <c r="A26" t="s">
        <v>1099</v>
      </c>
      <c r="B26" s="422">
        <f ca="1">B25-B26</f>
        <v>0</v>
      </c>
      <c r="C26" t="s">
        <v>1026</v>
      </c>
      <c r="D26" t="s">
        <v>1100</v>
      </c>
      <c r="K26" s="423" t="s">
        <v>1080</v>
      </c>
      <c r="L26" t="s">
        <v>1101</v>
      </c>
      <c r="M26" t="s">
        <v>1102</v>
      </c>
      <c r="N26" t="s">
        <v>1103</v>
      </c>
    </row>
    <row r="27" spans="1:16">
      <c r="A27" t="s">
        <v>1104</v>
      </c>
      <c r="B27" s="422">
        <f>AVERAGE(E6:E17)</f>
        <v>500</v>
      </c>
      <c r="C27" t="s">
        <v>1035</v>
      </c>
      <c r="D27" t="s">
        <v>1105</v>
      </c>
      <c r="K27" s="423" t="s">
        <v>1080</v>
      </c>
      <c r="L27" t="s">
        <v>1106</v>
      </c>
      <c r="M27" t="s">
        <v>1107</v>
      </c>
      <c r="N27" t="s">
        <v>1108</v>
      </c>
    </row>
    <row r="28" spans="1:16">
      <c r="A28" t="s">
        <v>1109</v>
      </c>
      <c r="B28" s="422">
        <f>AVERAGE(F7:F17)</f>
        <v>54.545454545454547</v>
      </c>
      <c r="C28" t="s">
        <v>1053</v>
      </c>
      <c r="D28" t="s">
        <v>1110</v>
      </c>
    </row>
    <row r="29" spans="1:16">
      <c r="A29" t="s">
        <v>1111</v>
      </c>
      <c r="B29" s="422">
        <f>STDEV(E6:E17)</f>
        <v>378.99388337592421</v>
      </c>
      <c r="C29" t="s">
        <v>1035</v>
      </c>
      <c r="D29" t="s">
        <v>1112</v>
      </c>
      <c r="K29" s="442" t="s">
        <v>1320</v>
      </c>
      <c r="L29" s="412"/>
      <c r="M29" s="412"/>
      <c r="N29" s="412"/>
      <c r="O29" s="412"/>
      <c r="P29" s="412"/>
    </row>
    <row r="30" spans="1:16">
      <c r="K30" s="423" t="s">
        <v>1080</v>
      </c>
      <c r="L30" s="417" t="s">
        <v>1333</v>
      </c>
      <c r="M30" s="418" t="s">
        <v>558</v>
      </c>
      <c r="N30" s="419" t="s">
        <v>1348</v>
      </c>
      <c r="O30" s="420" t="s">
        <v>1163</v>
      </c>
      <c r="P30" s="1" t="s">
        <v>1334</v>
      </c>
    </row>
    <row r="31" spans="1:16">
      <c r="K31" s="423" t="s">
        <v>1080</v>
      </c>
      <c r="L31" s="417" t="s">
        <v>1323</v>
      </c>
      <c r="M31" s="418" t="s">
        <v>1335</v>
      </c>
      <c r="N31" s="419" t="s">
        <v>1349</v>
      </c>
      <c r="O31" s="420" t="s">
        <v>1168</v>
      </c>
      <c r="P31" s="1">
        <v>1000</v>
      </c>
    </row>
    <row r="32" spans="1:16" ht="15.75">
      <c r="A32" s="413" t="s">
        <v>1115</v>
      </c>
      <c r="B32" s="412"/>
      <c r="C32" s="412"/>
      <c r="D32" s="412"/>
      <c r="E32" s="412"/>
      <c r="F32" s="412"/>
      <c r="G32" s="412"/>
      <c r="K32" s="423" t="s">
        <v>1080</v>
      </c>
      <c r="L32" s="417" t="s">
        <v>1339</v>
      </c>
      <c r="M32" s="418" t="s">
        <v>1340</v>
      </c>
      <c r="N32" s="419" t="s">
        <v>1350</v>
      </c>
      <c r="O32" s="420" t="s">
        <v>1338</v>
      </c>
      <c r="P32" s="1">
        <v>9.81</v>
      </c>
    </row>
    <row r="33" spans="1:16">
      <c r="K33" s="423" t="s">
        <v>1080</v>
      </c>
      <c r="L33" s="417" t="s">
        <v>1343</v>
      </c>
      <c r="M33" s="418" t="s">
        <v>1344</v>
      </c>
      <c r="N33" s="419" t="s">
        <v>1351</v>
      </c>
      <c r="O33" s="420" t="s">
        <v>1176</v>
      </c>
      <c r="P33" s="1" t="s">
        <v>1028</v>
      </c>
    </row>
    <row r="34" spans="1:16">
      <c r="A34" s="415" t="s">
        <v>1117</v>
      </c>
      <c r="B34" s="416" t="s">
        <v>1074</v>
      </c>
      <c r="C34" s="415" t="s">
        <v>1118</v>
      </c>
      <c r="K34" s="423" t="s">
        <v>1080</v>
      </c>
      <c r="L34" s="417" t="s">
        <v>1113</v>
      </c>
      <c r="M34" s="418" t="s">
        <v>1329</v>
      </c>
      <c r="N34" s="419" t="s">
        <v>1114</v>
      </c>
      <c r="O34" s="420" t="s">
        <v>1172</v>
      </c>
      <c r="P34" s="1">
        <v>1E-3</v>
      </c>
    </row>
    <row r="35" spans="1:16">
      <c r="A35" t="s">
        <v>1119</v>
      </c>
      <c r="B35" s="1" t="str">
        <f>IF(B28&gt;0,"✓","✗")</f>
        <v>✓</v>
      </c>
      <c r="C35" t="s">
        <v>1100</v>
      </c>
      <c r="K35" s="423" t="s">
        <v>1080</v>
      </c>
      <c r="L35" s="417" t="s">
        <v>1345</v>
      </c>
      <c r="M35" s="418" t="s">
        <v>1035</v>
      </c>
      <c r="N35" s="419" t="s">
        <v>1321</v>
      </c>
      <c r="O35" s="420" t="s">
        <v>1176</v>
      </c>
      <c r="P35" s="1">
        <v>0.1</v>
      </c>
    </row>
    <row r="36" spans="1:16">
      <c r="A36" t="s">
        <v>1120</v>
      </c>
      <c r="B36" s="1" t="str">
        <f>IF(B29&gt;0,"✓","✗")</f>
        <v>✓</v>
      </c>
      <c r="C36" t="s">
        <v>1121</v>
      </c>
      <c r="K36" s="423" t="s">
        <v>1080</v>
      </c>
      <c r="L36" s="417" t="s">
        <v>1326</v>
      </c>
      <c r="M36" s="418" t="s">
        <v>1332</v>
      </c>
      <c r="N36" s="419" t="s">
        <v>1352</v>
      </c>
      <c r="O36" s="420" t="s">
        <v>1187</v>
      </c>
      <c r="P36" s="1">
        <v>293</v>
      </c>
    </row>
    <row r="37" spans="1:16">
      <c r="A37" t="s">
        <v>1122</v>
      </c>
      <c r="B37" s="390" t="str">
        <f>IF(AND(B28&gt;0,B29&gt;0),"STABLE ↑",IF(AND(B28&lt;0,B29&lt;0),"UNSTABLE ↓","TRANSITION"))</f>
        <v>STABLE ↑</v>
      </c>
      <c r="C37" t="s">
        <v>1123</v>
      </c>
      <c r="K37" s="423" t="s">
        <v>1080</v>
      </c>
      <c r="L37" s="417" t="s">
        <v>182</v>
      </c>
      <c r="M37" s="418" t="s">
        <v>1330</v>
      </c>
      <c r="N37" s="419" t="s">
        <v>1331</v>
      </c>
      <c r="O37" s="420" t="s">
        <v>1183</v>
      </c>
      <c r="P37" s="1" t="s">
        <v>1325</v>
      </c>
    </row>
    <row r="38" spans="1:16">
      <c r="K38" s="423" t="s">
        <v>1080</v>
      </c>
      <c r="L38" s="417" t="s">
        <v>1190</v>
      </c>
      <c r="M38" s="418" t="s">
        <v>1026</v>
      </c>
      <c r="N38" s="419" t="s">
        <v>1353</v>
      </c>
      <c r="O38" s="420" t="s">
        <v>1176</v>
      </c>
      <c r="P38" s="1" t="s">
        <v>1327</v>
      </c>
    </row>
    <row r="39" spans="1:16">
      <c r="K39" s="423" t="s">
        <v>1080</v>
      </c>
      <c r="L39" s="417" t="s">
        <v>1192</v>
      </c>
      <c r="M39" s="418" t="s">
        <v>1026</v>
      </c>
      <c r="N39" s="419" t="s">
        <v>1354</v>
      </c>
      <c r="O39" s="420" t="s">
        <v>1163</v>
      </c>
      <c r="P39" s="1" t="s">
        <v>1328</v>
      </c>
    </row>
    <row r="40" spans="1:16" ht="15.75">
      <c r="A40" s="413" t="s">
        <v>1202</v>
      </c>
      <c r="B40" s="412"/>
      <c r="C40" s="412"/>
      <c r="D40" s="412"/>
      <c r="E40" s="412"/>
      <c r="F40" s="412"/>
      <c r="G40" s="412"/>
      <c r="H40" s="412"/>
      <c r="I40" s="412"/>
      <c r="J40" s="412"/>
      <c r="K40" s="412"/>
      <c r="L40" s="412"/>
      <c r="M40" s="412"/>
      <c r="N40" s="412"/>
      <c r="O40" s="412"/>
    </row>
    <row r="41" spans="1:16">
      <c r="A41" s="414" t="s">
        <v>1203</v>
      </c>
    </row>
    <row r="43" spans="1:16">
      <c r="A43" s="416" t="s">
        <v>102</v>
      </c>
      <c r="B43" s="416" t="s">
        <v>12</v>
      </c>
      <c r="C43" s="416" t="s">
        <v>1030</v>
      </c>
      <c r="D43" s="416" t="s">
        <v>1161</v>
      </c>
      <c r="E43" s="416" t="s">
        <v>1166</v>
      </c>
      <c r="F43" s="416" t="s">
        <v>1170</v>
      </c>
      <c r="G43" s="416" t="s">
        <v>1204</v>
      </c>
      <c r="H43" s="416" t="s">
        <v>1205</v>
      </c>
      <c r="I43" s="416" t="s">
        <v>1206</v>
      </c>
      <c r="J43" s="416" t="s">
        <v>1207</v>
      </c>
      <c r="K43" s="416" t="s">
        <v>1208</v>
      </c>
      <c r="L43" s="416" t="s">
        <v>1209</v>
      </c>
      <c r="M43" s="416" t="s">
        <v>1210</v>
      </c>
    </row>
    <row r="44" spans="1:16">
      <c r="A44" s="427"/>
      <c r="B44" s="427" t="s">
        <v>1211</v>
      </c>
      <c r="C44" s="427" t="s">
        <v>1212</v>
      </c>
      <c r="D44" s="427" t="s">
        <v>1213</v>
      </c>
      <c r="E44" s="427" t="s">
        <v>1214</v>
      </c>
      <c r="F44" s="427" t="s">
        <v>1215</v>
      </c>
      <c r="G44" s="427" t="s">
        <v>1178</v>
      </c>
      <c r="H44" s="427" t="s">
        <v>1216</v>
      </c>
      <c r="I44" s="427" t="s">
        <v>1217</v>
      </c>
      <c r="J44" s="427" t="s">
        <v>1218</v>
      </c>
      <c r="K44" s="427" t="s">
        <v>7</v>
      </c>
      <c r="L44" s="427"/>
      <c r="M44" s="427" t="s">
        <v>1219</v>
      </c>
    </row>
    <row r="45" spans="1:16">
      <c r="A45" s="1">
        <f t="shared" ref="A45:A57" si="4">A5</f>
        <v>0</v>
      </c>
      <c r="B45">
        <f t="shared" ref="B45:B57" si="5">D5</f>
        <v>1000</v>
      </c>
      <c r="C45" s="1" t="s">
        <v>1039</v>
      </c>
      <c r="D45" s="432">
        <v>0.05</v>
      </c>
      <c r="E45" s="432">
        <v>1</v>
      </c>
      <c r="F45" s="432">
        <v>100</v>
      </c>
      <c r="G45" s="1" t="s">
        <v>1039</v>
      </c>
      <c r="H45" s="1" t="s">
        <v>1039</v>
      </c>
      <c r="I45" s="1">
        <f t="shared" ref="I45:I57" si="6">E45*B45</f>
        <v>1000</v>
      </c>
      <c r="J45" s="1" t="s">
        <v>1039</v>
      </c>
      <c r="K45" s="1" t="s">
        <v>1039</v>
      </c>
      <c r="L45" s="1" t="s">
        <v>1039</v>
      </c>
      <c r="M45" s="1" t="s">
        <v>1039</v>
      </c>
    </row>
    <row r="46" spans="1:16">
      <c r="A46" s="1">
        <f t="shared" si="4"/>
        <v>1</v>
      </c>
      <c r="B46">
        <f t="shared" si="5"/>
        <v>1300</v>
      </c>
      <c r="C46" s="1">
        <f t="shared" ref="C46:C57" si="7">E6</f>
        <v>300</v>
      </c>
      <c r="D46" s="1">
        <f t="shared" ref="D46:D57" si="8">D45</f>
        <v>0.05</v>
      </c>
      <c r="E46" s="1">
        <f t="shared" ref="E46:E57" si="9">E45</f>
        <v>1</v>
      </c>
      <c r="F46" s="1">
        <f t="shared" ref="F46:F57" si="10">F45</f>
        <v>100</v>
      </c>
      <c r="G46" s="1">
        <f t="shared" ref="G46:G57" si="11">IF(F46=0,"∞",ABS(E46*C46*1000/F46))</f>
        <v>3000</v>
      </c>
      <c r="H46" s="1">
        <f t="shared" ref="H46:H57" si="12">0.5*E46*(C46^2)</f>
        <v>45000</v>
      </c>
      <c r="I46" s="1">
        <f t="shared" si="6"/>
        <v>1300</v>
      </c>
      <c r="J46" s="1">
        <f t="shared" ref="J46:J57" si="13">H46+I46</f>
        <v>46300</v>
      </c>
      <c r="K46" s="1" t="s">
        <v>1039</v>
      </c>
      <c r="L46" s="1" t="str">
        <f t="shared" ref="L46:L57" si="14">IF(G46="—","—",IF(G46&lt;2000,"Laminar",IF(G46&lt;4000,"Transition","Turbulent")))</f>
        <v>Transition</v>
      </c>
      <c r="M46" s="1">
        <f t="shared" ref="M46:M57" si="15">D46+H46+I46</f>
        <v>46300.05</v>
      </c>
    </row>
    <row r="47" spans="1:16">
      <c r="A47" s="1">
        <f t="shared" si="4"/>
        <v>2</v>
      </c>
      <c r="B47">
        <f t="shared" si="5"/>
        <v>1900</v>
      </c>
      <c r="C47" s="1">
        <f t="shared" si="7"/>
        <v>600</v>
      </c>
      <c r="D47" s="1">
        <f t="shared" si="8"/>
        <v>0.05</v>
      </c>
      <c r="E47" s="1">
        <f t="shared" si="9"/>
        <v>1</v>
      </c>
      <c r="F47" s="1">
        <f t="shared" si="10"/>
        <v>100</v>
      </c>
      <c r="G47" s="1">
        <f t="shared" si="11"/>
        <v>6000</v>
      </c>
      <c r="H47" s="1">
        <f t="shared" si="12"/>
        <v>180000</v>
      </c>
      <c r="I47" s="1">
        <f t="shared" si="6"/>
        <v>1900</v>
      </c>
      <c r="J47" s="1">
        <f t="shared" si="13"/>
        <v>181900</v>
      </c>
      <c r="K47" s="1">
        <f t="shared" ref="K47:K57" si="16">J47-J46</f>
        <v>135600</v>
      </c>
      <c r="L47" s="1" t="str">
        <f t="shared" si="14"/>
        <v>Turbulent</v>
      </c>
      <c r="M47" s="1">
        <f t="shared" si="15"/>
        <v>181900.05</v>
      </c>
    </row>
    <row r="48" spans="1:16">
      <c r="A48" s="1">
        <f t="shared" si="4"/>
        <v>3</v>
      </c>
      <c r="B48">
        <f t="shared" si="5"/>
        <v>2500</v>
      </c>
      <c r="C48" s="1">
        <f t="shared" si="7"/>
        <v>600</v>
      </c>
      <c r="D48" s="1">
        <f t="shared" si="8"/>
        <v>0.05</v>
      </c>
      <c r="E48" s="1">
        <f t="shared" si="9"/>
        <v>1</v>
      </c>
      <c r="F48" s="1">
        <f t="shared" si="10"/>
        <v>100</v>
      </c>
      <c r="G48" s="1">
        <f t="shared" si="11"/>
        <v>6000</v>
      </c>
      <c r="H48" s="1">
        <f t="shared" si="12"/>
        <v>180000</v>
      </c>
      <c r="I48" s="1">
        <f t="shared" si="6"/>
        <v>2500</v>
      </c>
      <c r="J48" s="1">
        <f t="shared" si="13"/>
        <v>182500</v>
      </c>
      <c r="K48" s="1">
        <f t="shared" si="16"/>
        <v>600</v>
      </c>
      <c r="L48" s="1" t="str">
        <f t="shared" si="14"/>
        <v>Turbulent</v>
      </c>
      <c r="M48" s="1">
        <f t="shared" si="15"/>
        <v>182500.05</v>
      </c>
    </row>
    <row r="49" spans="1:13">
      <c r="A49" s="1">
        <f t="shared" si="4"/>
        <v>4</v>
      </c>
      <c r="B49">
        <f t="shared" si="5"/>
        <v>3100</v>
      </c>
      <c r="C49" s="1">
        <f t="shared" si="7"/>
        <v>600</v>
      </c>
      <c r="D49" s="1">
        <f t="shared" si="8"/>
        <v>0.05</v>
      </c>
      <c r="E49" s="1">
        <f t="shared" si="9"/>
        <v>1</v>
      </c>
      <c r="F49" s="1">
        <f t="shared" si="10"/>
        <v>100</v>
      </c>
      <c r="G49" s="1">
        <f t="shared" si="11"/>
        <v>6000</v>
      </c>
      <c r="H49" s="1">
        <f t="shared" si="12"/>
        <v>180000</v>
      </c>
      <c r="I49" s="1">
        <f t="shared" si="6"/>
        <v>3100</v>
      </c>
      <c r="J49" s="1">
        <f t="shared" si="13"/>
        <v>183100</v>
      </c>
      <c r="K49" s="1">
        <f t="shared" si="16"/>
        <v>600</v>
      </c>
      <c r="L49" s="1" t="str">
        <f t="shared" si="14"/>
        <v>Turbulent</v>
      </c>
      <c r="M49" s="1">
        <f t="shared" si="15"/>
        <v>183100.05</v>
      </c>
    </row>
    <row r="50" spans="1:13">
      <c r="A50" s="1">
        <f t="shared" si="4"/>
        <v>5</v>
      </c>
      <c r="B50">
        <f t="shared" si="5"/>
        <v>4000</v>
      </c>
      <c r="C50" s="1">
        <f t="shared" si="7"/>
        <v>900</v>
      </c>
      <c r="D50" s="1">
        <f t="shared" si="8"/>
        <v>0.05</v>
      </c>
      <c r="E50" s="1">
        <f t="shared" si="9"/>
        <v>1</v>
      </c>
      <c r="F50" s="1">
        <f t="shared" si="10"/>
        <v>100</v>
      </c>
      <c r="G50" s="1">
        <f t="shared" si="11"/>
        <v>9000</v>
      </c>
      <c r="H50" s="1">
        <f t="shared" si="12"/>
        <v>405000</v>
      </c>
      <c r="I50" s="1">
        <f t="shared" si="6"/>
        <v>4000</v>
      </c>
      <c r="J50" s="1">
        <f t="shared" si="13"/>
        <v>409000</v>
      </c>
      <c r="K50" s="1">
        <f t="shared" si="16"/>
        <v>225900</v>
      </c>
      <c r="L50" s="1" t="str">
        <f t="shared" si="14"/>
        <v>Turbulent</v>
      </c>
      <c r="M50" s="1">
        <f t="shared" si="15"/>
        <v>409000.05</v>
      </c>
    </row>
    <row r="51" spans="1:13">
      <c r="A51" s="1">
        <f t="shared" si="4"/>
        <v>6</v>
      </c>
      <c r="B51">
        <f t="shared" si="5"/>
        <v>4400</v>
      </c>
      <c r="C51" s="1">
        <f t="shared" si="7"/>
        <v>400</v>
      </c>
      <c r="D51" s="1">
        <f t="shared" si="8"/>
        <v>0.05</v>
      </c>
      <c r="E51" s="1">
        <f t="shared" si="9"/>
        <v>1</v>
      </c>
      <c r="F51" s="1">
        <f t="shared" si="10"/>
        <v>100</v>
      </c>
      <c r="G51" s="1">
        <f t="shared" si="11"/>
        <v>4000</v>
      </c>
      <c r="H51" s="1">
        <f t="shared" si="12"/>
        <v>80000</v>
      </c>
      <c r="I51" s="1">
        <f t="shared" si="6"/>
        <v>4400</v>
      </c>
      <c r="J51" s="1">
        <f t="shared" si="13"/>
        <v>84400</v>
      </c>
      <c r="K51" s="1">
        <f t="shared" si="16"/>
        <v>-324600</v>
      </c>
      <c r="L51" s="1" t="str">
        <f t="shared" si="14"/>
        <v>Turbulent</v>
      </c>
      <c r="M51" s="1">
        <f t="shared" si="15"/>
        <v>84400.05</v>
      </c>
    </row>
    <row r="52" spans="1:13">
      <c r="A52" s="1">
        <f t="shared" si="4"/>
        <v>7</v>
      </c>
      <c r="B52">
        <f t="shared" si="5"/>
        <v>4500</v>
      </c>
      <c r="C52" s="1">
        <f t="shared" si="7"/>
        <v>100</v>
      </c>
      <c r="D52" s="1">
        <f t="shared" si="8"/>
        <v>0.05</v>
      </c>
      <c r="E52" s="1">
        <f t="shared" si="9"/>
        <v>1</v>
      </c>
      <c r="F52" s="1">
        <f t="shared" si="10"/>
        <v>100</v>
      </c>
      <c r="G52" s="1">
        <f t="shared" si="11"/>
        <v>1000</v>
      </c>
      <c r="H52" s="1">
        <f t="shared" si="12"/>
        <v>5000</v>
      </c>
      <c r="I52" s="1">
        <f t="shared" si="6"/>
        <v>4500</v>
      </c>
      <c r="J52" s="1">
        <f t="shared" si="13"/>
        <v>9500</v>
      </c>
      <c r="K52" s="1">
        <f t="shared" si="16"/>
        <v>-74900</v>
      </c>
      <c r="L52" s="1" t="str">
        <f t="shared" si="14"/>
        <v>Laminar</v>
      </c>
      <c r="M52" s="1">
        <f t="shared" si="15"/>
        <v>9500.0499999999993</v>
      </c>
    </row>
    <row r="53" spans="1:13">
      <c r="A53" s="1">
        <f t="shared" si="4"/>
        <v>8</v>
      </c>
      <c r="B53">
        <f t="shared" si="5"/>
        <v>4100</v>
      </c>
      <c r="C53" s="1">
        <f t="shared" si="7"/>
        <v>-400</v>
      </c>
      <c r="D53" s="1">
        <f t="shared" si="8"/>
        <v>0.05</v>
      </c>
      <c r="E53" s="1">
        <f t="shared" si="9"/>
        <v>1</v>
      </c>
      <c r="F53" s="1">
        <f t="shared" si="10"/>
        <v>100</v>
      </c>
      <c r="G53" s="1">
        <f t="shared" si="11"/>
        <v>4000</v>
      </c>
      <c r="H53" s="1">
        <f t="shared" si="12"/>
        <v>80000</v>
      </c>
      <c r="I53" s="1">
        <f t="shared" si="6"/>
        <v>4100</v>
      </c>
      <c r="J53" s="1">
        <f t="shared" si="13"/>
        <v>84100</v>
      </c>
      <c r="K53" s="1">
        <f t="shared" si="16"/>
        <v>74600</v>
      </c>
      <c r="L53" s="1" t="str">
        <f t="shared" si="14"/>
        <v>Turbulent</v>
      </c>
      <c r="M53" s="1">
        <f t="shared" si="15"/>
        <v>84100.05</v>
      </c>
    </row>
    <row r="54" spans="1:13">
      <c r="A54" s="1">
        <f t="shared" si="4"/>
        <v>9</v>
      </c>
      <c r="B54">
        <f t="shared" si="5"/>
        <v>4500</v>
      </c>
      <c r="C54" s="1">
        <f t="shared" si="7"/>
        <v>400</v>
      </c>
      <c r="D54" s="1">
        <f t="shared" si="8"/>
        <v>0.05</v>
      </c>
      <c r="E54" s="1">
        <f t="shared" si="9"/>
        <v>1</v>
      </c>
      <c r="F54" s="1">
        <f t="shared" si="10"/>
        <v>100</v>
      </c>
      <c r="G54" s="1">
        <f t="shared" si="11"/>
        <v>4000</v>
      </c>
      <c r="H54" s="1">
        <f t="shared" si="12"/>
        <v>80000</v>
      </c>
      <c r="I54" s="1">
        <f t="shared" si="6"/>
        <v>4500</v>
      </c>
      <c r="J54" s="1">
        <f t="shared" si="13"/>
        <v>84500</v>
      </c>
      <c r="K54" s="1">
        <f t="shared" si="16"/>
        <v>400</v>
      </c>
      <c r="L54" s="1" t="str">
        <f t="shared" si="14"/>
        <v>Turbulent</v>
      </c>
      <c r="M54" s="1">
        <f t="shared" si="15"/>
        <v>84500.05</v>
      </c>
    </row>
    <row r="55" spans="1:13">
      <c r="A55" s="1">
        <f t="shared" si="4"/>
        <v>10</v>
      </c>
      <c r="B55">
        <f t="shared" si="5"/>
        <v>5200</v>
      </c>
      <c r="C55" s="1">
        <f t="shared" si="7"/>
        <v>700</v>
      </c>
      <c r="D55" s="1">
        <f t="shared" si="8"/>
        <v>0.05</v>
      </c>
      <c r="E55" s="1">
        <f t="shared" si="9"/>
        <v>1</v>
      </c>
      <c r="F55" s="1">
        <f t="shared" si="10"/>
        <v>100</v>
      </c>
      <c r="G55" s="1">
        <f t="shared" si="11"/>
        <v>7000</v>
      </c>
      <c r="H55" s="1">
        <f t="shared" si="12"/>
        <v>245000</v>
      </c>
      <c r="I55" s="1">
        <f t="shared" si="6"/>
        <v>5200</v>
      </c>
      <c r="J55" s="1">
        <f t="shared" si="13"/>
        <v>250200</v>
      </c>
      <c r="K55" s="1">
        <f t="shared" si="16"/>
        <v>165700</v>
      </c>
      <c r="L55" s="1" t="str">
        <f t="shared" si="14"/>
        <v>Turbulent</v>
      </c>
      <c r="M55" s="1">
        <f t="shared" si="15"/>
        <v>250200.05</v>
      </c>
    </row>
    <row r="56" spans="1:13">
      <c r="A56" s="1">
        <f t="shared" si="4"/>
        <v>11</v>
      </c>
      <c r="B56">
        <f t="shared" si="5"/>
        <v>6100</v>
      </c>
      <c r="C56" s="1">
        <f t="shared" si="7"/>
        <v>900</v>
      </c>
      <c r="D56" s="1">
        <f t="shared" si="8"/>
        <v>0.05</v>
      </c>
      <c r="E56" s="1">
        <f t="shared" si="9"/>
        <v>1</v>
      </c>
      <c r="F56" s="1">
        <f t="shared" si="10"/>
        <v>100</v>
      </c>
      <c r="G56" s="1">
        <f t="shared" si="11"/>
        <v>9000</v>
      </c>
      <c r="H56" s="1">
        <f t="shared" si="12"/>
        <v>405000</v>
      </c>
      <c r="I56" s="1">
        <f t="shared" si="6"/>
        <v>6100</v>
      </c>
      <c r="J56" s="1">
        <f t="shared" si="13"/>
        <v>411100</v>
      </c>
      <c r="K56" s="1">
        <f t="shared" si="16"/>
        <v>160900</v>
      </c>
      <c r="L56" s="1" t="str">
        <f t="shared" si="14"/>
        <v>Turbulent</v>
      </c>
      <c r="M56" s="1">
        <f t="shared" si="15"/>
        <v>411100.05</v>
      </c>
    </row>
    <row r="57" spans="1:13">
      <c r="A57" s="1">
        <f t="shared" si="4"/>
        <v>12</v>
      </c>
      <c r="B57">
        <f t="shared" si="5"/>
        <v>7000</v>
      </c>
      <c r="C57" s="1">
        <f t="shared" si="7"/>
        <v>900</v>
      </c>
      <c r="D57" s="1">
        <f t="shared" si="8"/>
        <v>0.05</v>
      </c>
      <c r="E57" s="1">
        <f t="shared" si="9"/>
        <v>1</v>
      </c>
      <c r="F57" s="1">
        <f t="shared" si="10"/>
        <v>100</v>
      </c>
      <c r="G57" s="1">
        <f t="shared" si="11"/>
        <v>9000</v>
      </c>
      <c r="H57" s="1">
        <f t="shared" si="12"/>
        <v>405000</v>
      </c>
      <c r="I57" s="1">
        <f t="shared" si="6"/>
        <v>7000</v>
      </c>
      <c r="J57" s="1">
        <f t="shared" si="13"/>
        <v>412000</v>
      </c>
      <c r="K57" s="1">
        <f t="shared" si="16"/>
        <v>900</v>
      </c>
      <c r="L57" s="1" t="str">
        <f t="shared" si="14"/>
        <v>Turbulent</v>
      </c>
      <c r="M57" s="1">
        <f t="shared" si="15"/>
        <v>412000.05</v>
      </c>
    </row>
    <row r="59" spans="1:13">
      <c r="A59" s="415" t="s">
        <v>1220</v>
      </c>
      <c r="B59" s="433"/>
      <c r="C59" s="433"/>
      <c r="D59" s="433"/>
      <c r="E59" s="433"/>
      <c r="F59" s="433"/>
      <c r="G59" s="433"/>
    </row>
    <row r="60" spans="1:13">
      <c r="A60" s="272" t="s">
        <v>1221</v>
      </c>
      <c r="B60" t="s">
        <v>1222</v>
      </c>
    </row>
    <row r="61" spans="1:13">
      <c r="A61" s="272" t="s">
        <v>1223</v>
      </c>
      <c r="B61" t="s">
        <v>1224</v>
      </c>
    </row>
    <row r="62" spans="1:13">
      <c r="A62" s="272" t="s">
        <v>1225</v>
      </c>
      <c r="B62" t="s">
        <v>1226</v>
      </c>
    </row>
    <row r="63" spans="1:13">
      <c r="A63" s="272" t="s">
        <v>1204</v>
      </c>
      <c r="B63" t="s">
        <v>1227</v>
      </c>
    </row>
    <row r="64" spans="1:13">
      <c r="A64" s="272" t="s">
        <v>1228</v>
      </c>
      <c r="B64" t="s">
        <v>1229</v>
      </c>
    </row>
    <row r="65" spans="1:15">
      <c r="A65" s="272" t="s">
        <v>1230</v>
      </c>
      <c r="B65" t="s">
        <v>1231</v>
      </c>
    </row>
    <row r="68" spans="1:15" ht="15.75">
      <c r="A68" s="413" t="s">
        <v>1246</v>
      </c>
      <c r="B68" s="412"/>
      <c r="C68" s="412"/>
      <c r="D68" s="412"/>
      <c r="E68" s="412"/>
      <c r="F68" s="412"/>
      <c r="G68" s="412"/>
      <c r="H68" s="412"/>
      <c r="I68" s="412"/>
      <c r="J68" s="412"/>
      <c r="K68" s="412"/>
      <c r="L68" s="412"/>
      <c r="M68" s="412"/>
      <c r="N68" s="412"/>
      <c r="O68" s="412"/>
    </row>
    <row r="69" spans="1:15">
      <c r="A69" s="414" t="s">
        <v>1247</v>
      </c>
    </row>
    <row r="71" spans="1:15">
      <c r="A71" s="415" t="s">
        <v>1248</v>
      </c>
      <c r="B71" s="433"/>
      <c r="C71" s="433"/>
      <c r="D71" s="433"/>
      <c r="E71" s="433"/>
      <c r="H71" s="415" t="s">
        <v>1249</v>
      </c>
      <c r="I71" s="433"/>
      <c r="J71" s="433"/>
      <c r="K71" s="433"/>
      <c r="L71" s="433"/>
      <c r="M71" s="433"/>
    </row>
    <row r="72" spans="1:15">
      <c r="A72" s="390" t="s">
        <v>1157</v>
      </c>
      <c r="B72" s="390" t="s">
        <v>1019</v>
      </c>
      <c r="C72" s="390" t="s">
        <v>181</v>
      </c>
      <c r="D72" s="390" t="s">
        <v>1020</v>
      </c>
      <c r="E72" s="390" t="s">
        <v>1250</v>
      </c>
      <c r="H72" s="434" t="s">
        <v>1251</v>
      </c>
    </row>
    <row r="73" spans="1:15">
      <c r="A73" s="119" t="s">
        <v>1252</v>
      </c>
      <c r="B73" s="1" t="s">
        <v>1253</v>
      </c>
      <c r="C73" s="432">
        <v>0.15</v>
      </c>
      <c r="D73" s="1" t="s">
        <v>1254</v>
      </c>
      <c r="E73" t="s">
        <v>1255</v>
      </c>
      <c r="H73" s="272" t="s">
        <v>1256</v>
      </c>
    </row>
    <row r="74" spans="1:15">
      <c r="A74" s="119" t="s">
        <v>1257</v>
      </c>
      <c r="B74" s="1" t="s">
        <v>1258</v>
      </c>
      <c r="C74" s="432">
        <v>0.08</v>
      </c>
      <c r="D74" s="1" t="s">
        <v>1254</v>
      </c>
      <c r="E74" t="s">
        <v>1259</v>
      </c>
      <c r="H74" s="435" t="s">
        <v>1260</v>
      </c>
    </row>
    <row r="75" spans="1:15">
      <c r="A75" s="119" t="s">
        <v>1261</v>
      </c>
      <c r="B75" s="1" t="s">
        <v>1262</v>
      </c>
      <c r="C75" s="432">
        <v>4.0000000000000001E-3</v>
      </c>
      <c r="D75" s="1" t="s">
        <v>1254</v>
      </c>
      <c r="E75" t="s">
        <v>1263</v>
      </c>
      <c r="H75" s="435" t="s">
        <v>1264</v>
      </c>
    </row>
    <row r="76" spans="1:15">
      <c r="A76" s="119" t="s">
        <v>1265</v>
      </c>
      <c r="B76" s="1" t="s">
        <v>1266</v>
      </c>
      <c r="C76" s="432">
        <v>7.0000000000000001E-3</v>
      </c>
      <c r="D76" s="1" t="s">
        <v>1254</v>
      </c>
      <c r="E76" t="s">
        <v>1267</v>
      </c>
      <c r="H76" s="435" t="s">
        <v>1268</v>
      </c>
    </row>
    <row r="77" spans="1:15">
      <c r="A77" s="119" t="s">
        <v>1116</v>
      </c>
      <c r="B77" s="1" t="s">
        <v>1180</v>
      </c>
      <c r="C77" s="432">
        <v>0.04</v>
      </c>
      <c r="D77" s="1" t="s">
        <v>1254</v>
      </c>
      <c r="E77" t="s">
        <v>1269</v>
      </c>
      <c r="H77" s="435" t="s">
        <v>1270</v>
      </c>
    </row>
    <row r="78" spans="1:15">
      <c r="A78" s="119" t="s">
        <v>1271</v>
      </c>
      <c r="B78" s="1" t="s">
        <v>1272</v>
      </c>
      <c r="C78" s="1">
        <f>1/C73</f>
        <v>6.666666666666667</v>
      </c>
      <c r="D78" s="1" t="s">
        <v>1273</v>
      </c>
      <c r="E78" s="1" t="s">
        <v>1274</v>
      </c>
    </row>
    <row r="79" spans="1:15">
      <c r="A79" s="119" t="s">
        <v>1275</v>
      </c>
      <c r="B79" s="1" t="s">
        <v>1276</v>
      </c>
      <c r="C79" s="1">
        <f>1/C74</f>
        <v>12.5</v>
      </c>
      <c r="D79" s="1" t="s">
        <v>1273</v>
      </c>
      <c r="E79" s="1" t="s">
        <v>1277</v>
      </c>
      <c r="H79" s="436" t="s">
        <v>1278</v>
      </c>
    </row>
    <row r="80" spans="1:15">
      <c r="H80" s="437" t="s">
        <v>1279</v>
      </c>
    </row>
    <row r="81" spans="1:8">
      <c r="A81" s="438" t="s">
        <v>1280</v>
      </c>
      <c r="B81" s="433"/>
      <c r="C81" s="433"/>
      <c r="D81" s="433"/>
      <c r="E81" s="433"/>
      <c r="F81" s="433"/>
      <c r="G81" s="433"/>
      <c r="H81" s="437" t="s">
        <v>1281</v>
      </c>
    </row>
    <row r="82" spans="1:8">
      <c r="A82" s="416" t="s">
        <v>102</v>
      </c>
      <c r="B82" s="416" t="s">
        <v>15</v>
      </c>
      <c r="C82" s="416" t="s">
        <v>16</v>
      </c>
      <c r="D82" s="416" t="s">
        <v>1282</v>
      </c>
      <c r="E82" s="416" t="s">
        <v>5</v>
      </c>
      <c r="F82" s="416" t="s">
        <v>1283</v>
      </c>
      <c r="G82" s="416" t="s">
        <v>1284</v>
      </c>
      <c r="H82" s="439" t="s">
        <v>1285</v>
      </c>
    </row>
    <row r="83" spans="1:8">
      <c r="A83" s="427" t="s">
        <v>159</v>
      </c>
      <c r="B83" s="427" t="s">
        <v>1286</v>
      </c>
      <c r="C83" s="427" t="s">
        <v>1287</v>
      </c>
      <c r="D83" s="427" t="s">
        <v>1288</v>
      </c>
      <c r="E83" s="427" t="s">
        <v>1289</v>
      </c>
      <c r="F83" s="427" t="s">
        <v>1290</v>
      </c>
      <c r="G83" s="427" t="s">
        <v>1290</v>
      </c>
      <c r="H83" s="440" t="s">
        <v>1291</v>
      </c>
    </row>
    <row r="84" spans="1:8">
      <c r="A84" s="1">
        <v>0</v>
      </c>
      <c r="B84" s="432">
        <v>1000</v>
      </c>
      <c r="C84" s="432">
        <v>2000</v>
      </c>
      <c r="D84" s="432">
        <v>5000</v>
      </c>
      <c r="E84" s="390">
        <f>B84+C84+D84</f>
        <v>8000</v>
      </c>
      <c r="F84" s="1" t="s">
        <v>1039</v>
      </c>
      <c r="G84" s="1" t="s">
        <v>1039</v>
      </c>
    </row>
    <row r="85" spans="1:8">
      <c r="A85" s="1">
        <v>1</v>
      </c>
      <c r="B85" s="1">
        <f>B84*(1-$C$73)+200</f>
        <v>1050</v>
      </c>
      <c r="C85" s="1">
        <f>C84*(1+$C$75-$C$74)+$C$73*B84</f>
        <v>1998</v>
      </c>
      <c r="D85" s="1">
        <f>D84*(1+$C$76)+$C$74*C84</f>
        <v>5194.9999999999991</v>
      </c>
      <c r="E85" s="390">
        <f>B85+C85+D85</f>
        <v>8243</v>
      </c>
      <c r="F85" s="1">
        <f>$C$73*B84</f>
        <v>150</v>
      </c>
      <c r="G85" s="1">
        <f>$C$74*C84</f>
        <v>160</v>
      </c>
    </row>
    <row r="86" spans="1:8">
      <c r="A86" s="1">
        <v>2</v>
      </c>
      <c r="B86" s="1">
        <f t="shared" ref="B86:B94" si="17">B85*(1-$C$73)+200</f>
        <v>1092.5</v>
      </c>
      <c r="C86" s="1">
        <f t="shared" ref="C86:C94" si="18">C85*(1+$C$75-$C$74)+$C$73*B85</f>
        <v>2003.652</v>
      </c>
      <c r="D86" s="1">
        <f t="shared" ref="D86:D94" si="19">D85*(1+$C$76)+$C$74*C85</f>
        <v>5391.204999999999</v>
      </c>
      <c r="E86" s="390">
        <f t="shared" ref="E86:E94" si="20">B86+C86+D86</f>
        <v>8487.357</v>
      </c>
      <c r="F86" s="1">
        <f t="shared" ref="F86:F94" si="21">$C$73*B85</f>
        <v>157.5</v>
      </c>
      <c r="G86" s="1">
        <f t="shared" ref="G86:G94" si="22">$C$74*C85</f>
        <v>159.84</v>
      </c>
    </row>
    <row r="87" spans="1:8">
      <c r="A87" s="1">
        <v>3</v>
      </c>
      <c r="B87" s="1">
        <f t="shared" si="17"/>
        <v>1128.625</v>
      </c>
      <c r="C87" s="1">
        <f t="shared" si="18"/>
        <v>2015.249448</v>
      </c>
      <c r="D87" s="1">
        <f t="shared" si="19"/>
        <v>5589.2355949999983</v>
      </c>
      <c r="E87" s="390">
        <f t="shared" si="20"/>
        <v>8733.1100429999988</v>
      </c>
      <c r="F87" s="1">
        <f t="shared" si="21"/>
        <v>163.875</v>
      </c>
      <c r="G87" s="1">
        <f t="shared" si="22"/>
        <v>160.29216</v>
      </c>
    </row>
    <row r="88" spans="1:8">
      <c r="A88" s="1">
        <v>4</v>
      </c>
      <c r="B88" s="1">
        <f t="shared" si="17"/>
        <v>1159.33125</v>
      </c>
      <c r="C88" s="1">
        <f t="shared" si="18"/>
        <v>2031.3842399520001</v>
      </c>
      <c r="D88" s="1">
        <f t="shared" si="19"/>
        <v>5789.5802000049971</v>
      </c>
      <c r="E88" s="390">
        <f t="shared" si="20"/>
        <v>8980.2956899569981</v>
      </c>
      <c r="F88" s="1">
        <f t="shared" si="21"/>
        <v>169.29374999999999</v>
      </c>
      <c r="G88" s="1">
        <f t="shared" si="22"/>
        <v>161.21995584000001</v>
      </c>
    </row>
    <row r="89" spans="1:8">
      <c r="A89" s="1">
        <v>5</v>
      </c>
      <c r="B89" s="1">
        <f t="shared" si="17"/>
        <v>1185.4315624999999</v>
      </c>
      <c r="C89" s="1">
        <f t="shared" si="18"/>
        <v>2050.898725215648</v>
      </c>
      <c r="D89" s="1">
        <f t="shared" si="19"/>
        <v>5992.6180006011919</v>
      </c>
      <c r="E89" s="390">
        <f t="shared" si="20"/>
        <v>9228.9482883168403</v>
      </c>
      <c r="F89" s="1">
        <f t="shared" si="21"/>
        <v>173.8996875</v>
      </c>
      <c r="G89" s="1">
        <f t="shared" si="22"/>
        <v>162.51073919616002</v>
      </c>
    </row>
    <row r="90" spans="1:8">
      <c r="A90" s="1">
        <v>6</v>
      </c>
      <c r="B90" s="1">
        <f t="shared" si="17"/>
        <v>1207.6168281249998</v>
      </c>
      <c r="C90" s="1">
        <f t="shared" si="18"/>
        <v>2072.8451564742591</v>
      </c>
      <c r="D90" s="1">
        <f t="shared" si="19"/>
        <v>6198.6382246226513</v>
      </c>
      <c r="E90" s="390">
        <f t="shared" si="20"/>
        <v>9479.1002092219096</v>
      </c>
      <c r="F90" s="1">
        <f t="shared" si="21"/>
        <v>177.81473437499997</v>
      </c>
      <c r="G90" s="1">
        <f t="shared" si="22"/>
        <v>164.07189801725184</v>
      </c>
    </row>
    <row r="91" spans="1:8">
      <c r="A91" s="1">
        <v>7</v>
      </c>
      <c r="B91" s="1">
        <f t="shared" si="17"/>
        <v>1226.4743039062498</v>
      </c>
      <c r="C91" s="1">
        <f t="shared" si="18"/>
        <v>2096.4514488009654</v>
      </c>
      <c r="D91" s="1">
        <f t="shared" si="19"/>
        <v>6407.8563047129501</v>
      </c>
      <c r="E91" s="390">
        <f t="shared" si="20"/>
        <v>9730.7820574201651</v>
      </c>
      <c r="F91" s="1">
        <f t="shared" si="21"/>
        <v>181.14252421874997</v>
      </c>
      <c r="G91" s="1">
        <f t="shared" si="22"/>
        <v>165.82761251794074</v>
      </c>
    </row>
    <row r="92" spans="1:8">
      <c r="A92" s="1">
        <v>8</v>
      </c>
      <c r="B92" s="1">
        <f t="shared" si="17"/>
        <v>1242.5031583203124</v>
      </c>
      <c r="C92" s="1">
        <f t="shared" si="18"/>
        <v>2121.0922842780296</v>
      </c>
      <c r="D92" s="1">
        <f t="shared" si="19"/>
        <v>6620.4274147500173</v>
      </c>
      <c r="E92" s="390">
        <f t="shared" si="20"/>
        <v>9984.0228573483582</v>
      </c>
      <c r="F92" s="1">
        <f t="shared" si="21"/>
        <v>183.97114558593748</v>
      </c>
      <c r="G92" s="1">
        <f t="shared" si="22"/>
        <v>167.71611590407724</v>
      </c>
    </row>
    <row r="93" spans="1:8">
      <c r="A93" s="1">
        <v>9</v>
      </c>
      <c r="B93" s="1">
        <f t="shared" si="17"/>
        <v>1256.1276845722655</v>
      </c>
      <c r="C93" s="1">
        <f t="shared" si="18"/>
        <v>2146.2647444209465</v>
      </c>
      <c r="D93" s="1">
        <f t="shared" si="19"/>
        <v>6836.4577893955093</v>
      </c>
      <c r="E93" s="390">
        <f t="shared" si="20"/>
        <v>10238.850218388721</v>
      </c>
      <c r="F93" s="1">
        <f t="shared" si="21"/>
        <v>186.37547374804686</v>
      </c>
      <c r="G93" s="1">
        <f t="shared" si="22"/>
        <v>169.68738274224236</v>
      </c>
    </row>
    <row r="94" spans="1:8">
      <c r="A94" s="1">
        <v>10</v>
      </c>
      <c r="B94" s="1">
        <f t="shared" si="17"/>
        <v>1267.7085318864256</v>
      </c>
      <c r="C94" s="1">
        <f t="shared" si="18"/>
        <v>2171.5677765307946</v>
      </c>
      <c r="D94" s="1">
        <f t="shared" si="19"/>
        <v>7056.0141734749523</v>
      </c>
      <c r="E94" s="390">
        <f t="shared" si="20"/>
        <v>10495.290481892172</v>
      </c>
      <c r="F94" s="1">
        <f t="shared" si="21"/>
        <v>188.4191526858398</v>
      </c>
      <c r="G94" s="1">
        <f t="shared" si="22"/>
        <v>171.70117955367573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B569C-2D45-4289-9DD9-3CA193EB2D21}">
  <dimension ref="A1:Q97"/>
  <sheetViews>
    <sheetView topLeftCell="A18" workbookViewId="0">
      <selection activeCell="O22" sqref="O22"/>
    </sheetView>
  </sheetViews>
  <sheetFormatPr defaultRowHeight="15"/>
  <sheetData>
    <row r="1" spans="1:16" ht="18.75">
      <c r="A1" s="424" t="s">
        <v>1124</v>
      </c>
      <c r="B1" s="425"/>
      <c r="C1" s="425"/>
      <c r="D1" s="425"/>
      <c r="E1" s="425"/>
      <c r="F1" s="425"/>
      <c r="G1" s="425"/>
      <c r="H1" s="425"/>
      <c r="K1" s="426" t="s">
        <v>1016</v>
      </c>
      <c r="L1" s="425"/>
      <c r="M1" s="425"/>
      <c r="N1" s="425"/>
      <c r="O1" s="425"/>
      <c r="P1" s="425"/>
    </row>
    <row r="2" spans="1:16">
      <c r="A2" s="414" t="s">
        <v>1125</v>
      </c>
      <c r="K2" s="415" t="s">
        <v>1126</v>
      </c>
      <c r="L2" s="416" t="s">
        <v>1019</v>
      </c>
      <c r="M2" s="416" t="s">
        <v>1020</v>
      </c>
      <c r="N2" s="415" t="s">
        <v>1127</v>
      </c>
      <c r="O2" s="416" t="s">
        <v>1128</v>
      </c>
      <c r="P2" s="416" t="s">
        <v>1129</v>
      </c>
    </row>
    <row r="3" spans="1:16">
      <c r="K3" s="419" t="s">
        <v>1027</v>
      </c>
      <c r="L3" s="420" t="s">
        <v>1028</v>
      </c>
      <c r="M3" s="420" t="s">
        <v>1130</v>
      </c>
      <c r="N3" s="417" t="s">
        <v>1024</v>
      </c>
      <c r="O3" s="418" t="s">
        <v>1025</v>
      </c>
      <c r="P3" s="418" t="s">
        <v>1026</v>
      </c>
    </row>
    <row r="4" spans="1:16">
      <c r="A4" s="416" t="s">
        <v>1131</v>
      </c>
      <c r="B4" s="416" t="s">
        <v>1132</v>
      </c>
      <c r="C4" s="416" t="s">
        <v>1133</v>
      </c>
      <c r="D4" s="416" t="s">
        <v>1134</v>
      </c>
      <c r="E4" s="416" t="s">
        <v>1030</v>
      </c>
      <c r="F4" s="416" t="s">
        <v>1031</v>
      </c>
      <c r="G4" s="416" t="s">
        <v>1032</v>
      </c>
      <c r="K4" s="419" t="s">
        <v>1036</v>
      </c>
      <c r="L4" s="420" t="s">
        <v>1037</v>
      </c>
      <c r="M4" s="420" t="s">
        <v>1135</v>
      </c>
      <c r="N4" s="417" t="s">
        <v>1033</v>
      </c>
      <c r="O4" s="418" t="s">
        <v>1034</v>
      </c>
      <c r="P4" s="418" t="s">
        <v>1035</v>
      </c>
    </row>
    <row r="5" spans="1:16">
      <c r="A5" s="1" t="s">
        <v>1136</v>
      </c>
      <c r="B5" s="109">
        <v>3</v>
      </c>
      <c r="C5" s="109">
        <v>2.8</v>
      </c>
      <c r="D5" s="109">
        <v>1</v>
      </c>
      <c r="E5" s="1" t="s">
        <v>1039</v>
      </c>
      <c r="F5" s="1" t="s">
        <v>1039</v>
      </c>
      <c r="G5" s="1" t="s">
        <v>1039</v>
      </c>
      <c r="K5" s="419" t="s">
        <v>1042</v>
      </c>
      <c r="L5" s="420" t="s">
        <v>1043</v>
      </c>
      <c r="M5" s="420" t="s">
        <v>1135</v>
      </c>
      <c r="N5" s="417" t="s">
        <v>1040</v>
      </c>
      <c r="O5" s="418" t="s">
        <v>1041</v>
      </c>
      <c r="P5" s="418" t="s">
        <v>1035</v>
      </c>
    </row>
    <row r="6" spans="1:16">
      <c r="A6" s="1" t="s">
        <v>1137</v>
      </c>
      <c r="B6" s="109">
        <v>3</v>
      </c>
      <c r="C6" s="109">
        <v>2.7</v>
      </c>
      <c r="D6" s="109">
        <f t="shared" ref="D6:D17" si="0">D5+B6-C6</f>
        <v>1.2999999999999998</v>
      </c>
      <c r="E6" s="106">
        <f t="shared" ref="E6:E17" si="1">D6-D5</f>
        <v>0.29999999999999982</v>
      </c>
      <c r="F6" s="1" t="s">
        <v>1039</v>
      </c>
      <c r="G6" s="1" t="s">
        <v>1039</v>
      </c>
      <c r="K6" s="419" t="s">
        <v>1046</v>
      </c>
      <c r="L6" s="420" t="s">
        <v>1047</v>
      </c>
      <c r="M6" s="420" t="s">
        <v>1135</v>
      </c>
      <c r="N6" s="417" t="s">
        <v>1044</v>
      </c>
      <c r="O6" s="418" t="s">
        <v>1045</v>
      </c>
      <c r="P6" s="418" t="s">
        <v>1035</v>
      </c>
    </row>
    <row r="7" spans="1:16">
      <c r="A7" s="1" t="s">
        <v>1138</v>
      </c>
      <c r="B7" s="109">
        <v>3.2</v>
      </c>
      <c r="C7" s="109">
        <v>2.6</v>
      </c>
      <c r="D7" s="109">
        <f t="shared" si="0"/>
        <v>1.9</v>
      </c>
      <c r="E7" s="106">
        <f t="shared" si="1"/>
        <v>0.60000000000000009</v>
      </c>
      <c r="F7" s="106">
        <f t="shared" ref="F7:F17" si="2">E7-E6</f>
        <v>0.30000000000000027</v>
      </c>
      <c r="G7" s="1" t="s">
        <v>1039</v>
      </c>
      <c r="K7" s="419" t="s">
        <v>1050</v>
      </c>
      <c r="L7" s="420" t="s">
        <v>1051</v>
      </c>
      <c r="M7" s="420" t="s">
        <v>1135</v>
      </c>
      <c r="N7" s="417" t="s">
        <v>1048</v>
      </c>
      <c r="O7" s="418" t="s">
        <v>1049</v>
      </c>
      <c r="P7" s="418" t="s">
        <v>1035</v>
      </c>
    </row>
    <row r="8" spans="1:16">
      <c r="A8" s="1" t="s">
        <v>1139</v>
      </c>
      <c r="B8" s="109">
        <v>3.1</v>
      </c>
      <c r="C8" s="109">
        <v>2.5</v>
      </c>
      <c r="D8" s="109">
        <f t="shared" si="0"/>
        <v>2.5</v>
      </c>
      <c r="E8" s="106">
        <f t="shared" si="1"/>
        <v>0.60000000000000009</v>
      </c>
      <c r="F8" s="106">
        <f t="shared" si="2"/>
        <v>0</v>
      </c>
      <c r="G8" s="106">
        <f t="shared" ref="G8:G17" si="3">F8-F7</f>
        <v>-0.30000000000000027</v>
      </c>
      <c r="K8" s="419" t="s">
        <v>1054</v>
      </c>
      <c r="L8" s="420" t="s">
        <v>1055</v>
      </c>
      <c r="M8" s="420" t="s">
        <v>1140</v>
      </c>
      <c r="N8" s="417" t="s">
        <v>1031</v>
      </c>
      <c r="O8" s="418" t="s">
        <v>1052</v>
      </c>
      <c r="P8" s="418" t="s">
        <v>1053</v>
      </c>
    </row>
    <row r="9" spans="1:16">
      <c r="A9" s="1" t="s">
        <v>1141</v>
      </c>
      <c r="B9" s="109">
        <v>3</v>
      </c>
      <c r="C9" s="109">
        <v>2.4</v>
      </c>
      <c r="D9" s="109">
        <f t="shared" si="0"/>
        <v>3.1</v>
      </c>
      <c r="E9" s="106">
        <f t="shared" si="1"/>
        <v>0.60000000000000009</v>
      </c>
      <c r="F9" s="106">
        <f t="shared" si="2"/>
        <v>0</v>
      </c>
      <c r="G9" s="106">
        <f t="shared" si="3"/>
        <v>0</v>
      </c>
      <c r="K9" s="419" t="s">
        <v>1060</v>
      </c>
      <c r="L9" s="420" t="s">
        <v>1061</v>
      </c>
      <c r="M9" s="420" t="s">
        <v>1142</v>
      </c>
      <c r="N9" s="417" t="s">
        <v>1057</v>
      </c>
      <c r="O9" s="418" t="s">
        <v>1058</v>
      </c>
      <c r="P9" s="418" t="s">
        <v>1059</v>
      </c>
    </row>
    <row r="10" spans="1:16">
      <c r="A10" s="1" t="s">
        <v>1143</v>
      </c>
      <c r="B10" s="109">
        <v>3.5</v>
      </c>
      <c r="C10" s="109">
        <v>2.6</v>
      </c>
      <c r="D10" s="109">
        <f t="shared" si="0"/>
        <v>3.9999999999999996</v>
      </c>
      <c r="E10" s="106">
        <f t="shared" si="1"/>
        <v>0.89999999999999947</v>
      </c>
      <c r="F10" s="106">
        <f t="shared" si="2"/>
        <v>0.29999999999999938</v>
      </c>
      <c r="G10" s="106">
        <f t="shared" si="3"/>
        <v>0.29999999999999938</v>
      </c>
    </row>
    <row r="11" spans="1:16" ht="15.75">
      <c r="A11" s="1" t="s">
        <v>1144</v>
      </c>
      <c r="B11" s="109">
        <v>3.2</v>
      </c>
      <c r="C11" s="109">
        <v>2.8</v>
      </c>
      <c r="D11" s="109">
        <f t="shared" si="0"/>
        <v>4.3999999999999995</v>
      </c>
      <c r="E11" s="106">
        <f t="shared" si="1"/>
        <v>0.39999999999999991</v>
      </c>
      <c r="F11" s="106">
        <f t="shared" si="2"/>
        <v>-0.49999999999999956</v>
      </c>
      <c r="G11" s="106">
        <f t="shared" si="3"/>
        <v>-0.79999999999999893</v>
      </c>
      <c r="K11" s="426" t="s">
        <v>1063</v>
      </c>
      <c r="L11" s="425"/>
      <c r="M11" s="425"/>
      <c r="N11" s="425"/>
      <c r="O11" s="425"/>
      <c r="P11" s="425"/>
    </row>
    <row r="12" spans="1:16">
      <c r="A12" s="1" t="s">
        <v>1145</v>
      </c>
      <c r="B12" s="109">
        <v>3</v>
      </c>
      <c r="C12" s="109">
        <v>2.9</v>
      </c>
      <c r="D12" s="109">
        <f t="shared" si="0"/>
        <v>4.5</v>
      </c>
      <c r="E12" s="106">
        <f t="shared" si="1"/>
        <v>0.10000000000000053</v>
      </c>
      <c r="F12" s="106">
        <f t="shared" si="2"/>
        <v>-0.29999999999999938</v>
      </c>
      <c r="G12" s="106">
        <f t="shared" si="3"/>
        <v>0.20000000000000018</v>
      </c>
    </row>
    <row r="13" spans="1:16">
      <c r="A13" s="1" t="s">
        <v>1146</v>
      </c>
      <c r="B13" s="109">
        <v>2.8</v>
      </c>
      <c r="C13" s="109">
        <v>3.2</v>
      </c>
      <c r="D13" s="109">
        <f t="shared" si="0"/>
        <v>4.0999999999999996</v>
      </c>
      <c r="E13" s="106">
        <f t="shared" si="1"/>
        <v>-0.40000000000000036</v>
      </c>
      <c r="F13" s="106">
        <f t="shared" si="2"/>
        <v>-0.50000000000000089</v>
      </c>
      <c r="G13" s="106">
        <f t="shared" si="3"/>
        <v>-0.20000000000000151</v>
      </c>
      <c r="K13" s="272" t="s">
        <v>1147</v>
      </c>
      <c r="L13" s="414" t="s">
        <v>1067</v>
      </c>
    </row>
    <row r="14" spans="1:16">
      <c r="A14" s="1" t="s">
        <v>1148</v>
      </c>
      <c r="B14" s="109">
        <v>3.1</v>
      </c>
      <c r="C14" s="109">
        <v>2.7</v>
      </c>
      <c r="D14" s="109">
        <f t="shared" si="0"/>
        <v>4.4999999999999991</v>
      </c>
      <c r="E14" s="106">
        <f t="shared" si="1"/>
        <v>0.39999999999999947</v>
      </c>
      <c r="F14" s="106">
        <f t="shared" si="2"/>
        <v>0.79999999999999982</v>
      </c>
      <c r="G14" s="106">
        <f t="shared" si="3"/>
        <v>1.3000000000000007</v>
      </c>
    </row>
    <row r="15" spans="1:16">
      <c r="A15" s="1" t="s">
        <v>1149</v>
      </c>
      <c r="B15" s="109">
        <v>3.2</v>
      </c>
      <c r="C15" s="109">
        <v>2.5</v>
      </c>
      <c r="D15" s="109">
        <f t="shared" si="0"/>
        <v>5.1999999999999993</v>
      </c>
      <c r="E15" s="106">
        <f t="shared" si="1"/>
        <v>0.70000000000000018</v>
      </c>
      <c r="F15" s="106">
        <f t="shared" si="2"/>
        <v>0.30000000000000071</v>
      </c>
      <c r="G15" s="106">
        <f t="shared" si="3"/>
        <v>-0.49999999999999911</v>
      </c>
      <c r="K15" s="272" t="s">
        <v>1150</v>
      </c>
      <c r="L15" s="414" t="s">
        <v>1151</v>
      </c>
    </row>
    <row r="16" spans="1:16">
      <c r="A16" s="1" t="s">
        <v>1152</v>
      </c>
      <c r="B16" s="109">
        <v>3.3</v>
      </c>
      <c r="C16" s="109">
        <v>2.4</v>
      </c>
      <c r="D16" s="109">
        <f t="shared" si="0"/>
        <v>6.1</v>
      </c>
      <c r="E16" s="106">
        <f t="shared" si="1"/>
        <v>0.90000000000000036</v>
      </c>
      <c r="F16" s="106">
        <f t="shared" si="2"/>
        <v>0.20000000000000018</v>
      </c>
      <c r="G16" s="106">
        <f t="shared" si="3"/>
        <v>-0.10000000000000053</v>
      </c>
    </row>
    <row r="17" spans="1:17">
      <c r="A17" s="1" t="s">
        <v>1153</v>
      </c>
      <c r="B17" s="109">
        <v>3.4</v>
      </c>
      <c r="C17" s="109">
        <v>2.5</v>
      </c>
      <c r="D17" s="109">
        <f t="shared" si="0"/>
        <v>7</v>
      </c>
      <c r="E17" s="106">
        <f t="shared" si="1"/>
        <v>0.90000000000000036</v>
      </c>
      <c r="F17" s="106">
        <f t="shared" si="2"/>
        <v>0</v>
      </c>
      <c r="G17" s="106">
        <f t="shared" si="3"/>
        <v>-0.20000000000000018</v>
      </c>
      <c r="K17" s="272" t="s">
        <v>1154</v>
      </c>
    </row>
    <row r="18" spans="1:17">
      <c r="A18" s="427" t="s">
        <v>1155</v>
      </c>
      <c r="K18" s="414" t="s">
        <v>1156</v>
      </c>
    </row>
    <row r="19" spans="1:17" ht="15.75">
      <c r="A19" s="428" t="s">
        <v>1070</v>
      </c>
      <c r="B19" s="425"/>
      <c r="C19" s="425"/>
      <c r="D19" s="425"/>
      <c r="E19" s="425"/>
      <c r="F19" s="425"/>
      <c r="G19" s="425"/>
    </row>
    <row r="20" spans="1:17" ht="15.75">
      <c r="K20" s="426" t="s">
        <v>1322</v>
      </c>
      <c r="L20" s="425"/>
      <c r="M20" s="425"/>
      <c r="N20" s="425"/>
      <c r="O20" s="425"/>
      <c r="P20" s="425"/>
      <c r="Q20" s="425"/>
    </row>
    <row r="21" spans="1:17">
      <c r="A21" s="415" t="s">
        <v>1072</v>
      </c>
      <c r="B21" s="416" t="s">
        <v>181</v>
      </c>
      <c r="C21" s="416" t="s">
        <v>1020</v>
      </c>
      <c r="D21" s="415" t="s">
        <v>1073</v>
      </c>
      <c r="K21" s="415" t="s">
        <v>1076</v>
      </c>
      <c r="L21" s="416" t="s">
        <v>1019</v>
      </c>
      <c r="M21" s="416" t="s">
        <v>1023</v>
      </c>
      <c r="N21" s="415" t="s">
        <v>1158</v>
      </c>
      <c r="O21" s="416" t="s">
        <v>1129</v>
      </c>
      <c r="P21" s="416" t="s">
        <v>1074</v>
      </c>
      <c r="Q21" s="416" t="s">
        <v>181</v>
      </c>
    </row>
    <row r="22" spans="1:17">
      <c r="A22" t="s">
        <v>1159</v>
      </c>
      <c r="B22" s="429">
        <f>D5</f>
        <v>1</v>
      </c>
      <c r="C22" t="s">
        <v>1130</v>
      </c>
      <c r="D22" t="s">
        <v>1160</v>
      </c>
      <c r="K22" s="419" t="s">
        <v>1161</v>
      </c>
      <c r="L22" s="420" t="s">
        <v>1162</v>
      </c>
      <c r="M22" s="420" t="s">
        <v>1163</v>
      </c>
      <c r="N22" s="417" t="s">
        <v>1333</v>
      </c>
      <c r="O22" s="443" t="s">
        <v>558</v>
      </c>
      <c r="P22" s="423" t="s">
        <v>1080</v>
      </c>
      <c r="Q22" s="1" t="s">
        <v>1334</v>
      </c>
    </row>
    <row r="23" spans="1:17">
      <c r="A23" t="s">
        <v>1164</v>
      </c>
      <c r="B23" s="429">
        <f>D17</f>
        <v>7</v>
      </c>
      <c r="C23" t="s">
        <v>1130</v>
      </c>
      <c r="D23" t="s">
        <v>1165</v>
      </c>
      <c r="K23" s="419" t="s">
        <v>1166</v>
      </c>
      <c r="L23" s="420" t="s">
        <v>1167</v>
      </c>
      <c r="M23" s="420" t="s">
        <v>1168</v>
      </c>
      <c r="N23" s="417" t="s">
        <v>1323</v>
      </c>
      <c r="O23" s="443" t="s">
        <v>1335</v>
      </c>
      <c r="P23" s="423" t="s">
        <v>1080</v>
      </c>
      <c r="Q23" s="1">
        <v>1000</v>
      </c>
    </row>
    <row r="24" spans="1:17">
      <c r="A24" t="s">
        <v>1089</v>
      </c>
      <c r="B24" s="429">
        <f>SUM(B5:B17)</f>
        <v>40.799999999999997</v>
      </c>
      <c r="C24" t="s">
        <v>1130</v>
      </c>
      <c r="D24" t="s">
        <v>1169</v>
      </c>
      <c r="K24" s="419" t="s">
        <v>1336</v>
      </c>
      <c r="L24" s="420" t="s">
        <v>1337</v>
      </c>
      <c r="M24" s="420" t="s">
        <v>1338</v>
      </c>
      <c r="N24" s="417" t="s">
        <v>1339</v>
      </c>
      <c r="O24" s="443" t="s">
        <v>1340</v>
      </c>
      <c r="P24" s="423" t="s">
        <v>1080</v>
      </c>
      <c r="Q24" s="1">
        <v>9.81</v>
      </c>
    </row>
    <row r="25" spans="1:17">
      <c r="A25" t="s">
        <v>1094</v>
      </c>
      <c r="B25" s="429">
        <f>SUM(C5:C17)</f>
        <v>34.599999999999994</v>
      </c>
      <c r="C25" t="s">
        <v>1130</v>
      </c>
      <c r="D25" t="s">
        <v>1173</v>
      </c>
      <c r="K25" s="419" t="s">
        <v>1341</v>
      </c>
      <c r="L25" s="420" t="s">
        <v>1342</v>
      </c>
      <c r="M25" s="420" t="s">
        <v>1176</v>
      </c>
      <c r="N25" s="417" t="s">
        <v>1343</v>
      </c>
      <c r="O25" s="443" t="s">
        <v>1344</v>
      </c>
      <c r="P25" s="423" t="s">
        <v>1080</v>
      </c>
      <c r="Q25" s="1" t="s">
        <v>1028</v>
      </c>
    </row>
    <row r="26" spans="1:17">
      <c r="A26" t="s">
        <v>1099</v>
      </c>
      <c r="B26" s="429">
        <f>B24-B25</f>
        <v>6.2000000000000028</v>
      </c>
      <c r="C26" t="s">
        <v>1130</v>
      </c>
      <c r="D26" t="s">
        <v>1100</v>
      </c>
      <c r="K26" s="419" t="s">
        <v>1170</v>
      </c>
      <c r="L26" s="420" t="s">
        <v>1171</v>
      </c>
      <c r="M26" s="420" t="s">
        <v>1172</v>
      </c>
      <c r="N26" s="417" t="s">
        <v>1113</v>
      </c>
      <c r="O26" s="443" t="s">
        <v>1329</v>
      </c>
      <c r="P26" s="423" t="s">
        <v>1080</v>
      </c>
      <c r="Q26" s="1">
        <v>1E-3</v>
      </c>
    </row>
    <row r="27" spans="1:17">
      <c r="A27" t="s">
        <v>1104</v>
      </c>
      <c r="B27" s="429">
        <f>AVERAGE(E6:E17)</f>
        <v>0.5</v>
      </c>
      <c r="C27" t="s">
        <v>1135</v>
      </c>
      <c r="D27" t="s">
        <v>1179</v>
      </c>
      <c r="K27" s="419" t="s">
        <v>1174</v>
      </c>
      <c r="L27" s="420" t="s">
        <v>1175</v>
      </c>
      <c r="M27" s="420" t="s">
        <v>1176</v>
      </c>
      <c r="N27" s="417" t="s">
        <v>1345</v>
      </c>
      <c r="O27" s="443" t="s">
        <v>1035</v>
      </c>
      <c r="P27" s="423" t="s">
        <v>1080</v>
      </c>
      <c r="Q27" s="1">
        <v>0.1</v>
      </c>
    </row>
    <row r="28" spans="1:17">
      <c r="A28" t="s">
        <v>1109</v>
      </c>
      <c r="B28" s="429">
        <f>AVERAGE(F7:F17)</f>
        <v>5.4545454545454591E-2</v>
      </c>
      <c r="C28" t="s">
        <v>1140</v>
      </c>
      <c r="D28" t="s">
        <v>1110</v>
      </c>
      <c r="K28" s="419" t="s">
        <v>1177</v>
      </c>
      <c r="L28" s="420" t="s">
        <v>1178</v>
      </c>
      <c r="M28" s="420" t="s">
        <v>1039</v>
      </c>
      <c r="N28" s="417" t="s">
        <v>1346</v>
      </c>
      <c r="O28" s="443" t="s">
        <v>1039</v>
      </c>
      <c r="P28" s="423" t="s">
        <v>1080</v>
      </c>
      <c r="Q28" s="1" t="s">
        <v>1324</v>
      </c>
    </row>
    <row r="29" spans="1:17">
      <c r="A29" t="s">
        <v>1111</v>
      </c>
      <c r="B29" s="429">
        <f>STDEV(E6:E17)</f>
        <v>0.37899388337592421</v>
      </c>
      <c r="C29" t="s">
        <v>1135</v>
      </c>
      <c r="D29" t="s">
        <v>1184</v>
      </c>
      <c r="K29" s="419" t="s">
        <v>1185</v>
      </c>
      <c r="L29" s="420" t="s">
        <v>1186</v>
      </c>
      <c r="M29" s="420" t="s">
        <v>1187</v>
      </c>
      <c r="N29" s="417" t="s">
        <v>1326</v>
      </c>
      <c r="O29" s="443" t="s">
        <v>1332</v>
      </c>
      <c r="P29" s="423" t="s">
        <v>1080</v>
      </c>
      <c r="Q29" s="1">
        <v>293</v>
      </c>
    </row>
    <row r="30" spans="1:17">
      <c r="K30" s="419" t="s">
        <v>1181</v>
      </c>
      <c r="L30" s="420" t="s">
        <v>1182</v>
      </c>
      <c r="M30" s="420" t="s">
        <v>1183</v>
      </c>
      <c r="N30" s="417" t="s">
        <v>182</v>
      </c>
      <c r="O30" s="443" t="s">
        <v>1330</v>
      </c>
      <c r="P30" s="423" t="s">
        <v>1080</v>
      </c>
      <c r="Q30" s="1" t="s">
        <v>1325</v>
      </c>
    </row>
    <row r="31" spans="1:17" ht="15.75">
      <c r="A31" s="426" t="s">
        <v>1115</v>
      </c>
      <c r="B31" s="425"/>
      <c r="C31" s="425"/>
      <c r="D31" s="425"/>
      <c r="E31" s="425"/>
      <c r="F31" s="425"/>
      <c r="G31" s="425"/>
      <c r="K31" s="419" t="s">
        <v>1188</v>
      </c>
      <c r="L31" s="420" t="s">
        <v>1189</v>
      </c>
      <c r="M31" s="420" t="s">
        <v>1176</v>
      </c>
      <c r="N31" s="417" t="s">
        <v>1190</v>
      </c>
      <c r="O31" s="443" t="s">
        <v>1026</v>
      </c>
      <c r="P31" s="423" t="s">
        <v>1080</v>
      </c>
      <c r="Q31" s="1" t="s">
        <v>1327</v>
      </c>
    </row>
    <row r="32" spans="1:17">
      <c r="K32" s="419" t="s">
        <v>1191</v>
      </c>
      <c r="L32" s="420" t="s">
        <v>1219</v>
      </c>
      <c r="M32" s="420" t="s">
        <v>1163</v>
      </c>
      <c r="N32" s="417" t="s">
        <v>1192</v>
      </c>
      <c r="O32" s="443" t="s">
        <v>1026</v>
      </c>
      <c r="P32" s="423" t="s">
        <v>1080</v>
      </c>
      <c r="Q32" s="1" t="s">
        <v>1328</v>
      </c>
    </row>
    <row r="33" spans="1:17">
      <c r="A33" s="415" t="s">
        <v>1117</v>
      </c>
      <c r="B33" s="416" t="s">
        <v>1074</v>
      </c>
      <c r="C33" s="415" t="s">
        <v>1118</v>
      </c>
      <c r="K33" s="444"/>
      <c r="L33" s="419"/>
      <c r="M33" s="419"/>
      <c r="N33" s="445" t="s">
        <v>1347</v>
      </c>
      <c r="O33" s="417"/>
      <c r="P33" s="417"/>
      <c r="Q33" s="417"/>
    </row>
    <row r="34" spans="1:17">
      <c r="A34" t="s">
        <v>1193</v>
      </c>
      <c r="B34" s="1" t="str">
        <f>IF(B27&gt;0,"✓","✗")</f>
        <v>✓</v>
      </c>
      <c r="C34" t="s">
        <v>1100</v>
      </c>
    </row>
    <row r="35" spans="1:17">
      <c r="A35" t="s">
        <v>1194</v>
      </c>
      <c r="B35" s="1" t="str">
        <f>IF(B28&gt;0,"✓","✗")</f>
        <v>✓</v>
      </c>
      <c r="C35" t="s">
        <v>1195</v>
      </c>
      <c r="K35" s="430" t="s">
        <v>1196</v>
      </c>
    </row>
    <row r="36" spans="1:17">
      <c r="A36" t="s">
        <v>1122</v>
      </c>
      <c r="B36" s="390" t="str">
        <f>IF(AND(B27&gt;0,B28&gt;0),"FILLING ↑",IF(AND(B27&lt;0,B28&lt;0),"DRAINING ↓","TRANSITION"))</f>
        <v>FILLING ↑</v>
      </c>
      <c r="C36" t="s">
        <v>1197</v>
      </c>
      <c r="K36" s="430" t="s">
        <v>1198</v>
      </c>
    </row>
    <row r="37" spans="1:17">
      <c r="K37" s="430" t="s">
        <v>1199</v>
      </c>
    </row>
    <row r="38" spans="1:17">
      <c r="K38" s="430" t="s">
        <v>1200</v>
      </c>
    </row>
    <row r="40" spans="1:17">
      <c r="K40" s="431" t="s">
        <v>1201</v>
      </c>
    </row>
    <row r="43" spans="1:17" ht="15.75">
      <c r="A43" s="426" t="s">
        <v>1232</v>
      </c>
      <c r="B43" s="425"/>
      <c r="C43" s="425"/>
      <c r="D43" s="425"/>
      <c r="E43" s="425"/>
      <c r="F43" s="425"/>
      <c r="G43" s="425"/>
      <c r="H43" s="425"/>
      <c r="I43" s="425"/>
      <c r="J43" s="425"/>
      <c r="K43" s="425"/>
      <c r="L43" s="425"/>
      <c r="M43" s="425"/>
      <c r="N43" s="425"/>
      <c r="O43" s="425"/>
    </row>
    <row r="44" spans="1:17">
      <c r="A44" s="414" t="s">
        <v>1233</v>
      </c>
    </row>
    <row r="46" spans="1:17">
      <c r="A46" s="416" t="s">
        <v>1131</v>
      </c>
      <c r="B46" s="416" t="s">
        <v>1134</v>
      </c>
      <c r="C46" s="416" t="s">
        <v>1030</v>
      </c>
      <c r="D46" s="416" t="s">
        <v>1161</v>
      </c>
      <c r="E46" s="416" t="s">
        <v>1166</v>
      </c>
      <c r="F46" s="416" t="s">
        <v>1170</v>
      </c>
      <c r="G46" s="416" t="s">
        <v>1204</v>
      </c>
      <c r="H46" s="416" t="s">
        <v>1205</v>
      </c>
      <c r="I46" s="416" t="s">
        <v>1206</v>
      </c>
      <c r="J46" s="416" t="s">
        <v>1207</v>
      </c>
      <c r="K46" s="416" t="s">
        <v>1208</v>
      </c>
      <c r="L46" s="416" t="s">
        <v>1209</v>
      </c>
      <c r="M46" s="416" t="s">
        <v>1210</v>
      </c>
    </row>
    <row r="47" spans="1:17">
      <c r="A47" s="427"/>
      <c r="B47" s="427" t="s">
        <v>1234</v>
      </c>
      <c r="C47" s="427" t="s">
        <v>1235</v>
      </c>
      <c r="D47" s="427" t="s">
        <v>1236</v>
      </c>
      <c r="E47" s="427" t="s">
        <v>1237</v>
      </c>
      <c r="F47" s="427" t="s">
        <v>1238</v>
      </c>
      <c r="G47" s="427" t="s">
        <v>1178</v>
      </c>
      <c r="H47" s="427" t="s">
        <v>1216</v>
      </c>
      <c r="I47" s="427" t="s">
        <v>1239</v>
      </c>
      <c r="J47" s="427" t="s">
        <v>1218</v>
      </c>
      <c r="K47" s="427" t="s">
        <v>7</v>
      </c>
      <c r="L47" s="427"/>
      <c r="M47" s="427" t="s">
        <v>1219</v>
      </c>
    </row>
    <row r="48" spans="1:17">
      <c r="A48" s="1" t="str">
        <f t="shared" ref="A48:A60" si="4">A5</f>
        <v>t₀</v>
      </c>
      <c r="B48">
        <f t="shared" ref="B48:B60" si="5">D5</f>
        <v>1</v>
      </c>
      <c r="C48" s="1" t="s">
        <v>1039</v>
      </c>
      <c r="D48" s="432">
        <v>101325</v>
      </c>
      <c r="E48" s="432">
        <v>1000</v>
      </c>
      <c r="F48" s="432">
        <v>1E-3</v>
      </c>
      <c r="G48" s="1" t="s">
        <v>1039</v>
      </c>
      <c r="H48" s="1" t="s">
        <v>1039</v>
      </c>
      <c r="I48" s="1">
        <f t="shared" ref="I48:I60" si="6">E48*9.81*B48</f>
        <v>9810</v>
      </c>
      <c r="J48" s="1" t="s">
        <v>1039</v>
      </c>
      <c r="K48" s="1" t="s">
        <v>1039</v>
      </c>
      <c r="L48" s="1" t="s">
        <v>1039</v>
      </c>
      <c r="M48" s="1" t="s">
        <v>1039</v>
      </c>
    </row>
    <row r="49" spans="1:13">
      <c r="A49" s="1" t="str">
        <f t="shared" si="4"/>
        <v>t₁</v>
      </c>
      <c r="B49">
        <f t="shared" si="5"/>
        <v>1.2999999999999998</v>
      </c>
      <c r="C49" s="1">
        <f t="shared" ref="C49:C60" si="7">E6</f>
        <v>0.29999999999999982</v>
      </c>
      <c r="D49" s="1">
        <f t="shared" ref="D49:D60" si="8">D48</f>
        <v>101325</v>
      </c>
      <c r="E49" s="1">
        <f t="shared" ref="E49:E60" si="9">E48</f>
        <v>1000</v>
      </c>
      <c r="F49" s="1">
        <f t="shared" ref="F49:F60" si="10">F48</f>
        <v>1E-3</v>
      </c>
      <c r="G49" s="1">
        <f t="shared" ref="G49:G60" si="11">IF(F49=0,"∞",ABS(E49*C49*0.1/F49))</f>
        <v>29999.999999999985</v>
      </c>
      <c r="H49" s="1">
        <f t="shared" ref="H49:H60" si="12">0.5*E49*(C49^2)</f>
        <v>44.99999999999995</v>
      </c>
      <c r="I49" s="1">
        <f t="shared" si="6"/>
        <v>12752.999999999998</v>
      </c>
      <c r="J49" s="1">
        <f t="shared" ref="J49:J60" si="13">H49+I49</f>
        <v>12797.999999999998</v>
      </c>
      <c r="K49" s="1" t="s">
        <v>1039</v>
      </c>
      <c r="L49" s="1" t="str">
        <f t="shared" ref="L49:L60" si="14">IF(G49="—","—",IF(G49&lt;2000,"Laminar",IF(G49&lt;4000,"Transition","Turbulent")))</f>
        <v>Turbulent</v>
      </c>
      <c r="M49" s="1">
        <f t="shared" ref="M49:M60" si="15">D49+H49+I49</f>
        <v>114123</v>
      </c>
    </row>
    <row r="50" spans="1:13">
      <c r="A50" s="1" t="str">
        <f t="shared" si="4"/>
        <v>t₂</v>
      </c>
      <c r="B50">
        <f t="shared" si="5"/>
        <v>1.9</v>
      </c>
      <c r="C50" s="1">
        <f t="shared" si="7"/>
        <v>0.60000000000000009</v>
      </c>
      <c r="D50" s="1">
        <f t="shared" si="8"/>
        <v>101325</v>
      </c>
      <c r="E50" s="1">
        <f t="shared" si="9"/>
        <v>1000</v>
      </c>
      <c r="F50" s="1">
        <f t="shared" si="10"/>
        <v>1E-3</v>
      </c>
      <c r="G50" s="1">
        <f t="shared" si="11"/>
        <v>60000.000000000015</v>
      </c>
      <c r="H50" s="1">
        <f t="shared" si="12"/>
        <v>180.00000000000006</v>
      </c>
      <c r="I50" s="1">
        <f t="shared" si="6"/>
        <v>18639</v>
      </c>
      <c r="J50" s="1">
        <f t="shared" si="13"/>
        <v>18819</v>
      </c>
      <c r="K50" s="1">
        <f t="shared" ref="K50:K60" si="16">J50-J49</f>
        <v>6021.0000000000018</v>
      </c>
      <c r="L50" s="1" t="str">
        <f t="shared" si="14"/>
        <v>Turbulent</v>
      </c>
      <c r="M50" s="1">
        <f t="shared" si="15"/>
        <v>120144</v>
      </c>
    </row>
    <row r="51" spans="1:13">
      <c r="A51" s="1" t="str">
        <f t="shared" si="4"/>
        <v>t₃</v>
      </c>
      <c r="B51">
        <f t="shared" si="5"/>
        <v>2.5</v>
      </c>
      <c r="C51" s="1">
        <f t="shared" si="7"/>
        <v>0.60000000000000009</v>
      </c>
      <c r="D51" s="1">
        <f t="shared" si="8"/>
        <v>101325</v>
      </c>
      <c r="E51" s="1">
        <f t="shared" si="9"/>
        <v>1000</v>
      </c>
      <c r="F51" s="1">
        <f t="shared" si="10"/>
        <v>1E-3</v>
      </c>
      <c r="G51" s="1">
        <f t="shared" si="11"/>
        <v>60000.000000000015</v>
      </c>
      <c r="H51" s="1">
        <f t="shared" si="12"/>
        <v>180.00000000000006</v>
      </c>
      <c r="I51" s="1">
        <f t="shared" si="6"/>
        <v>24525</v>
      </c>
      <c r="J51" s="1">
        <f t="shared" si="13"/>
        <v>24705</v>
      </c>
      <c r="K51" s="1">
        <f t="shared" si="16"/>
        <v>5886</v>
      </c>
      <c r="L51" s="1" t="str">
        <f t="shared" si="14"/>
        <v>Turbulent</v>
      </c>
      <c r="M51" s="1">
        <f t="shared" si="15"/>
        <v>126030</v>
      </c>
    </row>
    <row r="52" spans="1:13">
      <c r="A52" s="1" t="str">
        <f t="shared" si="4"/>
        <v>t₄</v>
      </c>
      <c r="B52">
        <f t="shared" si="5"/>
        <v>3.1</v>
      </c>
      <c r="C52" s="1">
        <f t="shared" si="7"/>
        <v>0.60000000000000009</v>
      </c>
      <c r="D52" s="1">
        <f t="shared" si="8"/>
        <v>101325</v>
      </c>
      <c r="E52" s="1">
        <f t="shared" si="9"/>
        <v>1000</v>
      </c>
      <c r="F52" s="1">
        <f t="shared" si="10"/>
        <v>1E-3</v>
      </c>
      <c r="G52" s="1">
        <f t="shared" si="11"/>
        <v>60000.000000000015</v>
      </c>
      <c r="H52" s="1">
        <f t="shared" si="12"/>
        <v>180.00000000000006</v>
      </c>
      <c r="I52" s="1">
        <f t="shared" si="6"/>
        <v>30411</v>
      </c>
      <c r="J52" s="1">
        <f t="shared" si="13"/>
        <v>30591</v>
      </c>
      <c r="K52" s="1">
        <f t="shared" si="16"/>
        <v>5886</v>
      </c>
      <c r="L52" s="1" t="str">
        <f t="shared" si="14"/>
        <v>Turbulent</v>
      </c>
      <c r="M52" s="1">
        <f t="shared" si="15"/>
        <v>131916</v>
      </c>
    </row>
    <row r="53" spans="1:13">
      <c r="A53" s="1" t="str">
        <f t="shared" si="4"/>
        <v>t₅</v>
      </c>
      <c r="B53">
        <f t="shared" si="5"/>
        <v>3.9999999999999996</v>
      </c>
      <c r="C53" s="1">
        <f t="shared" si="7"/>
        <v>0.89999999999999947</v>
      </c>
      <c r="D53" s="1">
        <f t="shared" si="8"/>
        <v>101325</v>
      </c>
      <c r="E53" s="1">
        <f t="shared" si="9"/>
        <v>1000</v>
      </c>
      <c r="F53" s="1">
        <f t="shared" si="10"/>
        <v>1E-3</v>
      </c>
      <c r="G53" s="1">
        <f t="shared" si="11"/>
        <v>89999.999999999942</v>
      </c>
      <c r="H53" s="1">
        <f t="shared" si="12"/>
        <v>404.99999999999955</v>
      </c>
      <c r="I53" s="1">
        <f t="shared" si="6"/>
        <v>39239.999999999993</v>
      </c>
      <c r="J53" s="1">
        <f t="shared" si="13"/>
        <v>39644.999999999993</v>
      </c>
      <c r="K53" s="1">
        <f t="shared" si="16"/>
        <v>9053.9999999999927</v>
      </c>
      <c r="L53" s="1" t="str">
        <f t="shared" si="14"/>
        <v>Turbulent</v>
      </c>
      <c r="M53" s="1">
        <f t="shared" si="15"/>
        <v>140970</v>
      </c>
    </row>
    <row r="54" spans="1:13">
      <c r="A54" s="1" t="str">
        <f t="shared" si="4"/>
        <v>t₆</v>
      </c>
      <c r="B54">
        <f t="shared" si="5"/>
        <v>4.3999999999999995</v>
      </c>
      <c r="C54" s="1">
        <f t="shared" si="7"/>
        <v>0.39999999999999991</v>
      </c>
      <c r="D54" s="1">
        <f t="shared" si="8"/>
        <v>101325</v>
      </c>
      <c r="E54" s="1">
        <f t="shared" si="9"/>
        <v>1000</v>
      </c>
      <c r="F54" s="1">
        <f t="shared" si="10"/>
        <v>1E-3</v>
      </c>
      <c r="G54" s="1">
        <f t="shared" si="11"/>
        <v>39999.999999999993</v>
      </c>
      <c r="H54" s="1">
        <f t="shared" si="12"/>
        <v>79.999999999999957</v>
      </c>
      <c r="I54" s="1">
        <f t="shared" si="6"/>
        <v>43163.999999999993</v>
      </c>
      <c r="J54" s="1">
        <f t="shared" si="13"/>
        <v>43243.999999999993</v>
      </c>
      <c r="K54" s="1">
        <f t="shared" si="16"/>
        <v>3599</v>
      </c>
      <c r="L54" s="1" t="str">
        <f t="shared" si="14"/>
        <v>Turbulent</v>
      </c>
      <c r="M54" s="1">
        <f t="shared" si="15"/>
        <v>144569</v>
      </c>
    </row>
    <row r="55" spans="1:13">
      <c r="A55" s="1" t="str">
        <f t="shared" si="4"/>
        <v>t₇</v>
      </c>
      <c r="B55">
        <f t="shared" si="5"/>
        <v>4.5</v>
      </c>
      <c r="C55" s="1">
        <f t="shared" si="7"/>
        <v>0.10000000000000053</v>
      </c>
      <c r="D55" s="1">
        <f t="shared" si="8"/>
        <v>101325</v>
      </c>
      <c r="E55" s="1">
        <f t="shared" si="9"/>
        <v>1000</v>
      </c>
      <c r="F55" s="1">
        <f t="shared" si="10"/>
        <v>1E-3</v>
      </c>
      <c r="G55" s="1">
        <f t="shared" si="11"/>
        <v>10000.000000000055</v>
      </c>
      <c r="H55" s="1">
        <f t="shared" si="12"/>
        <v>5.0000000000000533</v>
      </c>
      <c r="I55" s="1">
        <f t="shared" si="6"/>
        <v>44145</v>
      </c>
      <c r="J55" s="1">
        <f t="shared" si="13"/>
        <v>44150</v>
      </c>
      <c r="K55" s="1">
        <f t="shared" si="16"/>
        <v>906.00000000000728</v>
      </c>
      <c r="L55" s="1" t="str">
        <f t="shared" si="14"/>
        <v>Turbulent</v>
      </c>
      <c r="M55" s="1">
        <f t="shared" si="15"/>
        <v>145475</v>
      </c>
    </row>
    <row r="56" spans="1:13">
      <c r="A56" s="1" t="str">
        <f t="shared" si="4"/>
        <v>t₈</v>
      </c>
      <c r="B56">
        <f t="shared" si="5"/>
        <v>4.0999999999999996</v>
      </c>
      <c r="C56" s="1">
        <f t="shared" si="7"/>
        <v>-0.40000000000000036</v>
      </c>
      <c r="D56" s="1">
        <f t="shared" si="8"/>
        <v>101325</v>
      </c>
      <c r="E56" s="1">
        <f t="shared" si="9"/>
        <v>1000</v>
      </c>
      <c r="F56" s="1">
        <f t="shared" si="10"/>
        <v>1E-3</v>
      </c>
      <c r="G56" s="1">
        <f t="shared" si="11"/>
        <v>40000.000000000036</v>
      </c>
      <c r="H56" s="1">
        <f t="shared" si="12"/>
        <v>80.000000000000142</v>
      </c>
      <c r="I56" s="1">
        <f t="shared" si="6"/>
        <v>40221</v>
      </c>
      <c r="J56" s="1">
        <f t="shared" si="13"/>
        <v>40301</v>
      </c>
      <c r="K56" s="1">
        <f t="shared" si="16"/>
        <v>-3849</v>
      </c>
      <c r="L56" s="1" t="str">
        <f t="shared" si="14"/>
        <v>Turbulent</v>
      </c>
      <c r="M56" s="1">
        <f t="shared" si="15"/>
        <v>141626</v>
      </c>
    </row>
    <row r="57" spans="1:13">
      <c r="A57" s="1" t="str">
        <f t="shared" si="4"/>
        <v>t₉</v>
      </c>
      <c r="B57">
        <f t="shared" si="5"/>
        <v>4.4999999999999991</v>
      </c>
      <c r="C57" s="1">
        <f t="shared" si="7"/>
        <v>0.39999999999999947</v>
      </c>
      <c r="D57" s="1">
        <f t="shared" si="8"/>
        <v>101325</v>
      </c>
      <c r="E57" s="1">
        <f t="shared" si="9"/>
        <v>1000</v>
      </c>
      <c r="F57" s="1">
        <f t="shared" si="10"/>
        <v>1E-3</v>
      </c>
      <c r="G57" s="1">
        <f t="shared" si="11"/>
        <v>39999.999999999949</v>
      </c>
      <c r="H57" s="1">
        <f t="shared" si="12"/>
        <v>79.999999999999787</v>
      </c>
      <c r="I57" s="1">
        <f t="shared" si="6"/>
        <v>44144.999999999993</v>
      </c>
      <c r="J57" s="1">
        <f t="shared" si="13"/>
        <v>44224.999999999993</v>
      </c>
      <c r="K57" s="1">
        <f t="shared" si="16"/>
        <v>3923.9999999999927</v>
      </c>
      <c r="L57" s="1" t="str">
        <f t="shared" si="14"/>
        <v>Turbulent</v>
      </c>
      <c r="M57" s="1">
        <f t="shared" si="15"/>
        <v>145550</v>
      </c>
    </row>
    <row r="58" spans="1:13">
      <c r="A58" s="1" t="str">
        <f t="shared" si="4"/>
        <v>t₁₀</v>
      </c>
      <c r="B58">
        <f t="shared" si="5"/>
        <v>5.1999999999999993</v>
      </c>
      <c r="C58" s="1">
        <f t="shared" si="7"/>
        <v>0.70000000000000018</v>
      </c>
      <c r="D58" s="1">
        <f t="shared" si="8"/>
        <v>101325</v>
      </c>
      <c r="E58" s="1">
        <f t="shared" si="9"/>
        <v>1000</v>
      </c>
      <c r="F58" s="1">
        <f t="shared" si="10"/>
        <v>1E-3</v>
      </c>
      <c r="G58" s="1">
        <f t="shared" si="11"/>
        <v>70000.000000000029</v>
      </c>
      <c r="H58" s="1">
        <f t="shared" si="12"/>
        <v>245.00000000000014</v>
      </c>
      <c r="I58" s="1">
        <f t="shared" si="6"/>
        <v>51011.999999999993</v>
      </c>
      <c r="J58" s="1">
        <f t="shared" si="13"/>
        <v>51256.999999999993</v>
      </c>
      <c r="K58" s="1">
        <f t="shared" si="16"/>
        <v>7032</v>
      </c>
      <c r="L58" s="1" t="str">
        <f t="shared" si="14"/>
        <v>Turbulent</v>
      </c>
      <c r="M58" s="1">
        <f t="shared" si="15"/>
        <v>152582</v>
      </c>
    </row>
    <row r="59" spans="1:13">
      <c r="A59" s="1" t="str">
        <f t="shared" si="4"/>
        <v>t₁₁</v>
      </c>
      <c r="B59">
        <f t="shared" si="5"/>
        <v>6.1</v>
      </c>
      <c r="C59" s="1">
        <f t="shared" si="7"/>
        <v>0.90000000000000036</v>
      </c>
      <c r="D59" s="1">
        <f t="shared" si="8"/>
        <v>101325</v>
      </c>
      <c r="E59" s="1">
        <f t="shared" si="9"/>
        <v>1000</v>
      </c>
      <c r="F59" s="1">
        <f t="shared" si="10"/>
        <v>1E-3</v>
      </c>
      <c r="G59" s="1">
        <f t="shared" si="11"/>
        <v>90000.000000000044</v>
      </c>
      <c r="H59" s="1">
        <f t="shared" si="12"/>
        <v>405.00000000000028</v>
      </c>
      <c r="I59" s="1">
        <f t="shared" si="6"/>
        <v>59841</v>
      </c>
      <c r="J59" s="1">
        <f t="shared" si="13"/>
        <v>60246</v>
      </c>
      <c r="K59" s="1">
        <f t="shared" si="16"/>
        <v>8989.0000000000073</v>
      </c>
      <c r="L59" s="1" t="str">
        <f t="shared" si="14"/>
        <v>Turbulent</v>
      </c>
      <c r="M59" s="1">
        <f t="shared" si="15"/>
        <v>161571</v>
      </c>
    </row>
    <row r="60" spans="1:13">
      <c r="A60" s="1" t="str">
        <f t="shared" si="4"/>
        <v>t₁₂</v>
      </c>
      <c r="B60">
        <f t="shared" si="5"/>
        <v>7</v>
      </c>
      <c r="C60" s="1">
        <f t="shared" si="7"/>
        <v>0.90000000000000036</v>
      </c>
      <c r="D60" s="1">
        <f t="shared" si="8"/>
        <v>101325</v>
      </c>
      <c r="E60" s="1">
        <f t="shared" si="9"/>
        <v>1000</v>
      </c>
      <c r="F60" s="1">
        <f t="shared" si="10"/>
        <v>1E-3</v>
      </c>
      <c r="G60" s="1">
        <f t="shared" si="11"/>
        <v>90000.000000000044</v>
      </c>
      <c r="H60" s="1">
        <f t="shared" si="12"/>
        <v>405.00000000000028</v>
      </c>
      <c r="I60" s="1">
        <f t="shared" si="6"/>
        <v>68670</v>
      </c>
      <c r="J60" s="1">
        <f t="shared" si="13"/>
        <v>69075</v>
      </c>
      <c r="K60" s="1">
        <f t="shared" si="16"/>
        <v>8829</v>
      </c>
      <c r="L60" s="1" t="str">
        <f t="shared" si="14"/>
        <v>Turbulent</v>
      </c>
      <c r="M60" s="1">
        <f t="shared" si="15"/>
        <v>170400</v>
      </c>
    </row>
    <row r="62" spans="1:13">
      <c r="A62" s="415" t="s">
        <v>1220</v>
      </c>
      <c r="B62" s="433"/>
      <c r="C62" s="433"/>
      <c r="D62" s="433"/>
      <c r="E62" s="433"/>
      <c r="F62" s="433"/>
      <c r="G62" s="433"/>
    </row>
    <row r="63" spans="1:13">
      <c r="A63" s="272" t="s">
        <v>1221</v>
      </c>
      <c r="B63" t="s">
        <v>1240</v>
      </c>
    </row>
    <row r="64" spans="1:13">
      <c r="A64" s="272" t="s">
        <v>1223</v>
      </c>
      <c r="B64" t="s">
        <v>1241</v>
      </c>
    </row>
    <row r="65" spans="1:15">
      <c r="A65" s="272" t="s">
        <v>1225</v>
      </c>
      <c r="B65" t="s">
        <v>1242</v>
      </c>
    </row>
    <row r="66" spans="1:15">
      <c r="A66" s="272" t="s">
        <v>1204</v>
      </c>
      <c r="B66" t="s">
        <v>1243</v>
      </c>
    </row>
    <row r="67" spans="1:15">
      <c r="A67" s="272" t="s">
        <v>1228</v>
      </c>
      <c r="B67" t="s">
        <v>1244</v>
      </c>
    </row>
    <row r="68" spans="1:15">
      <c r="A68" s="272" t="s">
        <v>1230</v>
      </c>
      <c r="B68" t="s">
        <v>1245</v>
      </c>
    </row>
    <row r="71" spans="1:15" ht="15.75">
      <c r="A71" s="426" t="s">
        <v>1246</v>
      </c>
      <c r="B71" s="425"/>
      <c r="C71" s="425"/>
      <c r="D71" s="425"/>
      <c r="E71" s="425"/>
      <c r="F71" s="425"/>
      <c r="G71" s="425"/>
      <c r="H71" s="425"/>
      <c r="I71" s="425"/>
      <c r="J71" s="425"/>
      <c r="K71" s="425"/>
      <c r="L71" s="425"/>
      <c r="M71" s="425"/>
      <c r="N71" s="425"/>
      <c r="O71" s="425"/>
    </row>
    <row r="72" spans="1:15">
      <c r="A72" s="414" t="s">
        <v>1292</v>
      </c>
    </row>
    <row r="74" spans="1:15">
      <c r="A74" s="415" t="s">
        <v>1248</v>
      </c>
      <c r="B74" s="433"/>
      <c r="C74" s="433"/>
      <c r="D74" s="433"/>
      <c r="E74" s="433"/>
      <c r="H74" s="415" t="s">
        <v>1249</v>
      </c>
      <c r="I74" s="433"/>
      <c r="J74" s="433"/>
      <c r="K74" s="433"/>
      <c r="L74" s="433"/>
      <c r="M74" s="433"/>
    </row>
    <row r="75" spans="1:15">
      <c r="A75" s="390" t="s">
        <v>1157</v>
      </c>
      <c r="B75" s="390" t="s">
        <v>1019</v>
      </c>
      <c r="C75" s="390" t="s">
        <v>181</v>
      </c>
      <c r="D75" s="390" t="s">
        <v>1020</v>
      </c>
      <c r="E75" s="390" t="s">
        <v>1250</v>
      </c>
      <c r="H75" s="434" t="s">
        <v>1251</v>
      </c>
    </row>
    <row r="76" spans="1:15">
      <c r="A76" s="119" t="s">
        <v>1293</v>
      </c>
      <c r="B76" s="1" t="s">
        <v>1253</v>
      </c>
      <c r="C76" s="432">
        <v>0.15</v>
      </c>
      <c r="D76" s="1" t="s">
        <v>1294</v>
      </c>
      <c r="E76" t="s">
        <v>1295</v>
      </c>
      <c r="H76" s="272" t="s">
        <v>1256</v>
      </c>
    </row>
    <row r="77" spans="1:15">
      <c r="A77" s="119" t="s">
        <v>1296</v>
      </c>
      <c r="B77" s="1" t="s">
        <v>1258</v>
      </c>
      <c r="C77" s="432">
        <v>0.08</v>
      </c>
      <c r="D77" s="1" t="s">
        <v>1294</v>
      </c>
      <c r="E77" t="s">
        <v>1297</v>
      </c>
      <c r="H77" s="435" t="s">
        <v>1260</v>
      </c>
    </row>
    <row r="78" spans="1:15">
      <c r="A78" s="119" t="s">
        <v>1298</v>
      </c>
      <c r="B78" s="1" t="s">
        <v>1262</v>
      </c>
      <c r="C78" s="432">
        <v>4.0000000000000001E-3</v>
      </c>
      <c r="D78" s="1" t="s">
        <v>1294</v>
      </c>
      <c r="E78" t="s">
        <v>1299</v>
      </c>
      <c r="H78" s="435" t="s">
        <v>1300</v>
      </c>
    </row>
    <row r="79" spans="1:15">
      <c r="A79" s="119" t="s">
        <v>1301</v>
      </c>
      <c r="B79" s="1" t="s">
        <v>1266</v>
      </c>
      <c r="C79" s="432">
        <v>7.0000000000000001E-3</v>
      </c>
      <c r="D79" s="1" t="s">
        <v>1294</v>
      </c>
      <c r="E79" t="s">
        <v>1302</v>
      </c>
      <c r="H79" s="435" t="s">
        <v>1303</v>
      </c>
    </row>
    <row r="80" spans="1:15">
      <c r="A80" s="119" t="s">
        <v>1304</v>
      </c>
      <c r="B80" s="1" t="s">
        <v>1180</v>
      </c>
      <c r="C80" s="432">
        <v>0.04</v>
      </c>
      <c r="D80" s="1" t="s">
        <v>1294</v>
      </c>
      <c r="E80" t="s">
        <v>1305</v>
      </c>
      <c r="H80" s="435" t="s">
        <v>1306</v>
      </c>
    </row>
    <row r="81" spans="1:8">
      <c r="A81" s="119" t="s">
        <v>1307</v>
      </c>
      <c r="B81" s="1" t="s">
        <v>1272</v>
      </c>
      <c r="C81" s="1">
        <f>1/C76</f>
        <v>6.666666666666667</v>
      </c>
      <c r="D81" s="1" t="s">
        <v>1308</v>
      </c>
      <c r="E81" s="1" t="s">
        <v>1309</v>
      </c>
    </row>
    <row r="82" spans="1:8">
      <c r="A82" s="119" t="s">
        <v>1310</v>
      </c>
      <c r="B82" s="1" t="s">
        <v>1276</v>
      </c>
      <c r="C82" s="1">
        <f>1/C77</f>
        <v>12.5</v>
      </c>
      <c r="D82" s="1" t="s">
        <v>1308</v>
      </c>
      <c r="E82" s="1" t="s">
        <v>1311</v>
      </c>
      <c r="H82" s="436" t="s">
        <v>1278</v>
      </c>
    </row>
    <row r="83" spans="1:8">
      <c r="H83" s="437" t="s">
        <v>1279</v>
      </c>
    </row>
    <row r="84" spans="1:8">
      <c r="A84" s="438" t="s">
        <v>1280</v>
      </c>
      <c r="B84" s="433"/>
      <c r="C84" s="433"/>
      <c r="D84" s="433"/>
      <c r="E84" s="433"/>
      <c r="F84" s="433"/>
      <c r="G84" s="433"/>
      <c r="H84" s="437" t="s">
        <v>1281</v>
      </c>
    </row>
    <row r="85" spans="1:8">
      <c r="A85" s="416" t="s">
        <v>1131</v>
      </c>
      <c r="B85" s="416" t="s">
        <v>1312</v>
      </c>
      <c r="C85" s="416" t="s">
        <v>1313</v>
      </c>
      <c r="D85" s="416" t="s">
        <v>1314</v>
      </c>
      <c r="E85" s="416" t="s">
        <v>5</v>
      </c>
      <c r="F85" s="416" t="s">
        <v>1283</v>
      </c>
      <c r="G85" s="416" t="s">
        <v>1284</v>
      </c>
      <c r="H85" s="439" t="s">
        <v>1285</v>
      </c>
    </row>
    <row r="86" spans="1:8">
      <c r="A86" s="427" t="s">
        <v>159</v>
      </c>
      <c r="B86" s="427" t="s">
        <v>1315</v>
      </c>
      <c r="C86" s="427" t="s">
        <v>1316</v>
      </c>
      <c r="D86" s="427" t="s">
        <v>1317</v>
      </c>
      <c r="E86" s="427" t="s">
        <v>1318</v>
      </c>
      <c r="F86" s="427" t="s">
        <v>1319</v>
      </c>
      <c r="G86" s="427" t="s">
        <v>1319</v>
      </c>
      <c r="H86" s="440" t="s">
        <v>1291</v>
      </c>
    </row>
    <row r="87" spans="1:8">
      <c r="A87" s="1">
        <v>0</v>
      </c>
      <c r="B87" s="441" t="s">
        <v>1315</v>
      </c>
      <c r="C87" s="441" t="s">
        <v>1316</v>
      </c>
      <c r="D87" s="441" t="s">
        <v>1317</v>
      </c>
      <c r="E87" s="434" t="s">
        <v>1318</v>
      </c>
      <c r="F87" s="427" t="s">
        <v>1319</v>
      </c>
      <c r="G87" s="427" t="s">
        <v>1319</v>
      </c>
    </row>
    <row r="88" spans="1:8">
      <c r="A88" s="1">
        <v>1</v>
      </c>
      <c r="B88" s="432">
        <v>1</v>
      </c>
      <c r="C88" s="432">
        <v>2</v>
      </c>
      <c r="D88" s="432">
        <v>5</v>
      </c>
      <c r="E88" s="390">
        <f>B88+C88+D88</f>
        <v>8</v>
      </c>
      <c r="F88" s="1" t="s">
        <v>1039</v>
      </c>
      <c r="G88" s="1" t="s">
        <v>1039</v>
      </c>
    </row>
    <row r="89" spans="1:8">
      <c r="A89" s="1">
        <v>2</v>
      </c>
      <c r="B89" s="1">
        <f>B88*(1-$C$76)+0.2</f>
        <v>1.05</v>
      </c>
      <c r="C89" s="1">
        <f>C88*(1+$C$78-$C$77)+$C$76*B88</f>
        <v>1.998</v>
      </c>
      <c r="D89" s="1">
        <f>D88*(1+$C$79)+$C$77*C88</f>
        <v>5.1949999999999994</v>
      </c>
      <c r="E89" s="390">
        <f>B89+C89+D89</f>
        <v>8.2429999999999986</v>
      </c>
      <c r="F89" s="1">
        <f>$C$76*B88</f>
        <v>0.15</v>
      </c>
      <c r="G89" s="1">
        <f>$C$77*C88</f>
        <v>0.16</v>
      </c>
    </row>
    <row r="90" spans="1:8">
      <c r="A90" s="1">
        <v>3</v>
      </c>
      <c r="B90" s="1">
        <f t="shared" ref="B90:B97" si="17">B89*(1-$C$76)+0.2</f>
        <v>1.0925</v>
      </c>
      <c r="C90" s="1">
        <f t="shared" ref="C90:C97" si="18">C89*(1+$C$78-$C$77)+$C$76*B89</f>
        <v>2.0036520000000002</v>
      </c>
      <c r="D90" s="1">
        <f t="shared" ref="D90:D97" si="19">D89*(1+$C$79)+$C$77*C89</f>
        <v>5.3912049999999985</v>
      </c>
      <c r="E90" s="390">
        <f t="shared" ref="E90:E97" si="20">B90+C90+D90</f>
        <v>8.4873569999999994</v>
      </c>
      <c r="F90" s="1">
        <f t="shared" ref="F90:F97" si="21">$C$76*B89</f>
        <v>0.1575</v>
      </c>
      <c r="G90" s="1">
        <f t="shared" ref="G90:G97" si="22">$C$77*C89</f>
        <v>0.15984000000000001</v>
      </c>
    </row>
    <row r="91" spans="1:8">
      <c r="A91" s="1">
        <v>4</v>
      </c>
      <c r="B91" s="1">
        <f t="shared" si="17"/>
        <v>1.128625</v>
      </c>
      <c r="C91" s="1">
        <f t="shared" si="18"/>
        <v>2.0152494480000005</v>
      </c>
      <c r="D91" s="1">
        <f t="shared" si="19"/>
        <v>5.5892355949999981</v>
      </c>
      <c r="E91" s="390">
        <f t="shared" si="20"/>
        <v>8.7331100429999982</v>
      </c>
      <c r="F91" s="1">
        <f t="shared" si="21"/>
        <v>0.16387499999999999</v>
      </c>
      <c r="G91" s="1">
        <f t="shared" si="22"/>
        <v>0.16029216000000002</v>
      </c>
    </row>
    <row r="92" spans="1:8">
      <c r="A92" s="1">
        <v>5</v>
      </c>
      <c r="B92" s="1">
        <f t="shared" si="17"/>
        <v>1.1593312499999999</v>
      </c>
      <c r="C92" s="1">
        <f t="shared" si="18"/>
        <v>2.0313842399520006</v>
      </c>
      <c r="D92" s="1">
        <f t="shared" si="19"/>
        <v>5.7895802000049974</v>
      </c>
      <c r="E92" s="390">
        <f t="shared" si="20"/>
        <v>8.9802956899569981</v>
      </c>
      <c r="F92" s="1">
        <f t="shared" si="21"/>
        <v>0.16929374999999999</v>
      </c>
      <c r="G92" s="1">
        <f t="shared" si="22"/>
        <v>0.16121995584000004</v>
      </c>
    </row>
    <row r="93" spans="1:8">
      <c r="A93" s="1">
        <v>6</v>
      </c>
      <c r="B93" s="1">
        <f t="shared" si="17"/>
        <v>1.1854315624999998</v>
      </c>
      <c r="C93" s="1">
        <f t="shared" si="18"/>
        <v>2.0508987252156485</v>
      </c>
      <c r="D93" s="1">
        <f t="shared" si="19"/>
        <v>5.9926180006011922</v>
      </c>
      <c r="E93" s="390">
        <f t="shared" si="20"/>
        <v>9.2289482883168397</v>
      </c>
      <c r="F93" s="1">
        <f t="shared" si="21"/>
        <v>0.17389968749999998</v>
      </c>
      <c r="G93" s="1">
        <f t="shared" si="22"/>
        <v>0.16251073919616005</v>
      </c>
    </row>
    <row r="94" spans="1:8">
      <c r="A94" s="1">
        <v>7</v>
      </c>
      <c r="B94" s="1">
        <f t="shared" si="17"/>
        <v>1.2076168281249997</v>
      </c>
      <c r="C94" s="1">
        <f t="shared" si="18"/>
        <v>2.0728451564742594</v>
      </c>
      <c r="D94" s="1">
        <f t="shared" si="19"/>
        <v>6.198638224622651</v>
      </c>
      <c r="E94" s="390">
        <f t="shared" si="20"/>
        <v>9.4791002092219099</v>
      </c>
      <c r="F94" s="1">
        <f t="shared" si="21"/>
        <v>0.17781473437499998</v>
      </c>
      <c r="G94" s="1">
        <f t="shared" si="22"/>
        <v>0.16407189801725189</v>
      </c>
    </row>
    <row r="95" spans="1:8">
      <c r="A95" s="1">
        <v>8</v>
      </c>
      <c r="B95" s="1">
        <f t="shared" si="17"/>
        <v>1.2264743039062498</v>
      </c>
      <c r="C95" s="1">
        <f t="shared" si="18"/>
        <v>2.0964514488009658</v>
      </c>
      <c r="D95" s="1">
        <f t="shared" si="19"/>
        <v>6.4078563047129498</v>
      </c>
      <c r="E95" s="390">
        <f t="shared" si="20"/>
        <v>9.7307820574201642</v>
      </c>
      <c r="F95" s="1">
        <f t="shared" si="21"/>
        <v>0.18114252421874996</v>
      </c>
      <c r="G95" s="1">
        <f t="shared" si="22"/>
        <v>0.16582761251794076</v>
      </c>
    </row>
    <row r="96" spans="1:8">
      <c r="A96" s="1">
        <v>9</v>
      </c>
      <c r="B96" s="1">
        <f t="shared" si="17"/>
        <v>1.2425031583203123</v>
      </c>
      <c r="C96" s="1">
        <f t="shared" si="18"/>
        <v>2.12109228427803</v>
      </c>
      <c r="D96" s="1">
        <f t="shared" si="19"/>
        <v>6.6204274147500168</v>
      </c>
      <c r="E96" s="390">
        <f t="shared" si="20"/>
        <v>9.9840228573483589</v>
      </c>
      <c r="F96" s="1">
        <f t="shared" si="21"/>
        <v>0.18397114558593747</v>
      </c>
      <c r="G96" s="1">
        <f t="shared" si="22"/>
        <v>0.16771611590407726</v>
      </c>
    </row>
    <row r="97" spans="1:7">
      <c r="A97" s="1">
        <v>10</v>
      </c>
      <c r="B97" s="1">
        <f t="shared" si="17"/>
        <v>1.2561276845722653</v>
      </c>
      <c r="C97" s="1">
        <f t="shared" si="18"/>
        <v>2.1462647444209466</v>
      </c>
      <c r="D97" s="1">
        <f t="shared" si="19"/>
        <v>6.8364577893955083</v>
      </c>
      <c r="E97" s="390">
        <f t="shared" si="20"/>
        <v>10.23885021838872</v>
      </c>
      <c r="F97" s="1">
        <f t="shared" si="21"/>
        <v>0.18637547374804683</v>
      </c>
      <c r="G97" s="1">
        <f t="shared" si="22"/>
        <v>0.1696873827422424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19</vt:i4>
      </vt:variant>
      <vt:variant>
        <vt:lpstr>Charts</vt:lpstr>
      </vt:variant>
      <vt:variant>
        <vt:i4>1</vt:i4>
      </vt:variant>
      <vt:variant>
        <vt:lpstr>Named Ranges</vt:lpstr>
      </vt:variant>
      <vt:variant>
        <vt:i4>1</vt:i4>
      </vt:variant>
    </vt:vector>
  </HeadingPairs>
  <TitlesOfParts>
    <vt:vector size="21" baseType="lpstr">
      <vt:lpstr>Dashboard</vt:lpstr>
      <vt:lpstr>Data</vt:lpstr>
      <vt:lpstr>Data Analysis</vt:lpstr>
      <vt:lpstr>Bills</vt:lpstr>
      <vt:lpstr>Bitcoin</vt:lpstr>
      <vt:lpstr>Stocks</vt:lpstr>
      <vt:lpstr>Student Loans</vt:lpstr>
      <vt:lpstr>Assets</vt:lpstr>
      <vt:lpstr>Desirables</vt:lpstr>
      <vt:lpstr>Gas</vt:lpstr>
      <vt:lpstr>Health</vt:lpstr>
      <vt:lpstr>Food and Drink</vt:lpstr>
      <vt:lpstr>Calculation Definitions</vt:lpstr>
      <vt:lpstr>Fee Comparison</vt:lpstr>
      <vt:lpstr>Current Bitcoin Price</vt:lpstr>
      <vt:lpstr>Sheet1</vt:lpstr>
      <vt:lpstr>Bills (Error) (2)</vt:lpstr>
      <vt:lpstr>Economic Model</vt:lpstr>
      <vt:lpstr>Fluid Model</vt:lpstr>
      <vt:lpstr>Fee Model</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dc:creator>
  <cp:lastModifiedBy>Cole Prather</cp:lastModifiedBy>
  <cp:lastPrinted>2023-01-05T17:21:27Z</cp:lastPrinted>
  <dcterms:created xsi:type="dcterms:W3CDTF">2020-05-23T03:32:33Z</dcterms:created>
  <dcterms:modified xsi:type="dcterms:W3CDTF">2026-02-12T01:10:01Z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a7d7f0-8740-4153-a360-861baba126ef_Enabled">
    <vt:lpwstr>true</vt:lpwstr>
  </property>
  <property fmtid="{D5CDD505-2E9C-101B-9397-08002B2CF9AE}" pid="3" name="MSIP_Label_b3a7d7f0-8740-4153-a360-861baba126ef_SetDate">
    <vt:lpwstr>2026-02-01T06:54:32Z</vt:lpwstr>
  </property>
  <property fmtid="{D5CDD505-2E9C-101B-9397-08002B2CF9AE}" pid="4" name="MSIP_Label_b3a7d7f0-8740-4153-a360-861baba126ef_Method">
    <vt:lpwstr>Privileged</vt:lpwstr>
  </property>
  <property fmtid="{D5CDD505-2E9C-101B-9397-08002B2CF9AE}" pid="5" name="MSIP_Label_b3a7d7f0-8740-4153-a360-861baba126ef_Name">
    <vt:lpwstr>UCO - Confidential</vt:lpwstr>
  </property>
  <property fmtid="{D5CDD505-2E9C-101B-9397-08002B2CF9AE}" pid="6" name="MSIP_Label_b3a7d7f0-8740-4153-a360-861baba126ef_SiteId">
    <vt:lpwstr>51aa8f26-2e23-4b8c-bca8-7cc441adc4df</vt:lpwstr>
  </property>
  <property fmtid="{D5CDD505-2E9C-101B-9397-08002B2CF9AE}" pid="7" name="MSIP_Label_b3a7d7f0-8740-4153-a360-861baba126ef_ActionId">
    <vt:lpwstr>55ec7369-83a9-46d0-9f89-0f84b2ddd705</vt:lpwstr>
  </property>
  <property fmtid="{D5CDD505-2E9C-101B-9397-08002B2CF9AE}" pid="8" name="MSIP_Label_b3a7d7f0-8740-4153-a360-861baba126ef_ContentBits">
    <vt:lpwstr>0</vt:lpwstr>
  </property>
  <property fmtid="{D5CDD505-2E9C-101B-9397-08002B2CF9AE}" pid="9" name="MSIP_Label_b3a7d7f0-8740-4153-a360-861baba126ef_Tag">
    <vt:lpwstr>10, 0, 1, 1</vt:lpwstr>
  </property>
</Properties>
</file>