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1C09CEF4-128E-4AD2-A107-5D5014C4BD9E}" xr6:coauthVersionLast="47" xr6:coauthVersionMax="47" xr10:uidLastSave="{00000000-0000-0000-0000-000000000000}"/>
  <bookViews>
    <workbookView xWindow="-103" yWindow="-103" windowWidth="22149" windowHeight="13200" activeTab="1" xr2:uid="{94725939-6E99-4DB9-9642-3AC8BCD644A9}"/>
  </bookViews>
  <sheets>
    <sheet name="Size&amp;Typo" sheetId="1" r:id="rId1"/>
    <sheet name="Blank" sheetId="2" r:id="rId2"/>
    <sheet name="Edge" sheetId="3" r:id="rId3"/>
    <sheet name="Reduc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" i="3" l="1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6" i="3"/>
  <c r="BN9" i="3"/>
  <c r="BM6" i="3"/>
  <c r="BK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6" i="3"/>
  <c r="BL7" i="3" l="1"/>
  <c r="BM7" i="3"/>
  <c r="BL8" i="3"/>
  <c r="BM8" i="3"/>
  <c r="BL9" i="3"/>
  <c r="BM9" i="3"/>
  <c r="BL10" i="3"/>
  <c r="BM10" i="3"/>
  <c r="BN10" i="3"/>
  <c r="BL11" i="3"/>
  <c r="BL12" i="3"/>
  <c r="BM12" i="3"/>
  <c r="BN12" i="3"/>
  <c r="BL13" i="3"/>
  <c r="BM13" i="3"/>
  <c r="BN13" i="3"/>
  <c r="BL14" i="3"/>
  <c r="BM14" i="3"/>
  <c r="BL15" i="3"/>
  <c r="BM15" i="3"/>
  <c r="BL16" i="3"/>
  <c r="BM16" i="3"/>
  <c r="BN16" i="3"/>
  <c r="BL17" i="3"/>
  <c r="BM17" i="3"/>
  <c r="BN17" i="3"/>
  <c r="BL18" i="3"/>
  <c r="BM18" i="3"/>
  <c r="BL19" i="3"/>
  <c r="BM19" i="3"/>
  <c r="BN19" i="3"/>
  <c r="BL20" i="3"/>
  <c r="BM20" i="3"/>
  <c r="BN20" i="3"/>
  <c r="BL21" i="3"/>
  <c r="BM21" i="3"/>
  <c r="BL22" i="3"/>
  <c r="BM22" i="3"/>
  <c r="BN22" i="3"/>
  <c r="BL23" i="3"/>
  <c r="BM23" i="3"/>
  <c r="BL24" i="3"/>
  <c r="BL25" i="3"/>
  <c r="BM25" i="3"/>
  <c r="BN25" i="3"/>
  <c r="BL26" i="3"/>
  <c r="BM26" i="3"/>
  <c r="BL27" i="3"/>
  <c r="BM27" i="3"/>
  <c r="BN27" i="3"/>
  <c r="BL28" i="3"/>
  <c r="BM28" i="3"/>
  <c r="BN28" i="3"/>
  <c r="BL29" i="3"/>
  <c r="BM29" i="3"/>
  <c r="BL30" i="3"/>
  <c r="BM30" i="3"/>
  <c r="BN30" i="3"/>
  <c r="BL31" i="3"/>
  <c r="BM31" i="3"/>
  <c r="BN31" i="3"/>
  <c r="BL32" i="3"/>
  <c r="BM32" i="3"/>
  <c r="BL33" i="3"/>
  <c r="BM33" i="3"/>
  <c r="BN33" i="3"/>
  <c r="BL34" i="3"/>
  <c r="BM34" i="3"/>
  <c r="BL35" i="3"/>
  <c r="BM35" i="3"/>
  <c r="BL36" i="3"/>
  <c r="BM36" i="3"/>
  <c r="BN36" i="3"/>
  <c r="BL37" i="3"/>
  <c r="BM37" i="3"/>
  <c r="BL38" i="3"/>
  <c r="BL39" i="3"/>
  <c r="BL41" i="3"/>
  <c r="BM41" i="3"/>
  <c r="BL42" i="3"/>
  <c r="BL43" i="3"/>
  <c r="BL45" i="3"/>
  <c r="BL46" i="3"/>
  <c r="BL47" i="3"/>
  <c r="BM47" i="3"/>
  <c r="BL48" i="3"/>
  <c r="BM48" i="3"/>
  <c r="BL49" i="3"/>
  <c r="BL50" i="3"/>
  <c r="BM50" i="3"/>
  <c r="BL51" i="3"/>
  <c r="BM51" i="3"/>
  <c r="BL52" i="3"/>
  <c r="BL54" i="3"/>
  <c r="BL55" i="3"/>
  <c r="BL57" i="3"/>
  <c r="BL58" i="3"/>
  <c r="BL6" i="3"/>
  <c r="BK7" i="3"/>
  <c r="BK8" i="3"/>
  <c r="BK9" i="3"/>
  <c r="BK10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AB44" i="4"/>
  <c r="AB46" i="4"/>
  <c r="AB47" i="4"/>
  <c r="AA57" i="4"/>
  <c r="AB57" i="4" s="1"/>
  <c r="AA38" i="4"/>
  <c r="AB38" i="4" s="1"/>
  <c r="AA41" i="4"/>
  <c r="AB41" i="4" s="1"/>
  <c r="AA42" i="4"/>
  <c r="AB42" i="4" s="1"/>
  <c r="AA44" i="4"/>
  <c r="AA45" i="4"/>
  <c r="AB45" i="4" s="1"/>
  <c r="AA46" i="4"/>
  <c r="AA47" i="4"/>
  <c r="AA49" i="4"/>
  <c r="AB49" i="4" s="1"/>
  <c r="AA51" i="4"/>
  <c r="AB51" i="4" s="1"/>
  <c r="AA53" i="4"/>
  <c r="AB53" i="4" s="1"/>
  <c r="AA54" i="4"/>
  <c r="AB54" i="4" s="1"/>
  <c r="AA56" i="4"/>
  <c r="AB56" i="4" s="1"/>
  <c r="E29" i="4" l="1"/>
  <c r="F49" i="1"/>
  <c r="F39" i="1"/>
  <c r="N41" i="3"/>
  <c r="AA40" i="4" s="1"/>
  <c r="AB40" i="4" s="1"/>
  <c r="F38" i="1"/>
  <c r="AJ49" i="3"/>
  <c r="C48" i="4" s="1"/>
  <c r="N49" i="3"/>
  <c r="AA48" i="4" s="1"/>
  <c r="AB48" i="4" s="1"/>
  <c r="F46" i="1"/>
  <c r="N51" i="3"/>
  <c r="AA50" i="4" s="1"/>
  <c r="AB50" i="4" s="1"/>
  <c r="F48" i="1"/>
  <c r="AJ43" i="3"/>
  <c r="C42" i="4" s="1"/>
  <c r="F40" i="1"/>
  <c r="F45" i="1"/>
  <c r="F55" i="1"/>
  <c r="AJ47" i="3"/>
  <c r="C46" i="4" s="1"/>
  <c r="F44" i="1"/>
  <c r="N56" i="3"/>
  <c r="AA55" i="4" s="1"/>
  <c r="AB55" i="4" s="1"/>
  <c r="F53" i="1"/>
  <c r="H57" i="3"/>
  <c r="F54" i="1"/>
  <c r="AJ39" i="3"/>
  <c r="C38" i="4" s="1"/>
  <c r="F36" i="1"/>
  <c r="F51" i="1"/>
  <c r="AJ55" i="3"/>
  <c r="C54" i="4" s="1"/>
  <c r="F52" i="1"/>
  <c r="F43" i="1"/>
  <c r="T45" i="3"/>
  <c r="P45" i="3" s="1"/>
  <c r="B44" i="4" s="1"/>
  <c r="F42" i="1"/>
  <c r="N44" i="3"/>
  <c r="AA43" i="4" s="1"/>
  <c r="AB43" i="4" s="1"/>
  <c r="F41" i="1"/>
  <c r="N40" i="3"/>
  <c r="AA39" i="4" s="1"/>
  <c r="AB39" i="4" s="1"/>
  <c r="F37" i="1"/>
  <c r="T53" i="3"/>
  <c r="N53" i="3"/>
  <c r="AA52" i="4" s="1"/>
  <c r="AB52" i="4" s="1"/>
  <c r="F50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8" i="3"/>
  <c r="F47" i="1"/>
  <c r="N38" i="3"/>
  <c r="AA37" i="4" s="1"/>
  <c r="AB37" i="4" s="1"/>
  <c r="M38" i="3"/>
  <c r="H38" i="3"/>
  <c r="M36" i="2"/>
  <c r="M38" i="2"/>
  <c r="M39" i="2"/>
  <c r="M43" i="2"/>
  <c r="M44" i="2"/>
  <c r="M48" i="2"/>
  <c r="M49" i="2"/>
  <c r="M50" i="2"/>
  <c r="M51" i="2"/>
  <c r="M52" i="2"/>
  <c r="M54" i="2"/>
  <c r="M55" i="2"/>
  <c r="M56" i="2"/>
  <c r="F3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5" i="4"/>
  <c r="T37" i="3"/>
  <c r="P37" i="3" s="1"/>
  <c r="B36" i="4" s="1"/>
  <c r="E36" i="4" s="1"/>
  <c r="T38" i="3"/>
  <c r="P38" i="3" s="1"/>
  <c r="B37" i="4" s="1"/>
  <c r="E37" i="4" s="1"/>
  <c r="T39" i="3"/>
  <c r="P39" i="3" s="1"/>
  <c r="B38" i="4" s="1"/>
  <c r="T40" i="3"/>
  <c r="P40" i="3" s="1"/>
  <c r="B39" i="4" s="1"/>
  <c r="E39" i="4" s="1"/>
  <c r="T41" i="3"/>
  <c r="P41" i="3" s="1"/>
  <c r="B40" i="4" s="1"/>
  <c r="E40" i="4" s="1"/>
  <c r="T42" i="3"/>
  <c r="P42" i="3" s="1"/>
  <c r="B41" i="4" s="1"/>
  <c r="E41" i="4" s="1"/>
  <c r="T43" i="3"/>
  <c r="P43" i="3" s="1"/>
  <c r="B42" i="4" s="1"/>
  <c r="T44" i="3"/>
  <c r="P44" i="3" s="1"/>
  <c r="B43" i="4" s="1"/>
  <c r="T46" i="3"/>
  <c r="P46" i="3" s="1"/>
  <c r="B45" i="4" s="1"/>
  <c r="T47" i="3"/>
  <c r="P47" i="3" s="1"/>
  <c r="B46" i="4" s="1"/>
  <c r="T48" i="3"/>
  <c r="P48" i="3" s="1"/>
  <c r="B47" i="4" s="1"/>
  <c r="E47" i="4" s="1"/>
  <c r="T49" i="3"/>
  <c r="P49" i="3" s="1"/>
  <c r="B48" i="4" s="1"/>
  <c r="T50" i="3"/>
  <c r="P50" i="3" s="1"/>
  <c r="B49" i="4" s="1"/>
  <c r="T51" i="3"/>
  <c r="P51" i="3" s="1"/>
  <c r="B50" i="4" s="1"/>
  <c r="E50" i="4" s="1"/>
  <c r="T52" i="3"/>
  <c r="P52" i="3" s="1"/>
  <c r="B51" i="4" s="1"/>
  <c r="E51" i="4" s="1"/>
  <c r="P53" i="3"/>
  <c r="B52" i="4" s="1"/>
  <c r="T54" i="3"/>
  <c r="P54" i="3" s="1"/>
  <c r="B53" i="4" s="1"/>
  <c r="T55" i="3"/>
  <c r="P55" i="3" s="1"/>
  <c r="B54" i="4" s="1"/>
  <c r="T56" i="3"/>
  <c r="P56" i="3" s="1"/>
  <c r="B55" i="4" s="1"/>
  <c r="E55" i="4" s="1"/>
  <c r="T57" i="3"/>
  <c r="P57" i="3" s="1"/>
  <c r="B56" i="4" s="1"/>
  <c r="E56" i="4" s="1"/>
  <c r="T58" i="3"/>
  <c r="P58" i="3" s="1"/>
  <c r="B57" i="4" s="1"/>
  <c r="E57" i="4" s="1"/>
  <c r="N37" i="3"/>
  <c r="AA36" i="4" s="1"/>
  <c r="AB36" i="4" s="1"/>
  <c r="M37" i="3"/>
  <c r="H37" i="3"/>
  <c r="M35" i="2"/>
  <c r="F34" i="1"/>
  <c r="E46" i="4" l="1"/>
  <c r="E42" i="4"/>
  <c r="E48" i="4"/>
  <c r="E38" i="4"/>
  <c r="E54" i="4"/>
  <c r="E43" i="4"/>
  <c r="E49" i="4"/>
  <c r="E53" i="4"/>
  <c r="E45" i="4"/>
  <c r="E52" i="4"/>
  <c r="E44" i="4"/>
  <c r="AC35" i="4"/>
  <c r="AA35" i="4"/>
  <c r="AB35" i="4" s="1"/>
  <c r="W35" i="4"/>
  <c r="I35" i="4"/>
  <c r="G35" i="4"/>
  <c r="AC34" i="4"/>
  <c r="AA34" i="4"/>
  <c r="AB34" i="4" s="1"/>
  <c r="W34" i="4"/>
  <c r="Y34" i="4" s="1"/>
  <c r="I34" i="4"/>
  <c r="G34" i="4"/>
  <c r="AC33" i="4"/>
  <c r="AA33" i="4"/>
  <c r="AB33" i="4" s="1"/>
  <c r="W33" i="4"/>
  <c r="I33" i="4"/>
  <c r="G33" i="4"/>
  <c r="AA32" i="4"/>
  <c r="AB32" i="4" s="1"/>
  <c r="W32" i="4"/>
  <c r="M32" i="4"/>
  <c r="I32" i="4"/>
  <c r="G32" i="4"/>
  <c r="AA31" i="4"/>
  <c r="AB31" i="4" s="1"/>
  <c r="W31" i="4"/>
  <c r="M31" i="4"/>
  <c r="I31" i="4"/>
  <c r="G31" i="4"/>
  <c r="AC30" i="4"/>
  <c r="AA30" i="4"/>
  <c r="AB30" i="4" s="1"/>
  <c r="W30" i="4"/>
  <c r="Y30" i="4" s="1"/>
  <c r="M30" i="4"/>
  <c r="I30" i="4"/>
  <c r="G30" i="4"/>
  <c r="AC29" i="4"/>
  <c r="AA29" i="4"/>
  <c r="AB29" i="4" s="1"/>
  <c r="W29" i="4"/>
  <c r="I29" i="4"/>
  <c r="G29" i="4"/>
  <c r="AC28" i="4"/>
  <c r="AA28" i="4"/>
  <c r="AB28" i="4" s="1"/>
  <c r="W28" i="4"/>
  <c r="I28" i="4"/>
  <c r="G28" i="4"/>
  <c r="AA27" i="4"/>
  <c r="AB27" i="4" s="1"/>
  <c r="W27" i="4"/>
  <c r="I27" i="4"/>
  <c r="G27" i="4"/>
  <c r="AC27" i="4"/>
  <c r="AA26" i="4"/>
  <c r="AB26" i="4" s="1"/>
  <c r="X26" i="4"/>
  <c r="W26" i="4"/>
  <c r="M26" i="4"/>
  <c r="I26" i="4"/>
  <c r="G26" i="4"/>
  <c r="AA25" i="4"/>
  <c r="AB25" i="4" s="1"/>
  <c r="W25" i="4"/>
  <c r="I25" i="4"/>
  <c r="G25" i="4"/>
  <c r="AC25" i="4"/>
  <c r="AA24" i="4"/>
  <c r="AB24" i="4" s="1"/>
  <c r="W24" i="4"/>
  <c r="I24" i="4"/>
  <c r="G24" i="4"/>
  <c r="AC23" i="4"/>
  <c r="AA23" i="4"/>
  <c r="AB23" i="4" s="1"/>
  <c r="W23" i="4"/>
  <c r="Y23" i="4" s="1"/>
  <c r="M23" i="4"/>
  <c r="I23" i="4"/>
  <c r="G23" i="4"/>
  <c r="AC22" i="4"/>
  <c r="AA22" i="4"/>
  <c r="AB22" i="4" s="1"/>
  <c r="W22" i="4"/>
  <c r="Y22" i="4" s="1"/>
  <c r="M22" i="4"/>
  <c r="I22" i="4"/>
  <c r="G22" i="4"/>
  <c r="AC21" i="4"/>
  <c r="AA21" i="4"/>
  <c r="AB21" i="4" s="1"/>
  <c r="W21" i="4"/>
  <c r="I21" i="4"/>
  <c r="G21" i="4"/>
  <c r="AA20" i="4"/>
  <c r="AB20" i="4" s="1"/>
  <c r="W20" i="4"/>
  <c r="Q20" i="4"/>
  <c r="I20" i="4"/>
  <c r="G20" i="4"/>
  <c r="AC19" i="4"/>
  <c r="AA19" i="4"/>
  <c r="AB19" i="4" s="1"/>
  <c r="W19" i="4"/>
  <c r="I19" i="4"/>
  <c r="G19" i="4"/>
  <c r="AA18" i="4"/>
  <c r="AB18" i="4" s="1"/>
  <c r="W18" i="4"/>
  <c r="Q18" i="4"/>
  <c r="I18" i="4"/>
  <c r="G18" i="4"/>
  <c r="AC18" i="4"/>
  <c r="AC17" i="4"/>
  <c r="AA17" i="4"/>
  <c r="AB17" i="4" s="1"/>
  <c r="W17" i="4"/>
  <c r="Y17" i="4" s="1"/>
  <c r="M17" i="4"/>
  <c r="I17" i="4"/>
  <c r="G17" i="4"/>
  <c r="AC16" i="4"/>
  <c r="AA16" i="4"/>
  <c r="AB16" i="4" s="1"/>
  <c r="W16" i="4"/>
  <c r="Y16" i="4" s="1"/>
  <c r="M16" i="4"/>
  <c r="I16" i="4"/>
  <c r="G16" i="4"/>
  <c r="AC15" i="4"/>
  <c r="AA15" i="4"/>
  <c r="AB15" i="4" s="1"/>
  <c r="W15" i="4"/>
  <c r="I15" i="4"/>
  <c r="G15" i="4"/>
  <c r="AC14" i="4"/>
  <c r="AA14" i="4"/>
  <c r="AB14" i="4" s="1"/>
  <c r="W14" i="4"/>
  <c r="Y14" i="4" s="1"/>
  <c r="M14" i="4"/>
  <c r="I14" i="4"/>
  <c r="G14" i="4"/>
  <c r="AC13" i="4"/>
  <c r="AA13" i="4"/>
  <c r="AB13" i="4" s="1"/>
  <c r="W13" i="4"/>
  <c r="Y13" i="4" s="1"/>
  <c r="M13" i="4"/>
  <c r="I13" i="4"/>
  <c r="G13" i="4"/>
  <c r="AA12" i="4"/>
  <c r="AB12" i="4" s="1"/>
  <c r="W12" i="4"/>
  <c r="I12" i="4"/>
  <c r="G12" i="4"/>
  <c r="AC11" i="4"/>
  <c r="AA11" i="4"/>
  <c r="AB11" i="4" s="1"/>
  <c r="W11" i="4"/>
  <c r="Y11" i="4" s="1"/>
  <c r="M11" i="4"/>
  <c r="I11" i="4"/>
  <c r="G11" i="4"/>
  <c r="AC10" i="4"/>
  <c r="AA10" i="4"/>
  <c r="AB10" i="4" s="1"/>
  <c r="W10" i="4"/>
  <c r="Y10" i="4" s="1"/>
  <c r="M10" i="4"/>
  <c r="I10" i="4"/>
  <c r="G10" i="4"/>
  <c r="AA9" i="4"/>
  <c r="AB9" i="4" s="1"/>
  <c r="W9" i="4"/>
  <c r="M9" i="4"/>
  <c r="I9" i="4"/>
  <c r="G9" i="4"/>
  <c r="AC9" i="4"/>
  <c r="AA8" i="4"/>
  <c r="AB8" i="4" s="1"/>
  <c r="W8" i="4"/>
  <c r="Q8" i="4"/>
  <c r="I8" i="4"/>
  <c r="G8" i="4"/>
  <c r="AC8" i="4"/>
  <c r="AA7" i="4"/>
  <c r="AB7" i="4" s="1"/>
  <c r="X7" i="4"/>
  <c r="W7" i="4"/>
  <c r="M7" i="4"/>
  <c r="I7" i="4"/>
  <c r="G7" i="4"/>
  <c r="AC6" i="4"/>
  <c r="AA6" i="4"/>
  <c r="AB6" i="4" s="1"/>
  <c r="W6" i="4"/>
  <c r="Y6" i="4" s="1"/>
  <c r="M6" i="4"/>
  <c r="I6" i="4"/>
  <c r="G6" i="4"/>
  <c r="AC5" i="4"/>
  <c r="AA5" i="4"/>
  <c r="AB5" i="4" s="1"/>
  <c r="W5" i="4"/>
  <c r="Y5" i="4" s="1"/>
  <c r="M5" i="4"/>
  <c r="I5" i="4"/>
  <c r="G5" i="4"/>
  <c r="T36" i="3"/>
  <c r="P36" i="3" s="1"/>
  <c r="N36" i="3"/>
  <c r="M36" i="3"/>
  <c r="H36" i="3"/>
  <c r="T35" i="3"/>
  <c r="P35" i="3" s="1"/>
  <c r="N35" i="3"/>
  <c r="M35" i="3"/>
  <c r="H35" i="3"/>
  <c r="T34" i="3"/>
  <c r="P34" i="3" s="1"/>
  <c r="N34" i="3"/>
  <c r="M34" i="3"/>
  <c r="H34" i="3"/>
  <c r="BD33" i="3"/>
  <c r="AN33" i="3"/>
  <c r="AJ33" i="3" s="1"/>
  <c r="T33" i="3"/>
  <c r="P33" i="3" s="1"/>
  <c r="M33" i="3"/>
  <c r="H33" i="3"/>
  <c r="BD32" i="3"/>
  <c r="AN32" i="3"/>
  <c r="AJ32" i="3" s="1"/>
  <c r="T32" i="3"/>
  <c r="P32" i="3" s="1"/>
  <c r="N32" i="3"/>
  <c r="M32" i="3"/>
  <c r="H32" i="3"/>
  <c r="T31" i="3"/>
  <c r="P31" i="3" s="1"/>
  <c r="N31" i="3"/>
  <c r="M31" i="3"/>
  <c r="H31" i="3"/>
  <c r="T30" i="3"/>
  <c r="P30" i="3" s="1"/>
  <c r="N30" i="3"/>
  <c r="M30" i="3"/>
  <c r="H30" i="3"/>
  <c r="T29" i="3"/>
  <c r="P29" i="3" s="1"/>
  <c r="M29" i="3"/>
  <c r="H29" i="3"/>
  <c r="AN28" i="3"/>
  <c r="AJ28" i="3" s="1"/>
  <c r="T28" i="3"/>
  <c r="P28" i="3" s="1"/>
  <c r="M28" i="3"/>
  <c r="H28" i="3"/>
  <c r="AN27" i="3"/>
  <c r="AJ27" i="3" s="1"/>
  <c r="AH27" i="3"/>
  <c r="T27" i="3"/>
  <c r="P27" i="3" s="1"/>
  <c r="N27" i="3"/>
  <c r="M27" i="3"/>
  <c r="H27" i="3"/>
  <c r="AN26" i="3"/>
  <c r="AJ26" i="3" s="1"/>
  <c r="AH26" i="3"/>
  <c r="T26" i="3"/>
  <c r="P26" i="3" s="1"/>
  <c r="N26" i="3"/>
  <c r="M26" i="3"/>
  <c r="H26" i="3"/>
  <c r="AN25" i="3"/>
  <c r="AJ25" i="3" s="1"/>
  <c r="AH25" i="3"/>
  <c r="T25" i="3"/>
  <c r="P25" i="3" s="1"/>
  <c r="N25" i="3"/>
  <c r="M25" i="3"/>
  <c r="H25" i="3"/>
  <c r="T24" i="3"/>
  <c r="P24" i="3" s="1"/>
  <c r="M24" i="3"/>
  <c r="H24" i="3"/>
  <c r="T23" i="3"/>
  <c r="P23" i="3" s="1"/>
  <c r="N23" i="3"/>
  <c r="M23" i="3"/>
  <c r="H23" i="3"/>
  <c r="T22" i="3"/>
  <c r="P22" i="3" s="1"/>
  <c r="N22" i="3"/>
  <c r="M22" i="3"/>
  <c r="H22" i="3"/>
  <c r="AN21" i="3"/>
  <c r="AJ21" i="3" s="1"/>
  <c r="AH21" i="3"/>
  <c r="T21" i="3"/>
  <c r="P21" i="3" s="1"/>
  <c r="N21" i="3"/>
  <c r="M21" i="3"/>
  <c r="H21" i="3"/>
  <c r="T20" i="3"/>
  <c r="P20" i="3" s="1"/>
  <c r="N20" i="3"/>
  <c r="M20" i="3"/>
  <c r="H20" i="3"/>
  <c r="AN19" i="3"/>
  <c r="AJ19" i="3" s="1"/>
  <c r="AH19" i="3"/>
  <c r="T19" i="3"/>
  <c r="P19" i="3" s="1"/>
  <c r="N19" i="3"/>
  <c r="M19" i="3"/>
  <c r="H19" i="3"/>
  <c r="T18" i="3"/>
  <c r="P18" i="3" s="1"/>
  <c r="N18" i="3"/>
  <c r="M18" i="3"/>
  <c r="H18" i="3"/>
  <c r="T17" i="3"/>
  <c r="P17" i="3" s="1"/>
  <c r="N17" i="3"/>
  <c r="M17" i="3"/>
  <c r="H17" i="3"/>
  <c r="T16" i="3"/>
  <c r="P16" i="3" s="1"/>
  <c r="M16" i="3"/>
  <c r="H16" i="3"/>
  <c r="T15" i="3"/>
  <c r="P15" i="3" s="1"/>
  <c r="N15" i="3"/>
  <c r="M15" i="3"/>
  <c r="H15" i="3"/>
  <c r="T14" i="3"/>
  <c r="P14" i="3" s="1"/>
  <c r="M14" i="3"/>
  <c r="H14" i="3"/>
  <c r="AN13" i="3"/>
  <c r="AJ13" i="3" s="1"/>
  <c r="AH13" i="3"/>
  <c r="AG13" i="3"/>
  <c r="AB13" i="3"/>
  <c r="T13" i="3"/>
  <c r="P13" i="3" s="1"/>
  <c r="N13" i="3"/>
  <c r="M13" i="3"/>
  <c r="H13" i="3"/>
  <c r="T12" i="3"/>
  <c r="P12" i="3" s="1"/>
  <c r="M12" i="3"/>
  <c r="H12" i="3"/>
  <c r="T11" i="3"/>
  <c r="P11" i="3" s="1"/>
  <c r="N11" i="3"/>
  <c r="M11" i="3"/>
  <c r="H11" i="3"/>
  <c r="AN10" i="3"/>
  <c r="AJ10" i="3" s="1"/>
  <c r="AH10" i="3"/>
  <c r="AG10" i="3"/>
  <c r="AB10" i="3"/>
  <c r="T10" i="3"/>
  <c r="P10" i="3" s="1"/>
  <c r="N10" i="3"/>
  <c r="M10" i="3"/>
  <c r="H10" i="3"/>
  <c r="AN9" i="3"/>
  <c r="AJ9" i="3" s="1"/>
  <c r="AH9" i="3"/>
  <c r="AG9" i="3"/>
  <c r="AB9" i="3"/>
  <c r="T9" i="3"/>
  <c r="P9" i="3" s="1"/>
  <c r="N9" i="3"/>
  <c r="M9" i="3"/>
  <c r="H9" i="3"/>
  <c r="AN8" i="3"/>
  <c r="AJ8" i="3" s="1"/>
  <c r="AH8" i="3"/>
  <c r="AG8" i="3"/>
  <c r="AB8" i="3"/>
  <c r="T8" i="3"/>
  <c r="P8" i="3" s="1"/>
  <c r="N8" i="3"/>
  <c r="M8" i="3"/>
  <c r="H8" i="3"/>
  <c r="T7" i="3"/>
  <c r="P7" i="3" s="1"/>
  <c r="N7" i="3"/>
  <c r="M7" i="3"/>
  <c r="H7" i="3"/>
  <c r="T6" i="3"/>
  <c r="P6" i="3" s="1"/>
  <c r="N6" i="3"/>
  <c r="M6" i="3"/>
  <c r="H6" i="3"/>
  <c r="M32" i="2"/>
  <c r="M31" i="2"/>
  <c r="M30" i="2"/>
  <c r="M29" i="2"/>
  <c r="M27" i="2"/>
  <c r="M26" i="2"/>
  <c r="M25" i="2"/>
  <c r="M24" i="2"/>
  <c r="M23" i="2"/>
  <c r="M22" i="2"/>
  <c r="M21" i="2"/>
  <c r="M20" i="2"/>
  <c r="M19" i="2"/>
  <c r="M17" i="2"/>
  <c r="M16" i="2"/>
  <c r="M13" i="2"/>
  <c r="M10" i="2"/>
  <c r="M9" i="2"/>
  <c r="M5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20" i="4" l="1"/>
  <c r="AC7" i="4"/>
  <c r="AC24" i="4"/>
  <c r="AC12" i="4"/>
  <c r="AC26" i="4"/>
  <c r="Y7" i="4"/>
  <c r="AC32" i="4"/>
  <c r="Y26" i="4"/>
  <c r="AC31" i="4"/>
</calcChain>
</file>

<file path=xl/sharedStrings.xml><?xml version="1.0" encoding="utf-8"?>
<sst xmlns="http://schemas.openxmlformats.org/spreadsheetml/2006/main" count="678" uniqueCount="162">
  <si>
    <t>19YHL-T2-3-L3:170</t>
    <phoneticPr fontId="1" type="noConversion"/>
  </si>
  <si>
    <t>demi-Quina</t>
  </si>
  <si>
    <t>Single convex scraper</t>
    <phoneticPr fontId="1" type="noConversion"/>
  </si>
  <si>
    <t>19YHL-T2-3-L4:437</t>
    <phoneticPr fontId="1" type="noConversion"/>
  </si>
  <si>
    <t>Convex transverse scraper</t>
    <phoneticPr fontId="1" type="noConversion"/>
  </si>
  <si>
    <t>19THL-T2-3-L2-1256</t>
    <phoneticPr fontId="1" type="noConversion"/>
  </si>
  <si>
    <t>Double straight-concave scraper</t>
    <phoneticPr fontId="1" type="noConversion"/>
  </si>
  <si>
    <t>Single straight scraper</t>
    <phoneticPr fontId="1" type="noConversion"/>
  </si>
  <si>
    <t>19YHL-T2-3-L11:1028</t>
    <phoneticPr fontId="1" type="noConversion"/>
  </si>
  <si>
    <t>Quina</t>
  </si>
  <si>
    <t>Straight convergent scraper</t>
    <phoneticPr fontId="1" type="noConversion"/>
  </si>
  <si>
    <t>19YHL-T2-3-L2:39</t>
    <phoneticPr fontId="1" type="noConversion"/>
  </si>
  <si>
    <t>Double straight scraper</t>
    <phoneticPr fontId="1" type="noConversion"/>
  </si>
  <si>
    <t>19YHL-T2-3-L3:92</t>
    <phoneticPr fontId="1" type="noConversion"/>
  </si>
  <si>
    <t>19YHL-T2-3-L3:177</t>
    <phoneticPr fontId="1" type="noConversion"/>
  </si>
  <si>
    <t>19YHL-T2-3-L3:252</t>
    <phoneticPr fontId="1" type="noConversion"/>
  </si>
  <si>
    <t>Convex convergent scraper</t>
    <phoneticPr fontId="1" type="noConversion"/>
  </si>
  <si>
    <t>19YHL-T2-3-L4:451</t>
    <phoneticPr fontId="1" type="noConversion"/>
  </si>
  <si>
    <t>19YHL-T2-3-L9:869</t>
    <phoneticPr fontId="1" type="noConversion"/>
  </si>
  <si>
    <t>19YHL-T2-3-L4:411</t>
    <phoneticPr fontId="1" type="noConversion"/>
  </si>
  <si>
    <t>19YHL-T2-3-L3:171</t>
    <phoneticPr fontId="1" type="noConversion"/>
  </si>
  <si>
    <t>19YHL-T2-3-L5:585</t>
    <phoneticPr fontId="1" type="noConversion"/>
  </si>
  <si>
    <t>19YHL-T2-3-L3:151</t>
    <phoneticPr fontId="1" type="noConversion"/>
  </si>
  <si>
    <t>19YHL-T2-3-L3:268</t>
    <phoneticPr fontId="1" type="noConversion"/>
  </si>
  <si>
    <t>Straight transverse scraper</t>
    <phoneticPr fontId="1" type="noConversion"/>
  </si>
  <si>
    <t>19YHL-T2-3-L3:154</t>
    <phoneticPr fontId="1" type="noConversion"/>
  </si>
  <si>
    <t>Double convex scraper</t>
    <phoneticPr fontId="1" type="noConversion"/>
  </si>
  <si>
    <t>19YHL-T2-3-L2:1316</t>
    <phoneticPr fontId="1" type="noConversion"/>
  </si>
  <si>
    <t>19YHL-T2-3-L7:87</t>
    <phoneticPr fontId="1" type="noConversion"/>
  </si>
  <si>
    <t>19YHL-T2-3-L5:577</t>
    <phoneticPr fontId="1" type="noConversion"/>
  </si>
  <si>
    <t>Double concave-convex scraper</t>
    <phoneticPr fontId="1" type="noConversion"/>
  </si>
  <si>
    <t>19YHL-T2-3-L5:582</t>
    <phoneticPr fontId="1" type="noConversion"/>
  </si>
  <si>
    <t>19YHL-T2-3-L3:1405</t>
    <phoneticPr fontId="1" type="noConversion"/>
  </si>
  <si>
    <t>19YHL-T2-3-L4:499</t>
    <phoneticPr fontId="1" type="noConversion"/>
  </si>
  <si>
    <t>19YHL-T2-3-L3:260</t>
    <phoneticPr fontId="1" type="noConversion"/>
  </si>
  <si>
    <t>19YHL-T2-3-L5:570</t>
    <phoneticPr fontId="1" type="noConversion"/>
  </si>
  <si>
    <t>19YHL-T2-3-L5:496</t>
    <phoneticPr fontId="1" type="noConversion"/>
  </si>
  <si>
    <t>19YHL-T2-3-L4:376</t>
    <phoneticPr fontId="1" type="noConversion"/>
  </si>
  <si>
    <t>Triple scraper</t>
    <phoneticPr fontId="1" type="noConversion"/>
  </si>
  <si>
    <t>19YHL-T2-3-L3:5</t>
    <phoneticPr fontId="1" type="noConversion"/>
  </si>
  <si>
    <t>19YHL-T2-3-L9:909</t>
    <phoneticPr fontId="1" type="noConversion"/>
  </si>
  <si>
    <t>Limace</t>
    <phoneticPr fontId="1" type="noConversion"/>
  </si>
  <si>
    <t>19YHL-T2-3-L4:277</t>
    <phoneticPr fontId="1" type="noConversion"/>
  </si>
  <si>
    <t>19YHL-T2-3-L4:327</t>
    <phoneticPr fontId="1" type="noConversion"/>
  </si>
  <si>
    <t>19YHL-T2-3-L5:574</t>
    <phoneticPr fontId="1" type="noConversion"/>
  </si>
  <si>
    <t>Quina</t>
    <phoneticPr fontId="1" type="noConversion"/>
  </si>
  <si>
    <t>19YHL-T1-3-L7:78</t>
    <phoneticPr fontId="1" type="noConversion"/>
  </si>
  <si>
    <t>19YHL-T2-3-L8:789</t>
    <phoneticPr fontId="1" type="noConversion"/>
  </si>
  <si>
    <t>demi-Quina</t>
    <phoneticPr fontId="1" type="noConversion"/>
  </si>
  <si>
    <t>19YHL-T2-3-L3:1495</t>
    <phoneticPr fontId="1" type="noConversion"/>
  </si>
  <si>
    <t>19YHL-T2-3-L6:685</t>
    <phoneticPr fontId="1" type="noConversion"/>
  </si>
  <si>
    <t>19YHL-T2-3-L4:309</t>
    <phoneticPr fontId="1" type="noConversion"/>
  </si>
  <si>
    <t>19YHL-T2-3-L4:1571</t>
    <phoneticPr fontId="1" type="noConversion"/>
  </si>
  <si>
    <t>19YHL-T2-3-L3:253</t>
    <phoneticPr fontId="1" type="noConversion"/>
  </si>
  <si>
    <t>19YHL-T2-3-L3:224</t>
    <phoneticPr fontId="1" type="noConversion"/>
  </si>
  <si>
    <t>19YHL-T2-3-L2:1372</t>
    <phoneticPr fontId="1" type="noConversion"/>
  </si>
  <si>
    <t>19YHL-T2-3-L3:95</t>
    <phoneticPr fontId="1" type="noConversion"/>
  </si>
  <si>
    <t>19YHL-T2-3-L3:220</t>
    <phoneticPr fontId="1" type="noConversion"/>
  </si>
  <si>
    <t>19YHL-T2-3-L5:1653</t>
    <phoneticPr fontId="1" type="noConversion"/>
  </si>
  <si>
    <t>19YHL-T2-3-L1:126</t>
    <phoneticPr fontId="1" type="noConversion"/>
  </si>
  <si>
    <t>19YHL-T2-3-L4:1603</t>
    <phoneticPr fontId="1" type="noConversion"/>
  </si>
  <si>
    <t>19YHL-T2-3-L6:663</t>
    <phoneticPr fontId="1" type="noConversion"/>
  </si>
  <si>
    <t>19YHL-T2-3-L3:208</t>
    <phoneticPr fontId="1" type="noConversion"/>
  </si>
  <si>
    <t>talon a pan</t>
    <phoneticPr fontId="1" type="noConversion"/>
  </si>
  <si>
    <t>19YHL-T2-3-L7:769</t>
    <phoneticPr fontId="1" type="noConversion"/>
  </si>
  <si>
    <t>19YHL-T2-3-L4:360</t>
    <phoneticPr fontId="1" type="noConversion"/>
  </si>
  <si>
    <t>19YHL-T2-3-L4:392</t>
    <phoneticPr fontId="1" type="noConversion"/>
  </si>
  <si>
    <t>19YHL-T2-3-L6:1682</t>
    <phoneticPr fontId="1" type="noConversion"/>
  </si>
  <si>
    <t>19YHL-T2-3-L4:272</t>
    <phoneticPr fontId="1" type="noConversion"/>
  </si>
  <si>
    <t>Back</t>
    <phoneticPr fontId="1" type="noConversion"/>
  </si>
  <si>
    <t>76-99%</t>
  </si>
  <si>
    <t>Cortex</t>
  </si>
  <si>
    <t>单棱脊台面</t>
  </si>
  <si>
    <t>凹面</t>
  </si>
  <si>
    <t>素台面</t>
  </si>
  <si>
    <t>平面</t>
  </si>
  <si>
    <t>1-25%</t>
  </si>
  <si>
    <t>C+B</t>
  </si>
  <si>
    <t>自然台面</t>
  </si>
  <si>
    <t>26-50%</t>
  </si>
  <si>
    <t>51-75%</t>
  </si>
  <si>
    <t>C+R</t>
  </si>
  <si>
    <t>Brut</t>
  </si>
  <si>
    <t>Retouche</t>
  </si>
  <si>
    <t>凸面</t>
  </si>
  <si>
    <t>GIUR</t>
    <phoneticPr fontId="1" type="noConversion"/>
  </si>
  <si>
    <t>II</t>
    <phoneticPr fontId="1" type="noConversion"/>
  </si>
  <si>
    <t>ERP</t>
    <phoneticPr fontId="1" type="noConversion"/>
  </si>
  <si>
    <t>GIUR^2</t>
    <phoneticPr fontId="1" type="noConversion"/>
  </si>
  <si>
    <t>Retouch segment</t>
    <phoneticPr fontId="1" type="noConversion"/>
  </si>
  <si>
    <t>IIadj-value</t>
    <phoneticPr fontId="1" type="noConversion"/>
  </si>
  <si>
    <t>No.</t>
    <phoneticPr fontId="1" type="noConversion"/>
  </si>
  <si>
    <t>Size</t>
    <phoneticPr fontId="1" type="noConversion"/>
  </si>
  <si>
    <t>Length</t>
    <phoneticPr fontId="1" type="noConversion"/>
  </si>
  <si>
    <t>Breadth</t>
    <phoneticPr fontId="1" type="noConversion"/>
  </si>
  <si>
    <t>Thickness</t>
    <phoneticPr fontId="1" type="noConversion"/>
  </si>
  <si>
    <t>Weight</t>
    <phoneticPr fontId="1" type="noConversion"/>
  </si>
  <si>
    <t>Perimeter</t>
    <phoneticPr fontId="1" type="noConversion"/>
  </si>
  <si>
    <t>Raw materials</t>
    <phoneticPr fontId="1" type="noConversion"/>
  </si>
  <si>
    <t>Typology</t>
    <phoneticPr fontId="1" type="noConversion"/>
  </si>
  <si>
    <t>Bordes</t>
    <phoneticPr fontId="1" type="noConversion"/>
  </si>
  <si>
    <t>Platform</t>
    <phoneticPr fontId="1" type="noConversion"/>
  </si>
  <si>
    <r>
      <rPr>
        <sz val="14"/>
        <color theme="1"/>
        <rFont val="宋体"/>
        <family val="3"/>
        <charset val="134"/>
      </rPr>
      <t>素台面</t>
    </r>
  </si>
  <si>
    <t>Type</t>
    <phoneticPr fontId="1" type="noConversion"/>
  </si>
  <si>
    <t>Profile</t>
    <phoneticPr fontId="1" type="noConversion"/>
  </si>
  <si>
    <t>Depth</t>
    <phoneticPr fontId="1" type="noConversion"/>
  </si>
  <si>
    <t>Interior angle</t>
    <phoneticPr fontId="1" type="noConversion"/>
  </si>
  <si>
    <t>Cortex</t>
    <phoneticPr fontId="1" type="noConversion"/>
  </si>
  <si>
    <t>Yes</t>
    <phoneticPr fontId="1" type="noConversion"/>
  </si>
  <si>
    <t>No</t>
    <phoneticPr fontId="1" type="noConversion"/>
  </si>
  <si>
    <t>Proportion</t>
    <phoneticPr fontId="1" type="noConversion"/>
  </si>
  <si>
    <t>Cross-section shape</t>
    <phoneticPr fontId="1" type="noConversion"/>
  </si>
  <si>
    <t>Base 1</t>
    <phoneticPr fontId="1" type="noConversion"/>
  </si>
  <si>
    <r>
      <rPr>
        <b/>
        <sz val="14"/>
        <color theme="1"/>
        <rFont val="Garamond"/>
        <family val="3"/>
      </rPr>
      <t xml:space="preserve">Base </t>
    </r>
    <r>
      <rPr>
        <b/>
        <sz val="14"/>
        <color theme="1"/>
        <rFont val="Garamond"/>
        <family val="1"/>
      </rPr>
      <t>2</t>
    </r>
    <phoneticPr fontId="1" type="noConversion"/>
  </si>
  <si>
    <t>Ratio</t>
    <phoneticPr fontId="1" type="noConversion"/>
  </si>
  <si>
    <t>Edge 1</t>
    <phoneticPr fontId="1" type="noConversion"/>
  </si>
  <si>
    <r>
      <rPr>
        <b/>
        <sz val="14"/>
        <color theme="1"/>
        <rFont val="华光黑变_CNKI"/>
        <family val="3"/>
        <charset val="134"/>
      </rPr>
      <t>截线角</t>
    </r>
    <phoneticPr fontId="1" type="noConversion"/>
  </si>
  <si>
    <r>
      <rPr>
        <sz val="14"/>
        <color theme="1"/>
        <rFont val="宋体"/>
        <family val="1"/>
        <charset val="134"/>
      </rPr>
      <t>正向</t>
    </r>
    <phoneticPr fontId="1" type="noConversion"/>
  </si>
  <si>
    <r>
      <rPr>
        <sz val="14"/>
        <color theme="1"/>
        <rFont val="宋体"/>
        <family val="1"/>
        <charset val="134"/>
      </rPr>
      <t>反向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</si>
  <si>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</si>
  <si>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1" type="noConversion"/>
  </si>
  <si>
    <t>Retouch direction</t>
    <phoneticPr fontId="1" type="noConversion"/>
  </si>
  <si>
    <t>Concavity scars</t>
    <phoneticPr fontId="1" type="noConversion"/>
  </si>
  <si>
    <t>Convexity scars</t>
    <phoneticPr fontId="1" type="noConversion"/>
  </si>
  <si>
    <t>Number of scars</t>
    <phoneticPr fontId="1" type="noConversion"/>
  </si>
  <si>
    <t>Retouch Cycle</t>
    <phoneticPr fontId="1" type="noConversion"/>
  </si>
  <si>
    <t>RC 1</t>
    <phoneticPr fontId="1" type="noConversion"/>
  </si>
  <si>
    <t>Total</t>
    <phoneticPr fontId="1" type="noConversion"/>
  </si>
  <si>
    <t>Edge</t>
    <phoneticPr fontId="1" type="noConversion"/>
  </si>
  <si>
    <t>Edge angle</t>
    <phoneticPr fontId="1" type="noConversion"/>
  </si>
  <si>
    <t>Point 2</t>
    <phoneticPr fontId="1" type="noConversion"/>
  </si>
  <si>
    <t>RC 2</t>
    <phoneticPr fontId="1" type="noConversion"/>
  </si>
  <si>
    <t>RC 3</t>
    <phoneticPr fontId="1" type="noConversion"/>
  </si>
  <si>
    <t>RC 4</t>
    <phoneticPr fontId="1" type="noConversion"/>
  </si>
  <si>
    <t>Point 2</t>
  </si>
  <si>
    <t>Ave</t>
  </si>
  <si>
    <t>Ave</t>
    <phoneticPr fontId="1" type="noConversion"/>
  </si>
  <si>
    <t>Edge 3</t>
    <phoneticPr fontId="1" type="noConversion"/>
  </si>
  <si>
    <t>Edge 2</t>
    <phoneticPr fontId="1" type="noConversion"/>
  </si>
  <si>
    <t>Ave. GIUR</t>
    <phoneticPr fontId="1" type="noConversion"/>
  </si>
  <si>
    <t>II-value</t>
    <phoneticPr fontId="1" type="noConversion"/>
  </si>
  <si>
    <t>Point 1</t>
  </si>
  <si>
    <t>Point 3</t>
  </si>
  <si>
    <t>Volume</t>
    <phoneticPr fontId="1" type="noConversion"/>
  </si>
  <si>
    <t>RE-value</t>
    <phoneticPr fontId="1" type="noConversion"/>
  </si>
  <si>
    <t>ERP-value</t>
    <phoneticPr fontId="1" type="noConversion"/>
  </si>
  <si>
    <t>ERP-Missing value filling</t>
    <phoneticPr fontId="1" type="noConversion"/>
  </si>
  <si>
    <t>Total edge length</t>
    <phoneticPr fontId="1" type="noConversion"/>
  </si>
  <si>
    <t>Retouch ratio</t>
    <phoneticPr fontId="1" type="noConversion"/>
  </si>
  <si>
    <r>
      <rPr>
        <b/>
        <sz val="14"/>
        <color theme="1"/>
        <rFont val="华光黑变_CNKI"/>
        <family val="3"/>
        <charset val="134"/>
      </rPr>
      <t>∑</t>
    </r>
    <phoneticPr fontId="1" type="noConversion"/>
  </si>
  <si>
    <r>
      <rPr>
        <b/>
        <sz val="14"/>
        <color theme="1"/>
        <rFont val="华光黑变_CNKI"/>
        <family val="3"/>
        <charset val="134"/>
      </rPr>
      <t>∠</t>
    </r>
    <r>
      <rPr>
        <b/>
        <sz val="14"/>
        <color theme="1"/>
        <rFont val="Garamond"/>
        <family val="1"/>
      </rPr>
      <t>b</t>
    </r>
    <phoneticPr fontId="1" type="noConversion"/>
  </si>
  <si>
    <r>
      <t>h</t>
    </r>
    <r>
      <rPr>
        <sz val="8"/>
        <color theme="1"/>
        <rFont val="Garamond"/>
        <family val="1"/>
      </rPr>
      <t>Water</t>
    </r>
    <phoneticPr fontId="1" type="noConversion"/>
  </si>
  <si>
    <r>
      <t>V</t>
    </r>
    <r>
      <rPr>
        <sz val="8"/>
        <color theme="1"/>
        <rFont val="Garamond"/>
        <family val="1"/>
      </rPr>
      <t>Speciman</t>
    </r>
    <phoneticPr fontId="1" type="noConversion"/>
  </si>
  <si>
    <t>Siliceous rock</t>
    <phoneticPr fontId="1" type="noConversion"/>
  </si>
  <si>
    <t>Single concave  scraper</t>
    <phoneticPr fontId="1" type="noConversion"/>
  </si>
  <si>
    <t>EDGE 3</t>
    <phoneticPr fontId="1" type="noConversion"/>
  </si>
  <si>
    <t>EDGE 2</t>
    <phoneticPr fontId="1" type="noConversion"/>
  </si>
  <si>
    <t>EDGE 1</t>
    <phoneticPr fontId="1" type="noConversion"/>
  </si>
  <si>
    <t>19YHL-T2-3-L5:543</t>
    <phoneticPr fontId="1" type="noConversion"/>
  </si>
  <si>
    <t>Andesite</t>
    <phoneticPr fontId="1" type="noConversion"/>
  </si>
  <si>
    <t>Concave convergent scraper</t>
    <phoneticPr fontId="1" type="noConversion"/>
  </si>
  <si>
    <t>trachyte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</si>
</sst>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0_ "/>
    <numFmt numFmtId="180" formatCode="0.00000000_);[Red]\(0.00000000\)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光黑变_CNKI"/>
      <family val="3"/>
      <charset val="134"/>
    </font>
    <font>
      <sz val="14"/>
      <color theme="1"/>
      <name val="Garamond"/>
      <family val="1"/>
    </font>
    <font>
      <sz val="14"/>
      <color theme="1"/>
      <name val="宋体"/>
      <family val="1"/>
      <charset val="134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sz val="14"/>
      <color rgb="FFFF0000"/>
      <name val="Garamond"/>
      <family val="1"/>
    </font>
    <font>
      <b/>
      <sz val="14"/>
      <color theme="1"/>
      <name val="Garamond"/>
      <family val="3"/>
    </font>
    <font>
      <sz val="11"/>
      <color theme="1"/>
      <name val="Garamond"/>
      <family val="1"/>
    </font>
    <font>
      <b/>
      <sz val="16"/>
      <color theme="0"/>
      <name val="Garamond"/>
      <family val="1"/>
    </font>
    <font>
      <sz val="8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anx\Desktop\&#40857;&#28525;&#21457;&#25496;Quina&#26631;&#26412;&#25968;&#25454;-2023.8\&#40857;&#28525;&#21457;&#25496;&#26631;&#26412;-Quina%20Tools.xlsx" TargetMode="External"/><Relationship Id="rId1" Type="http://schemas.openxmlformats.org/officeDocument/2006/relationships/externalLinkPath" Target="/Users/yuanx/Desktop/&#40857;&#28525;&#21457;&#25496;Quina&#26631;&#26412;&#25968;&#25454;-2023.8/&#40857;&#28525;&#21457;&#25496;&#26631;&#26412;-Quina%20T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基础指标"/>
      <sheetName val="Sheet1"/>
      <sheetName val="石片类毛坯"/>
      <sheetName val="砾石&amp;无法鉴别毛坯"/>
      <sheetName val="刃缘特征"/>
      <sheetName val="消减指数"/>
      <sheetName val="Sheet2"/>
      <sheetName val="部分刃缘特征汇总"/>
    </sheetNames>
    <sheetDataSet>
      <sheetData sheetId="0">
        <row r="3">
          <cell r="D3">
            <v>31.07</v>
          </cell>
          <cell r="F3">
            <v>198.39</v>
          </cell>
        </row>
        <row r="4">
          <cell r="F4">
            <v>159.94</v>
          </cell>
        </row>
        <row r="5">
          <cell r="F5">
            <v>149.51999999999998</v>
          </cell>
        </row>
        <row r="8">
          <cell r="F8">
            <v>179.04999999999995</v>
          </cell>
        </row>
        <row r="9">
          <cell r="F9">
            <v>152.5</v>
          </cell>
        </row>
        <row r="10">
          <cell r="F10">
            <v>157.57000000000002</v>
          </cell>
        </row>
        <row r="11">
          <cell r="F11">
            <v>146.14000000000001</v>
          </cell>
        </row>
        <row r="12">
          <cell r="F12">
            <v>146.65000000000003</v>
          </cell>
        </row>
        <row r="14">
          <cell r="F14">
            <v>216</v>
          </cell>
        </row>
        <row r="15">
          <cell r="F15">
            <v>101.02</v>
          </cell>
        </row>
        <row r="16">
          <cell r="F16">
            <v>165.19</v>
          </cell>
        </row>
        <row r="17">
          <cell r="F17">
            <v>99.739999999999981</v>
          </cell>
        </row>
        <row r="18">
          <cell r="F18">
            <v>163.13999999999999</v>
          </cell>
        </row>
        <row r="20">
          <cell r="F20">
            <v>113.55</v>
          </cell>
        </row>
        <row r="21">
          <cell r="F21">
            <v>125.38000000000001</v>
          </cell>
        </row>
        <row r="22">
          <cell r="F22">
            <v>136.28</v>
          </cell>
        </row>
        <row r="23">
          <cell r="F23">
            <v>194.13</v>
          </cell>
        </row>
        <row r="24">
          <cell r="F24">
            <v>119.43</v>
          </cell>
        </row>
        <row r="26">
          <cell r="F26">
            <v>153.5</v>
          </cell>
        </row>
        <row r="27">
          <cell r="F27">
            <v>210.41000000000003</v>
          </cell>
        </row>
        <row r="28">
          <cell r="F28">
            <v>130.25</v>
          </cell>
        </row>
        <row r="29">
          <cell r="F29">
            <v>145.63999999999999</v>
          </cell>
        </row>
        <row r="32">
          <cell r="F32">
            <v>193.45999999999998</v>
          </cell>
        </row>
        <row r="33">
          <cell r="F33">
            <v>139.93</v>
          </cell>
        </row>
        <row r="34">
          <cell r="F34">
            <v>186.09</v>
          </cell>
        </row>
        <row r="35">
          <cell r="F35">
            <v>152.07000000000002</v>
          </cell>
        </row>
        <row r="37">
          <cell r="F37">
            <v>193.82</v>
          </cell>
        </row>
        <row r="38">
          <cell r="F38">
            <v>175.47000000000003</v>
          </cell>
        </row>
        <row r="39">
          <cell r="F39">
            <v>122.25</v>
          </cell>
        </row>
        <row r="40">
          <cell r="F40">
            <v>138.27000000000001</v>
          </cell>
        </row>
        <row r="41">
          <cell r="F41">
            <v>141.05999999999997</v>
          </cell>
        </row>
      </sheetData>
      <sheetData sheetId="1"/>
      <sheetData sheetId="2"/>
      <sheetData sheetId="3"/>
      <sheetData sheetId="4">
        <row r="6">
          <cell r="U6">
            <v>58.009999999999991</v>
          </cell>
        </row>
        <row r="7">
          <cell r="U7">
            <v>73.05</v>
          </cell>
        </row>
        <row r="8">
          <cell r="U8">
            <v>45.519999999999996</v>
          </cell>
          <cell r="AW8">
            <v>32.119999999999997</v>
          </cell>
        </row>
        <row r="11">
          <cell r="U11">
            <v>78.34</v>
          </cell>
          <cell r="AW11">
            <v>66.56</v>
          </cell>
        </row>
        <row r="12">
          <cell r="U12">
            <v>45.04</v>
          </cell>
          <cell r="AW12">
            <v>36.370000000000005</v>
          </cell>
        </row>
        <row r="13">
          <cell r="U13">
            <v>37.950000000000003</v>
          </cell>
        </row>
        <row r="14">
          <cell r="U14">
            <v>38.799999999999997</v>
          </cell>
        </row>
        <row r="15">
          <cell r="U15">
            <v>44.029999999999994</v>
          </cell>
          <cell r="AW15">
            <v>45.42</v>
          </cell>
        </row>
        <row r="17">
          <cell r="U17">
            <v>63.6</v>
          </cell>
        </row>
        <row r="18">
          <cell r="U18">
            <v>25.86</v>
          </cell>
        </row>
        <row r="19">
          <cell r="U19">
            <v>48.24</v>
          </cell>
        </row>
        <row r="20">
          <cell r="U20">
            <v>33.57</v>
          </cell>
        </row>
        <row r="21">
          <cell r="U21">
            <v>54.400000000000006</v>
          </cell>
        </row>
        <row r="23">
          <cell r="U23">
            <v>47.150000000000006</v>
          </cell>
          <cell r="AW23">
            <v>29.349999999999998</v>
          </cell>
        </row>
        <row r="24">
          <cell r="U24">
            <v>33.299999999999997</v>
          </cell>
        </row>
        <row r="25">
          <cell r="U25">
            <v>39.42</v>
          </cell>
          <cell r="AW25">
            <v>40.1</v>
          </cell>
        </row>
        <row r="26">
          <cell r="U26">
            <v>65.31</v>
          </cell>
        </row>
        <row r="27">
          <cell r="U27">
            <v>34.619999999999997</v>
          </cell>
        </row>
        <row r="29">
          <cell r="U29">
            <v>35.92</v>
          </cell>
        </row>
        <row r="30">
          <cell r="U30">
            <v>51.13</v>
          </cell>
          <cell r="AW30">
            <v>33.32</v>
          </cell>
        </row>
        <row r="31">
          <cell r="U31">
            <v>37.46</v>
          </cell>
          <cell r="AW31">
            <v>35.36</v>
          </cell>
        </row>
        <row r="32">
          <cell r="U32">
            <v>49</v>
          </cell>
          <cell r="AW32">
            <v>45.370000000000005</v>
          </cell>
        </row>
        <row r="35">
          <cell r="U35">
            <v>59.06</v>
          </cell>
          <cell r="AW35">
            <v>58.74</v>
          </cell>
        </row>
        <row r="36">
          <cell r="U36">
            <v>28.01</v>
          </cell>
        </row>
        <row r="37">
          <cell r="U37">
            <v>73.069999999999993</v>
          </cell>
        </row>
        <row r="38">
          <cell r="U38">
            <v>80.289999999999992</v>
          </cell>
        </row>
        <row r="40">
          <cell r="U40">
            <v>60.199999999999996</v>
          </cell>
          <cell r="AW40">
            <v>40.42</v>
          </cell>
          <cell r="BY40">
            <v>42.55</v>
          </cell>
        </row>
        <row r="41">
          <cell r="U41">
            <v>70.33</v>
          </cell>
          <cell r="AW41">
            <v>70.790000000000006</v>
          </cell>
          <cell r="BY41">
            <v>34.35</v>
          </cell>
        </row>
        <row r="42">
          <cell r="U42">
            <v>122.25</v>
          </cell>
        </row>
        <row r="43">
          <cell r="U43">
            <v>138.27000000000001</v>
          </cell>
        </row>
        <row r="44">
          <cell r="U44">
            <v>141.05999999999997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DB3-51E7-4BDF-9A14-6B98C314CC2C}">
  <dimension ref="A1:J55"/>
  <sheetViews>
    <sheetView zoomScale="85" zoomScaleNormal="85" workbookViewId="0">
      <selection activeCell="I46" sqref="I46"/>
    </sheetView>
  </sheetViews>
  <sheetFormatPr defaultColWidth="8.640625" defaultRowHeight="18.45"/>
  <cols>
    <col min="1" max="1" width="30.640625" style="19" customWidth="1"/>
    <col min="2" max="3" width="8.640625" style="11"/>
    <col min="4" max="4" width="11" style="11" customWidth="1"/>
    <col min="5" max="5" width="8.640625" style="11"/>
    <col min="6" max="6" width="10.640625" style="11" customWidth="1"/>
    <col min="7" max="7" width="15.35546875" style="19" customWidth="1"/>
    <col min="8" max="8" width="19.35546875" style="19" customWidth="1"/>
    <col min="9" max="9" width="36.2109375" style="19" customWidth="1"/>
    <col min="10" max="10" width="10.35546875" style="19" customWidth="1"/>
    <col min="11" max="16384" width="8.640625" style="19"/>
  </cols>
  <sheetData>
    <row r="1" spans="1:10">
      <c r="A1" s="50" t="s">
        <v>91</v>
      </c>
      <c r="B1" s="52" t="s">
        <v>92</v>
      </c>
      <c r="C1" s="53"/>
      <c r="D1" s="53"/>
      <c r="E1" s="53"/>
      <c r="F1" s="53"/>
      <c r="G1" s="50" t="s">
        <v>98</v>
      </c>
      <c r="H1" s="54" t="s">
        <v>99</v>
      </c>
      <c r="I1" s="55"/>
    </row>
    <row r="2" spans="1:10">
      <c r="A2" s="51"/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51"/>
      <c r="H2" s="29" t="s">
        <v>45</v>
      </c>
      <c r="I2" s="29" t="s">
        <v>100</v>
      </c>
    </row>
    <row r="3" spans="1:10">
      <c r="A3" s="1" t="s">
        <v>0</v>
      </c>
      <c r="B3" s="2">
        <v>64.3</v>
      </c>
      <c r="C3" s="3">
        <v>52.7</v>
      </c>
      <c r="D3" s="3">
        <v>31.07</v>
      </c>
      <c r="E3" s="3">
        <v>113.6</v>
      </c>
      <c r="F3" s="38">
        <f>22.67+25.85+10.39+20.35+15.33+17.38+16.68+44.6+25.14</f>
        <v>198.39</v>
      </c>
      <c r="G3" s="46" t="s">
        <v>161</v>
      </c>
      <c r="H3" s="4" t="s">
        <v>9</v>
      </c>
      <c r="I3" s="5" t="s">
        <v>2</v>
      </c>
    </row>
    <row r="4" spans="1:10">
      <c r="A4" s="6" t="s">
        <v>3</v>
      </c>
      <c r="B4" s="7">
        <v>62.2</v>
      </c>
      <c r="C4" s="8">
        <v>43.56</v>
      </c>
      <c r="D4" s="8">
        <v>24.87</v>
      </c>
      <c r="E4" s="8">
        <v>62.1</v>
      </c>
      <c r="F4" s="39">
        <f>17.9+12.3+5.68+8.44+12.13+6.68+9.92+28.7+10.56+38.82+8.81</f>
        <v>159.94</v>
      </c>
      <c r="G4" s="47" t="s">
        <v>161</v>
      </c>
      <c r="H4" s="9" t="s">
        <v>1</v>
      </c>
      <c r="I4" s="10" t="s">
        <v>4</v>
      </c>
    </row>
    <row r="5" spans="1:10">
      <c r="A5" s="6" t="s">
        <v>5</v>
      </c>
      <c r="B5" s="7">
        <v>57.08</v>
      </c>
      <c r="C5" s="8">
        <v>49.87</v>
      </c>
      <c r="D5" s="8">
        <v>29.04</v>
      </c>
      <c r="E5" s="8">
        <v>69.599999999999994</v>
      </c>
      <c r="F5" s="39">
        <f>11.47+5.43+9.12+19.5+14.57+11.24+7.79+31.98+23.78+14.64</f>
        <v>149.51999999999998</v>
      </c>
      <c r="G5" s="47" t="s">
        <v>161</v>
      </c>
      <c r="H5" s="9" t="s">
        <v>9</v>
      </c>
      <c r="I5" s="10" t="s">
        <v>6</v>
      </c>
    </row>
    <row r="6" spans="1:10">
      <c r="A6" s="6" t="s">
        <v>8</v>
      </c>
      <c r="B6" s="7">
        <v>66.680000000000007</v>
      </c>
      <c r="C6" s="8">
        <v>57.71</v>
      </c>
      <c r="D6" s="8">
        <v>23.8</v>
      </c>
      <c r="E6" s="8">
        <v>96</v>
      </c>
      <c r="F6" s="39">
        <f>20.63+7.84+6+23.83+7.97+11.96+8.89+14.28+14.71+18.85+5.48+26.11+12.5</f>
        <v>179.04999999999995</v>
      </c>
      <c r="G6" s="47" t="s">
        <v>161</v>
      </c>
      <c r="H6" s="9" t="s">
        <v>9</v>
      </c>
      <c r="I6" s="10" t="s">
        <v>10</v>
      </c>
    </row>
    <row r="7" spans="1:10">
      <c r="A7" s="6" t="s">
        <v>11</v>
      </c>
      <c r="B7" s="7">
        <v>54.27</v>
      </c>
      <c r="C7" s="8">
        <v>51.6</v>
      </c>
      <c r="D7" s="8">
        <v>22.1</v>
      </c>
      <c r="E7" s="8">
        <v>68</v>
      </c>
      <c r="F7" s="39">
        <f>21.57+25.22+25.03+9.8+13.35+20.65+27.74+9.14</f>
        <v>152.5</v>
      </c>
      <c r="G7" s="47" t="s">
        <v>161</v>
      </c>
      <c r="H7" s="9" t="s">
        <v>1</v>
      </c>
      <c r="I7" s="10" t="s">
        <v>12</v>
      </c>
    </row>
    <row r="8" spans="1:10">
      <c r="A8" s="6" t="s">
        <v>13</v>
      </c>
      <c r="B8" s="7">
        <v>57.9</v>
      </c>
      <c r="C8" s="8">
        <v>45.5</v>
      </c>
      <c r="D8" s="8">
        <v>22.9</v>
      </c>
      <c r="E8" s="8">
        <v>65.900000000000006</v>
      </c>
      <c r="F8" s="39">
        <f>28.76+38+39.08+31.33+20.4</f>
        <v>157.57000000000002</v>
      </c>
      <c r="G8" s="47" t="s">
        <v>161</v>
      </c>
      <c r="H8" s="9" t="s">
        <v>1</v>
      </c>
      <c r="I8" s="10" t="s">
        <v>2</v>
      </c>
      <c r="J8" s="19" t="s">
        <v>63</v>
      </c>
    </row>
    <row r="9" spans="1:10">
      <c r="A9" s="6" t="s">
        <v>14</v>
      </c>
      <c r="B9" s="7">
        <v>55.45</v>
      </c>
      <c r="C9" s="8">
        <v>43.6</v>
      </c>
      <c r="D9" s="8">
        <v>19.7</v>
      </c>
      <c r="E9" s="8">
        <v>47.2</v>
      </c>
      <c r="F9" s="39">
        <f>11.85+5.34+5.94+7.73+6.4+12.35+4.96+9.43+18.3+35.57+28.27</f>
        <v>146.14000000000001</v>
      </c>
      <c r="G9" s="47" t="s">
        <v>161</v>
      </c>
      <c r="H9" s="9" t="s">
        <v>1</v>
      </c>
      <c r="I9" s="10" t="s">
        <v>7</v>
      </c>
    </row>
    <row r="10" spans="1:10">
      <c r="A10" s="6" t="s">
        <v>15</v>
      </c>
      <c r="B10" s="7">
        <v>56.6</v>
      </c>
      <c r="C10" s="8">
        <v>40.1</v>
      </c>
      <c r="D10" s="8">
        <v>21.6</v>
      </c>
      <c r="E10" s="8">
        <v>57.6</v>
      </c>
      <c r="F10" s="39">
        <f>45.4+44+11.51+40+5.74</f>
        <v>146.65000000000003</v>
      </c>
      <c r="G10" s="47" t="s">
        <v>161</v>
      </c>
      <c r="H10" s="9" t="s">
        <v>1</v>
      </c>
      <c r="I10" s="10" t="s">
        <v>16</v>
      </c>
    </row>
    <row r="11" spans="1:10">
      <c r="A11" s="6" t="s">
        <v>17</v>
      </c>
      <c r="B11" s="7">
        <v>66.91</v>
      </c>
      <c r="C11" s="8">
        <v>62.67</v>
      </c>
      <c r="D11" s="8">
        <v>37.159999999999997</v>
      </c>
      <c r="E11" s="8">
        <v>166.7</v>
      </c>
      <c r="F11" s="39">
        <f>52.3+17.9+23.04+45+22.3+55.46</f>
        <v>216</v>
      </c>
      <c r="G11" s="47" t="s">
        <v>161</v>
      </c>
      <c r="H11" s="9" t="s">
        <v>1</v>
      </c>
      <c r="I11" s="10" t="s">
        <v>4</v>
      </c>
    </row>
    <row r="12" spans="1:10">
      <c r="A12" s="6" t="s">
        <v>18</v>
      </c>
      <c r="B12" s="7">
        <v>44.2</v>
      </c>
      <c r="C12" s="8">
        <v>38.4</v>
      </c>
      <c r="D12" s="8">
        <v>24.5</v>
      </c>
      <c r="E12" s="8">
        <v>56.7</v>
      </c>
      <c r="F12" s="39">
        <f>22.37+24.79+10.84+15.32+27.7</f>
        <v>101.02</v>
      </c>
      <c r="G12" s="47" t="s">
        <v>161</v>
      </c>
      <c r="H12" s="9" t="s">
        <v>1</v>
      </c>
      <c r="I12" s="10" t="s">
        <v>4</v>
      </c>
    </row>
    <row r="13" spans="1:10">
      <c r="A13" s="6" t="s">
        <v>19</v>
      </c>
      <c r="B13" s="7">
        <v>64.95</v>
      </c>
      <c r="C13" s="8">
        <v>60.96</v>
      </c>
      <c r="D13" s="8">
        <v>38.44</v>
      </c>
      <c r="E13" s="8">
        <v>227.4</v>
      </c>
      <c r="F13" s="39">
        <f>50.8+39.16+29.13+46.1</f>
        <v>165.19</v>
      </c>
      <c r="G13" s="48" t="s">
        <v>159</v>
      </c>
      <c r="H13" s="9" t="s">
        <v>1</v>
      </c>
      <c r="I13" s="10" t="s">
        <v>7</v>
      </c>
    </row>
    <row r="14" spans="1:10">
      <c r="A14" s="6" t="s">
        <v>20</v>
      </c>
      <c r="B14" s="7">
        <v>43.16</v>
      </c>
      <c r="C14" s="8">
        <v>29.73</v>
      </c>
      <c r="D14" s="8">
        <v>20.05</v>
      </c>
      <c r="E14" s="8">
        <v>27.1</v>
      </c>
      <c r="F14" s="39">
        <f>28.93+18.42+18+10.3+11.43+12.66</f>
        <v>99.739999999999981</v>
      </c>
      <c r="G14" s="47" t="s">
        <v>161</v>
      </c>
      <c r="H14" s="9" t="s">
        <v>9</v>
      </c>
      <c r="I14" s="10" t="s">
        <v>2</v>
      </c>
    </row>
    <row r="15" spans="1:10">
      <c r="A15" s="6" t="s">
        <v>21</v>
      </c>
      <c r="B15" s="7">
        <v>60.22</v>
      </c>
      <c r="C15" s="8">
        <v>40.590000000000003</v>
      </c>
      <c r="D15" s="8">
        <v>24.4</v>
      </c>
      <c r="E15" s="8">
        <v>71.5</v>
      </c>
      <c r="F15" s="39">
        <f>25.62+19.54+26.28+5.84+9.06+8.04+47.88+20.88</f>
        <v>163.13999999999999</v>
      </c>
      <c r="G15" s="47" t="s">
        <v>161</v>
      </c>
      <c r="H15" s="9" t="s">
        <v>1</v>
      </c>
      <c r="I15" s="10" t="s">
        <v>4</v>
      </c>
    </row>
    <row r="16" spans="1:10">
      <c r="A16" s="6" t="s">
        <v>22</v>
      </c>
      <c r="B16" s="7">
        <v>51.4</v>
      </c>
      <c r="C16" s="8">
        <v>32.5</v>
      </c>
      <c r="D16" s="8">
        <v>23.35</v>
      </c>
      <c r="E16" s="8">
        <v>31.4</v>
      </c>
      <c r="F16" s="39">
        <f>23.07+24.4+5.72+13.24+14.07+33.05</f>
        <v>113.55</v>
      </c>
      <c r="G16" s="47" t="s">
        <v>161</v>
      </c>
      <c r="H16" s="9" t="s">
        <v>1</v>
      </c>
      <c r="I16" s="10" t="s">
        <v>16</v>
      </c>
    </row>
    <row r="17" spans="1:9">
      <c r="A17" s="6" t="s">
        <v>23</v>
      </c>
      <c r="B17" s="7">
        <v>43.13</v>
      </c>
      <c r="C17" s="8">
        <v>32.15</v>
      </c>
      <c r="D17" s="8">
        <v>27.06</v>
      </c>
      <c r="E17" s="11">
        <v>47.5</v>
      </c>
      <c r="F17" s="39">
        <f>18.98+10.69+10.19+11.96+11.5+9.69+12.82+30.35+9.2</f>
        <v>125.38000000000001</v>
      </c>
      <c r="G17" s="47" t="s">
        <v>161</v>
      </c>
      <c r="H17" s="9" t="s">
        <v>1</v>
      </c>
      <c r="I17" s="10" t="s">
        <v>24</v>
      </c>
    </row>
    <row r="18" spans="1:9">
      <c r="A18" s="6" t="s">
        <v>25</v>
      </c>
      <c r="B18" s="7">
        <v>46.68</v>
      </c>
      <c r="C18" s="8">
        <v>39.28</v>
      </c>
      <c r="D18" s="8">
        <v>25.36</v>
      </c>
      <c r="E18" s="8">
        <v>53.2</v>
      </c>
      <c r="F18" s="39">
        <f>16.11+20.48+10.99+8.4+8.89+34.78+6.97+8.58+21.08</f>
        <v>136.28</v>
      </c>
      <c r="G18" s="47" t="s">
        <v>161</v>
      </c>
      <c r="H18" s="9" t="s">
        <v>9</v>
      </c>
      <c r="I18" s="10" t="s">
        <v>26</v>
      </c>
    </row>
    <row r="19" spans="1:9">
      <c r="A19" s="43" t="s">
        <v>44</v>
      </c>
      <c r="B19" s="7">
        <v>69.400000000000006</v>
      </c>
      <c r="C19" s="8">
        <v>51.69</v>
      </c>
      <c r="D19" s="8">
        <v>27.9</v>
      </c>
      <c r="E19" s="8">
        <v>125.5</v>
      </c>
      <c r="F19" s="39">
        <f>29.6+29.63+6.38+22.95+10.95+10.7+18.7+19.88+19.15+26.19</f>
        <v>194.13</v>
      </c>
      <c r="G19" s="47" t="s">
        <v>161</v>
      </c>
      <c r="H19" s="9" t="s">
        <v>9</v>
      </c>
      <c r="I19" s="10" t="s">
        <v>2</v>
      </c>
    </row>
    <row r="20" spans="1:9">
      <c r="A20" s="6" t="s">
        <v>27</v>
      </c>
      <c r="B20" s="7">
        <v>45.8</v>
      </c>
      <c r="C20" s="8">
        <v>43.4</v>
      </c>
      <c r="D20" s="8">
        <v>27.97</v>
      </c>
      <c r="E20" s="8">
        <v>43.9</v>
      </c>
      <c r="F20" s="39">
        <f>18.2+8.02+15+6.41+29.92+41.88</f>
        <v>119.43</v>
      </c>
      <c r="G20" s="47" t="s">
        <v>161</v>
      </c>
      <c r="H20" s="9" t="s">
        <v>9</v>
      </c>
      <c r="I20" s="10" t="s">
        <v>2</v>
      </c>
    </row>
    <row r="21" spans="1:9">
      <c r="A21" s="6" t="s">
        <v>28</v>
      </c>
      <c r="B21" s="7">
        <v>55.48</v>
      </c>
      <c r="C21" s="8">
        <v>38.83</v>
      </c>
      <c r="D21" s="8">
        <v>23.8</v>
      </c>
      <c r="E21" s="8">
        <v>39.700000000000003</v>
      </c>
      <c r="F21" s="39">
        <f>35.22+34.26+20.78+33.66+29.58</f>
        <v>153.5</v>
      </c>
      <c r="G21" s="47" t="s">
        <v>161</v>
      </c>
      <c r="H21" s="9" t="s">
        <v>1</v>
      </c>
      <c r="I21" s="10" t="s">
        <v>7</v>
      </c>
    </row>
    <row r="22" spans="1:9">
      <c r="A22" s="6" t="s">
        <v>29</v>
      </c>
      <c r="B22" s="7">
        <v>56.89</v>
      </c>
      <c r="C22" s="8">
        <v>40.1</v>
      </c>
      <c r="D22" s="8">
        <v>17.98</v>
      </c>
      <c r="E22" s="8">
        <v>49</v>
      </c>
      <c r="F22" s="39">
        <f>20.07+14.79+16.48+8.29+16.83+14.27+15.57+24.61+19.42+13.44+20.76+25.88</f>
        <v>210.41000000000003</v>
      </c>
      <c r="G22" s="47" t="s">
        <v>161</v>
      </c>
      <c r="H22" s="9" t="s">
        <v>1</v>
      </c>
      <c r="I22" s="10" t="s">
        <v>30</v>
      </c>
    </row>
    <row r="23" spans="1:9">
      <c r="A23" s="6" t="s">
        <v>31</v>
      </c>
      <c r="B23" s="7">
        <v>51.64</v>
      </c>
      <c r="C23" s="8">
        <v>29.97</v>
      </c>
      <c r="D23" s="8">
        <v>28.1</v>
      </c>
      <c r="E23" s="8">
        <v>38.6</v>
      </c>
      <c r="F23" s="39">
        <f>47.73+32.9+29.43+20.19</f>
        <v>130.25</v>
      </c>
      <c r="G23" s="47" t="s">
        <v>161</v>
      </c>
      <c r="H23" s="9" t="s">
        <v>1</v>
      </c>
      <c r="I23" s="10" t="s">
        <v>16</v>
      </c>
    </row>
    <row r="24" spans="1:9">
      <c r="A24" s="6" t="s">
        <v>32</v>
      </c>
      <c r="B24" s="7">
        <v>50.8</v>
      </c>
      <c r="C24" s="8">
        <v>38.97</v>
      </c>
      <c r="D24" s="8">
        <v>31.56</v>
      </c>
      <c r="E24" s="8">
        <v>84.6</v>
      </c>
      <c r="F24" s="39">
        <f>44.51+30.22+44.2+26.71</f>
        <v>145.63999999999999</v>
      </c>
      <c r="G24" s="47" t="s">
        <v>161</v>
      </c>
      <c r="H24" s="9" t="s">
        <v>9</v>
      </c>
      <c r="I24" s="10" t="s">
        <v>26</v>
      </c>
    </row>
    <row r="25" spans="1:9">
      <c r="A25" s="43" t="s">
        <v>33</v>
      </c>
      <c r="B25" s="7">
        <v>66.099999999999994</v>
      </c>
      <c r="C25" s="8">
        <v>60.96</v>
      </c>
      <c r="D25" s="8">
        <v>34.200000000000003</v>
      </c>
      <c r="E25" s="8">
        <v>139.9</v>
      </c>
      <c r="F25" s="39">
        <f>57.44+42.14+16.28+25.74+51.86</f>
        <v>193.45999999999998</v>
      </c>
      <c r="G25" s="47" t="s">
        <v>161</v>
      </c>
      <c r="H25" s="9" t="s">
        <v>1</v>
      </c>
      <c r="I25" s="10" t="s">
        <v>10</v>
      </c>
    </row>
    <row r="26" spans="1:9">
      <c r="A26" s="6" t="s">
        <v>34</v>
      </c>
      <c r="B26" s="7">
        <v>43.22</v>
      </c>
      <c r="C26" s="8">
        <v>31.2</v>
      </c>
      <c r="D26" s="8">
        <v>16.600000000000001</v>
      </c>
      <c r="E26" s="8">
        <v>29.2</v>
      </c>
      <c r="F26" s="39">
        <f>9.19+15.01+13.92+17.54+13.41+27.76+16.08+9.98+17.04</f>
        <v>139.93</v>
      </c>
      <c r="G26" s="47" t="s">
        <v>161</v>
      </c>
      <c r="H26" s="9" t="s">
        <v>1</v>
      </c>
      <c r="I26" s="10" t="s">
        <v>7</v>
      </c>
    </row>
    <row r="27" spans="1:9">
      <c r="A27" s="43" t="s">
        <v>35</v>
      </c>
      <c r="B27" s="7">
        <v>75.63</v>
      </c>
      <c r="C27" s="8">
        <v>52.43</v>
      </c>
      <c r="D27" s="8">
        <v>26.75</v>
      </c>
      <c r="E27" s="8">
        <v>118.3</v>
      </c>
      <c r="F27" s="39">
        <f>12.14+45.71+9.41+27.34+16.3+18.58+40.57+16.04</f>
        <v>186.09</v>
      </c>
      <c r="G27" s="47" t="s">
        <v>161</v>
      </c>
      <c r="H27" s="9" t="s">
        <v>9</v>
      </c>
      <c r="I27" s="10" t="s">
        <v>4</v>
      </c>
    </row>
    <row r="28" spans="1:9">
      <c r="A28" s="43" t="s">
        <v>36</v>
      </c>
      <c r="B28" s="7">
        <v>56.3</v>
      </c>
      <c r="C28" s="8">
        <v>40.799999999999997</v>
      </c>
      <c r="D28" s="8">
        <v>29.77</v>
      </c>
      <c r="E28" s="8">
        <v>97.8</v>
      </c>
      <c r="F28" s="39">
        <f>21.23+24.51+4.41+11.7+7.37+10.86+7.04+10.81+21.15+7.21+15.85+9.93</f>
        <v>152.07000000000002</v>
      </c>
      <c r="G28" s="48" t="s">
        <v>159</v>
      </c>
      <c r="H28" s="9" t="s">
        <v>9</v>
      </c>
      <c r="I28" s="10" t="s">
        <v>2</v>
      </c>
    </row>
    <row r="29" spans="1:9">
      <c r="A29" s="6" t="s">
        <v>37</v>
      </c>
      <c r="B29" s="7">
        <v>62.34</v>
      </c>
      <c r="C29" s="8">
        <v>46.66</v>
      </c>
      <c r="D29" s="8">
        <v>25.85</v>
      </c>
      <c r="E29" s="8">
        <v>111.3</v>
      </c>
      <c r="F29" s="39">
        <f>39.83+14.69+29.78+18.18+24.9+42.05+24.39</f>
        <v>193.82</v>
      </c>
      <c r="G29" s="47" t="s">
        <v>161</v>
      </c>
      <c r="H29" s="9" t="s">
        <v>9</v>
      </c>
      <c r="I29" s="10" t="s">
        <v>38</v>
      </c>
    </row>
    <row r="30" spans="1:9">
      <c r="A30" s="43" t="s">
        <v>39</v>
      </c>
      <c r="B30" s="7">
        <v>77.45</v>
      </c>
      <c r="C30" s="8">
        <v>34.090000000000003</v>
      </c>
      <c r="D30" s="8">
        <v>26.59</v>
      </c>
      <c r="E30" s="8">
        <v>78.099999999999994</v>
      </c>
      <c r="F30" s="39">
        <f>34.35+64.79+6+70.33</f>
        <v>175.47000000000003</v>
      </c>
      <c r="G30" s="47" t="s">
        <v>161</v>
      </c>
      <c r="H30" s="9" t="s">
        <v>9</v>
      </c>
      <c r="I30" s="10" t="s">
        <v>38</v>
      </c>
    </row>
    <row r="31" spans="1:9">
      <c r="A31" s="6" t="s">
        <v>40</v>
      </c>
      <c r="B31" s="7">
        <v>49.84</v>
      </c>
      <c r="C31" s="8">
        <v>35.5</v>
      </c>
      <c r="D31" s="8">
        <v>34.71</v>
      </c>
      <c r="E31" s="8">
        <v>57.4</v>
      </c>
      <c r="F31" s="39">
        <f>29.24+21.27+13.33+17.52+10.42+8.58+5.14+16.75</f>
        <v>122.25</v>
      </c>
      <c r="G31" s="48" t="s">
        <v>161</v>
      </c>
      <c r="H31" s="9" t="s">
        <v>45</v>
      </c>
      <c r="I31" s="10" t="s">
        <v>41</v>
      </c>
    </row>
    <row r="32" spans="1:9">
      <c r="A32" s="6" t="s">
        <v>42</v>
      </c>
      <c r="B32" s="8">
        <v>52.85</v>
      </c>
      <c r="C32" s="8">
        <v>34.65</v>
      </c>
      <c r="D32" s="8">
        <v>25.95</v>
      </c>
      <c r="E32" s="8">
        <v>59.4</v>
      </c>
      <c r="F32" s="39">
        <f>13.37+32.38+13.62+21.92+11.84+24.76+20.38</f>
        <v>138.27000000000001</v>
      </c>
      <c r="G32" s="48" t="s">
        <v>161</v>
      </c>
      <c r="H32" s="11" t="s">
        <v>45</v>
      </c>
      <c r="I32" s="10" t="s">
        <v>10</v>
      </c>
    </row>
    <row r="33" spans="1:9">
      <c r="A33" s="6" t="s">
        <v>43</v>
      </c>
      <c r="B33" s="8">
        <v>51.61</v>
      </c>
      <c r="C33" s="8">
        <v>30.97</v>
      </c>
      <c r="D33" s="8">
        <v>22.48</v>
      </c>
      <c r="E33" s="8">
        <v>35.200000000000003</v>
      </c>
      <c r="F33" s="39">
        <f>31.24+10.53+21.72+5.98+8.82+7.73+7+9+14.27+14.07+10.7</f>
        <v>141.05999999999997</v>
      </c>
      <c r="G33" s="48" t="s">
        <v>161</v>
      </c>
      <c r="H33" s="11" t="s">
        <v>9</v>
      </c>
      <c r="I33" s="10" t="s">
        <v>41</v>
      </c>
    </row>
    <row r="34" spans="1:9">
      <c r="A34" s="10" t="s">
        <v>46</v>
      </c>
      <c r="B34" s="11">
        <v>49.83</v>
      </c>
      <c r="C34" s="11">
        <v>47.38</v>
      </c>
      <c r="D34" s="11">
        <v>33.549999999999997</v>
      </c>
      <c r="E34" s="11">
        <v>61.9</v>
      </c>
      <c r="F34" s="10">
        <f>28.59+12.53+16.25+39.89+49.18</f>
        <v>146.44</v>
      </c>
      <c r="G34" s="48" t="s">
        <v>161</v>
      </c>
      <c r="H34" s="11" t="s">
        <v>45</v>
      </c>
      <c r="I34" s="10" t="s">
        <v>154</v>
      </c>
    </row>
    <row r="35" spans="1:9">
      <c r="A35" s="10" t="s">
        <v>158</v>
      </c>
      <c r="B35" s="11">
        <v>43.29</v>
      </c>
      <c r="C35" s="11">
        <v>41.52</v>
      </c>
      <c r="D35" s="11">
        <v>20.18</v>
      </c>
      <c r="E35" s="11">
        <v>39.4</v>
      </c>
      <c r="F35" s="10">
        <f>30.72+39.01+42.99</f>
        <v>112.72</v>
      </c>
      <c r="G35" s="48" t="s">
        <v>161</v>
      </c>
      <c r="H35" s="11" t="s">
        <v>45</v>
      </c>
      <c r="I35" s="10" t="s">
        <v>7</v>
      </c>
    </row>
    <row r="36" spans="1:9">
      <c r="A36" s="10" t="s">
        <v>47</v>
      </c>
      <c r="B36" s="11">
        <v>57.18</v>
      </c>
      <c r="C36" s="11">
        <v>43.09</v>
      </c>
      <c r="D36" s="11">
        <v>23.84</v>
      </c>
      <c r="E36" s="11">
        <v>68.2</v>
      </c>
      <c r="F36" s="10">
        <f>50.72+18.17+45.26+37.92</f>
        <v>152.07</v>
      </c>
      <c r="G36" s="48" t="s">
        <v>161</v>
      </c>
      <c r="H36" s="11" t="s">
        <v>48</v>
      </c>
      <c r="I36" s="10" t="s">
        <v>10</v>
      </c>
    </row>
    <row r="37" spans="1:9">
      <c r="A37" s="10" t="s">
        <v>50</v>
      </c>
      <c r="B37" s="11">
        <v>40.71</v>
      </c>
      <c r="C37" s="11">
        <v>35.4</v>
      </c>
      <c r="D37" s="11">
        <v>19.239999999999998</v>
      </c>
      <c r="E37" s="11">
        <v>27.1</v>
      </c>
      <c r="F37" s="10">
        <f>26.18+33.79+24.82+25.97</f>
        <v>110.75999999999999</v>
      </c>
      <c r="G37" s="48" t="s">
        <v>159</v>
      </c>
      <c r="H37" s="11" t="s">
        <v>48</v>
      </c>
      <c r="I37" s="10" t="s">
        <v>2</v>
      </c>
    </row>
    <row r="38" spans="1:9">
      <c r="A38" s="10" t="s">
        <v>49</v>
      </c>
      <c r="B38" s="11">
        <v>39.590000000000003</v>
      </c>
      <c r="C38" s="11">
        <v>31.73</v>
      </c>
      <c r="D38" s="11">
        <v>23.39</v>
      </c>
      <c r="E38" s="11">
        <v>33.200000000000003</v>
      </c>
      <c r="F38" s="10">
        <f>35.19+20.43+22.03+40.16</f>
        <v>117.81</v>
      </c>
      <c r="G38" s="48" t="s">
        <v>161</v>
      </c>
      <c r="H38" s="11" t="s">
        <v>48</v>
      </c>
      <c r="I38" s="10" t="s">
        <v>2</v>
      </c>
    </row>
    <row r="39" spans="1:9">
      <c r="A39" s="10" t="s">
        <v>51</v>
      </c>
      <c r="B39" s="11">
        <v>63.74</v>
      </c>
      <c r="C39" s="11">
        <v>50.56</v>
      </c>
      <c r="D39" s="11">
        <v>31.13</v>
      </c>
      <c r="E39" s="11">
        <v>95.7</v>
      </c>
      <c r="F39" s="10">
        <f>43.56+58.46+51.13</f>
        <v>153.15</v>
      </c>
      <c r="G39" s="48" t="s">
        <v>161</v>
      </c>
      <c r="H39" s="11" t="s">
        <v>48</v>
      </c>
      <c r="I39" s="10" t="s">
        <v>2</v>
      </c>
    </row>
    <row r="40" spans="1:9">
      <c r="A40" s="10" t="s">
        <v>52</v>
      </c>
      <c r="B40" s="11">
        <v>43.4</v>
      </c>
      <c r="C40" s="11">
        <v>35.35</v>
      </c>
      <c r="D40" s="11">
        <v>21.2</v>
      </c>
      <c r="E40" s="11">
        <v>24.7</v>
      </c>
      <c r="F40" s="10">
        <f>29.06+15.48+34.56+33.56</f>
        <v>112.66</v>
      </c>
      <c r="G40" s="48" t="s">
        <v>161</v>
      </c>
      <c r="H40" s="11" t="s">
        <v>48</v>
      </c>
      <c r="I40" s="10" t="s">
        <v>12</v>
      </c>
    </row>
    <row r="41" spans="1:9">
      <c r="A41" s="10" t="s">
        <v>53</v>
      </c>
      <c r="B41" s="11">
        <v>39.130000000000003</v>
      </c>
      <c r="C41" s="11">
        <v>23.61</v>
      </c>
      <c r="D41" s="11">
        <v>13.08</v>
      </c>
      <c r="E41" s="11">
        <v>17.5</v>
      </c>
      <c r="F41" s="10">
        <f>16.29+12.74+24.19+26.3+16.71</f>
        <v>96.22999999999999</v>
      </c>
      <c r="G41" s="48" t="s">
        <v>161</v>
      </c>
      <c r="H41" s="11" t="s">
        <v>48</v>
      </c>
      <c r="I41" s="10" t="s">
        <v>2</v>
      </c>
    </row>
    <row r="42" spans="1:9">
      <c r="A42" s="10" t="s">
        <v>54</v>
      </c>
      <c r="B42" s="11">
        <v>48.29</v>
      </c>
      <c r="C42" s="11">
        <v>35.46</v>
      </c>
      <c r="D42" s="11">
        <v>17.29</v>
      </c>
      <c r="E42" s="11">
        <v>27.6</v>
      </c>
      <c r="F42" s="10">
        <f>35.25+18.75+22.5+9.36+30.71+18.39</f>
        <v>134.95999999999998</v>
      </c>
      <c r="G42" s="48" t="s">
        <v>161</v>
      </c>
      <c r="H42" s="11" t="s">
        <v>48</v>
      </c>
      <c r="I42" s="10" t="s">
        <v>7</v>
      </c>
    </row>
    <row r="43" spans="1:9">
      <c r="A43" s="10" t="s">
        <v>55</v>
      </c>
      <c r="B43" s="11">
        <v>31.42</v>
      </c>
      <c r="C43" s="11">
        <v>31.06</v>
      </c>
      <c r="D43" s="11">
        <v>23.3</v>
      </c>
      <c r="E43" s="11">
        <v>26.8</v>
      </c>
      <c r="F43" s="10">
        <f>27.48+21.76+30.81+27.62</f>
        <v>107.67</v>
      </c>
      <c r="G43" s="48" t="s">
        <v>161</v>
      </c>
      <c r="H43" s="11" t="s">
        <v>48</v>
      </c>
      <c r="I43" s="10" t="s">
        <v>7</v>
      </c>
    </row>
    <row r="44" spans="1:9">
      <c r="A44" s="10" t="s">
        <v>56</v>
      </c>
      <c r="B44" s="11">
        <v>38.869999999999997</v>
      </c>
      <c r="C44" s="11">
        <v>35.18</v>
      </c>
      <c r="D44" s="11">
        <v>16.71</v>
      </c>
      <c r="E44" s="11">
        <v>23.7</v>
      </c>
      <c r="F44" s="10">
        <f>18.16+18.64+25.23+26.4+29.03</f>
        <v>117.46000000000001</v>
      </c>
      <c r="G44" s="48" t="s">
        <v>159</v>
      </c>
      <c r="H44" s="11" t="s">
        <v>48</v>
      </c>
      <c r="I44" s="10" t="s">
        <v>160</v>
      </c>
    </row>
    <row r="45" spans="1:9">
      <c r="A45" s="10" t="s">
        <v>57</v>
      </c>
      <c r="B45" s="11">
        <v>54.95</v>
      </c>
      <c r="C45" s="11">
        <v>31.45</v>
      </c>
      <c r="D45" s="11">
        <v>20.43</v>
      </c>
      <c r="E45" s="11">
        <v>41.1</v>
      </c>
      <c r="F45" s="10">
        <f>30.46+58.67+50.59</f>
        <v>139.72</v>
      </c>
      <c r="G45" s="48" t="s">
        <v>161</v>
      </c>
      <c r="H45" s="11" t="s">
        <v>48</v>
      </c>
      <c r="I45" s="10" t="s">
        <v>7</v>
      </c>
    </row>
    <row r="46" spans="1:9">
      <c r="A46" s="44" t="s">
        <v>58</v>
      </c>
      <c r="B46" s="11">
        <v>61.01</v>
      </c>
      <c r="C46" s="11">
        <v>45.74</v>
      </c>
      <c r="D46" s="11">
        <v>22.19</v>
      </c>
      <c r="E46" s="11">
        <v>73</v>
      </c>
      <c r="F46" s="10">
        <f>27.32+34.88+20.58+22.3+26.65+32.15</f>
        <v>163.88</v>
      </c>
      <c r="G46" s="48" t="s">
        <v>161</v>
      </c>
      <c r="H46" s="11" t="s">
        <v>48</v>
      </c>
      <c r="I46" s="10" t="s">
        <v>26</v>
      </c>
    </row>
    <row r="47" spans="1:9">
      <c r="A47" s="10" t="s">
        <v>59</v>
      </c>
      <c r="B47" s="11">
        <v>36.799999999999997</v>
      </c>
      <c r="C47" s="11">
        <v>29.76</v>
      </c>
      <c r="D47" s="11">
        <v>10.97</v>
      </c>
      <c r="E47" s="11">
        <v>41.8</v>
      </c>
      <c r="F47" s="10">
        <f>36.28+25.98+34.71+9</f>
        <v>105.97</v>
      </c>
      <c r="G47" s="48" t="s">
        <v>161</v>
      </c>
      <c r="H47" s="11" t="s">
        <v>48</v>
      </c>
      <c r="I47" s="10" t="s">
        <v>7</v>
      </c>
    </row>
    <row r="48" spans="1:9">
      <c r="A48" s="10" t="s">
        <v>60</v>
      </c>
      <c r="B48" s="11">
        <v>44.5</v>
      </c>
      <c r="C48" s="11">
        <v>21.55</v>
      </c>
      <c r="D48" s="11">
        <v>13.59</v>
      </c>
      <c r="E48" s="11">
        <v>16</v>
      </c>
      <c r="F48" s="10">
        <f>42.18+13.52+45.91</f>
        <v>101.61</v>
      </c>
      <c r="G48" s="48" t="s">
        <v>159</v>
      </c>
      <c r="H48" s="11" t="s">
        <v>48</v>
      </c>
      <c r="I48" s="10" t="s">
        <v>2</v>
      </c>
    </row>
    <row r="49" spans="1:9">
      <c r="A49" s="10" t="s">
        <v>61</v>
      </c>
      <c r="B49" s="11">
        <v>49.97</v>
      </c>
      <c r="C49" s="11">
        <v>43.89</v>
      </c>
      <c r="D49" s="11">
        <v>25.93</v>
      </c>
      <c r="E49" s="11">
        <v>43.3</v>
      </c>
      <c r="F49" s="10">
        <f>47.14+41.01+14.57+40.69</f>
        <v>143.41</v>
      </c>
      <c r="G49" s="48" t="s">
        <v>161</v>
      </c>
      <c r="H49" s="11" t="s">
        <v>48</v>
      </c>
      <c r="I49" s="10" t="s">
        <v>2</v>
      </c>
    </row>
    <row r="50" spans="1:9">
      <c r="A50" s="10" t="s">
        <v>62</v>
      </c>
      <c r="B50" s="11">
        <v>45.61</v>
      </c>
      <c r="C50" s="11">
        <v>28.69</v>
      </c>
      <c r="D50" s="11">
        <v>16.68</v>
      </c>
      <c r="E50" s="11">
        <v>24.4</v>
      </c>
      <c r="F50" s="10">
        <f>30.37+16.7+27.19+29.19+4.21</f>
        <v>107.66</v>
      </c>
      <c r="G50" s="10" t="s">
        <v>153</v>
      </c>
      <c r="H50" s="11" t="s">
        <v>48</v>
      </c>
      <c r="I50" s="10" t="s">
        <v>2</v>
      </c>
    </row>
    <row r="51" spans="1:9">
      <c r="A51" s="10" t="s">
        <v>64</v>
      </c>
      <c r="B51" s="11">
        <v>46.4</v>
      </c>
      <c r="C51" s="11">
        <v>29.68</v>
      </c>
      <c r="D51" s="11">
        <v>19.43</v>
      </c>
      <c r="E51" s="11">
        <v>33.299999999999997</v>
      </c>
      <c r="F51" s="10">
        <f>43.63+35.26+28.12+20.35</f>
        <v>127.36000000000001</v>
      </c>
      <c r="G51" s="48" t="s">
        <v>161</v>
      </c>
      <c r="H51" s="11" t="s">
        <v>48</v>
      </c>
      <c r="I51" s="10" t="s">
        <v>7</v>
      </c>
    </row>
    <row r="52" spans="1:9">
      <c r="A52" s="10" t="s">
        <v>65</v>
      </c>
      <c r="B52" s="11">
        <v>66.34</v>
      </c>
      <c r="C52" s="11">
        <v>44.13</v>
      </c>
      <c r="D52" s="11">
        <v>24.19</v>
      </c>
      <c r="E52" s="11">
        <v>74.5</v>
      </c>
      <c r="F52" s="10">
        <f>31.93+47.28+23.45+49.16+26.91</f>
        <v>178.73</v>
      </c>
      <c r="G52" s="48" t="s">
        <v>161</v>
      </c>
      <c r="H52" s="11" t="s">
        <v>48</v>
      </c>
      <c r="I52" s="10" t="s">
        <v>12</v>
      </c>
    </row>
    <row r="53" spans="1:9">
      <c r="A53" s="10" t="s">
        <v>66</v>
      </c>
      <c r="B53" s="11">
        <v>54.96</v>
      </c>
      <c r="C53" s="11">
        <v>42.73</v>
      </c>
      <c r="D53" s="11">
        <v>23.17</v>
      </c>
      <c r="E53" s="11">
        <v>49.9</v>
      </c>
      <c r="F53" s="10">
        <f>30.35+38.4+24.81+12.8+25.14+21.02</f>
        <v>152.52000000000001</v>
      </c>
      <c r="G53" s="48" t="s">
        <v>161</v>
      </c>
      <c r="H53" s="11" t="s">
        <v>48</v>
      </c>
      <c r="I53" s="10" t="s">
        <v>4</v>
      </c>
    </row>
    <row r="54" spans="1:9">
      <c r="A54" s="10" t="s">
        <v>67</v>
      </c>
      <c r="B54" s="11">
        <v>49.94</v>
      </c>
      <c r="C54" s="11">
        <v>38.11</v>
      </c>
      <c r="D54" s="11">
        <v>14.94</v>
      </c>
      <c r="E54" s="11">
        <v>31.4</v>
      </c>
      <c r="F54" s="10">
        <f>43.65+18.72+33.92+18.98+23.3</f>
        <v>138.57</v>
      </c>
      <c r="G54" s="48" t="s">
        <v>161</v>
      </c>
      <c r="H54" s="11" t="s">
        <v>48</v>
      </c>
      <c r="I54" s="10" t="s">
        <v>7</v>
      </c>
    </row>
    <row r="55" spans="1:9">
      <c r="A55" s="14" t="s">
        <v>68</v>
      </c>
      <c r="B55" s="18">
        <v>39.68</v>
      </c>
      <c r="C55" s="18">
        <v>32.21</v>
      </c>
      <c r="D55" s="18">
        <v>17.489999999999998</v>
      </c>
      <c r="E55" s="18">
        <v>19.600000000000001</v>
      </c>
      <c r="F55" s="14">
        <f>28.92+38.26+37.32</f>
        <v>104.5</v>
      </c>
      <c r="G55" s="49" t="s">
        <v>161</v>
      </c>
      <c r="H55" s="18" t="s">
        <v>48</v>
      </c>
      <c r="I55" s="14" t="s">
        <v>2</v>
      </c>
    </row>
  </sheetData>
  <mergeCells count="4">
    <mergeCell ref="A1:A2"/>
    <mergeCell ref="B1:F1"/>
    <mergeCell ref="G1:G2"/>
    <mergeCell ref="H1:I1"/>
  </mergeCells>
  <phoneticPr fontId="1" type="noConversion"/>
  <dataValidations count="1">
    <dataValidation type="list" allowBlank="1" showInputMessage="1" showErrorMessage="1" sqref="H3:H33" xr:uid="{1932DA1D-CAE0-4FDB-999F-09AACA861B8B}">
      <formula1>"Quina,demi-Quina"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52F-B9A2-43CB-B896-3A979A37B657}">
  <dimension ref="A1:AB742"/>
  <sheetViews>
    <sheetView tabSelected="1" topLeftCell="A7" zoomScale="70" zoomScaleNormal="70" workbookViewId="0">
      <selection activeCell="I13" activeCellId="4" sqref="I35 I27 I23 I17:I19 I13"/>
    </sheetView>
  </sheetViews>
  <sheetFormatPr defaultColWidth="8.640625" defaultRowHeight="14.6"/>
  <cols>
    <col min="1" max="1" width="25.640625" style="34" customWidth="1"/>
    <col min="2" max="2" width="13.140625" style="34" customWidth="1"/>
    <col min="3" max="3" width="11.35546875" style="34" customWidth="1"/>
    <col min="4" max="4" width="13.35546875" style="34" customWidth="1"/>
    <col min="5" max="5" width="12.85546875" style="34" customWidth="1"/>
    <col min="6" max="6" width="14.640625" style="34" customWidth="1"/>
    <col min="7" max="7" width="14.140625" style="34" customWidth="1"/>
    <col min="8" max="9" width="8.640625" style="34"/>
    <col min="10" max="10" width="12.140625" style="34" customWidth="1"/>
    <col min="11" max="11" width="12.85546875" style="34" customWidth="1"/>
    <col min="12" max="12" width="12.35546875" style="34" customWidth="1"/>
    <col min="13" max="13" width="15.35546875" style="34" customWidth="1"/>
    <col min="14" max="16384" width="8.640625" style="34"/>
  </cols>
  <sheetData>
    <row r="1" spans="1:13" s="33" customFormat="1" ht="30.65" customHeight="1">
      <c r="A1" s="51" t="s">
        <v>91</v>
      </c>
      <c r="B1" s="56" t="s">
        <v>101</v>
      </c>
      <c r="C1" s="56"/>
      <c r="D1" s="56"/>
      <c r="E1" s="56"/>
      <c r="F1" s="56"/>
      <c r="G1" s="53" t="s">
        <v>107</v>
      </c>
      <c r="H1" s="53"/>
      <c r="I1" s="45"/>
      <c r="J1" s="59" t="s">
        <v>69</v>
      </c>
      <c r="K1" s="57" t="s">
        <v>111</v>
      </c>
      <c r="L1" s="57"/>
      <c r="M1" s="57"/>
    </row>
    <row r="2" spans="1:13" s="33" customFormat="1" ht="19.5" customHeight="1">
      <c r="A2" s="51"/>
      <c r="B2" s="58" t="s">
        <v>103</v>
      </c>
      <c r="C2" s="58" t="s">
        <v>104</v>
      </c>
      <c r="D2" s="58" t="s">
        <v>94</v>
      </c>
      <c r="E2" s="58" t="s">
        <v>105</v>
      </c>
      <c r="F2" s="58" t="s">
        <v>106</v>
      </c>
      <c r="G2" s="31" t="s">
        <v>108</v>
      </c>
      <c r="H2" s="52" t="s">
        <v>109</v>
      </c>
      <c r="I2" s="88"/>
      <c r="J2" s="60"/>
      <c r="K2" s="57" t="s">
        <v>112</v>
      </c>
      <c r="L2" s="62" t="s">
        <v>113</v>
      </c>
      <c r="M2" s="62" t="s">
        <v>114</v>
      </c>
    </row>
    <row r="3" spans="1:13" s="33" customFormat="1" ht="21.65" customHeight="1">
      <c r="A3" s="51"/>
      <c r="B3" s="56"/>
      <c r="C3" s="56"/>
      <c r="D3" s="56"/>
      <c r="E3" s="56"/>
      <c r="F3" s="56"/>
      <c r="G3" s="31" t="s">
        <v>110</v>
      </c>
      <c r="H3" s="53"/>
      <c r="I3" s="89"/>
      <c r="J3" s="61"/>
      <c r="K3" s="57"/>
      <c r="L3" s="57"/>
      <c r="M3" s="57"/>
    </row>
    <row r="4" spans="1:13" s="11" customFormat="1" ht="18.45">
      <c r="A4" s="4" t="s">
        <v>0</v>
      </c>
      <c r="B4" s="4"/>
      <c r="C4" s="15"/>
      <c r="D4" s="16"/>
      <c r="E4" s="16"/>
      <c r="F4" s="16"/>
      <c r="G4" s="4" t="s">
        <v>70</v>
      </c>
      <c r="H4" s="5"/>
      <c r="I4" s="5">
        <v>0.85</v>
      </c>
      <c r="J4" s="1" t="s">
        <v>71</v>
      </c>
      <c r="K4" s="15"/>
      <c r="L4" s="15"/>
      <c r="M4" s="5"/>
    </row>
    <row r="5" spans="1:13" s="11" customFormat="1" ht="18.45">
      <c r="A5" s="9" t="s">
        <v>3</v>
      </c>
      <c r="B5" s="9" t="s">
        <v>72</v>
      </c>
      <c r="C5" s="11" t="s">
        <v>73</v>
      </c>
      <c r="D5" s="17">
        <v>34.619999999999997</v>
      </c>
      <c r="E5" s="17">
        <v>23.27</v>
      </c>
      <c r="F5" s="17">
        <v>96</v>
      </c>
      <c r="G5" s="9" t="s">
        <v>70</v>
      </c>
      <c r="H5" s="10"/>
      <c r="I5" s="10">
        <v>0.85</v>
      </c>
      <c r="J5" s="6" t="s">
        <v>71</v>
      </c>
      <c r="K5" s="11">
        <v>4.8499999999999996</v>
      </c>
      <c r="L5" s="11">
        <v>37.93</v>
      </c>
      <c r="M5" s="10">
        <f t="shared" ref="M5:M56" si="0">K5/L5</f>
        <v>0.12786712364882677</v>
      </c>
    </row>
    <row r="6" spans="1:13" s="11" customFormat="1" ht="18.45">
      <c r="A6" s="9" t="s">
        <v>5</v>
      </c>
      <c r="B6" s="9"/>
      <c r="D6" s="17"/>
      <c r="E6" s="17"/>
      <c r="F6" s="17"/>
      <c r="G6" s="9" t="s">
        <v>70</v>
      </c>
      <c r="H6" s="10"/>
      <c r="I6" s="10">
        <v>0.85</v>
      </c>
      <c r="J6" s="6"/>
      <c r="M6" s="10"/>
    </row>
    <row r="7" spans="1:13" s="11" customFormat="1" ht="18.45">
      <c r="A7" s="9" t="s">
        <v>8</v>
      </c>
      <c r="B7" s="9"/>
      <c r="D7" s="17"/>
      <c r="E7" s="17"/>
      <c r="F7" s="17"/>
      <c r="G7" s="9"/>
      <c r="H7" s="10">
        <v>1</v>
      </c>
      <c r="I7" s="10">
        <v>0</v>
      </c>
      <c r="J7" s="6"/>
      <c r="M7" s="10"/>
    </row>
    <row r="8" spans="1:13" s="11" customFormat="1" ht="18.45">
      <c r="A8" s="9" t="s">
        <v>11</v>
      </c>
      <c r="B8" s="9" t="s">
        <v>78</v>
      </c>
      <c r="C8" s="11" t="s">
        <v>75</v>
      </c>
      <c r="D8" s="17">
        <v>28.02</v>
      </c>
      <c r="E8" s="17">
        <v>11.11</v>
      </c>
      <c r="F8" s="17">
        <v>119</v>
      </c>
      <c r="G8" s="9" t="s">
        <v>79</v>
      </c>
      <c r="H8" s="10"/>
      <c r="I8" s="10">
        <v>0.35</v>
      </c>
      <c r="J8" s="6"/>
      <c r="M8" s="10"/>
    </row>
    <row r="9" spans="1:13" s="11" customFormat="1" ht="18.45">
      <c r="A9" s="9" t="s">
        <v>13</v>
      </c>
      <c r="B9" s="9" t="s">
        <v>72</v>
      </c>
      <c r="C9" s="11" t="s">
        <v>75</v>
      </c>
      <c r="D9" s="17">
        <v>39.200000000000003</v>
      </c>
      <c r="E9" s="17">
        <v>12.6</v>
      </c>
      <c r="F9" s="17">
        <v>125</v>
      </c>
      <c r="G9" s="9" t="s">
        <v>80</v>
      </c>
      <c r="H9" s="10"/>
      <c r="I9" s="10">
        <v>0.65</v>
      </c>
      <c r="J9" s="6" t="s">
        <v>71</v>
      </c>
      <c r="K9" s="11">
        <v>13.76</v>
      </c>
      <c r="L9" s="11">
        <v>20.41</v>
      </c>
      <c r="M9" s="10">
        <f t="shared" si="0"/>
        <v>0.67417932386085255</v>
      </c>
    </row>
    <row r="10" spans="1:13" s="11" customFormat="1" ht="18.45">
      <c r="A10" s="9" t="s">
        <v>14</v>
      </c>
      <c r="B10" s="9" t="s">
        <v>102</v>
      </c>
      <c r="C10" s="11" t="s">
        <v>75</v>
      </c>
      <c r="D10" s="17">
        <v>14.29</v>
      </c>
      <c r="E10" s="17">
        <v>17.12</v>
      </c>
      <c r="F10" s="17">
        <v>116</v>
      </c>
      <c r="G10" s="9" t="s">
        <v>70</v>
      </c>
      <c r="H10" s="10"/>
      <c r="I10" s="10">
        <v>0.85</v>
      </c>
      <c r="J10" s="6" t="s">
        <v>81</v>
      </c>
      <c r="K10" s="11">
        <v>18.760000000000002</v>
      </c>
      <c r="L10" s="11">
        <v>19.34</v>
      </c>
      <c r="M10" s="10">
        <f t="shared" si="0"/>
        <v>0.97001034126163399</v>
      </c>
    </row>
    <row r="11" spans="1:13" s="11" customFormat="1" ht="18.45">
      <c r="A11" s="9" t="s">
        <v>15</v>
      </c>
      <c r="B11" s="9"/>
      <c r="D11" s="17"/>
      <c r="E11" s="17"/>
      <c r="F11" s="17"/>
      <c r="G11" s="9" t="s">
        <v>70</v>
      </c>
      <c r="H11" s="10"/>
      <c r="I11" s="10">
        <v>0.85</v>
      </c>
      <c r="J11" s="6"/>
      <c r="M11" s="10"/>
    </row>
    <row r="12" spans="1:13" s="11" customFormat="1" ht="18.45">
      <c r="A12" s="9" t="s">
        <v>17</v>
      </c>
      <c r="B12" s="9"/>
      <c r="D12" s="17"/>
      <c r="E12" s="17"/>
      <c r="F12" s="17"/>
      <c r="G12" s="9" t="s">
        <v>79</v>
      </c>
      <c r="H12" s="10"/>
      <c r="I12" s="10">
        <v>0.35</v>
      </c>
      <c r="J12" s="6" t="s">
        <v>77</v>
      </c>
      <c r="M12" s="10"/>
    </row>
    <row r="13" spans="1:13" s="11" customFormat="1" ht="18.45">
      <c r="A13" s="9" t="s">
        <v>18</v>
      </c>
      <c r="B13" s="9"/>
      <c r="D13" s="17"/>
      <c r="E13" s="17"/>
      <c r="F13" s="17"/>
      <c r="G13" s="9" t="s">
        <v>76</v>
      </c>
      <c r="H13" s="10"/>
      <c r="I13" s="10">
        <v>0.15</v>
      </c>
      <c r="J13" s="6" t="s">
        <v>82</v>
      </c>
      <c r="K13" s="11">
        <v>21.95</v>
      </c>
      <c r="L13" s="11">
        <v>22.35</v>
      </c>
      <c r="M13" s="10">
        <f t="shared" si="0"/>
        <v>0.98210290827740487</v>
      </c>
    </row>
    <row r="14" spans="1:13" s="11" customFormat="1" ht="18.45">
      <c r="A14" s="9" t="s">
        <v>20</v>
      </c>
      <c r="B14" s="9"/>
      <c r="D14" s="17"/>
      <c r="E14" s="17"/>
      <c r="F14" s="17"/>
      <c r="G14" s="9" t="s">
        <v>70</v>
      </c>
      <c r="H14" s="10"/>
      <c r="I14" s="10">
        <v>0.85</v>
      </c>
      <c r="J14" s="6" t="s">
        <v>77</v>
      </c>
      <c r="M14" s="10"/>
    </row>
    <row r="15" spans="1:13" s="11" customFormat="1" ht="18.45">
      <c r="A15" s="9" t="s">
        <v>21</v>
      </c>
      <c r="B15" s="9" t="s">
        <v>74</v>
      </c>
      <c r="C15" s="11" t="s">
        <v>73</v>
      </c>
      <c r="D15" s="17">
        <v>47.12</v>
      </c>
      <c r="E15" s="17">
        <v>25.67</v>
      </c>
      <c r="F15" s="17">
        <v>107</v>
      </c>
      <c r="G15" s="9"/>
      <c r="H15" s="10">
        <v>1</v>
      </c>
      <c r="I15" s="10">
        <v>0</v>
      </c>
      <c r="J15" s="6" t="s">
        <v>83</v>
      </c>
      <c r="M15" s="10"/>
    </row>
    <row r="16" spans="1:13" s="11" customFormat="1" ht="18.45">
      <c r="A16" s="9" t="s">
        <v>22</v>
      </c>
      <c r="B16" s="9"/>
      <c r="D16" s="17"/>
      <c r="E16" s="17"/>
      <c r="F16" s="17"/>
      <c r="G16" s="9"/>
      <c r="H16" s="10">
        <v>1</v>
      </c>
      <c r="I16" s="10">
        <v>0</v>
      </c>
      <c r="J16" s="6"/>
      <c r="K16" s="11">
        <v>15.13</v>
      </c>
      <c r="L16" s="11">
        <v>18.62</v>
      </c>
      <c r="M16" s="10">
        <f t="shared" si="0"/>
        <v>0.81256713211600429</v>
      </c>
    </row>
    <row r="17" spans="1:13" s="11" customFormat="1" ht="18.45">
      <c r="A17" s="9" t="s">
        <v>23</v>
      </c>
      <c r="B17" s="9"/>
      <c r="D17" s="17"/>
      <c r="E17" s="17"/>
      <c r="F17" s="17"/>
      <c r="G17" s="9" t="s">
        <v>76</v>
      </c>
      <c r="H17" s="10"/>
      <c r="I17" s="10">
        <v>0.15</v>
      </c>
      <c r="J17" s="6" t="s">
        <v>82</v>
      </c>
      <c r="K17" s="11">
        <v>3.16</v>
      </c>
      <c r="L17" s="11">
        <v>36.15</v>
      </c>
      <c r="M17" s="10">
        <f t="shared" si="0"/>
        <v>8.7413554633471655E-2</v>
      </c>
    </row>
    <row r="18" spans="1:13" s="11" customFormat="1" ht="18.45">
      <c r="A18" s="9" t="s">
        <v>25</v>
      </c>
      <c r="B18" s="9"/>
      <c r="D18" s="17"/>
      <c r="E18" s="17"/>
      <c r="F18" s="17"/>
      <c r="G18" s="9" t="s">
        <v>76</v>
      </c>
      <c r="H18" s="10"/>
      <c r="I18" s="10">
        <v>0.15</v>
      </c>
      <c r="J18" s="6"/>
      <c r="M18" s="10"/>
    </row>
    <row r="19" spans="1:13" s="11" customFormat="1" ht="18.45">
      <c r="A19" s="9" t="s">
        <v>44</v>
      </c>
      <c r="B19" s="9"/>
      <c r="D19" s="17"/>
      <c r="E19" s="17"/>
      <c r="F19" s="17"/>
      <c r="G19" s="9" t="s">
        <v>76</v>
      </c>
      <c r="H19" s="10"/>
      <c r="I19" s="10">
        <v>0.15</v>
      </c>
      <c r="J19" s="6" t="s">
        <v>82</v>
      </c>
      <c r="K19" s="11">
        <v>7.78</v>
      </c>
      <c r="L19" s="11">
        <v>33.1</v>
      </c>
      <c r="M19" s="10">
        <f t="shared" si="0"/>
        <v>0.23504531722054381</v>
      </c>
    </row>
    <row r="20" spans="1:13" s="11" customFormat="1" ht="18.45">
      <c r="A20" s="9" t="s">
        <v>27</v>
      </c>
      <c r="B20" s="9" t="s">
        <v>74</v>
      </c>
      <c r="C20" s="11" t="s">
        <v>73</v>
      </c>
      <c r="D20" s="17">
        <v>17.36</v>
      </c>
      <c r="E20" s="17">
        <v>10.199999999999999</v>
      </c>
      <c r="F20" s="17">
        <v>128</v>
      </c>
      <c r="G20" s="9"/>
      <c r="H20" s="10">
        <v>1</v>
      </c>
      <c r="I20" s="10">
        <v>0</v>
      </c>
      <c r="J20" s="6" t="s">
        <v>82</v>
      </c>
      <c r="K20" s="11">
        <v>14</v>
      </c>
      <c r="L20" s="11">
        <v>21.14</v>
      </c>
      <c r="M20" s="10">
        <f t="shared" si="0"/>
        <v>0.66225165562913901</v>
      </c>
    </row>
    <row r="21" spans="1:13" s="11" customFormat="1" ht="18.45">
      <c r="A21" s="9" t="s">
        <v>29</v>
      </c>
      <c r="B21" s="9" t="s">
        <v>78</v>
      </c>
      <c r="C21" s="11" t="s">
        <v>75</v>
      </c>
      <c r="D21" s="17">
        <v>24.43</v>
      </c>
      <c r="E21" s="17">
        <v>9.3699999999999992</v>
      </c>
      <c r="F21" s="17">
        <v>106</v>
      </c>
      <c r="G21" s="9" t="s">
        <v>76</v>
      </c>
      <c r="H21" s="10"/>
      <c r="I21" s="10"/>
      <c r="J21" s="6"/>
      <c r="K21" s="11">
        <v>7.89</v>
      </c>
      <c r="L21" s="11">
        <v>24.69</v>
      </c>
      <c r="M21" s="10">
        <f t="shared" si="0"/>
        <v>0.31956257594167675</v>
      </c>
    </row>
    <row r="22" spans="1:13" s="11" customFormat="1" ht="18.45">
      <c r="A22" s="9" t="s">
        <v>31</v>
      </c>
      <c r="B22" s="9"/>
      <c r="D22" s="17"/>
      <c r="E22" s="17"/>
      <c r="F22" s="17"/>
      <c r="G22" s="9"/>
      <c r="H22" s="10">
        <v>1</v>
      </c>
      <c r="I22" s="10">
        <v>0</v>
      </c>
      <c r="J22" s="6"/>
      <c r="K22" s="11">
        <v>1.86</v>
      </c>
      <c r="L22" s="11">
        <v>25.69</v>
      </c>
      <c r="M22" s="10">
        <f t="shared" si="0"/>
        <v>7.24017127286882E-2</v>
      </c>
    </row>
    <row r="23" spans="1:13" s="11" customFormat="1" ht="18.45">
      <c r="A23" s="9" t="s">
        <v>32</v>
      </c>
      <c r="B23" s="9" t="s">
        <v>74</v>
      </c>
      <c r="C23" s="11" t="s">
        <v>84</v>
      </c>
      <c r="D23" s="17">
        <v>31.6</v>
      </c>
      <c r="E23" s="17">
        <v>15.25</v>
      </c>
      <c r="F23" s="17">
        <v>123</v>
      </c>
      <c r="G23" s="9" t="s">
        <v>76</v>
      </c>
      <c r="H23" s="10"/>
      <c r="I23" s="10">
        <v>0.15</v>
      </c>
      <c r="J23" s="6"/>
      <c r="K23" s="11">
        <v>12.76</v>
      </c>
      <c r="L23" s="11">
        <v>26.39</v>
      </c>
      <c r="M23" s="10">
        <f t="shared" si="0"/>
        <v>0.48351648351648352</v>
      </c>
    </row>
    <row r="24" spans="1:13" s="11" customFormat="1" ht="18.45">
      <c r="A24" s="9" t="s">
        <v>33</v>
      </c>
      <c r="B24" s="9"/>
      <c r="D24" s="17"/>
      <c r="E24" s="17"/>
      <c r="F24" s="17"/>
      <c r="G24" s="9" t="s">
        <v>70</v>
      </c>
      <c r="H24" s="10"/>
      <c r="I24" s="10">
        <v>0.85</v>
      </c>
      <c r="J24" s="6"/>
      <c r="K24" s="11">
        <v>2.08</v>
      </c>
      <c r="L24" s="11">
        <v>54.13</v>
      </c>
      <c r="M24" s="10">
        <f t="shared" si="0"/>
        <v>3.8426011453907262E-2</v>
      </c>
    </row>
    <row r="25" spans="1:13" s="11" customFormat="1" ht="18.45">
      <c r="A25" s="9" t="s">
        <v>34</v>
      </c>
      <c r="B25" s="9"/>
      <c r="D25" s="17"/>
      <c r="E25" s="17"/>
      <c r="F25" s="17"/>
      <c r="G25" s="9" t="s">
        <v>70</v>
      </c>
      <c r="H25" s="10"/>
      <c r="I25" s="10">
        <v>0.85</v>
      </c>
      <c r="J25" s="6" t="s">
        <v>77</v>
      </c>
      <c r="K25" s="11">
        <v>9.11</v>
      </c>
      <c r="L25" s="11">
        <v>34.69</v>
      </c>
      <c r="M25" s="10">
        <f t="shared" si="0"/>
        <v>0.2626117036609974</v>
      </c>
    </row>
    <row r="26" spans="1:13" s="11" customFormat="1" ht="18.45">
      <c r="A26" s="9" t="s">
        <v>35</v>
      </c>
      <c r="B26" s="9" t="s">
        <v>74</v>
      </c>
      <c r="C26" s="11" t="s">
        <v>84</v>
      </c>
      <c r="D26" s="17">
        <v>25.59</v>
      </c>
      <c r="E26" s="17">
        <v>11.94</v>
      </c>
      <c r="F26" s="17">
        <v>127</v>
      </c>
      <c r="G26" s="9" t="s">
        <v>79</v>
      </c>
      <c r="H26" s="10"/>
      <c r="I26" s="10">
        <v>0.35</v>
      </c>
      <c r="J26" s="6" t="s">
        <v>81</v>
      </c>
      <c r="K26" s="11">
        <v>12.44</v>
      </c>
      <c r="L26" s="11">
        <v>59.37</v>
      </c>
      <c r="M26" s="10">
        <f t="shared" si="0"/>
        <v>0.20953343439447533</v>
      </c>
    </row>
    <row r="27" spans="1:13" s="11" customFormat="1" ht="18.45">
      <c r="A27" s="9" t="s">
        <v>36</v>
      </c>
      <c r="B27" s="9"/>
      <c r="D27" s="17"/>
      <c r="E27" s="17"/>
      <c r="F27" s="17"/>
      <c r="G27" s="9" t="s">
        <v>76</v>
      </c>
      <c r="H27" s="10"/>
      <c r="I27" s="10">
        <v>0.15</v>
      </c>
      <c r="J27" s="6" t="s">
        <v>82</v>
      </c>
      <c r="K27" s="11">
        <v>6.03</v>
      </c>
      <c r="L27" s="11">
        <v>24.84</v>
      </c>
      <c r="M27" s="10">
        <f t="shared" si="0"/>
        <v>0.24275362318840582</v>
      </c>
    </row>
    <row r="28" spans="1:13" s="11" customFormat="1" ht="18.45">
      <c r="A28" s="9" t="s">
        <v>37</v>
      </c>
      <c r="B28" s="9"/>
      <c r="D28" s="17"/>
      <c r="E28" s="17"/>
      <c r="F28" s="17"/>
      <c r="G28" s="9" t="s">
        <v>79</v>
      </c>
      <c r="H28" s="10"/>
      <c r="I28" s="10">
        <v>0.35</v>
      </c>
      <c r="J28" s="6"/>
      <c r="M28" s="10"/>
    </row>
    <row r="29" spans="1:13" s="11" customFormat="1" ht="18.45">
      <c r="A29" s="9" t="s">
        <v>39</v>
      </c>
      <c r="B29" s="9"/>
      <c r="D29" s="17"/>
      <c r="E29" s="17"/>
      <c r="F29" s="17"/>
      <c r="G29" s="9"/>
      <c r="H29" s="10">
        <v>1</v>
      </c>
      <c r="I29" s="10">
        <v>0</v>
      </c>
      <c r="J29" s="6"/>
      <c r="K29" s="11">
        <v>10.029999999999999</v>
      </c>
      <c r="L29" s="11">
        <v>10.28</v>
      </c>
      <c r="M29" s="10">
        <f t="shared" si="0"/>
        <v>0.97568093385214005</v>
      </c>
    </row>
    <row r="30" spans="1:13" s="11" customFormat="1" ht="18.45">
      <c r="A30" s="9" t="s">
        <v>40</v>
      </c>
      <c r="B30" s="9"/>
      <c r="D30" s="17"/>
      <c r="E30" s="17"/>
      <c r="F30" s="17"/>
      <c r="G30" s="9"/>
      <c r="H30" s="10">
        <v>1</v>
      </c>
      <c r="I30" s="10">
        <v>0</v>
      </c>
      <c r="J30" s="6"/>
      <c r="K30" s="11">
        <v>13.19</v>
      </c>
      <c r="L30" s="11">
        <v>18.95</v>
      </c>
      <c r="M30" s="10">
        <f t="shared" si="0"/>
        <v>0.69604221635883901</v>
      </c>
    </row>
    <row r="31" spans="1:13" s="11" customFormat="1" ht="18.45">
      <c r="A31" s="9" t="s">
        <v>42</v>
      </c>
      <c r="B31" s="9"/>
      <c r="D31" s="17"/>
      <c r="E31" s="17"/>
      <c r="F31" s="17"/>
      <c r="G31" s="9" t="s">
        <v>80</v>
      </c>
      <c r="H31" s="10"/>
      <c r="I31" s="10">
        <v>0.65</v>
      </c>
      <c r="J31" s="6"/>
      <c r="K31" s="11">
        <v>14.75</v>
      </c>
      <c r="L31" s="11">
        <v>21.73</v>
      </c>
      <c r="M31" s="10">
        <f t="shared" si="0"/>
        <v>0.67878508973768981</v>
      </c>
    </row>
    <row r="32" spans="1:13" s="11" customFormat="1" ht="18.45">
      <c r="A32" s="10" t="s">
        <v>43</v>
      </c>
      <c r="D32" s="17"/>
      <c r="E32" s="17"/>
      <c r="F32" s="41"/>
      <c r="H32" s="10">
        <v>1</v>
      </c>
      <c r="I32" s="10">
        <v>0</v>
      </c>
      <c r="J32" s="10"/>
      <c r="K32" s="11">
        <v>11.55</v>
      </c>
      <c r="L32" s="11">
        <v>12.06</v>
      </c>
      <c r="M32" s="10">
        <f t="shared" si="0"/>
        <v>0.95771144278606968</v>
      </c>
    </row>
    <row r="33" spans="1:28" ht="18.45">
      <c r="A33" s="10" t="s">
        <v>19</v>
      </c>
      <c r="B33" s="11"/>
      <c r="C33" s="11"/>
      <c r="D33" s="8"/>
      <c r="E33" s="8"/>
      <c r="F33" s="10"/>
      <c r="G33" s="11" t="s">
        <v>79</v>
      </c>
      <c r="H33" s="10"/>
      <c r="I33" s="10">
        <v>0.35</v>
      </c>
      <c r="J33" s="10"/>
      <c r="K33" s="11"/>
      <c r="L33" s="11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8.45">
      <c r="A34" s="10" t="s">
        <v>28</v>
      </c>
      <c r="B34" s="11"/>
      <c r="C34" s="11"/>
      <c r="D34" s="8"/>
      <c r="E34" s="8"/>
      <c r="F34" s="10"/>
      <c r="G34" s="11"/>
      <c r="H34" s="10">
        <v>1</v>
      </c>
      <c r="I34" s="10">
        <v>0</v>
      </c>
      <c r="J34" s="10"/>
      <c r="K34" s="11"/>
      <c r="L34" s="11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11" customFormat="1" ht="18.45">
      <c r="A35" s="10" t="s">
        <v>46</v>
      </c>
      <c r="D35" s="8"/>
      <c r="E35" s="8"/>
      <c r="F35" s="10"/>
      <c r="G35" s="11" t="s">
        <v>76</v>
      </c>
      <c r="H35" s="10"/>
      <c r="I35" s="10">
        <v>0.15</v>
      </c>
      <c r="J35" s="10" t="s">
        <v>77</v>
      </c>
      <c r="K35" s="11">
        <v>9.8699999999999992</v>
      </c>
      <c r="L35" s="11">
        <v>31.06</v>
      </c>
      <c r="M35" s="10">
        <f t="shared" si="0"/>
        <v>0.31777205408886028</v>
      </c>
    </row>
    <row r="36" spans="1:28" s="11" customFormat="1" ht="18.45">
      <c r="A36" s="10" t="s">
        <v>158</v>
      </c>
      <c r="B36" s="11" t="s">
        <v>74</v>
      </c>
      <c r="C36" s="11" t="s">
        <v>75</v>
      </c>
      <c r="D36" s="8">
        <v>32.799999999999997</v>
      </c>
      <c r="E36" s="8">
        <v>16.100000000000001</v>
      </c>
      <c r="F36" s="10">
        <v>130</v>
      </c>
      <c r="G36" s="11" t="s">
        <v>80</v>
      </c>
      <c r="H36" s="10"/>
      <c r="I36" s="10">
        <v>0.65</v>
      </c>
      <c r="J36" s="10" t="s">
        <v>82</v>
      </c>
      <c r="K36" s="11">
        <v>14.73</v>
      </c>
      <c r="L36" s="11">
        <v>25.46</v>
      </c>
      <c r="M36" s="10">
        <f t="shared" si="0"/>
        <v>0.57855459544383347</v>
      </c>
    </row>
    <row r="37" spans="1:28" s="11" customFormat="1" ht="18.45">
      <c r="A37" s="10" t="s">
        <v>47</v>
      </c>
      <c r="B37" s="11" t="s">
        <v>74</v>
      </c>
      <c r="C37" s="11" t="s">
        <v>75</v>
      </c>
      <c r="D37" s="8">
        <v>37.04</v>
      </c>
      <c r="E37" s="8">
        <v>14.08</v>
      </c>
      <c r="F37" s="10">
        <v>133</v>
      </c>
      <c r="G37" s="11" t="s">
        <v>70</v>
      </c>
      <c r="H37" s="10"/>
      <c r="I37" s="10">
        <v>0.85</v>
      </c>
      <c r="J37" s="10"/>
      <c r="M37" s="10"/>
    </row>
    <row r="38" spans="1:28" s="11" customFormat="1" ht="18.45">
      <c r="A38" s="10" t="s">
        <v>50</v>
      </c>
      <c r="D38" s="8"/>
      <c r="E38" s="8"/>
      <c r="F38" s="10"/>
      <c r="H38" s="10">
        <v>1</v>
      </c>
      <c r="I38" s="10">
        <v>0</v>
      </c>
      <c r="J38" s="10" t="s">
        <v>82</v>
      </c>
      <c r="K38" s="11">
        <v>8.49</v>
      </c>
      <c r="L38" s="11">
        <v>26.26</v>
      </c>
      <c r="M38" s="10">
        <f t="shared" si="0"/>
        <v>0.3233054074638233</v>
      </c>
    </row>
    <row r="39" spans="1:28" s="11" customFormat="1" ht="18.45">
      <c r="A39" s="10" t="s">
        <v>49</v>
      </c>
      <c r="D39" s="8"/>
      <c r="E39" s="8"/>
      <c r="F39" s="10"/>
      <c r="G39" s="11" t="s">
        <v>80</v>
      </c>
      <c r="H39" s="10"/>
      <c r="I39" s="10">
        <v>0.65</v>
      </c>
      <c r="J39" s="10" t="s">
        <v>82</v>
      </c>
      <c r="K39" s="11">
        <v>5.62</v>
      </c>
      <c r="L39" s="11">
        <v>23.91</v>
      </c>
      <c r="M39" s="10">
        <f t="shared" si="0"/>
        <v>0.23504809703053117</v>
      </c>
    </row>
    <row r="40" spans="1:28" s="11" customFormat="1" ht="18.45">
      <c r="A40" s="10" t="s">
        <v>51</v>
      </c>
      <c r="D40" s="8"/>
      <c r="E40" s="8"/>
      <c r="F40" s="10"/>
      <c r="H40" s="10">
        <v>1</v>
      </c>
      <c r="I40" s="10">
        <v>0</v>
      </c>
      <c r="J40" s="10" t="s">
        <v>83</v>
      </c>
      <c r="M40" s="10"/>
    </row>
    <row r="41" spans="1:28" s="11" customFormat="1" ht="18.45">
      <c r="A41" s="10" t="s">
        <v>52</v>
      </c>
      <c r="D41" s="8"/>
      <c r="E41" s="8"/>
      <c r="F41" s="10"/>
      <c r="H41" s="10">
        <v>1</v>
      </c>
      <c r="I41" s="10">
        <v>0</v>
      </c>
      <c r="J41" s="10"/>
      <c r="M41" s="10"/>
    </row>
    <row r="42" spans="1:28" s="11" customFormat="1" ht="18.45">
      <c r="A42" s="10" t="s">
        <v>53</v>
      </c>
      <c r="D42" s="8"/>
      <c r="E42" s="8"/>
      <c r="F42" s="10"/>
      <c r="H42" s="10">
        <v>1</v>
      </c>
      <c r="I42" s="10">
        <v>0</v>
      </c>
      <c r="J42" s="10" t="s">
        <v>82</v>
      </c>
      <c r="M42" s="10"/>
    </row>
    <row r="43" spans="1:28" s="11" customFormat="1" ht="18.45">
      <c r="A43" s="10" t="s">
        <v>54</v>
      </c>
      <c r="B43" s="11" t="s">
        <v>74</v>
      </c>
      <c r="C43" s="11" t="s">
        <v>75</v>
      </c>
      <c r="D43" s="8">
        <v>18.79</v>
      </c>
      <c r="E43" s="8">
        <v>10.74</v>
      </c>
      <c r="F43" s="10">
        <v>90</v>
      </c>
      <c r="H43" s="10">
        <v>1</v>
      </c>
      <c r="I43" s="10">
        <v>0</v>
      </c>
      <c r="J43" s="10" t="s">
        <v>82</v>
      </c>
      <c r="K43" s="11">
        <v>13.83</v>
      </c>
      <c r="L43" s="11">
        <v>16.98</v>
      </c>
      <c r="M43" s="10">
        <f t="shared" si="0"/>
        <v>0.81448763250883394</v>
      </c>
    </row>
    <row r="44" spans="1:28" s="11" customFormat="1" ht="18.45">
      <c r="A44" s="10" t="s">
        <v>55</v>
      </c>
      <c r="D44" s="8"/>
      <c r="E44" s="8"/>
      <c r="F44" s="10"/>
      <c r="H44" s="10">
        <v>1</v>
      </c>
      <c r="I44" s="10">
        <v>0</v>
      </c>
      <c r="J44" s="10" t="s">
        <v>83</v>
      </c>
      <c r="K44" s="11">
        <v>11.97</v>
      </c>
      <c r="L44" s="11">
        <v>17.760000000000002</v>
      </c>
      <c r="M44" s="10">
        <f t="shared" si="0"/>
        <v>0.67398648648648651</v>
      </c>
    </row>
    <row r="45" spans="1:28" s="11" customFormat="1" ht="18.45">
      <c r="A45" s="10" t="s">
        <v>56</v>
      </c>
      <c r="D45" s="8"/>
      <c r="E45" s="8"/>
      <c r="F45" s="10"/>
      <c r="H45" s="10">
        <v>1</v>
      </c>
      <c r="I45" s="10">
        <v>0</v>
      </c>
      <c r="J45" s="10"/>
      <c r="M45" s="10"/>
    </row>
    <row r="46" spans="1:28" s="11" customFormat="1" ht="18.45">
      <c r="A46" s="10" t="s">
        <v>57</v>
      </c>
      <c r="D46" s="8"/>
      <c r="E46" s="8"/>
      <c r="F46" s="10"/>
      <c r="G46" s="11" t="s">
        <v>80</v>
      </c>
      <c r="H46" s="10"/>
      <c r="I46" s="10">
        <v>0.65</v>
      </c>
      <c r="J46" s="10" t="s">
        <v>71</v>
      </c>
      <c r="M46" s="10"/>
    </row>
    <row r="47" spans="1:28" s="11" customFormat="1" ht="18.45">
      <c r="A47" s="10" t="s">
        <v>58</v>
      </c>
      <c r="B47" s="11" t="s">
        <v>74</v>
      </c>
      <c r="C47" s="11" t="s">
        <v>73</v>
      </c>
      <c r="D47" s="8">
        <v>19.22</v>
      </c>
      <c r="E47" s="8">
        <v>11.13</v>
      </c>
      <c r="F47" s="10">
        <v>97</v>
      </c>
      <c r="H47" s="10">
        <v>1</v>
      </c>
      <c r="I47" s="10">
        <v>0</v>
      </c>
      <c r="J47" s="10"/>
      <c r="M47" s="10"/>
    </row>
    <row r="48" spans="1:28" s="11" customFormat="1" ht="18.45">
      <c r="A48" s="10" t="s">
        <v>59</v>
      </c>
      <c r="D48" s="8"/>
      <c r="E48" s="8"/>
      <c r="F48" s="10"/>
      <c r="H48" s="10">
        <v>1</v>
      </c>
      <c r="I48" s="10">
        <v>0</v>
      </c>
      <c r="J48" s="10" t="s">
        <v>83</v>
      </c>
      <c r="K48" s="11">
        <v>5.24</v>
      </c>
      <c r="L48" s="11">
        <v>12.77</v>
      </c>
      <c r="M48" s="10">
        <f t="shared" si="0"/>
        <v>0.4103367267032107</v>
      </c>
    </row>
    <row r="49" spans="1:13" s="11" customFormat="1" ht="18.45">
      <c r="A49" s="10" t="s">
        <v>60</v>
      </c>
      <c r="D49" s="8"/>
      <c r="E49" s="8"/>
      <c r="F49" s="10"/>
      <c r="H49" s="10">
        <v>1</v>
      </c>
      <c r="I49" s="10">
        <v>0</v>
      </c>
      <c r="J49" s="10" t="s">
        <v>82</v>
      </c>
      <c r="K49" s="11">
        <v>8.01</v>
      </c>
      <c r="L49" s="11">
        <v>11.98</v>
      </c>
      <c r="M49" s="10">
        <f t="shared" si="0"/>
        <v>0.6686143572621035</v>
      </c>
    </row>
    <row r="50" spans="1:13" s="11" customFormat="1" ht="18.45">
      <c r="A50" s="10" t="s">
        <v>61</v>
      </c>
      <c r="B50" s="11" t="s">
        <v>78</v>
      </c>
      <c r="C50" s="11" t="s">
        <v>75</v>
      </c>
      <c r="D50" s="8">
        <v>10.16</v>
      </c>
      <c r="E50" s="8">
        <v>5.71</v>
      </c>
      <c r="F50" s="10">
        <v>120</v>
      </c>
      <c r="G50" s="11" t="s">
        <v>79</v>
      </c>
      <c r="H50" s="10"/>
      <c r="I50" s="10">
        <v>0.35</v>
      </c>
      <c r="J50" s="10" t="s">
        <v>77</v>
      </c>
      <c r="K50" s="11">
        <v>23.53</v>
      </c>
      <c r="L50" s="11">
        <v>30.6</v>
      </c>
      <c r="M50" s="10">
        <f t="shared" si="0"/>
        <v>0.76895424836601312</v>
      </c>
    </row>
    <row r="51" spans="1:13" s="11" customFormat="1" ht="18.45">
      <c r="A51" s="10" t="s">
        <v>62</v>
      </c>
      <c r="D51" s="8"/>
      <c r="E51" s="8"/>
      <c r="F51" s="10"/>
      <c r="G51" s="11" t="s">
        <v>80</v>
      </c>
      <c r="H51" s="10"/>
      <c r="I51" s="10">
        <v>0.65</v>
      </c>
      <c r="J51" s="10" t="s">
        <v>83</v>
      </c>
      <c r="K51" s="11">
        <v>9.2799999999999994</v>
      </c>
      <c r="L51" s="11">
        <v>21.13</v>
      </c>
      <c r="M51" s="10">
        <f t="shared" si="0"/>
        <v>0.43918599148130621</v>
      </c>
    </row>
    <row r="52" spans="1:13" s="11" customFormat="1" ht="17.5" customHeight="1">
      <c r="A52" s="10" t="s">
        <v>64</v>
      </c>
      <c r="D52" s="8"/>
      <c r="E52" s="8"/>
      <c r="F52" s="10"/>
      <c r="G52" s="11" t="s">
        <v>76</v>
      </c>
      <c r="H52" s="10"/>
      <c r="I52" s="10">
        <v>0.15</v>
      </c>
      <c r="J52" s="10" t="s">
        <v>83</v>
      </c>
      <c r="K52" s="11">
        <v>6.35</v>
      </c>
      <c r="L52" s="11">
        <v>15.71</v>
      </c>
      <c r="M52" s="10">
        <f t="shared" si="0"/>
        <v>0.40420114576702731</v>
      </c>
    </row>
    <row r="53" spans="1:13" s="11" customFormat="1" ht="18.45">
      <c r="A53" s="10" t="s">
        <v>65</v>
      </c>
      <c r="D53" s="8"/>
      <c r="E53" s="8"/>
      <c r="F53" s="10"/>
      <c r="H53" s="10">
        <v>1</v>
      </c>
      <c r="I53" s="10">
        <v>0</v>
      </c>
      <c r="J53" s="10"/>
      <c r="M53" s="10"/>
    </row>
    <row r="54" spans="1:13" s="11" customFormat="1" ht="18.45">
      <c r="A54" s="10" t="s">
        <v>66</v>
      </c>
      <c r="D54" s="8"/>
      <c r="E54" s="8"/>
      <c r="F54" s="10"/>
      <c r="H54" s="10">
        <v>1</v>
      </c>
      <c r="I54" s="10">
        <v>0</v>
      </c>
      <c r="J54" s="10" t="s">
        <v>82</v>
      </c>
      <c r="K54" s="11">
        <v>4.34</v>
      </c>
      <c r="L54" s="11">
        <v>31.26</v>
      </c>
      <c r="M54" s="10">
        <f t="shared" si="0"/>
        <v>0.13883557261676263</v>
      </c>
    </row>
    <row r="55" spans="1:13" s="11" customFormat="1" ht="18.45">
      <c r="A55" s="10" t="s">
        <v>67</v>
      </c>
      <c r="B55" s="11" t="s">
        <v>74</v>
      </c>
      <c r="C55" s="11" t="s">
        <v>75</v>
      </c>
      <c r="D55" s="8">
        <v>33.93</v>
      </c>
      <c r="E55" s="8">
        <v>11.37</v>
      </c>
      <c r="F55" s="10">
        <v>130</v>
      </c>
      <c r="H55" s="10">
        <v>1</v>
      </c>
      <c r="I55" s="10">
        <v>0</v>
      </c>
      <c r="J55" s="10" t="s">
        <v>82</v>
      </c>
      <c r="K55" s="11">
        <v>12.91</v>
      </c>
      <c r="L55" s="11">
        <v>16.170000000000002</v>
      </c>
      <c r="M55" s="10">
        <f t="shared" si="0"/>
        <v>0.79839208410636975</v>
      </c>
    </row>
    <row r="56" spans="1:13" s="11" customFormat="1" ht="18.45">
      <c r="A56" s="14" t="s">
        <v>68</v>
      </c>
      <c r="B56" s="18"/>
      <c r="C56" s="18"/>
      <c r="D56" s="13"/>
      <c r="E56" s="13"/>
      <c r="F56" s="14"/>
      <c r="G56" s="18" t="s">
        <v>76</v>
      </c>
      <c r="H56" s="14"/>
      <c r="I56" s="14">
        <v>0.15</v>
      </c>
      <c r="J56" s="14" t="s">
        <v>82</v>
      </c>
      <c r="K56" s="18">
        <v>8.09</v>
      </c>
      <c r="L56" s="18">
        <v>17.27</v>
      </c>
      <c r="M56" s="14">
        <f t="shared" si="0"/>
        <v>0.46844238563983787</v>
      </c>
    </row>
    <row r="57" spans="1:13" s="11" customFormat="1" ht="18.45">
      <c r="D57" s="8"/>
      <c r="E57" s="8"/>
    </row>
    <row r="58" spans="1:13" s="11" customFormat="1" ht="18.45">
      <c r="D58" s="8"/>
      <c r="E58" s="8"/>
    </row>
    <row r="59" spans="1:13" s="11" customFormat="1" ht="18.45">
      <c r="D59" s="8"/>
      <c r="E59" s="8"/>
    </row>
    <row r="60" spans="1:13" s="11" customFormat="1" ht="18.45">
      <c r="D60" s="8"/>
      <c r="E60" s="8"/>
    </row>
    <row r="61" spans="1:13" s="11" customFormat="1" ht="18.45">
      <c r="D61" s="8"/>
      <c r="E61" s="8"/>
    </row>
    <row r="62" spans="1:13" s="11" customFormat="1" ht="18.45">
      <c r="D62" s="8"/>
      <c r="E62" s="8"/>
    </row>
    <row r="63" spans="1:13" s="11" customFormat="1" ht="18.45">
      <c r="D63" s="8"/>
      <c r="E63" s="8"/>
    </row>
    <row r="64" spans="1:13" s="11" customFormat="1" ht="18.45">
      <c r="D64" s="8"/>
      <c r="E64" s="8"/>
    </row>
    <row r="65" spans="1:13" s="11" customFormat="1" ht="18.45">
      <c r="D65" s="8"/>
      <c r="E65" s="8"/>
    </row>
    <row r="66" spans="1:13" s="11" customFormat="1" ht="18.45">
      <c r="D66" s="8"/>
      <c r="E66" s="8"/>
    </row>
    <row r="67" spans="1:13" s="11" customFormat="1" ht="18.45">
      <c r="D67" s="8"/>
      <c r="E67" s="8"/>
    </row>
    <row r="68" spans="1:13" s="11" customFormat="1" ht="18.45">
      <c r="D68" s="8"/>
      <c r="E68" s="8"/>
    </row>
    <row r="69" spans="1:13" s="11" customFormat="1" ht="18.45">
      <c r="B69" s="34"/>
      <c r="C69" s="34"/>
      <c r="D69" s="35"/>
      <c r="E69" s="35"/>
      <c r="F69" s="34"/>
      <c r="H69" s="34"/>
      <c r="I69" s="34"/>
    </row>
    <row r="70" spans="1:13" s="11" customFormat="1" ht="18.45">
      <c r="D70" s="8"/>
      <c r="E70" s="8"/>
    </row>
    <row r="71" spans="1:13" ht="18.45">
      <c r="A71" s="11"/>
      <c r="B71" s="11"/>
      <c r="C71" s="11"/>
      <c r="D71" s="8"/>
      <c r="E71" s="8"/>
      <c r="F71" s="11"/>
      <c r="G71" s="11"/>
      <c r="H71" s="11"/>
      <c r="I71" s="11"/>
      <c r="J71" s="11"/>
      <c r="K71" s="11"/>
      <c r="L71" s="11"/>
      <c r="M71" s="11"/>
    </row>
    <row r="72" spans="1:13" s="11" customFormat="1" ht="18.45">
      <c r="D72" s="8"/>
      <c r="E72" s="8"/>
    </row>
    <row r="73" spans="1:13" s="11" customFormat="1" ht="18.45">
      <c r="D73" s="8"/>
      <c r="E73" s="8"/>
    </row>
    <row r="74" spans="1:13" s="11" customFormat="1" ht="18.45">
      <c r="D74" s="8"/>
      <c r="E74" s="8"/>
    </row>
    <row r="75" spans="1:13" s="11" customFormat="1" ht="18.45">
      <c r="D75" s="8"/>
      <c r="E75" s="8"/>
    </row>
    <row r="76" spans="1:13" s="11" customFormat="1" ht="18.45">
      <c r="D76" s="8"/>
      <c r="E76" s="8"/>
    </row>
    <row r="77" spans="1:13" s="11" customFormat="1" ht="18.45">
      <c r="D77" s="8"/>
      <c r="E77" s="8"/>
    </row>
    <row r="78" spans="1:13" s="11" customFormat="1" ht="18.45">
      <c r="D78" s="8"/>
      <c r="E78" s="8"/>
    </row>
    <row r="79" spans="1:13" s="11" customFormat="1" ht="18.45">
      <c r="D79" s="8"/>
      <c r="E79" s="8"/>
    </row>
    <row r="80" spans="1:13" s="11" customFormat="1" ht="18.45">
      <c r="D80" s="8"/>
      <c r="E80" s="8"/>
    </row>
    <row r="81" spans="4:5" s="11" customFormat="1" ht="18.45">
      <c r="D81" s="8"/>
      <c r="E81" s="8"/>
    </row>
    <row r="82" spans="4:5" s="11" customFormat="1" ht="18.45">
      <c r="D82" s="8"/>
      <c r="E82" s="8"/>
    </row>
    <row r="83" spans="4:5" s="11" customFormat="1" ht="18.45">
      <c r="D83" s="8"/>
      <c r="E83" s="8"/>
    </row>
    <row r="84" spans="4:5" s="11" customFormat="1" ht="18.45">
      <c r="D84" s="8"/>
      <c r="E84" s="8"/>
    </row>
    <row r="85" spans="4:5" s="11" customFormat="1" ht="18.45">
      <c r="D85" s="8"/>
      <c r="E85" s="8"/>
    </row>
    <row r="86" spans="4:5" s="11" customFormat="1" ht="18.45">
      <c r="D86" s="8"/>
      <c r="E86" s="8"/>
    </row>
    <row r="87" spans="4:5" s="11" customFormat="1" ht="18.45">
      <c r="D87" s="8"/>
      <c r="E87" s="8"/>
    </row>
    <row r="88" spans="4:5" s="11" customFormat="1" ht="18.45">
      <c r="D88" s="8"/>
      <c r="E88" s="8"/>
    </row>
    <row r="89" spans="4:5" s="11" customFormat="1" ht="18.45">
      <c r="D89" s="8"/>
      <c r="E89" s="8"/>
    </row>
    <row r="90" spans="4:5" s="11" customFormat="1" ht="18.45">
      <c r="D90" s="8"/>
      <c r="E90" s="8"/>
    </row>
    <row r="91" spans="4:5" s="11" customFormat="1" ht="18.45">
      <c r="D91" s="8"/>
      <c r="E91" s="8"/>
    </row>
    <row r="92" spans="4:5" s="11" customFormat="1" ht="18.45">
      <c r="D92" s="8"/>
      <c r="E92" s="8"/>
    </row>
    <row r="93" spans="4:5" s="11" customFormat="1" ht="18.45">
      <c r="D93" s="8"/>
      <c r="E93" s="8"/>
    </row>
    <row r="94" spans="4:5" s="11" customFormat="1" ht="18.45">
      <c r="D94" s="8"/>
      <c r="E94" s="8"/>
    </row>
    <row r="95" spans="4:5" s="11" customFormat="1" ht="18.45">
      <c r="D95" s="8"/>
      <c r="E95" s="8"/>
    </row>
    <row r="96" spans="4:5" s="11" customFormat="1" ht="18.45">
      <c r="D96" s="8"/>
      <c r="E96" s="8"/>
    </row>
    <row r="97" spans="4:5" s="11" customFormat="1" ht="18.45">
      <c r="D97" s="8"/>
      <c r="E97" s="8"/>
    </row>
    <row r="98" spans="4:5" s="11" customFormat="1" ht="18.45">
      <c r="D98" s="8"/>
      <c r="E98" s="8"/>
    </row>
    <row r="99" spans="4:5" s="11" customFormat="1" ht="18.45">
      <c r="D99" s="8"/>
      <c r="E99" s="8"/>
    </row>
    <row r="100" spans="4:5" s="11" customFormat="1" ht="18.45">
      <c r="D100" s="8"/>
      <c r="E100" s="8"/>
    </row>
    <row r="101" spans="4:5" s="11" customFormat="1" ht="18.45">
      <c r="D101" s="8"/>
      <c r="E101" s="8"/>
    </row>
    <row r="102" spans="4:5" s="11" customFormat="1" ht="18.45">
      <c r="D102" s="8"/>
      <c r="E102" s="8"/>
    </row>
    <row r="103" spans="4:5" s="11" customFormat="1" ht="18.45">
      <c r="D103" s="8"/>
      <c r="E103" s="8"/>
    </row>
    <row r="104" spans="4:5" s="11" customFormat="1" ht="18.45">
      <c r="D104" s="8"/>
      <c r="E104" s="8"/>
    </row>
    <row r="105" spans="4:5" s="11" customFormat="1" ht="18.45">
      <c r="D105" s="8"/>
      <c r="E105" s="8"/>
    </row>
    <row r="106" spans="4:5" s="11" customFormat="1" ht="18.45">
      <c r="D106" s="8"/>
      <c r="E106" s="8"/>
    </row>
    <row r="107" spans="4:5" s="11" customFormat="1" ht="18.45">
      <c r="D107" s="8"/>
      <c r="E107" s="8"/>
    </row>
    <row r="108" spans="4:5" s="11" customFormat="1" ht="18.45">
      <c r="D108" s="8"/>
      <c r="E108" s="8"/>
    </row>
    <row r="109" spans="4:5" s="11" customFormat="1" ht="18.45">
      <c r="D109" s="8"/>
      <c r="E109" s="8"/>
    </row>
    <row r="110" spans="4:5" s="11" customFormat="1" ht="18.45">
      <c r="D110" s="8"/>
      <c r="E110" s="8"/>
    </row>
    <row r="111" spans="4:5" s="11" customFormat="1" ht="18.45">
      <c r="D111" s="8"/>
      <c r="E111" s="8"/>
    </row>
    <row r="112" spans="4:5" s="11" customFormat="1" ht="18.45">
      <c r="D112" s="8"/>
      <c r="E112" s="8"/>
    </row>
    <row r="113" spans="4:5" s="11" customFormat="1" ht="18.45">
      <c r="D113" s="8"/>
      <c r="E113" s="8"/>
    </row>
    <row r="114" spans="4:5" s="11" customFormat="1" ht="18.45">
      <c r="D114" s="8"/>
      <c r="E114" s="8"/>
    </row>
    <row r="115" spans="4:5" s="11" customFormat="1" ht="18.45">
      <c r="D115" s="8"/>
      <c r="E115" s="8"/>
    </row>
    <row r="116" spans="4:5" s="11" customFormat="1" ht="18.45">
      <c r="D116" s="8"/>
      <c r="E116" s="8"/>
    </row>
    <row r="117" spans="4:5" s="11" customFormat="1" ht="18.45">
      <c r="D117" s="8"/>
      <c r="E117" s="8"/>
    </row>
    <row r="118" spans="4:5" s="11" customFormat="1" ht="18.45">
      <c r="D118" s="8"/>
      <c r="E118" s="8"/>
    </row>
    <row r="119" spans="4:5" s="11" customFormat="1" ht="18.45">
      <c r="D119" s="8"/>
      <c r="E119" s="8"/>
    </row>
    <row r="120" spans="4:5" s="11" customFormat="1" ht="18.45">
      <c r="D120" s="8"/>
      <c r="E120" s="8"/>
    </row>
    <row r="121" spans="4:5" s="11" customFormat="1" ht="18.45">
      <c r="D121" s="8"/>
      <c r="E121" s="8"/>
    </row>
    <row r="122" spans="4:5" s="11" customFormat="1" ht="18.45">
      <c r="D122" s="8"/>
      <c r="E122" s="8"/>
    </row>
    <row r="123" spans="4:5" s="11" customFormat="1" ht="18.45">
      <c r="D123" s="8"/>
      <c r="E123" s="8"/>
    </row>
    <row r="124" spans="4:5" s="11" customFormat="1" ht="18.45">
      <c r="D124" s="8"/>
      <c r="E124" s="8"/>
    </row>
    <row r="125" spans="4:5" s="11" customFormat="1" ht="18.45">
      <c r="D125" s="8"/>
      <c r="E125" s="8"/>
    </row>
    <row r="126" spans="4:5" s="11" customFormat="1" ht="18.45">
      <c r="D126" s="8"/>
      <c r="E126" s="8"/>
    </row>
    <row r="127" spans="4:5" s="11" customFormat="1" ht="18.45">
      <c r="D127" s="8"/>
      <c r="E127" s="8"/>
    </row>
    <row r="128" spans="4:5" s="11" customFormat="1" ht="18.45">
      <c r="D128" s="8"/>
      <c r="E128" s="8"/>
    </row>
    <row r="129" spans="4:5" s="11" customFormat="1" ht="18.45">
      <c r="D129" s="8"/>
      <c r="E129" s="8"/>
    </row>
    <row r="130" spans="4:5" s="11" customFormat="1" ht="18.45">
      <c r="D130" s="8"/>
      <c r="E130" s="8"/>
    </row>
    <row r="131" spans="4:5" s="11" customFormat="1" ht="18.45">
      <c r="D131" s="8"/>
      <c r="E131" s="8"/>
    </row>
    <row r="132" spans="4:5" s="11" customFormat="1" ht="18.45">
      <c r="D132" s="8"/>
      <c r="E132" s="8"/>
    </row>
    <row r="133" spans="4:5" s="11" customFormat="1" ht="18.45">
      <c r="D133" s="8"/>
      <c r="E133" s="8"/>
    </row>
    <row r="134" spans="4:5" s="11" customFormat="1" ht="18.45">
      <c r="D134" s="8"/>
      <c r="E134" s="8"/>
    </row>
    <row r="135" spans="4:5" s="11" customFormat="1" ht="18.45">
      <c r="D135" s="8"/>
      <c r="E135" s="8"/>
    </row>
    <row r="136" spans="4:5" s="11" customFormat="1" ht="18.45">
      <c r="D136" s="8"/>
      <c r="E136" s="8"/>
    </row>
    <row r="137" spans="4:5" s="11" customFormat="1" ht="18.45">
      <c r="D137" s="8"/>
      <c r="E137" s="8"/>
    </row>
    <row r="138" spans="4:5" s="11" customFormat="1" ht="18.45">
      <c r="D138" s="8"/>
      <c r="E138" s="8"/>
    </row>
    <row r="139" spans="4:5" s="11" customFormat="1" ht="18.45">
      <c r="D139" s="8"/>
      <c r="E139" s="8"/>
    </row>
    <row r="140" spans="4:5" s="11" customFormat="1" ht="18.45">
      <c r="D140" s="8"/>
      <c r="E140" s="8"/>
    </row>
    <row r="141" spans="4:5" s="11" customFormat="1" ht="18.45">
      <c r="D141" s="8"/>
      <c r="E141" s="8"/>
    </row>
    <row r="142" spans="4:5" s="11" customFormat="1" ht="18.45">
      <c r="D142" s="8"/>
      <c r="E142" s="8"/>
    </row>
    <row r="143" spans="4:5" s="11" customFormat="1" ht="18.45">
      <c r="D143" s="8"/>
      <c r="E143" s="8"/>
    </row>
    <row r="144" spans="4:5" s="11" customFormat="1" ht="18.45">
      <c r="D144" s="8"/>
      <c r="E144" s="8"/>
    </row>
    <row r="145" spans="4:5" s="11" customFormat="1" ht="18.45">
      <c r="D145" s="8"/>
      <c r="E145" s="8"/>
    </row>
    <row r="146" spans="4:5" s="11" customFormat="1" ht="18.45">
      <c r="D146" s="8"/>
      <c r="E146" s="8"/>
    </row>
    <row r="147" spans="4:5" s="11" customFormat="1" ht="18.45">
      <c r="D147" s="8"/>
      <c r="E147" s="8"/>
    </row>
    <row r="148" spans="4:5" s="11" customFormat="1" ht="18.45">
      <c r="D148" s="8"/>
      <c r="E148" s="8"/>
    </row>
    <row r="149" spans="4:5" s="11" customFormat="1" ht="18.45">
      <c r="D149" s="8"/>
      <c r="E149" s="8"/>
    </row>
    <row r="150" spans="4:5" s="11" customFormat="1" ht="18.45">
      <c r="D150" s="8"/>
      <c r="E150" s="8"/>
    </row>
    <row r="151" spans="4:5" s="11" customFormat="1" ht="18.45">
      <c r="D151" s="8"/>
      <c r="E151" s="8"/>
    </row>
    <row r="152" spans="4:5" s="11" customFormat="1" ht="18.45">
      <c r="D152" s="8"/>
      <c r="E152" s="8"/>
    </row>
    <row r="153" spans="4:5" s="11" customFormat="1" ht="18.45">
      <c r="D153" s="8"/>
      <c r="E153" s="8"/>
    </row>
    <row r="154" spans="4:5" s="11" customFormat="1" ht="18.45">
      <c r="D154" s="8"/>
      <c r="E154" s="8"/>
    </row>
    <row r="155" spans="4:5" s="11" customFormat="1" ht="18.45">
      <c r="D155" s="8"/>
      <c r="E155" s="8"/>
    </row>
    <row r="156" spans="4:5" s="11" customFormat="1" ht="18.45">
      <c r="D156" s="8"/>
      <c r="E156" s="8"/>
    </row>
    <row r="157" spans="4:5" s="11" customFormat="1" ht="18.45">
      <c r="D157" s="8"/>
      <c r="E157" s="8"/>
    </row>
    <row r="158" spans="4:5" s="11" customFormat="1" ht="18.45">
      <c r="D158" s="8"/>
      <c r="E158" s="8"/>
    </row>
    <row r="159" spans="4:5" s="11" customFormat="1" ht="18.45">
      <c r="D159" s="8"/>
      <c r="E159" s="8"/>
    </row>
    <row r="160" spans="4:5" s="11" customFormat="1" ht="18.45">
      <c r="D160" s="8"/>
      <c r="E160" s="8"/>
    </row>
    <row r="161" spans="4:5" s="11" customFormat="1" ht="18.45">
      <c r="D161" s="8"/>
      <c r="E161" s="8"/>
    </row>
    <row r="162" spans="4:5" s="11" customFormat="1" ht="18.45">
      <c r="D162" s="8"/>
      <c r="E162" s="8"/>
    </row>
    <row r="163" spans="4:5" s="11" customFormat="1" ht="18.45">
      <c r="D163" s="8"/>
      <c r="E163" s="8"/>
    </row>
    <row r="164" spans="4:5" s="11" customFormat="1" ht="18.45">
      <c r="D164" s="8"/>
      <c r="E164" s="8"/>
    </row>
    <row r="165" spans="4:5" s="11" customFormat="1" ht="18.45">
      <c r="D165" s="8"/>
      <c r="E165" s="8"/>
    </row>
    <row r="166" spans="4:5" s="11" customFormat="1" ht="18.45">
      <c r="D166" s="8"/>
      <c r="E166" s="8"/>
    </row>
    <row r="167" spans="4:5" s="11" customFormat="1" ht="18.45">
      <c r="D167" s="8"/>
      <c r="E167" s="8"/>
    </row>
    <row r="168" spans="4:5" s="11" customFormat="1" ht="18.45">
      <c r="D168" s="8"/>
      <c r="E168" s="8"/>
    </row>
    <row r="169" spans="4:5" s="11" customFormat="1" ht="18.45">
      <c r="D169" s="8"/>
      <c r="E169" s="8"/>
    </row>
    <row r="170" spans="4:5" s="11" customFormat="1" ht="18.45">
      <c r="D170" s="8"/>
      <c r="E170" s="8"/>
    </row>
    <row r="171" spans="4:5" s="11" customFormat="1" ht="18.45">
      <c r="D171" s="8"/>
      <c r="E171" s="8"/>
    </row>
    <row r="172" spans="4:5" s="11" customFormat="1" ht="18.45">
      <c r="D172" s="8"/>
      <c r="E172" s="8"/>
    </row>
    <row r="173" spans="4:5" s="11" customFormat="1" ht="18.45">
      <c r="D173" s="8"/>
      <c r="E173" s="8"/>
    </row>
    <row r="174" spans="4:5" s="11" customFormat="1" ht="18.45">
      <c r="D174" s="8"/>
      <c r="E174" s="8"/>
    </row>
    <row r="175" spans="4:5" s="11" customFormat="1" ht="18.45">
      <c r="D175" s="8"/>
      <c r="E175" s="8"/>
    </row>
    <row r="176" spans="4:5" s="11" customFormat="1" ht="18.45">
      <c r="D176" s="8"/>
      <c r="E176" s="8"/>
    </row>
    <row r="177" spans="4:5" s="11" customFormat="1" ht="18.45">
      <c r="D177" s="8"/>
      <c r="E177" s="8"/>
    </row>
    <row r="178" spans="4:5" s="11" customFormat="1" ht="18.45">
      <c r="D178" s="8"/>
      <c r="E178" s="8"/>
    </row>
    <row r="179" spans="4:5" s="11" customFormat="1" ht="18.45">
      <c r="D179" s="8"/>
      <c r="E179" s="8"/>
    </row>
    <row r="180" spans="4:5" s="11" customFormat="1" ht="18.45">
      <c r="D180" s="8"/>
      <c r="E180" s="8"/>
    </row>
    <row r="181" spans="4:5" s="11" customFormat="1" ht="18.45">
      <c r="D181" s="8"/>
      <c r="E181" s="8"/>
    </row>
    <row r="182" spans="4:5" s="11" customFormat="1" ht="18.45">
      <c r="D182" s="8"/>
      <c r="E182" s="8"/>
    </row>
    <row r="183" spans="4:5" s="11" customFormat="1" ht="18.45">
      <c r="D183" s="8"/>
      <c r="E183" s="8"/>
    </row>
    <row r="184" spans="4:5" s="11" customFormat="1" ht="18.45">
      <c r="D184" s="8"/>
      <c r="E184" s="8"/>
    </row>
    <row r="185" spans="4:5" s="11" customFormat="1" ht="18.45">
      <c r="D185" s="8"/>
      <c r="E185" s="8"/>
    </row>
    <row r="186" spans="4:5" s="11" customFormat="1" ht="18.45">
      <c r="D186" s="8"/>
      <c r="E186" s="8"/>
    </row>
    <row r="187" spans="4:5" s="11" customFormat="1" ht="18.45">
      <c r="D187" s="8"/>
      <c r="E187" s="8"/>
    </row>
    <row r="188" spans="4:5" s="11" customFormat="1" ht="18.45">
      <c r="D188" s="8"/>
      <c r="E188" s="8"/>
    </row>
    <row r="189" spans="4:5" s="11" customFormat="1" ht="18.45">
      <c r="D189" s="8"/>
      <c r="E189" s="8"/>
    </row>
    <row r="190" spans="4:5" s="11" customFormat="1" ht="18.45">
      <c r="D190" s="8"/>
      <c r="E190" s="8"/>
    </row>
    <row r="191" spans="4:5" s="11" customFormat="1" ht="18.45">
      <c r="D191" s="8"/>
      <c r="E191" s="8"/>
    </row>
    <row r="192" spans="4:5" s="11" customFormat="1" ht="18.45">
      <c r="D192" s="8"/>
      <c r="E192" s="8"/>
    </row>
    <row r="193" spans="4:5" s="11" customFormat="1" ht="18.45">
      <c r="D193" s="8"/>
      <c r="E193" s="8"/>
    </row>
    <row r="194" spans="4:5" s="11" customFormat="1" ht="18.45">
      <c r="D194" s="8"/>
      <c r="E194" s="8"/>
    </row>
    <row r="195" spans="4:5" s="11" customFormat="1" ht="18.45">
      <c r="D195" s="8"/>
      <c r="E195" s="8"/>
    </row>
    <row r="196" spans="4:5" s="11" customFormat="1" ht="18.45">
      <c r="D196" s="8"/>
      <c r="E196" s="8"/>
    </row>
    <row r="197" spans="4:5" s="11" customFormat="1" ht="18.45">
      <c r="D197" s="8"/>
      <c r="E197" s="8"/>
    </row>
    <row r="198" spans="4:5" s="11" customFormat="1" ht="18.45">
      <c r="D198" s="8"/>
      <c r="E198" s="8"/>
    </row>
    <row r="199" spans="4:5" s="11" customFormat="1" ht="18.45">
      <c r="D199" s="8"/>
      <c r="E199" s="8"/>
    </row>
    <row r="200" spans="4:5" s="11" customFormat="1" ht="18.45">
      <c r="D200" s="8"/>
      <c r="E200" s="8"/>
    </row>
    <row r="201" spans="4:5" s="11" customFormat="1" ht="18.45">
      <c r="D201" s="8"/>
      <c r="E201" s="8"/>
    </row>
    <row r="202" spans="4:5" s="11" customFormat="1" ht="18.45">
      <c r="D202" s="8"/>
      <c r="E202" s="8"/>
    </row>
    <row r="203" spans="4:5" s="11" customFormat="1" ht="18.45">
      <c r="D203" s="8"/>
      <c r="E203" s="8"/>
    </row>
    <row r="204" spans="4:5" s="11" customFormat="1" ht="18.45">
      <c r="D204" s="8"/>
      <c r="E204" s="8"/>
    </row>
    <row r="205" spans="4:5" s="11" customFormat="1" ht="18.45">
      <c r="D205" s="8"/>
      <c r="E205" s="8"/>
    </row>
    <row r="206" spans="4:5" s="11" customFormat="1" ht="18.45">
      <c r="D206" s="8"/>
      <c r="E206" s="8"/>
    </row>
    <row r="207" spans="4:5" s="11" customFormat="1" ht="18.45">
      <c r="D207" s="8"/>
      <c r="E207" s="8"/>
    </row>
    <row r="208" spans="4:5" s="11" customFormat="1" ht="18.45">
      <c r="D208" s="8"/>
      <c r="E208" s="8"/>
    </row>
    <row r="209" spans="4:5" s="11" customFormat="1" ht="18.45">
      <c r="D209" s="8"/>
      <c r="E209" s="8"/>
    </row>
    <row r="210" spans="4:5" s="11" customFormat="1" ht="18.45">
      <c r="D210" s="8"/>
      <c r="E210" s="8"/>
    </row>
    <row r="211" spans="4:5" s="11" customFormat="1" ht="18.45">
      <c r="D211" s="8"/>
      <c r="E211" s="8"/>
    </row>
    <row r="212" spans="4:5" s="11" customFormat="1" ht="18.45">
      <c r="D212" s="8"/>
      <c r="E212" s="8"/>
    </row>
    <row r="213" spans="4:5" s="11" customFormat="1" ht="18.45">
      <c r="D213" s="8"/>
      <c r="E213" s="8"/>
    </row>
    <row r="214" spans="4:5" s="11" customFormat="1" ht="18.45">
      <c r="D214" s="8"/>
      <c r="E214" s="8"/>
    </row>
    <row r="215" spans="4:5" s="11" customFormat="1" ht="18.45">
      <c r="D215" s="8"/>
      <c r="E215" s="8"/>
    </row>
    <row r="216" spans="4:5" s="11" customFormat="1" ht="18.45">
      <c r="D216" s="8"/>
      <c r="E216" s="8"/>
    </row>
    <row r="217" spans="4:5" s="11" customFormat="1" ht="18.45">
      <c r="D217" s="8"/>
      <c r="E217" s="8"/>
    </row>
    <row r="218" spans="4:5" s="11" customFormat="1" ht="18.45">
      <c r="D218" s="8"/>
      <c r="E218" s="8"/>
    </row>
    <row r="219" spans="4:5" s="11" customFormat="1" ht="18.45">
      <c r="D219" s="8"/>
      <c r="E219" s="8"/>
    </row>
    <row r="220" spans="4:5" s="11" customFormat="1" ht="18.45">
      <c r="D220" s="8"/>
      <c r="E220" s="8"/>
    </row>
    <row r="221" spans="4:5" s="11" customFormat="1" ht="18.45">
      <c r="D221" s="8"/>
      <c r="E221" s="8"/>
    </row>
    <row r="222" spans="4:5" s="11" customFormat="1" ht="18.45">
      <c r="D222" s="8"/>
      <c r="E222" s="8"/>
    </row>
    <row r="223" spans="4:5" s="11" customFormat="1" ht="18.45">
      <c r="D223" s="8"/>
      <c r="E223" s="8"/>
    </row>
    <row r="224" spans="4:5" s="11" customFormat="1" ht="18.45">
      <c r="D224" s="8"/>
      <c r="E224" s="8"/>
    </row>
    <row r="225" spans="4:5" s="11" customFormat="1" ht="18.45">
      <c r="D225" s="8"/>
      <c r="E225" s="8"/>
    </row>
    <row r="226" spans="4:5" s="11" customFormat="1" ht="18.45">
      <c r="D226" s="8"/>
      <c r="E226" s="8"/>
    </row>
    <row r="227" spans="4:5" s="11" customFormat="1" ht="18.45">
      <c r="D227" s="8"/>
      <c r="E227" s="8"/>
    </row>
    <row r="228" spans="4:5" s="11" customFormat="1" ht="18.45">
      <c r="D228" s="8"/>
      <c r="E228" s="8"/>
    </row>
    <row r="229" spans="4:5" s="11" customFormat="1" ht="18.45">
      <c r="D229" s="8"/>
      <c r="E229" s="8"/>
    </row>
    <row r="230" spans="4:5" s="11" customFormat="1" ht="18.45">
      <c r="D230" s="8"/>
      <c r="E230" s="8"/>
    </row>
    <row r="231" spans="4:5" s="11" customFormat="1" ht="18.45">
      <c r="D231" s="8"/>
      <c r="E231" s="8"/>
    </row>
    <row r="232" spans="4:5" s="11" customFormat="1" ht="18.45">
      <c r="D232" s="8"/>
      <c r="E232" s="8"/>
    </row>
    <row r="233" spans="4:5" s="11" customFormat="1" ht="18.45">
      <c r="D233" s="8"/>
      <c r="E233" s="8"/>
    </row>
    <row r="234" spans="4:5" s="11" customFormat="1" ht="18.45">
      <c r="D234" s="8"/>
      <c r="E234" s="8"/>
    </row>
    <row r="235" spans="4:5" s="11" customFormat="1" ht="18.45">
      <c r="D235" s="8"/>
      <c r="E235" s="8"/>
    </row>
    <row r="236" spans="4:5" s="11" customFormat="1" ht="18.45">
      <c r="D236" s="8"/>
      <c r="E236" s="8"/>
    </row>
    <row r="237" spans="4:5" s="11" customFormat="1" ht="18.45">
      <c r="D237" s="8"/>
      <c r="E237" s="8"/>
    </row>
    <row r="238" spans="4:5" s="11" customFormat="1" ht="18.45">
      <c r="D238" s="8"/>
      <c r="E238" s="8"/>
    </row>
    <row r="239" spans="4:5" s="11" customFormat="1" ht="18.45">
      <c r="D239" s="8"/>
      <c r="E239" s="8"/>
    </row>
    <row r="240" spans="4:5" s="11" customFormat="1" ht="18.45">
      <c r="D240" s="8"/>
      <c r="E240" s="8"/>
    </row>
    <row r="241" spans="4:5" s="11" customFormat="1" ht="18.45">
      <c r="D241" s="8"/>
      <c r="E241" s="8"/>
    </row>
    <row r="242" spans="4:5" s="11" customFormat="1" ht="18.45">
      <c r="D242" s="8"/>
      <c r="E242" s="8"/>
    </row>
    <row r="243" spans="4:5" s="11" customFormat="1" ht="18.45">
      <c r="D243" s="8"/>
      <c r="E243" s="8"/>
    </row>
    <row r="244" spans="4:5" s="11" customFormat="1" ht="18.45">
      <c r="D244" s="8"/>
      <c r="E244" s="8"/>
    </row>
    <row r="245" spans="4:5" s="11" customFormat="1" ht="18.45">
      <c r="D245" s="8"/>
      <c r="E245" s="8"/>
    </row>
    <row r="246" spans="4:5" s="11" customFormat="1" ht="18.45">
      <c r="D246" s="8"/>
      <c r="E246" s="8"/>
    </row>
    <row r="247" spans="4:5" s="11" customFormat="1" ht="18.45">
      <c r="D247" s="8"/>
      <c r="E247" s="8"/>
    </row>
    <row r="248" spans="4:5" s="11" customFormat="1" ht="18.45">
      <c r="D248" s="8"/>
      <c r="E248" s="8"/>
    </row>
    <row r="249" spans="4:5" s="11" customFormat="1" ht="18.45">
      <c r="D249" s="8"/>
      <c r="E249" s="8"/>
    </row>
    <row r="250" spans="4:5" s="11" customFormat="1" ht="18.45">
      <c r="D250" s="8"/>
      <c r="E250" s="8"/>
    </row>
    <row r="251" spans="4:5" s="11" customFormat="1" ht="18.45">
      <c r="D251" s="8"/>
      <c r="E251" s="8"/>
    </row>
    <row r="252" spans="4:5" s="11" customFormat="1" ht="18.45">
      <c r="D252" s="8"/>
      <c r="E252" s="8"/>
    </row>
    <row r="253" spans="4:5" s="11" customFormat="1" ht="18.45">
      <c r="D253" s="8"/>
      <c r="E253" s="8"/>
    </row>
    <row r="254" spans="4:5" s="11" customFormat="1" ht="18.45">
      <c r="D254" s="8"/>
      <c r="E254" s="8"/>
    </row>
    <row r="255" spans="4:5" s="11" customFormat="1" ht="18.45">
      <c r="D255" s="8"/>
      <c r="E255" s="8"/>
    </row>
    <row r="256" spans="4:5" s="11" customFormat="1" ht="18.45">
      <c r="D256" s="8"/>
      <c r="E256" s="8"/>
    </row>
    <row r="257" spans="4:5" s="11" customFormat="1" ht="18.45">
      <c r="D257" s="8"/>
      <c r="E257" s="8"/>
    </row>
    <row r="258" spans="4:5" s="11" customFormat="1" ht="18.45">
      <c r="D258" s="8"/>
      <c r="E258" s="8"/>
    </row>
    <row r="259" spans="4:5" s="11" customFormat="1" ht="18.45">
      <c r="D259" s="8"/>
      <c r="E259" s="8"/>
    </row>
    <row r="260" spans="4:5" s="11" customFormat="1" ht="18.45">
      <c r="D260" s="8"/>
      <c r="E260" s="8"/>
    </row>
    <row r="261" spans="4:5" s="11" customFormat="1" ht="18.45">
      <c r="D261" s="8"/>
      <c r="E261" s="8"/>
    </row>
    <row r="262" spans="4:5" s="11" customFormat="1" ht="18.45">
      <c r="D262" s="8"/>
      <c r="E262" s="8"/>
    </row>
    <row r="263" spans="4:5" s="11" customFormat="1" ht="18.45">
      <c r="D263" s="8"/>
      <c r="E263" s="8"/>
    </row>
    <row r="264" spans="4:5" s="11" customFormat="1" ht="18.45">
      <c r="D264" s="8"/>
      <c r="E264" s="8"/>
    </row>
    <row r="265" spans="4:5" s="11" customFormat="1" ht="18.45">
      <c r="D265" s="8"/>
      <c r="E265" s="8"/>
    </row>
    <row r="266" spans="4:5" s="11" customFormat="1" ht="18.45">
      <c r="D266" s="8"/>
      <c r="E266" s="8"/>
    </row>
    <row r="267" spans="4:5" s="11" customFormat="1" ht="18.45">
      <c r="D267" s="8"/>
      <c r="E267" s="8"/>
    </row>
    <row r="268" spans="4:5" s="11" customFormat="1" ht="18.45">
      <c r="D268" s="8"/>
      <c r="E268" s="8"/>
    </row>
    <row r="269" spans="4:5" s="11" customFormat="1" ht="18.45">
      <c r="D269" s="8"/>
      <c r="E269" s="8"/>
    </row>
    <row r="270" spans="4:5" s="11" customFormat="1" ht="18.45">
      <c r="D270" s="8"/>
      <c r="E270" s="8"/>
    </row>
    <row r="271" spans="4:5" s="11" customFormat="1" ht="18.45">
      <c r="D271" s="8"/>
      <c r="E271" s="8"/>
    </row>
    <row r="272" spans="4:5" s="11" customFormat="1" ht="18.45">
      <c r="D272" s="8"/>
      <c r="E272" s="8"/>
    </row>
    <row r="273" spans="4:5" s="11" customFormat="1" ht="18.45">
      <c r="D273" s="8"/>
      <c r="E273" s="8"/>
    </row>
    <row r="274" spans="4:5" s="11" customFormat="1" ht="18.45">
      <c r="D274" s="8"/>
      <c r="E274" s="8"/>
    </row>
    <row r="275" spans="4:5" s="11" customFormat="1" ht="18.45">
      <c r="D275" s="8"/>
      <c r="E275" s="8"/>
    </row>
    <row r="276" spans="4:5" s="11" customFormat="1" ht="18.45">
      <c r="D276" s="8"/>
      <c r="E276" s="8"/>
    </row>
    <row r="277" spans="4:5" s="11" customFormat="1" ht="18.45">
      <c r="D277" s="8"/>
      <c r="E277" s="8"/>
    </row>
    <row r="278" spans="4:5" s="11" customFormat="1" ht="18.45">
      <c r="D278" s="8"/>
      <c r="E278" s="8"/>
    </row>
    <row r="279" spans="4:5" s="11" customFormat="1" ht="18.45">
      <c r="D279" s="8"/>
      <c r="E279" s="8"/>
    </row>
    <row r="280" spans="4:5" s="11" customFormat="1" ht="18.45">
      <c r="D280" s="8"/>
      <c r="E280" s="8"/>
    </row>
    <row r="281" spans="4:5" s="11" customFormat="1" ht="18.45">
      <c r="D281" s="8"/>
      <c r="E281" s="8"/>
    </row>
    <row r="282" spans="4:5" s="11" customFormat="1" ht="18.45">
      <c r="D282" s="8"/>
      <c r="E282" s="8"/>
    </row>
    <row r="283" spans="4:5" s="11" customFormat="1" ht="18.45">
      <c r="D283" s="8"/>
      <c r="E283" s="8"/>
    </row>
    <row r="284" spans="4:5" s="11" customFormat="1" ht="18.45">
      <c r="D284" s="8"/>
      <c r="E284" s="8"/>
    </row>
    <row r="285" spans="4:5" s="11" customFormat="1" ht="18.45">
      <c r="D285" s="8"/>
      <c r="E285" s="8"/>
    </row>
    <row r="286" spans="4:5" s="11" customFormat="1" ht="18.45">
      <c r="D286" s="8"/>
      <c r="E286" s="8"/>
    </row>
    <row r="287" spans="4:5" s="11" customFormat="1" ht="18.45">
      <c r="D287" s="8"/>
      <c r="E287" s="8"/>
    </row>
    <row r="288" spans="4:5" s="11" customFormat="1" ht="18.45">
      <c r="D288" s="8"/>
      <c r="E288" s="8"/>
    </row>
    <row r="289" spans="4:5" s="11" customFormat="1" ht="18.45">
      <c r="D289" s="8"/>
      <c r="E289" s="8"/>
    </row>
    <row r="290" spans="4:5" s="11" customFormat="1" ht="18.45">
      <c r="D290" s="8"/>
      <c r="E290" s="8"/>
    </row>
    <row r="291" spans="4:5" s="11" customFormat="1" ht="18.45"/>
    <row r="292" spans="4:5" s="11" customFormat="1" ht="18.45"/>
    <row r="293" spans="4:5" s="11" customFormat="1" ht="18.45"/>
    <row r="294" spans="4:5" s="11" customFormat="1" ht="18.45"/>
    <row r="295" spans="4:5" s="11" customFormat="1" ht="18.45"/>
    <row r="296" spans="4:5" s="11" customFormat="1" ht="18.45"/>
    <row r="297" spans="4:5" s="11" customFormat="1" ht="18.45"/>
    <row r="298" spans="4:5" s="11" customFormat="1" ht="18.45"/>
    <row r="299" spans="4:5" s="11" customFormat="1" ht="18.45"/>
    <row r="300" spans="4:5" s="11" customFormat="1" ht="18.45"/>
    <row r="301" spans="4:5" s="11" customFormat="1" ht="18.45"/>
    <row r="302" spans="4:5" s="11" customFormat="1" ht="18.45"/>
    <row r="303" spans="4:5" s="11" customFormat="1" ht="18.45"/>
    <row r="304" spans="4:5" s="11" customFormat="1" ht="18.45"/>
    <row r="305" s="11" customFormat="1" ht="18.45"/>
    <row r="306" s="11" customFormat="1" ht="18.45"/>
    <row r="307" s="11" customFormat="1" ht="18.45"/>
    <row r="308" s="11" customFormat="1" ht="18.45"/>
    <row r="309" s="11" customFormat="1" ht="18.45"/>
    <row r="310" s="11" customFormat="1" ht="18.45"/>
    <row r="311" s="11" customFormat="1" ht="18.45"/>
    <row r="312" s="11" customFormat="1" ht="18.45"/>
    <row r="313" s="11" customFormat="1" ht="18.45"/>
    <row r="314" s="11" customFormat="1" ht="18.45"/>
    <row r="315" s="11" customFormat="1" ht="18.45"/>
    <row r="316" s="11" customFormat="1" ht="18.45"/>
    <row r="317" s="11" customFormat="1" ht="18.45"/>
    <row r="318" s="11" customFormat="1" ht="18.45"/>
    <row r="319" s="11" customFormat="1" ht="18.45"/>
    <row r="320" s="11" customFormat="1" ht="18.45"/>
    <row r="321" s="11" customFormat="1" ht="18.45"/>
    <row r="322" s="11" customFormat="1" ht="18.45"/>
    <row r="323" s="11" customFormat="1" ht="18.45"/>
    <row r="324" s="11" customFormat="1" ht="18.45"/>
    <row r="325" s="11" customFormat="1" ht="18.45"/>
    <row r="326" s="11" customFormat="1" ht="18.45"/>
    <row r="327" s="11" customFormat="1" ht="18.45"/>
    <row r="328" s="11" customFormat="1" ht="18.45"/>
    <row r="329" s="11" customFormat="1" ht="18.45"/>
    <row r="330" s="11" customFormat="1" ht="18.45"/>
    <row r="331" s="11" customFormat="1" ht="18.45"/>
    <row r="332" s="11" customFormat="1" ht="18.45"/>
    <row r="333" s="11" customFormat="1" ht="18.45"/>
    <row r="334" s="11" customFormat="1" ht="18.45"/>
    <row r="335" s="11" customFormat="1" ht="18.45"/>
    <row r="336" s="11" customFormat="1" ht="18.45"/>
    <row r="337" s="11" customFormat="1" ht="18.45"/>
    <row r="338" s="11" customFormat="1" ht="18.45"/>
    <row r="339" s="11" customFormat="1" ht="18.45"/>
    <row r="340" s="11" customFormat="1" ht="18.45"/>
    <row r="341" s="11" customFormat="1" ht="18.45"/>
    <row r="342" s="11" customFormat="1" ht="18.45"/>
    <row r="343" s="11" customFormat="1" ht="18.45"/>
    <row r="344" s="11" customFormat="1" ht="18.45"/>
    <row r="345" s="11" customFormat="1" ht="18.45"/>
    <row r="346" s="11" customFormat="1" ht="18.45"/>
    <row r="347" s="11" customFormat="1" ht="18.45"/>
    <row r="348" s="11" customFormat="1" ht="18.45"/>
    <row r="349" s="11" customFormat="1" ht="18.45"/>
    <row r="350" s="11" customFormat="1" ht="18.45"/>
    <row r="351" s="11" customFormat="1" ht="18.45"/>
    <row r="352" s="11" customFormat="1" ht="18.45"/>
    <row r="353" s="11" customFormat="1" ht="18.45"/>
    <row r="354" s="11" customFormat="1" ht="18.45"/>
    <row r="355" s="11" customFormat="1" ht="18.45"/>
    <row r="356" s="11" customFormat="1" ht="18.45"/>
    <row r="357" s="11" customFormat="1" ht="18.45"/>
    <row r="358" s="11" customFormat="1" ht="18.45"/>
    <row r="359" s="11" customFormat="1" ht="18.45"/>
    <row r="360" s="11" customFormat="1" ht="18.45"/>
    <row r="361" s="11" customFormat="1" ht="18.45"/>
    <row r="362" s="11" customFormat="1" ht="18.45"/>
    <row r="363" s="11" customFormat="1" ht="18.45"/>
    <row r="364" s="11" customFormat="1" ht="18.45"/>
    <row r="365" s="11" customFormat="1" ht="18.45"/>
    <row r="366" s="11" customFormat="1" ht="18.45"/>
    <row r="367" s="11" customFormat="1" ht="18.45"/>
    <row r="368" s="11" customFormat="1" ht="18.45"/>
    <row r="369" s="11" customFormat="1" ht="18.45"/>
    <row r="370" s="11" customFormat="1" ht="18.45"/>
    <row r="371" s="11" customFormat="1" ht="18.45"/>
    <row r="372" s="11" customFormat="1" ht="18.45"/>
    <row r="373" s="11" customFormat="1" ht="18.45"/>
    <row r="374" s="11" customFormat="1" ht="18.45"/>
    <row r="375" s="11" customFormat="1" ht="18.45"/>
    <row r="376" s="11" customFormat="1" ht="18.45"/>
    <row r="377" s="11" customFormat="1" ht="18.45"/>
    <row r="378" s="11" customFormat="1" ht="18.45"/>
    <row r="379" s="11" customFormat="1" ht="18.45"/>
    <row r="380" s="11" customFormat="1" ht="18.45"/>
    <row r="381" s="11" customFormat="1" ht="18.45"/>
    <row r="382" s="11" customFormat="1" ht="18.45"/>
    <row r="383" s="11" customFormat="1" ht="18.45"/>
    <row r="384" s="11" customFormat="1" ht="18.45"/>
    <row r="385" s="11" customFormat="1" ht="18.45"/>
    <row r="386" s="11" customFormat="1" ht="18.45"/>
    <row r="387" s="11" customFormat="1" ht="18.45"/>
    <row r="388" s="11" customFormat="1" ht="18.45"/>
    <row r="389" s="11" customFormat="1" ht="18.45"/>
    <row r="390" s="11" customFormat="1" ht="18.45"/>
    <row r="391" s="11" customFormat="1" ht="18.45"/>
    <row r="392" s="11" customFormat="1" ht="18.45"/>
    <row r="393" s="11" customFormat="1" ht="18.45"/>
    <row r="394" s="11" customFormat="1" ht="18.45"/>
    <row r="395" s="11" customFormat="1" ht="18.45"/>
    <row r="396" s="11" customFormat="1" ht="18.45"/>
    <row r="397" s="11" customFormat="1" ht="18.45"/>
    <row r="398" s="11" customFormat="1" ht="18.45"/>
    <row r="399" s="11" customFormat="1" ht="18.45"/>
    <row r="400" s="11" customFormat="1" ht="18.45"/>
    <row r="401" s="11" customFormat="1" ht="18.45"/>
    <row r="402" s="11" customFormat="1" ht="18.45"/>
    <row r="403" s="11" customFormat="1" ht="18.45"/>
    <row r="404" s="11" customFormat="1" ht="18.45"/>
    <row r="405" s="11" customFormat="1" ht="18.45"/>
    <row r="406" s="11" customFormat="1" ht="18.45"/>
    <row r="407" s="11" customFormat="1" ht="18.45"/>
    <row r="408" s="11" customFormat="1" ht="18.45"/>
    <row r="409" s="11" customFormat="1" ht="18.45"/>
    <row r="410" s="11" customFormat="1" ht="18.45"/>
    <row r="411" s="11" customFormat="1" ht="18.45"/>
    <row r="412" s="11" customFormat="1" ht="18.45"/>
    <row r="413" s="11" customFormat="1" ht="18.45"/>
    <row r="414" s="11" customFormat="1" ht="18.45"/>
    <row r="415" s="11" customFormat="1" ht="18.45"/>
    <row r="416" s="11" customFormat="1" ht="18.45"/>
    <row r="417" s="11" customFormat="1" ht="18.45"/>
    <row r="418" s="11" customFormat="1" ht="18.45"/>
    <row r="419" s="11" customFormat="1" ht="18.45"/>
    <row r="420" s="11" customFormat="1" ht="18.45"/>
    <row r="421" s="11" customFormat="1" ht="18.45"/>
    <row r="422" s="11" customFormat="1" ht="18.45"/>
    <row r="423" s="11" customFormat="1" ht="18.45"/>
    <row r="424" s="11" customFormat="1" ht="18.45"/>
    <row r="425" s="11" customFormat="1" ht="18.45"/>
    <row r="426" s="11" customFormat="1" ht="18.45"/>
    <row r="427" s="11" customFormat="1" ht="18.45"/>
    <row r="428" s="11" customFormat="1" ht="18.45"/>
    <row r="429" s="11" customFormat="1" ht="18.45"/>
    <row r="430" s="11" customFormat="1" ht="18.45"/>
    <row r="431" s="11" customFormat="1" ht="18.45"/>
    <row r="432" s="11" customFormat="1" ht="18.45"/>
    <row r="433" s="11" customFormat="1" ht="18.45"/>
    <row r="434" s="11" customFormat="1" ht="18.45"/>
    <row r="435" s="11" customFormat="1" ht="18.45"/>
    <row r="436" s="11" customFormat="1" ht="18.45"/>
    <row r="437" s="11" customFormat="1" ht="18.45"/>
    <row r="438" s="11" customFormat="1" ht="18.45"/>
    <row r="439" s="11" customFormat="1" ht="18.45"/>
    <row r="440" s="11" customFormat="1" ht="18.45"/>
    <row r="441" s="11" customFormat="1" ht="18.45"/>
    <row r="442" s="11" customFormat="1" ht="18.45"/>
    <row r="443" s="11" customFormat="1" ht="18.45"/>
    <row r="444" s="11" customFormat="1" ht="18.45"/>
    <row r="445" s="11" customFormat="1" ht="18.45"/>
    <row r="446" s="11" customFormat="1" ht="18.45"/>
    <row r="447" s="11" customFormat="1" ht="18.45"/>
    <row r="448" s="11" customFormat="1" ht="18.45"/>
    <row r="449" s="11" customFormat="1" ht="18.45"/>
    <row r="450" s="11" customFormat="1" ht="18.45"/>
    <row r="451" s="11" customFormat="1" ht="18.45"/>
    <row r="452" s="11" customFormat="1" ht="18.45"/>
    <row r="453" s="11" customFormat="1" ht="18.45"/>
    <row r="454" s="11" customFormat="1" ht="18.45"/>
    <row r="455" s="11" customFormat="1" ht="18.45"/>
    <row r="456" s="11" customFormat="1" ht="18.45"/>
    <row r="457" s="11" customFormat="1" ht="18.45"/>
    <row r="458" s="11" customFormat="1" ht="18.45"/>
    <row r="459" s="11" customFormat="1" ht="18.45"/>
    <row r="460" s="11" customFormat="1" ht="18.45"/>
    <row r="461" s="11" customFormat="1" ht="18.45"/>
    <row r="462" s="11" customFormat="1" ht="18.45"/>
    <row r="463" s="11" customFormat="1" ht="18.45"/>
    <row r="464" s="11" customFormat="1" ht="18.45"/>
    <row r="465" s="11" customFormat="1" ht="18.45"/>
    <row r="466" s="11" customFormat="1" ht="18.45"/>
    <row r="467" s="11" customFormat="1" ht="18.45"/>
    <row r="468" s="11" customFormat="1" ht="18.45"/>
    <row r="469" s="11" customFormat="1" ht="18.45"/>
    <row r="470" s="11" customFormat="1" ht="18.45"/>
    <row r="471" s="11" customFormat="1" ht="18.45"/>
    <row r="472" s="11" customFormat="1" ht="18.45"/>
    <row r="473" s="11" customFormat="1" ht="18.45"/>
    <row r="474" s="11" customFormat="1" ht="18.45"/>
    <row r="475" s="11" customFormat="1" ht="18.45"/>
    <row r="476" s="11" customFormat="1" ht="18.45"/>
    <row r="477" s="11" customFormat="1" ht="18.45"/>
    <row r="478" s="11" customFormat="1" ht="18.45"/>
    <row r="479" s="11" customFormat="1" ht="18.45"/>
    <row r="480" s="11" customFormat="1" ht="18.45"/>
    <row r="481" s="11" customFormat="1" ht="18.45"/>
    <row r="482" s="11" customFormat="1" ht="18.45"/>
    <row r="483" s="11" customFormat="1" ht="18.45"/>
    <row r="484" s="11" customFormat="1" ht="18.45"/>
    <row r="485" s="11" customFormat="1" ht="18.45"/>
    <row r="486" s="11" customFormat="1" ht="18.45"/>
    <row r="487" s="11" customFormat="1" ht="18.45"/>
    <row r="488" s="11" customFormat="1" ht="18.45"/>
    <row r="489" s="11" customFormat="1" ht="18.45"/>
    <row r="490" s="11" customFormat="1" ht="18.45"/>
    <row r="491" s="11" customFormat="1" ht="18.45"/>
    <row r="492" s="11" customFormat="1" ht="18.45"/>
    <row r="493" s="11" customFormat="1" ht="18.45"/>
    <row r="494" s="11" customFormat="1" ht="18.45"/>
    <row r="495" s="11" customFormat="1" ht="18.45"/>
    <row r="496" s="11" customFormat="1" ht="18.45"/>
    <row r="497" s="11" customFormat="1" ht="18.45"/>
    <row r="498" s="11" customFormat="1" ht="18.45"/>
    <row r="499" s="11" customFormat="1" ht="18.45"/>
    <row r="500" s="11" customFormat="1" ht="18.45"/>
    <row r="501" s="11" customFormat="1" ht="18.45"/>
    <row r="502" s="11" customFormat="1" ht="18.45"/>
    <row r="503" s="11" customFormat="1" ht="18.45"/>
    <row r="504" s="11" customFormat="1" ht="18.45"/>
    <row r="505" s="11" customFormat="1" ht="18.45"/>
    <row r="506" s="11" customFormat="1" ht="18.45"/>
    <row r="507" s="11" customFormat="1" ht="18.45"/>
    <row r="508" s="11" customFormat="1" ht="18.45"/>
    <row r="509" s="11" customFormat="1" ht="18.45"/>
    <row r="510" s="11" customFormat="1" ht="18.45"/>
    <row r="511" s="11" customFormat="1" ht="18.45"/>
    <row r="512" s="11" customFormat="1" ht="18.45"/>
    <row r="513" s="11" customFormat="1" ht="18.45"/>
    <row r="514" s="11" customFormat="1" ht="18.45"/>
    <row r="515" s="11" customFormat="1" ht="18.45"/>
    <row r="516" s="11" customFormat="1" ht="18.45"/>
    <row r="517" s="11" customFormat="1" ht="18.45"/>
    <row r="518" s="11" customFormat="1" ht="18.45"/>
    <row r="519" s="11" customFormat="1" ht="18.45"/>
    <row r="520" s="11" customFormat="1" ht="18.45"/>
    <row r="521" s="11" customFormat="1" ht="18.45"/>
    <row r="522" s="11" customFormat="1" ht="18.45"/>
    <row r="523" s="11" customFormat="1" ht="18.45"/>
    <row r="524" s="11" customFormat="1" ht="18.45"/>
    <row r="525" s="11" customFormat="1" ht="18.45"/>
    <row r="526" s="11" customFormat="1" ht="18.45"/>
    <row r="527" s="11" customFormat="1" ht="18.45"/>
    <row r="528" s="11" customFormat="1" ht="18.45"/>
    <row r="529" s="11" customFormat="1" ht="18.45"/>
    <row r="530" s="11" customFormat="1" ht="18.45"/>
    <row r="531" s="11" customFormat="1" ht="18.45"/>
    <row r="532" s="11" customFormat="1" ht="18.45"/>
    <row r="533" s="11" customFormat="1" ht="18.45"/>
    <row r="534" s="11" customFormat="1" ht="18.45"/>
    <row r="535" s="11" customFormat="1" ht="18.45"/>
    <row r="536" s="11" customFormat="1" ht="18.45"/>
    <row r="537" s="11" customFormat="1" ht="18.45"/>
    <row r="538" s="11" customFormat="1" ht="18.45"/>
    <row r="539" s="11" customFormat="1" ht="18.45"/>
    <row r="540" s="11" customFormat="1" ht="18.45"/>
    <row r="541" s="11" customFormat="1" ht="18.45"/>
    <row r="542" s="11" customFormat="1" ht="18.45"/>
    <row r="543" s="11" customFormat="1" ht="18.45"/>
    <row r="544" s="11" customFormat="1" ht="18.45"/>
    <row r="545" spans="1:13" s="11" customFormat="1" ht="18.45"/>
    <row r="546" spans="1:13" s="11" customFormat="1" ht="18.45"/>
    <row r="547" spans="1:13" s="11" customFormat="1" ht="18.45"/>
    <row r="548" spans="1:13" s="11" customFormat="1" ht="18.45"/>
    <row r="549" spans="1:13" s="11" customFormat="1" ht="18.45"/>
    <row r="550" spans="1:13" s="11" customFormat="1" ht="18.45"/>
    <row r="551" spans="1:13" s="11" customFormat="1" ht="18.45"/>
    <row r="552" spans="1:13" s="11" customFormat="1" ht="18.45"/>
    <row r="553" spans="1:13" s="11" customFormat="1" ht="18.45"/>
    <row r="554" spans="1:13" s="11" customFormat="1" ht="18.45"/>
    <row r="555" spans="1:13" s="11" customFormat="1" ht="18.45"/>
    <row r="556" spans="1:13" s="11" customFormat="1" ht="18.4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</row>
    <row r="557" spans="1:13" s="11" customFormat="1" ht="18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</row>
    <row r="558" spans="1:13" s="19" customFormat="1" ht="18.45"/>
    <row r="559" spans="1:13" s="19" customFormat="1" ht="18.45"/>
    <row r="560" spans="1:13" s="19" customFormat="1" ht="18.45"/>
    <row r="561" s="19" customFormat="1" ht="18.45"/>
    <row r="562" s="19" customFormat="1" ht="18.45"/>
    <row r="563" s="19" customFormat="1" ht="18.45"/>
    <row r="564" s="19" customFormat="1" ht="18.45"/>
    <row r="565" s="19" customFormat="1" ht="18.45"/>
    <row r="566" s="19" customFormat="1" ht="18.45"/>
    <row r="567" s="19" customFormat="1" ht="18.45"/>
    <row r="568" s="19" customFormat="1" ht="18.45"/>
    <row r="569" s="19" customFormat="1" ht="18.45"/>
    <row r="570" s="19" customFormat="1" ht="18.45"/>
    <row r="571" s="19" customFormat="1" ht="18.45"/>
    <row r="572" s="19" customFormat="1" ht="18.45"/>
    <row r="573" s="19" customFormat="1" ht="18.45"/>
    <row r="574" s="19" customFormat="1" ht="18.45"/>
    <row r="575" s="19" customFormat="1" ht="18.45"/>
    <row r="576" s="19" customFormat="1" ht="18.45"/>
    <row r="577" s="19" customFormat="1" ht="18.45"/>
    <row r="578" s="19" customFormat="1" ht="18.45"/>
    <row r="579" s="19" customFormat="1" ht="18.45"/>
    <row r="580" s="19" customFormat="1" ht="18.45"/>
    <row r="581" s="19" customFormat="1" ht="18.45"/>
    <row r="582" s="19" customFormat="1" ht="18.45"/>
    <row r="583" s="19" customFormat="1" ht="18.45"/>
    <row r="584" s="19" customFormat="1" ht="18.45"/>
    <row r="585" s="19" customFormat="1" ht="18.45"/>
    <row r="586" s="19" customFormat="1" ht="18.45"/>
    <row r="587" s="19" customFormat="1" ht="18.45"/>
    <row r="588" s="19" customFormat="1" ht="18.45"/>
    <row r="589" s="19" customFormat="1" ht="18.45"/>
    <row r="590" s="19" customFormat="1" ht="18.45"/>
    <row r="591" s="19" customFormat="1" ht="18.45"/>
    <row r="592" s="19" customFormat="1" ht="18.45"/>
    <row r="593" s="19" customFormat="1" ht="18.45"/>
    <row r="594" s="19" customFormat="1" ht="18.45"/>
    <row r="595" s="19" customFormat="1" ht="18.45"/>
    <row r="596" s="19" customFormat="1" ht="18.45"/>
    <row r="597" s="19" customFormat="1" ht="18.45"/>
    <row r="598" s="19" customFormat="1" ht="18.45"/>
    <row r="599" s="19" customFormat="1" ht="18.45"/>
    <row r="600" s="19" customFormat="1" ht="18.45"/>
    <row r="601" s="19" customFormat="1" ht="18.45"/>
    <row r="602" s="19" customFormat="1" ht="18.45"/>
    <row r="603" s="19" customFormat="1" ht="18.45"/>
    <row r="604" s="19" customFormat="1" ht="18.45"/>
    <row r="605" s="19" customFormat="1" ht="18.45"/>
    <row r="606" s="19" customFormat="1" ht="18.45"/>
    <row r="607" s="19" customFormat="1" ht="18.45"/>
    <row r="608" s="19" customFormat="1" ht="18.45"/>
    <row r="609" s="19" customFormat="1" ht="18.45"/>
    <row r="610" s="19" customFormat="1" ht="18.45"/>
    <row r="611" s="19" customFormat="1" ht="18.45"/>
    <row r="612" s="19" customFormat="1" ht="18.45"/>
    <row r="613" s="19" customFormat="1" ht="18.45"/>
    <row r="614" s="19" customFormat="1" ht="18.45"/>
    <row r="615" s="19" customFormat="1" ht="18.45"/>
    <row r="616" s="19" customFormat="1" ht="18.45"/>
    <row r="617" s="19" customFormat="1" ht="18.45"/>
    <row r="618" s="19" customFormat="1" ht="18.45"/>
    <row r="619" s="19" customFormat="1" ht="18.45"/>
    <row r="620" s="19" customFormat="1" ht="18.45"/>
    <row r="621" s="19" customFormat="1" ht="18.45"/>
    <row r="622" s="19" customFormat="1" ht="18.45"/>
    <row r="623" s="19" customFormat="1" ht="18.45"/>
    <row r="624" s="19" customFormat="1" ht="18.45"/>
    <row r="625" s="19" customFormat="1" ht="18.45"/>
    <row r="626" s="19" customFormat="1" ht="18.45"/>
    <row r="627" s="19" customFormat="1" ht="18.45"/>
    <row r="628" s="19" customFormat="1" ht="18.45"/>
    <row r="629" s="19" customFormat="1" ht="18.45"/>
    <row r="630" s="19" customFormat="1" ht="18.45"/>
    <row r="631" s="19" customFormat="1" ht="18.45"/>
    <row r="632" s="19" customFormat="1" ht="18.45"/>
    <row r="633" s="19" customFormat="1" ht="18.45"/>
    <row r="634" s="19" customFormat="1" ht="18.45"/>
    <row r="635" s="19" customFormat="1" ht="18.45"/>
    <row r="636" s="19" customFormat="1" ht="18.45"/>
    <row r="637" s="19" customFormat="1" ht="18.45"/>
    <row r="638" s="19" customFormat="1" ht="18.45"/>
    <row r="639" s="19" customFormat="1" ht="18.45"/>
    <row r="640" s="19" customFormat="1" ht="18.45"/>
    <row r="641" s="19" customFormat="1" ht="18.45"/>
    <row r="642" s="19" customFormat="1" ht="18.45"/>
    <row r="643" s="19" customFormat="1" ht="18.45"/>
    <row r="644" s="19" customFormat="1" ht="18.45"/>
    <row r="645" s="19" customFormat="1" ht="18.45"/>
    <row r="646" s="19" customFormat="1" ht="18.45"/>
    <row r="647" s="19" customFormat="1" ht="18.45"/>
    <row r="648" s="19" customFormat="1" ht="18.45"/>
    <row r="649" s="19" customFormat="1" ht="18.45"/>
    <row r="650" s="19" customFormat="1" ht="18.45"/>
    <row r="651" s="19" customFormat="1" ht="18.45"/>
    <row r="652" s="19" customFormat="1" ht="18.45"/>
    <row r="653" s="19" customFormat="1" ht="18.45"/>
    <row r="654" s="19" customFormat="1" ht="18.45"/>
    <row r="655" s="19" customFormat="1" ht="18.45"/>
    <row r="656" s="19" customFormat="1" ht="18.45"/>
    <row r="657" s="19" customFormat="1" ht="18.45"/>
    <row r="658" s="19" customFormat="1" ht="18.45"/>
    <row r="659" s="19" customFormat="1" ht="18.45"/>
    <row r="660" s="19" customFormat="1" ht="18.45"/>
    <row r="661" s="19" customFormat="1" ht="18.45"/>
    <row r="662" s="19" customFormat="1" ht="18.45"/>
    <row r="663" s="19" customFormat="1" ht="18.45"/>
    <row r="664" s="19" customFormat="1" ht="18.45"/>
    <row r="665" s="19" customFormat="1" ht="18.45"/>
    <row r="666" s="19" customFormat="1" ht="18.45"/>
    <row r="667" s="19" customFormat="1" ht="18.45"/>
    <row r="668" s="19" customFormat="1" ht="18.45"/>
    <row r="669" s="19" customFormat="1" ht="18.45"/>
    <row r="670" s="19" customFormat="1" ht="18.45"/>
    <row r="671" s="19" customFormat="1" ht="18.45"/>
    <row r="672" s="19" customFormat="1" ht="18.45"/>
    <row r="673" s="19" customFormat="1" ht="18.45"/>
    <row r="674" s="19" customFormat="1" ht="18.45"/>
    <row r="675" s="19" customFormat="1" ht="18.45"/>
    <row r="676" s="19" customFormat="1" ht="18.45"/>
    <row r="677" s="19" customFormat="1" ht="18.45"/>
    <row r="678" s="19" customFormat="1" ht="18.45"/>
    <row r="679" s="19" customFormat="1" ht="18.45"/>
    <row r="680" s="19" customFormat="1" ht="18.45"/>
    <row r="681" s="19" customFormat="1" ht="18.45"/>
    <row r="682" s="19" customFormat="1" ht="18.45"/>
    <row r="683" s="19" customFormat="1" ht="18.45"/>
    <row r="684" s="19" customFormat="1" ht="18.45"/>
    <row r="685" s="19" customFormat="1" ht="18.45"/>
    <row r="686" s="19" customFormat="1" ht="18.45"/>
    <row r="687" s="19" customFormat="1" ht="18.45"/>
    <row r="688" s="19" customFormat="1" ht="18.45"/>
    <row r="689" s="19" customFormat="1" ht="18.45"/>
    <row r="690" s="19" customFormat="1" ht="18.45"/>
    <row r="691" s="19" customFormat="1" ht="18.45"/>
    <row r="692" s="19" customFormat="1" ht="18.45"/>
    <row r="693" s="19" customFormat="1" ht="18.45"/>
    <row r="694" s="19" customFormat="1" ht="18.45"/>
    <row r="695" s="19" customFormat="1" ht="18.45"/>
    <row r="696" s="19" customFormat="1" ht="18.45"/>
    <row r="697" s="19" customFormat="1" ht="18.45"/>
    <row r="698" s="19" customFormat="1" ht="18.45"/>
    <row r="699" s="19" customFormat="1" ht="18.45"/>
    <row r="700" s="19" customFormat="1" ht="18.45"/>
    <row r="701" s="19" customFormat="1" ht="18.45"/>
    <row r="702" s="19" customFormat="1" ht="18.45"/>
    <row r="703" s="19" customFormat="1" ht="18.45"/>
    <row r="704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pans="1:13" s="19" customFormat="1" ht="18.45"/>
    <row r="738" spans="1:13" s="19" customFormat="1" ht="18.45"/>
    <row r="739" spans="1:13" s="19" customFormat="1" ht="18.45"/>
    <row r="740" spans="1:13" s="19" customFormat="1" ht="18.45"/>
    <row r="741" spans="1:13" s="19" customFormat="1" ht="18.45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</row>
    <row r="742" spans="1:13" s="19" customFormat="1" ht="18.4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</row>
  </sheetData>
  <mergeCells count="14">
    <mergeCell ref="A1:A3"/>
    <mergeCell ref="B1:F1"/>
    <mergeCell ref="G1:H1"/>
    <mergeCell ref="K1:M1"/>
    <mergeCell ref="B2:B3"/>
    <mergeCell ref="C2:C3"/>
    <mergeCell ref="D2:D3"/>
    <mergeCell ref="E2:E3"/>
    <mergeCell ref="F2:F3"/>
    <mergeCell ref="J1:J3"/>
    <mergeCell ref="K2:K3"/>
    <mergeCell ref="L2:L3"/>
    <mergeCell ref="M2:M3"/>
    <mergeCell ref="H2:H3"/>
  </mergeCells>
  <phoneticPr fontId="1" type="noConversion"/>
  <dataValidations count="4">
    <dataValidation type="list" allowBlank="1" showInputMessage="1" showErrorMessage="1" sqref="J4:J565" xr:uid="{C05D7CC2-D764-4152-BD39-BF083CE22085}">
      <formula1>"Cortex,Brut,Retouche,C+B,C+R,B+R"</formula1>
    </dataValidation>
    <dataValidation type="list" allowBlank="1" showInputMessage="1" showErrorMessage="1" sqref="G4:G518" xr:uid="{7A1165D5-762E-4197-929D-2C12AFDF03D4}">
      <formula1>"1-25%,26-50%,51-75%,76-99%"</formula1>
    </dataValidation>
    <dataValidation type="list" allowBlank="1" showInputMessage="1" showErrorMessage="1" sqref="C70:C542 C4:C13 C15:C68" xr:uid="{80A8E54E-4B1E-43BE-8F25-C3109181DE5B}">
      <formula1>"平面,凸面,凹面"</formula1>
    </dataValidation>
    <dataValidation type="list" allowBlank="1" showInputMessage="1" showErrorMessage="1" sqref="B70:B489 B4:B68" xr:uid="{3D83109C-B7DC-48F2-93B5-73EC06E9C986}">
      <formula1>"素台面,自然台面,多疤台面,单棱脊台面,双棱脊台面,三棱脊台面,四棱脊台面"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E47-4A50-4C52-B253-56BD6042B30C}">
  <dimension ref="A1:BO807"/>
  <sheetViews>
    <sheetView topLeftCell="AJ28" zoomScale="55" zoomScaleNormal="55" workbookViewId="0">
      <selection activeCell="BO6" sqref="BO6:BO58"/>
    </sheetView>
  </sheetViews>
  <sheetFormatPr defaultColWidth="8.640625" defaultRowHeight="14.6"/>
  <cols>
    <col min="1" max="1" width="26.640625" style="34" customWidth="1"/>
    <col min="2" max="2" width="20" style="34" customWidth="1"/>
    <col min="3" max="3" width="15.640625" style="34" customWidth="1"/>
    <col min="4" max="4" width="13.35546875" style="34" customWidth="1"/>
    <col min="5" max="5" width="11.2109375" style="34" customWidth="1"/>
    <col min="6" max="6" width="10.85546875" style="34" customWidth="1"/>
    <col min="7" max="7" width="10.35546875" style="34" customWidth="1"/>
    <col min="8" max="8" width="11" style="34" customWidth="1"/>
    <col min="9" max="9" width="12.140625" style="34" customWidth="1"/>
    <col min="10" max="10" width="11.35546875" style="34" customWidth="1"/>
    <col min="11" max="11" width="10.640625" style="34" customWidth="1"/>
    <col min="12" max="12" width="11.140625" style="34" customWidth="1"/>
    <col min="13" max="13" width="12" style="34" customWidth="1"/>
    <col min="14" max="14" width="8.640625" style="34"/>
    <col min="15" max="15" width="12.140625" style="34" customWidth="1"/>
    <col min="16" max="21" width="8.640625" style="34"/>
    <col min="22" max="22" width="18.85546875" style="34" customWidth="1"/>
    <col min="23" max="23" width="16.140625" style="34" customWidth="1"/>
    <col min="24" max="34" width="8.640625" style="34"/>
    <col min="35" max="35" width="11.85546875" style="34" customWidth="1"/>
    <col min="36" max="41" width="8.640625" style="34"/>
    <col min="42" max="42" width="18.640625" style="34" customWidth="1"/>
    <col min="43" max="43" width="15.640625" style="34" customWidth="1"/>
    <col min="44" max="54" width="8.640625" style="34"/>
    <col min="55" max="55" width="12.140625" style="34" customWidth="1"/>
    <col min="56" max="61" width="8.640625" style="34"/>
    <col min="62" max="62" width="15.85546875" style="34" customWidth="1"/>
    <col min="63" max="16384" width="8.640625" style="34"/>
  </cols>
  <sheetData>
    <row r="1" spans="1:67" ht="31" customHeight="1">
      <c r="A1" s="51" t="s">
        <v>91</v>
      </c>
      <c r="B1" s="64" t="s">
        <v>157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 t="s">
        <v>156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 t="s">
        <v>155</v>
      </c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</row>
    <row r="2" spans="1:67" s="36" customFormat="1" ht="20.149999999999999" customHeight="1">
      <c r="A2" s="51"/>
      <c r="B2" s="63" t="s">
        <v>121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1" t="s">
        <v>128</v>
      </c>
      <c r="O2" s="51"/>
      <c r="P2" s="51"/>
      <c r="Q2" s="51"/>
      <c r="R2" s="51"/>
      <c r="S2" s="51"/>
      <c r="T2" s="51"/>
      <c r="U2" s="51"/>
      <c r="V2" s="63" t="s">
        <v>121</v>
      </c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1" t="s">
        <v>128</v>
      </c>
      <c r="AI2" s="51"/>
      <c r="AJ2" s="51"/>
      <c r="AK2" s="51"/>
      <c r="AL2" s="51"/>
      <c r="AM2" s="51"/>
      <c r="AN2" s="51"/>
      <c r="AO2" s="51"/>
      <c r="AP2" s="63" t="s">
        <v>121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1" t="s">
        <v>128</v>
      </c>
      <c r="BC2" s="51"/>
      <c r="BD2" s="51"/>
      <c r="BE2" s="51"/>
      <c r="BF2" s="51"/>
      <c r="BG2" s="51"/>
      <c r="BH2" s="51"/>
      <c r="BI2" s="51"/>
    </row>
    <row r="3" spans="1:67" s="36" customFormat="1" ht="17.149999999999999" customHeight="1">
      <c r="A3" s="51"/>
      <c r="B3" s="63"/>
      <c r="C3" s="56" t="s">
        <v>125</v>
      </c>
      <c r="D3" s="56" t="s">
        <v>124</v>
      </c>
      <c r="E3" s="56"/>
      <c r="F3" s="56"/>
      <c r="G3" s="56"/>
      <c r="H3" s="56"/>
      <c r="I3" s="56"/>
      <c r="J3" s="56"/>
      <c r="K3" s="56"/>
      <c r="L3" s="56"/>
      <c r="M3" s="56"/>
      <c r="N3" s="51" t="s">
        <v>93</v>
      </c>
      <c r="O3" s="51" t="s">
        <v>95</v>
      </c>
      <c r="P3" s="51" t="s">
        <v>105</v>
      </c>
      <c r="Q3" s="51" t="s">
        <v>129</v>
      </c>
      <c r="R3" s="51"/>
      <c r="S3" s="51"/>
      <c r="T3" s="51"/>
      <c r="U3" s="51"/>
      <c r="V3" s="63"/>
      <c r="W3" s="56" t="s">
        <v>125</v>
      </c>
      <c r="X3" s="56" t="s">
        <v>124</v>
      </c>
      <c r="Y3" s="56"/>
      <c r="Z3" s="56"/>
      <c r="AA3" s="56"/>
      <c r="AB3" s="56"/>
      <c r="AC3" s="56"/>
      <c r="AD3" s="56"/>
      <c r="AE3" s="56"/>
      <c r="AF3" s="56"/>
      <c r="AG3" s="56"/>
      <c r="AH3" s="51" t="s">
        <v>93</v>
      </c>
      <c r="AI3" s="51" t="s">
        <v>95</v>
      </c>
      <c r="AJ3" s="51" t="s">
        <v>105</v>
      </c>
      <c r="AK3" s="51" t="s">
        <v>129</v>
      </c>
      <c r="AL3" s="51"/>
      <c r="AM3" s="51"/>
      <c r="AN3" s="51"/>
      <c r="AO3" s="51"/>
      <c r="AP3" s="63"/>
      <c r="AQ3" s="56" t="s">
        <v>125</v>
      </c>
      <c r="AR3" s="56" t="s">
        <v>124</v>
      </c>
      <c r="AS3" s="56"/>
      <c r="AT3" s="56"/>
      <c r="AU3" s="56"/>
      <c r="AV3" s="56"/>
      <c r="AW3" s="56"/>
      <c r="AX3" s="56"/>
      <c r="AY3" s="56"/>
      <c r="AZ3" s="56"/>
      <c r="BA3" s="56"/>
      <c r="BB3" s="51" t="s">
        <v>93</v>
      </c>
      <c r="BC3" s="51" t="s">
        <v>95</v>
      </c>
      <c r="BD3" s="51" t="s">
        <v>105</v>
      </c>
      <c r="BE3" s="51" t="s">
        <v>129</v>
      </c>
      <c r="BF3" s="51"/>
      <c r="BG3" s="51"/>
      <c r="BH3" s="51"/>
      <c r="BI3" s="51"/>
    </row>
    <row r="4" spans="1:67" s="36" customFormat="1" ht="16.5" customHeight="1">
      <c r="A4" s="51"/>
      <c r="B4" s="63"/>
      <c r="C4" s="56"/>
      <c r="D4" s="56" t="s">
        <v>122</v>
      </c>
      <c r="E4" s="56"/>
      <c r="F4" s="56"/>
      <c r="G4" s="56"/>
      <c r="H4" s="56"/>
      <c r="I4" s="56" t="s">
        <v>123</v>
      </c>
      <c r="J4" s="56"/>
      <c r="K4" s="56"/>
      <c r="L4" s="56"/>
      <c r="M4" s="56"/>
      <c r="N4" s="51"/>
      <c r="O4" s="51"/>
      <c r="P4" s="51"/>
      <c r="Q4" s="51" t="b">
        <v>1</v>
      </c>
      <c r="R4" s="51"/>
      <c r="S4" s="51"/>
      <c r="T4" s="51"/>
      <c r="U4" s="51" t="s">
        <v>116</v>
      </c>
      <c r="V4" s="63"/>
      <c r="W4" s="56"/>
      <c r="X4" s="56" t="s">
        <v>122</v>
      </c>
      <c r="Y4" s="56"/>
      <c r="Z4" s="56"/>
      <c r="AA4" s="56"/>
      <c r="AB4" s="56"/>
      <c r="AC4" s="56" t="s">
        <v>123</v>
      </c>
      <c r="AD4" s="56"/>
      <c r="AE4" s="56"/>
      <c r="AF4" s="56"/>
      <c r="AG4" s="56"/>
      <c r="AH4" s="51"/>
      <c r="AI4" s="51"/>
      <c r="AJ4" s="51"/>
      <c r="AK4" s="51" t="b">
        <v>1</v>
      </c>
      <c r="AL4" s="51"/>
      <c r="AM4" s="51"/>
      <c r="AN4" s="51"/>
      <c r="AO4" s="51" t="s">
        <v>116</v>
      </c>
      <c r="AP4" s="63"/>
      <c r="AQ4" s="56"/>
      <c r="AR4" s="56" t="s">
        <v>122</v>
      </c>
      <c r="AS4" s="56"/>
      <c r="AT4" s="56"/>
      <c r="AU4" s="56"/>
      <c r="AV4" s="56"/>
      <c r="AW4" s="56" t="s">
        <v>123</v>
      </c>
      <c r="AX4" s="56"/>
      <c r="AY4" s="56"/>
      <c r="AZ4" s="56"/>
      <c r="BA4" s="56"/>
      <c r="BB4" s="51"/>
      <c r="BC4" s="51"/>
      <c r="BD4" s="51"/>
      <c r="BE4" s="51" t="b">
        <v>1</v>
      </c>
      <c r="BF4" s="51"/>
      <c r="BG4" s="51"/>
      <c r="BH4" s="51"/>
      <c r="BI4" s="51" t="s">
        <v>116</v>
      </c>
    </row>
    <row r="5" spans="1:67" s="36" customFormat="1" ht="12.65" customHeight="1">
      <c r="A5" s="51"/>
      <c r="B5" s="63"/>
      <c r="C5" s="56"/>
      <c r="D5" s="32" t="s">
        <v>126</v>
      </c>
      <c r="E5" s="32" t="s">
        <v>131</v>
      </c>
      <c r="F5" s="32" t="s">
        <v>132</v>
      </c>
      <c r="G5" s="32" t="s">
        <v>133</v>
      </c>
      <c r="H5" s="32" t="s">
        <v>127</v>
      </c>
      <c r="I5" s="32" t="s">
        <v>126</v>
      </c>
      <c r="J5" s="32" t="s">
        <v>131</v>
      </c>
      <c r="K5" s="32" t="s">
        <v>132</v>
      </c>
      <c r="L5" s="32" t="s">
        <v>133</v>
      </c>
      <c r="M5" s="32" t="s">
        <v>127</v>
      </c>
      <c r="N5" s="51"/>
      <c r="O5" s="51"/>
      <c r="P5" s="51"/>
      <c r="Q5" s="30" t="s">
        <v>119</v>
      </c>
      <c r="R5" s="28" t="s">
        <v>130</v>
      </c>
      <c r="S5" s="30" t="s">
        <v>120</v>
      </c>
      <c r="T5" s="30" t="s">
        <v>136</v>
      </c>
      <c r="U5" s="51"/>
      <c r="V5" s="63"/>
      <c r="W5" s="56"/>
      <c r="X5" s="32" t="s">
        <v>126</v>
      </c>
      <c r="Y5" s="32" t="s">
        <v>131</v>
      </c>
      <c r="Z5" s="32" t="s">
        <v>132</v>
      </c>
      <c r="AA5" s="32" t="s">
        <v>133</v>
      </c>
      <c r="AB5" s="32" t="s">
        <v>127</v>
      </c>
      <c r="AC5" s="32" t="s">
        <v>126</v>
      </c>
      <c r="AD5" s="32" t="s">
        <v>131</v>
      </c>
      <c r="AE5" s="32" t="s">
        <v>132</v>
      </c>
      <c r="AF5" s="32" t="s">
        <v>133</v>
      </c>
      <c r="AG5" s="32" t="s">
        <v>127</v>
      </c>
      <c r="AH5" s="51"/>
      <c r="AI5" s="51"/>
      <c r="AJ5" s="51"/>
      <c r="AK5" s="30" t="s">
        <v>119</v>
      </c>
      <c r="AL5" s="28" t="s">
        <v>130</v>
      </c>
      <c r="AM5" s="30" t="s">
        <v>120</v>
      </c>
      <c r="AN5" s="30" t="s">
        <v>136</v>
      </c>
      <c r="AO5" s="51"/>
      <c r="AP5" s="63"/>
      <c r="AQ5" s="56"/>
      <c r="AR5" s="32" t="s">
        <v>126</v>
      </c>
      <c r="AS5" s="32" t="s">
        <v>131</v>
      </c>
      <c r="AT5" s="32" t="s">
        <v>132</v>
      </c>
      <c r="AU5" s="32" t="s">
        <v>133</v>
      </c>
      <c r="AV5" s="32" t="s">
        <v>127</v>
      </c>
      <c r="AW5" s="32" t="s">
        <v>126</v>
      </c>
      <c r="AX5" s="32" t="s">
        <v>131</v>
      </c>
      <c r="AY5" s="32" t="s">
        <v>132</v>
      </c>
      <c r="AZ5" s="32" t="s">
        <v>133</v>
      </c>
      <c r="BA5" s="32" t="s">
        <v>127</v>
      </c>
      <c r="BB5" s="51"/>
      <c r="BC5" s="51"/>
      <c r="BD5" s="51"/>
      <c r="BE5" s="30" t="s">
        <v>119</v>
      </c>
      <c r="BF5" s="28" t="s">
        <v>130</v>
      </c>
      <c r="BG5" s="30" t="s">
        <v>120</v>
      </c>
      <c r="BH5" s="30" t="s">
        <v>136</v>
      </c>
      <c r="BI5" s="51"/>
    </row>
    <row r="6" spans="1:67" s="11" customFormat="1" ht="18.45">
      <c r="A6" s="1" t="s">
        <v>0</v>
      </c>
      <c r="B6" s="1" t="s">
        <v>117</v>
      </c>
      <c r="C6" s="15">
        <v>3</v>
      </c>
      <c r="D6" s="15">
        <v>2</v>
      </c>
      <c r="E6" s="15">
        <v>2</v>
      </c>
      <c r="F6" s="15">
        <v>12</v>
      </c>
      <c r="G6" s="15">
        <v>0</v>
      </c>
      <c r="H6" s="15">
        <f t="shared" ref="H6:H58" si="0">D6+E6+F6+G6</f>
        <v>16</v>
      </c>
      <c r="I6" s="15">
        <v>3</v>
      </c>
      <c r="J6" s="15">
        <v>1</v>
      </c>
      <c r="K6" s="15">
        <v>0</v>
      </c>
      <c r="L6" s="15">
        <v>0</v>
      </c>
      <c r="M6" s="5">
        <f t="shared" ref="M6:M58" si="1">I6+J6+L6+K6</f>
        <v>4</v>
      </c>
      <c r="N6" s="2">
        <f>9.74+7.04+23.74+17.49</f>
        <v>58.009999999999991</v>
      </c>
      <c r="O6" s="3">
        <v>15.8</v>
      </c>
      <c r="P6" s="3">
        <f>O6*SIN(T6*PI()/180)</f>
        <v>14.998033768453936</v>
      </c>
      <c r="Q6" s="3">
        <v>63</v>
      </c>
      <c r="R6" s="3">
        <v>75</v>
      </c>
      <c r="S6" s="3">
        <v>77</v>
      </c>
      <c r="T6" s="3">
        <f>AVERAGE(Q6,R6,S6)</f>
        <v>71.666666666666671</v>
      </c>
      <c r="U6" s="3">
        <v>56</v>
      </c>
      <c r="V6" s="1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5"/>
      <c r="AH6" s="2"/>
      <c r="AI6" s="3"/>
      <c r="AJ6" s="3"/>
      <c r="AK6" s="3"/>
      <c r="AL6" s="3"/>
      <c r="AM6" s="3"/>
      <c r="AN6" s="3"/>
      <c r="AO6" s="3"/>
      <c r="AP6" s="1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5"/>
      <c r="BB6" s="2"/>
      <c r="BC6" s="3"/>
      <c r="BD6" s="3"/>
      <c r="BE6" s="3"/>
      <c r="BF6" s="3"/>
      <c r="BG6" s="3"/>
      <c r="BH6" s="3"/>
      <c r="BI6" s="38"/>
      <c r="BJ6" s="8">
        <f>AVERAGE(T6, AN6, BH6)</f>
        <v>71.666666666666671</v>
      </c>
      <c r="BK6" s="11">
        <f>I6+AC6+AW6</f>
        <v>3</v>
      </c>
      <c r="BL6" s="11">
        <f>E6+Y6+AS6</f>
        <v>2</v>
      </c>
      <c r="BM6" s="11">
        <f t="shared" ref="BM6" si="2">F6+Z6+AT6</f>
        <v>12</v>
      </c>
      <c r="BO6" s="11">
        <f>BA6+AG6+M6+H6+AB6+AV6</f>
        <v>20</v>
      </c>
    </row>
    <row r="7" spans="1:67" s="11" customFormat="1" ht="18.45">
      <c r="A7" s="6" t="s">
        <v>3</v>
      </c>
      <c r="B7" s="6" t="s">
        <v>117</v>
      </c>
      <c r="C7" s="11">
        <v>3</v>
      </c>
      <c r="D7" s="11">
        <v>1</v>
      </c>
      <c r="E7" s="11">
        <v>7</v>
      </c>
      <c r="F7" s="11">
        <v>10</v>
      </c>
      <c r="G7" s="11">
        <v>0</v>
      </c>
      <c r="H7" s="11">
        <f t="shared" si="0"/>
        <v>18</v>
      </c>
      <c r="I7" s="11">
        <v>4</v>
      </c>
      <c r="J7" s="11">
        <v>1</v>
      </c>
      <c r="K7" s="11">
        <v>0</v>
      </c>
      <c r="L7" s="11">
        <v>0</v>
      </c>
      <c r="M7" s="10">
        <f t="shared" si="1"/>
        <v>5</v>
      </c>
      <c r="N7" s="7">
        <f>17.9+12.3+5.68+8.44+12.13+6.68+9.92</f>
        <v>73.05</v>
      </c>
      <c r="O7" s="8">
        <v>19.600000000000001</v>
      </c>
      <c r="P7" s="8">
        <f t="shared" ref="P7:P58" si="3">O7*SIN(T7*PI()/180)</f>
        <v>17.858808775999854</v>
      </c>
      <c r="Q7" s="8">
        <v>60</v>
      </c>
      <c r="R7" s="8">
        <v>67</v>
      </c>
      <c r="S7" s="8">
        <v>70</v>
      </c>
      <c r="T7" s="8">
        <f t="shared" ref="T7:T58" si="4">AVERAGE(Q7,R7,S7)</f>
        <v>65.666666666666671</v>
      </c>
      <c r="U7" s="8">
        <v>59</v>
      </c>
      <c r="V7" s="6"/>
      <c r="AG7" s="10"/>
      <c r="AH7" s="7"/>
      <c r="AI7" s="8"/>
      <c r="AJ7" s="8"/>
      <c r="AK7" s="8"/>
      <c r="AL7" s="8"/>
      <c r="AM7" s="8"/>
      <c r="AN7" s="8"/>
      <c r="AO7" s="8"/>
      <c r="AP7" s="6"/>
      <c r="BA7" s="10"/>
      <c r="BB7" s="7"/>
      <c r="BC7" s="8"/>
      <c r="BD7" s="8"/>
      <c r="BE7" s="8"/>
      <c r="BF7" s="8"/>
      <c r="BG7" s="8"/>
      <c r="BH7" s="8"/>
      <c r="BI7" s="39"/>
      <c r="BJ7" s="8">
        <f t="shared" ref="BJ7:BJ58" si="5">AVERAGE(T7, AN7, BH7)</f>
        <v>65.666666666666671</v>
      </c>
      <c r="BK7" s="11">
        <f t="shared" ref="BK7:BK36" si="6">I7+AC7+AW7</f>
        <v>4</v>
      </c>
      <c r="BL7" s="11">
        <f t="shared" ref="BL7:BL58" si="7">E7+Y7+AS7</f>
        <v>7</v>
      </c>
      <c r="BM7" s="11">
        <f t="shared" ref="BM7:BM51" si="8">F7+Z7+AT7</f>
        <v>10</v>
      </c>
      <c r="BO7" s="11">
        <f t="shared" ref="BO7:BO58" si="9">BA7+AG7+M7+H7+AB7+AV7</f>
        <v>23</v>
      </c>
    </row>
    <row r="8" spans="1:67" s="11" customFormat="1" ht="18.45">
      <c r="A8" s="6" t="s">
        <v>5</v>
      </c>
      <c r="B8" s="6" t="s">
        <v>117</v>
      </c>
      <c r="C8" s="11">
        <v>3</v>
      </c>
      <c r="D8" s="11">
        <v>2</v>
      </c>
      <c r="E8" s="11">
        <v>4</v>
      </c>
      <c r="F8" s="11">
        <v>6</v>
      </c>
      <c r="G8" s="11">
        <v>0</v>
      </c>
      <c r="H8" s="11">
        <f t="shared" si="0"/>
        <v>12</v>
      </c>
      <c r="I8" s="11">
        <v>2</v>
      </c>
      <c r="J8" s="11">
        <v>0</v>
      </c>
      <c r="K8" s="11">
        <v>0</v>
      </c>
      <c r="L8" s="11">
        <v>0</v>
      </c>
      <c r="M8" s="10">
        <f t="shared" si="1"/>
        <v>2</v>
      </c>
      <c r="N8" s="7">
        <f>20.4+9.23+6.09+9.8</f>
        <v>45.519999999999996</v>
      </c>
      <c r="O8" s="8">
        <v>19.600000000000001</v>
      </c>
      <c r="P8" s="8">
        <f>O8*SIN(T8*PI()/180)</f>
        <v>18.532164081746611</v>
      </c>
      <c r="Q8" s="8">
        <v>82</v>
      </c>
      <c r="R8" s="8">
        <v>68</v>
      </c>
      <c r="S8" s="8">
        <v>63</v>
      </c>
      <c r="T8" s="8">
        <f t="shared" si="4"/>
        <v>71</v>
      </c>
      <c r="U8" s="8">
        <v>51</v>
      </c>
      <c r="V8" s="6" t="s">
        <v>117</v>
      </c>
      <c r="W8" s="11">
        <v>3</v>
      </c>
      <c r="X8" s="11">
        <v>1</v>
      </c>
      <c r="Y8" s="11">
        <v>3</v>
      </c>
      <c r="Z8" s="11">
        <v>7</v>
      </c>
      <c r="AA8" s="11">
        <v>0</v>
      </c>
      <c r="AB8" s="11">
        <f>X8+Y8+Z8+AA8</f>
        <v>11</v>
      </c>
      <c r="AC8" s="11">
        <v>0</v>
      </c>
      <c r="AD8" s="11">
        <v>0</v>
      </c>
      <c r="AE8" s="11">
        <v>0</v>
      </c>
      <c r="AF8" s="11">
        <v>0</v>
      </c>
      <c r="AG8" s="10">
        <f>AC8+AD8+AE8+AF8</f>
        <v>0</v>
      </c>
      <c r="AH8" s="7">
        <f>17.95+7.77+6.4</f>
        <v>32.119999999999997</v>
      </c>
      <c r="AI8" s="8">
        <v>15.55</v>
      </c>
      <c r="AJ8" s="8">
        <f>AI8*SIN(AN8*PI()/180)</f>
        <v>15.385817479933687</v>
      </c>
      <c r="AK8" s="8">
        <v>84</v>
      </c>
      <c r="AL8" s="8">
        <v>71</v>
      </c>
      <c r="AM8" s="8">
        <v>90</v>
      </c>
      <c r="AN8" s="8">
        <f>AVERAGE(AK8,AL8,AM8)</f>
        <v>81.666666666666671</v>
      </c>
      <c r="AO8" s="8">
        <v>70</v>
      </c>
      <c r="AP8" s="6"/>
      <c r="BA8" s="10"/>
      <c r="BB8" s="7"/>
      <c r="BC8" s="8"/>
      <c r="BD8" s="8"/>
      <c r="BE8" s="8"/>
      <c r="BF8" s="8"/>
      <c r="BG8" s="8"/>
      <c r="BH8" s="8"/>
      <c r="BI8" s="39"/>
      <c r="BJ8" s="8">
        <f t="shared" si="5"/>
        <v>76.333333333333343</v>
      </c>
      <c r="BK8" s="11">
        <f t="shared" si="6"/>
        <v>2</v>
      </c>
      <c r="BL8" s="11">
        <f t="shared" si="7"/>
        <v>7</v>
      </c>
      <c r="BM8" s="11">
        <f t="shared" si="8"/>
        <v>13</v>
      </c>
      <c r="BO8" s="11">
        <f t="shared" si="9"/>
        <v>25</v>
      </c>
    </row>
    <row r="9" spans="1:67" s="11" customFormat="1" ht="18.45">
      <c r="A9" s="6" t="s">
        <v>8</v>
      </c>
      <c r="B9" s="6" t="s">
        <v>117</v>
      </c>
      <c r="C9" s="11">
        <v>4</v>
      </c>
      <c r="D9" s="11">
        <v>0</v>
      </c>
      <c r="E9" s="11">
        <v>3</v>
      </c>
      <c r="F9" s="11">
        <v>6</v>
      </c>
      <c r="G9" s="11">
        <v>9</v>
      </c>
      <c r="H9" s="11">
        <f t="shared" si="0"/>
        <v>18</v>
      </c>
      <c r="I9" s="11">
        <v>4</v>
      </c>
      <c r="J9" s="11">
        <v>1</v>
      </c>
      <c r="K9" s="11">
        <v>0</v>
      </c>
      <c r="L9" s="11">
        <v>0</v>
      </c>
      <c r="M9" s="10">
        <f t="shared" si="1"/>
        <v>5</v>
      </c>
      <c r="N9" s="7">
        <f>9.96+4.56+1.26+2.66+4.41+4.7+4.98+1.97+4.91+1.78+5.22+1.81+12.81+8.85+8.46</f>
        <v>78.34</v>
      </c>
      <c r="O9" s="8">
        <v>24.1</v>
      </c>
      <c r="P9" s="8">
        <f t="shared" si="3"/>
        <v>23.450381380973759</v>
      </c>
      <c r="Q9" s="8">
        <v>73</v>
      </c>
      <c r="R9" s="8">
        <v>86</v>
      </c>
      <c r="S9" s="8">
        <v>71</v>
      </c>
      <c r="T9" s="8">
        <f t="shared" si="4"/>
        <v>76.666666666666671</v>
      </c>
      <c r="U9" s="8">
        <v>57</v>
      </c>
      <c r="V9" s="6" t="s">
        <v>117</v>
      </c>
      <c r="W9" s="11">
        <v>4</v>
      </c>
      <c r="X9" s="11">
        <v>1</v>
      </c>
      <c r="Y9" s="11">
        <v>1</v>
      </c>
      <c r="Z9" s="11">
        <v>2</v>
      </c>
      <c r="AA9" s="11">
        <v>6</v>
      </c>
      <c r="AB9" s="11">
        <f t="shared" ref="AB9:AB13" si="10">X9+Y9+Z9+AA9</f>
        <v>10</v>
      </c>
      <c r="AC9" s="11">
        <v>2</v>
      </c>
      <c r="AD9" s="11">
        <v>2</v>
      </c>
      <c r="AE9" s="11">
        <v>0</v>
      </c>
      <c r="AF9" s="11">
        <v>0</v>
      </c>
      <c r="AG9" s="10">
        <f t="shared" ref="AG9:AG13" si="11">AC9+AD9+AE9+AF9</f>
        <v>4</v>
      </c>
      <c r="AH9" s="7">
        <f>12.93+11.71+6.47+18.82+16.63</f>
        <v>66.56</v>
      </c>
      <c r="AI9" s="8">
        <v>21.69</v>
      </c>
      <c r="AJ9" s="8">
        <f t="shared" ref="AJ9:AJ19" si="12">AI9*SIN(AN9*PI()/180)</f>
        <v>20.466868503676828</v>
      </c>
      <c r="AK9" s="8">
        <v>75</v>
      </c>
      <c r="AL9" s="8">
        <v>79</v>
      </c>
      <c r="AM9" s="8">
        <v>58</v>
      </c>
      <c r="AN9" s="8">
        <f t="shared" ref="AN9:AN19" si="13">AVERAGE(AK9,AL9,AM9)</f>
        <v>70.666666666666671</v>
      </c>
      <c r="AO9" s="8">
        <v>50</v>
      </c>
      <c r="AP9" s="6"/>
      <c r="BA9" s="10"/>
      <c r="BB9" s="7"/>
      <c r="BC9" s="8"/>
      <c r="BD9" s="8"/>
      <c r="BE9" s="8"/>
      <c r="BF9" s="8"/>
      <c r="BG9" s="8"/>
      <c r="BH9" s="8"/>
      <c r="BI9" s="39"/>
      <c r="BJ9" s="8">
        <f t="shared" si="5"/>
        <v>73.666666666666671</v>
      </c>
      <c r="BK9" s="11">
        <f t="shared" si="6"/>
        <v>6</v>
      </c>
      <c r="BL9" s="11">
        <f t="shared" si="7"/>
        <v>4</v>
      </c>
      <c r="BM9" s="11">
        <f t="shared" si="8"/>
        <v>8</v>
      </c>
      <c r="BN9" s="11">
        <f>G9+AA9+AU9</f>
        <v>15</v>
      </c>
      <c r="BO9" s="11">
        <f t="shared" si="9"/>
        <v>37</v>
      </c>
    </row>
    <row r="10" spans="1:67" s="11" customFormat="1" ht="18.45">
      <c r="A10" s="6" t="s">
        <v>11</v>
      </c>
      <c r="B10" s="6" t="s">
        <v>117</v>
      </c>
      <c r="C10" s="11">
        <v>4</v>
      </c>
      <c r="D10" s="11">
        <v>0</v>
      </c>
      <c r="E10" s="11">
        <v>1</v>
      </c>
      <c r="F10" s="11">
        <v>3</v>
      </c>
      <c r="G10" s="11">
        <v>11</v>
      </c>
      <c r="H10" s="11">
        <f t="shared" si="0"/>
        <v>15</v>
      </c>
      <c r="I10" s="11">
        <v>1</v>
      </c>
      <c r="J10" s="11">
        <v>0</v>
      </c>
      <c r="K10" s="11">
        <v>0</v>
      </c>
      <c r="L10" s="11">
        <v>0</v>
      </c>
      <c r="M10" s="10">
        <f t="shared" si="1"/>
        <v>1</v>
      </c>
      <c r="N10" s="7">
        <f>9.15+1.85+12.16+21.88</f>
        <v>45.04</v>
      </c>
      <c r="O10" s="8">
        <v>19.579999999999998</v>
      </c>
      <c r="P10" s="8">
        <f t="shared" si="3"/>
        <v>18.19662452436118</v>
      </c>
      <c r="Q10" s="8">
        <v>54</v>
      </c>
      <c r="R10" s="8">
        <v>87</v>
      </c>
      <c r="S10" s="8">
        <v>64</v>
      </c>
      <c r="T10" s="8">
        <f t="shared" si="4"/>
        <v>68.333333333333329</v>
      </c>
      <c r="U10" s="8">
        <v>54</v>
      </c>
      <c r="V10" s="6" t="s">
        <v>117</v>
      </c>
      <c r="W10" s="11">
        <v>4</v>
      </c>
      <c r="X10" s="11">
        <v>0</v>
      </c>
      <c r="Y10" s="11">
        <v>3</v>
      </c>
      <c r="Z10" s="11">
        <v>7</v>
      </c>
      <c r="AA10" s="11">
        <v>6</v>
      </c>
      <c r="AB10" s="11">
        <f t="shared" si="10"/>
        <v>16</v>
      </c>
      <c r="AC10" s="11">
        <v>3</v>
      </c>
      <c r="AD10" s="11">
        <v>0</v>
      </c>
      <c r="AE10" s="11">
        <v>0</v>
      </c>
      <c r="AF10" s="11">
        <v>0</v>
      </c>
      <c r="AG10" s="10">
        <f t="shared" si="11"/>
        <v>3</v>
      </c>
      <c r="AH10" s="7">
        <f>2.58+2.39+6.35+7.83+2.6+3.2+4.86+2.97+3.59</f>
        <v>36.370000000000005</v>
      </c>
      <c r="AI10" s="8">
        <v>23.3</v>
      </c>
      <c r="AJ10" s="8">
        <f t="shared" si="12"/>
        <v>21.986078198970496</v>
      </c>
      <c r="AK10" s="8">
        <v>81</v>
      </c>
      <c r="AL10" s="8">
        <v>62</v>
      </c>
      <c r="AM10" s="8">
        <v>69</v>
      </c>
      <c r="AN10" s="8">
        <f t="shared" si="13"/>
        <v>70.666666666666671</v>
      </c>
      <c r="AO10" s="8">
        <v>48</v>
      </c>
      <c r="AP10" s="6"/>
      <c r="BA10" s="10"/>
      <c r="BB10" s="7"/>
      <c r="BC10" s="8"/>
      <c r="BD10" s="8"/>
      <c r="BE10" s="8"/>
      <c r="BF10" s="8"/>
      <c r="BG10" s="8"/>
      <c r="BH10" s="8"/>
      <c r="BI10" s="39"/>
      <c r="BJ10" s="8">
        <f t="shared" si="5"/>
        <v>69.5</v>
      </c>
      <c r="BK10" s="11">
        <f t="shared" si="6"/>
        <v>4</v>
      </c>
      <c r="BL10" s="11">
        <f t="shared" si="7"/>
        <v>4</v>
      </c>
      <c r="BM10" s="11">
        <f t="shared" si="8"/>
        <v>10</v>
      </c>
      <c r="BN10" s="11">
        <f t="shared" ref="BN9:BN36" si="14">G10+AA10+AU10</f>
        <v>17</v>
      </c>
      <c r="BO10" s="11">
        <f t="shared" si="9"/>
        <v>35</v>
      </c>
    </row>
    <row r="11" spans="1:67" s="11" customFormat="1" ht="18.45">
      <c r="A11" s="6" t="s">
        <v>13</v>
      </c>
      <c r="B11" s="6" t="s">
        <v>117</v>
      </c>
      <c r="C11" s="11">
        <v>2</v>
      </c>
      <c r="D11" s="11">
        <v>4</v>
      </c>
      <c r="E11" s="11">
        <v>8</v>
      </c>
      <c r="F11" s="11">
        <v>0</v>
      </c>
      <c r="G11" s="11">
        <v>0</v>
      </c>
      <c r="H11" s="11">
        <f t="shared" si="0"/>
        <v>12</v>
      </c>
      <c r="I11" s="11">
        <v>0</v>
      </c>
      <c r="J11" s="11">
        <v>0</v>
      </c>
      <c r="K11" s="11">
        <v>0</v>
      </c>
      <c r="L11" s="11">
        <v>0</v>
      </c>
      <c r="M11" s="10">
        <f t="shared" si="1"/>
        <v>0</v>
      </c>
      <c r="N11" s="7">
        <f>8.41+6.1+6.02+3.35+5.96+8.11</f>
        <v>37.950000000000003</v>
      </c>
      <c r="O11" s="8">
        <v>9.4499999999999993</v>
      </c>
      <c r="P11" s="8">
        <f t="shared" si="3"/>
        <v>8.4936037375271276</v>
      </c>
      <c r="Q11" s="8">
        <v>57</v>
      </c>
      <c r="R11" s="8">
        <v>67</v>
      </c>
      <c r="S11" s="8">
        <v>68</v>
      </c>
      <c r="T11" s="8">
        <f t="shared" si="4"/>
        <v>64</v>
      </c>
      <c r="U11" s="8">
        <v>57</v>
      </c>
      <c r="V11" s="6"/>
      <c r="AG11" s="10"/>
      <c r="AH11" s="7"/>
      <c r="AI11" s="8"/>
      <c r="AJ11" s="8"/>
      <c r="AK11" s="8"/>
      <c r="AL11" s="8"/>
      <c r="AM11" s="8"/>
      <c r="AN11" s="8"/>
      <c r="AO11" s="8"/>
      <c r="AP11" s="6"/>
      <c r="BA11" s="10"/>
      <c r="BB11" s="7"/>
      <c r="BC11" s="8"/>
      <c r="BD11" s="8"/>
      <c r="BE11" s="8"/>
      <c r="BF11" s="8"/>
      <c r="BG11" s="8"/>
      <c r="BH11" s="8"/>
      <c r="BI11" s="39"/>
      <c r="BJ11" s="8">
        <f t="shared" si="5"/>
        <v>64</v>
      </c>
      <c r="BL11" s="11">
        <f t="shared" si="7"/>
        <v>8</v>
      </c>
      <c r="BO11" s="11">
        <f t="shared" si="9"/>
        <v>12</v>
      </c>
    </row>
    <row r="12" spans="1:67" s="11" customFormat="1" ht="18.45">
      <c r="A12" s="6" t="s">
        <v>14</v>
      </c>
      <c r="B12" s="6" t="s">
        <v>117</v>
      </c>
      <c r="C12" s="11">
        <v>4</v>
      </c>
      <c r="D12" s="11">
        <v>0</v>
      </c>
      <c r="E12" s="11">
        <v>3</v>
      </c>
      <c r="F12" s="11">
        <v>6</v>
      </c>
      <c r="G12" s="11">
        <v>11</v>
      </c>
      <c r="H12" s="11">
        <f t="shared" si="0"/>
        <v>20</v>
      </c>
      <c r="I12" s="11">
        <v>2</v>
      </c>
      <c r="J12" s="11">
        <v>0</v>
      </c>
      <c r="K12" s="11">
        <v>0</v>
      </c>
      <c r="L12" s="11">
        <v>0</v>
      </c>
      <c r="M12" s="10">
        <f t="shared" si="1"/>
        <v>2</v>
      </c>
      <c r="N12" s="7">
        <v>38.799999999999997</v>
      </c>
      <c r="O12" s="8">
        <v>18.190000000000001</v>
      </c>
      <c r="P12" s="8">
        <f t="shared" si="3"/>
        <v>16.981827957984102</v>
      </c>
      <c r="Q12" s="8">
        <v>71</v>
      </c>
      <c r="R12" s="8">
        <v>64</v>
      </c>
      <c r="S12" s="8">
        <v>72</v>
      </c>
      <c r="T12" s="8">
        <f t="shared" si="4"/>
        <v>69</v>
      </c>
      <c r="U12" s="8">
        <v>43</v>
      </c>
      <c r="V12" s="6"/>
      <c r="AG12" s="10"/>
      <c r="AH12" s="7"/>
      <c r="AI12" s="8"/>
      <c r="AJ12" s="8"/>
      <c r="AK12" s="8"/>
      <c r="AL12" s="8"/>
      <c r="AM12" s="8"/>
      <c r="AN12" s="8"/>
      <c r="AO12" s="8"/>
      <c r="AP12" s="6"/>
      <c r="BA12" s="10"/>
      <c r="BB12" s="7"/>
      <c r="BC12" s="8"/>
      <c r="BD12" s="8"/>
      <c r="BE12" s="8"/>
      <c r="BF12" s="8"/>
      <c r="BG12" s="8"/>
      <c r="BH12" s="8"/>
      <c r="BI12" s="39"/>
      <c r="BJ12" s="8">
        <f t="shared" si="5"/>
        <v>69</v>
      </c>
      <c r="BK12" s="11">
        <f t="shared" si="6"/>
        <v>2</v>
      </c>
      <c r="BL12" s="11">
        <f t="shared" si="7"/>
        <v>3</v>
      </c>
      <c r="BM12" s="11">
        <f t="shared" si="8"/>
        <v>6</v>
      </c>
      <c r="BN12" s="11">
        <f t="shared" si="14"/>
        <v>11</v>
      </c>
      <c r="BO12" s="11">
        <f t="shared" si="9"/>
        <v>22</v>
      </c>
    </row>
    <row r="13" spans="1:67" s="11" customFormat="1" ht="18.45">
      <c r="A13" s="6" t="s">
        <v>15</v>
      </c>
      <c r="B13" s="6" t="s">
        <v>117</v>
      </c>
      <c r="C13" s="11">
        <v>4</v>
      </c>
      <c r="D13" s="11">
        <v>0</v>
      </c>
      <c r="E13" s="11">
        <v>0</v>
      </c>
      <c r="F13" s="11">
        <v>4</v>
      </c>
      <c r="G13" s="11">
        <v>12</v>
      </c>
      <c r="H13" s="11">
        <f t="shared" si="0"/>
        <v>16</v>
      </c>
      <c r="I13" s="11">
        <v>4</v>
      </c>
      <c r="J13" s="11">
        <v>2</v>
      </c>
      <c r="K13" s="11">
        <v>0</v>
      </c>
      <c r="L13" s="11">
        <v>0</v>
      </c>
      <c r="M13" s="10">
        <f t="shared" si="1"/>
        <v>6</v>
      </c>
      <c r="N13" s="7">
        <f>12.26+7.28+17.95+6.54</f>
        <v>44.029999999999994</v>
      </c>
      <c r="O13" s="8">
        <v>23.24</v>
      </c>
      <c r="P13" s="8">
        <f t="shared" si="3"/>
        <v>21.496739785861742</v>
      </c>
      <c r="Q13" s="8">
        <v>57</v>
      </c>
      <c r="R13" s="8">
        <v>81</v>
      </c>
      <c r="S13" s="8">
        <v>65</v>
      </c>
      <c r="T13" s="8">
        <f t="shared" si="4"/>
        <v>67.666666666666671</v>
      </c>
      <c r="U13" s="8">
        <v>43</v>
      </c>
      <c r="V13" s="6" t="s">
        <v>117</v>
      </c>
      <c r="W13" s="11">
        <v>3</v>
      </c>
      <c r="X13" s="11">
        <v>1</v>
      </c>
      <c r="Y13" s="11">
        <v>4</v>
      </c>
      <c r="Z13" s="11">
        <v>10</v>
      </c>
      <c r="AA13" s="11">
        <v>0</v>
      </c>
      <c r="AB13" s="11">
        <f t="shared" si="10"/>
        <v>15</v>
      </c>
      <c r="AC13" s="11">
        <v>3</v>
      </c>
      <c r="AD13" s="11">
        <v>1</v>
      </c>
      <c r="AE13" s="11">
        <v>0</v>
      </c>
      <c r="AF13" s="11">
        <v>0</v>
      </c>
      <c r="AG13" s="10">
        <f t="shared" si="11"/>
        <v>4</v>
      </c>
      <c r="AH13" s="7">
        <f>19.96+13.28+12.18</f>
        <v>45.42</v>
      </c>
      <c r="AI13" s="8">
        <v>22</v>
      </c>
      <c r="AJ13" s="8">
        <f t="shared" si="12"/>
        <v>21.406987152756127</v>
      </c>
      <c r="AK13" s="8">
        <v>71</v>
      </c>
      <c r="AL13" s="8">
        <v>67</v>
      </c>
      <c r="AM13" s="8">
        <v>92</v>
      </c>
      <c r="AN13" s="8">
        <f t="shared" si="13"/>
        <v>76.666666666666671</v>
      </c>
      <c r="AO13" s="8">
        <v>41</v>
      </c>
      <c r="AP13" s="6"/>
      <c r="BA13" s="10"/>
      <c r="BB13" s="7"/>
      <c r="BC13" s="8"/>
      <c r="BD13" s="8"/>
      <c r="BE13" s="8"/>
      <c r="BF13" s="8"/>
      <c r="BG13" s="8"/>
      <c r="BH13" s="8"/>
      <c r="BI13" s="39"/>
      <c r="BJ13" s="8">
        <f t="shared" si="5"/>
        <v>72.166666666666671</v>
      </c>
      <c r="BK13" s="11">
        <f t="shared" si="6"/>
        <v>7</v>
      </c>
      <c r="BL13" s="11">
        <f t="shared" si="7"/>
        <v>4</v>
      </c>
      <c r="BM13" s="11">
        <f t="shared" si="8"/>
        <v>14</v>
      </c>
      <c r="BN13" s="11">
        <f t="shared" si="14"/>
        <v>12</v>
      </c>
      <c r="BO13" s="11">
        <f t="shared" si="9"/>
        <v>41</v>
      </c>
    </row>
    <row r="14" spans="1:67" s="11" customFormat="1" ht="18.45">
      <c r="A14" s="6" t="s">
        <v>17</v>
      </c>
      <c r="B14" s="6" t="s">
        <v>117</v>
      </c>
      <c r="C14" s="11">
        <v>3</v>
      </c>
      <c r="D14" s="11">
        <v>0</v>
      </c>
      <c r="E14" s="11">
        <v>6</v>
      </c>
      <c r="F14" s="11">
        <v>10</v>
      </c>
      <c r="G14" s="11">
        <v>0</v>
      </c>
      <c r="H14" s="11">
        <f t="shared" si="0"/>
        <v>16</v>
      </c>
      <c r="I14" s="11">
        <v>3</v>
      </c>
      <c r="J14" s="11">
        <v>0</v>
      </c>
      <c r="K14" s="11">
        <v>0</v>
      </c>
      <c r="L14" s="11">
        <v>0</v>
      </c>
      <c r="M14" s="10">
        <f t="shared" si="1"/>
        <v>3</v>
      </c>
      <c r="N14" s="7">
        <v>63.6</v>
      </c>
      <c r="O14" s="8">
        <v>27.9</v>
      </c>
      <c r="P14" s="8">
        <f t="shared" si="3"/>
        <v>26.863487447562509</v>
      </c>
      <c r="Q14" s="8">
        <v>84</v>
      </c>
      <c r="R14" s="8">
        <v>67</v>
      </c>
      <c r="S14" s="8">
        <v>72</v>
      </c>
      <c r="T14" s="8">
        <f t="shared" si="4"/>
        <v>74.333333333333329</v>
      </c>
      <c r="U14" s="8">
        <v>49</v>
      </c>
      <c r="V14" s="6"/>
      <c r="AG14" s="10"/>
      <c r="AH14" s="7"/>
      <c r="AI14" s="8"/>
      <c r="AJ14" s="8"/>
      <c r="AK14" s="8"/>
      <c r="AL14" s="8"/>
      <c r="AM14" s="8"/>
      <c r="AN14" s="8"/>
      <c r="AO14" s="8"/>
      <c r="AP14" s="6"/>
      <c r="BA14" s="10"/>
      <c r="BB14" s="7"/>
      <c r="BC14" s="8"/>
      <c r="BD14" s="8"/>
      <c r="BE14" s="8"/>
      <c r="BF14" s="8"/>
      <c r="BG14" s="8"/>
      <c r="BH14" s="8"/>
      <c r="BI14" s="39"/>
      <c r="BJ14" s="8">
        <f t="shared" si="5"/>
        <v>74.333333333333329</v>
      </c>
      <c r="BK14" s="11">
        <f t="shared" si="6"/>
        <v>3</v>
      </c>
      <c r="BL14" s="11">
        <f t="shared" si="7"/>
        <v>6</v>
      </c>
      <c r="BM14" s="11">
        <f t="shared" si="8"/>
        <v>10</v>
      </c>
      <c r="BO14" s="11">
        <f t="shared" si="9"/>
        <v>19</v>
      </c>
    </row>
    <row r="15" spans="1:67" s="11" customFormat="1" ht="18.45">
      <c r="A15" s="6" t="s">
        <v>18</v>
      </c>
      <c r="B15" s="6" t="s">
        <v>117</v>
      </c>
      <c r="C15" s="11">
        <v>3</v>
      </c>
      <c r="D15" s="11">
        <v>2</v>
      </c>
      <c r="E15" s="11">
        <v>4</v>
      </c>
      <c r="F15" s="11">
        <v>7</v>
      </c>
      <c r="G15" s="11">
        <v>0</v>
      </c>
      <c r="H15" s="11">
        <f t="shared" si="0"/>
        <v>13</v>
      </c>
      <c r="I15" s="11">
        <v>2</v>
      </c>
      <c r="J15" s="11">
        <v>0</v>
      </c>
      <c r="K15" s="11">
        <v>0</v>
      </c>
      <c r="L15" s="11">
        <v>0</v>
      </c>
      <c r="M15" s="10">
        <f t="shared" si="1"/>
        <v>2</v>
      </c>
      <c r="N15" s="7">
        <f>10.09+15.77</f>
        <v>25.86</v>
      </c>
      <c r="O15" s="8">
        <v>20.28</v>
      </c>
      <c r="P15" s="8">
        <f t="shared" si="3"/>
        <v>19.907399280318625</v>
      </c>
      <c r="Q15" s="8">
        <v>96</v>
      </c>
      <c r="R15" s="8">
        <v>72</v>
      </c>
      <c r="S15" s="8">
        <v>69</v>
      </c>
      <c r="T15" s="8">
        <f t="shared" si="4"/>
        <v>79</v>
      </c>
      <c r="U15" s="8">
        <v>68</v>
      </c>
      <c r="V15" s="6"/>
      <c r="AG15" s="10"/>
      <c r="AH15" s="7"/>
      <c r="AI15" s="8"/>
      <c r="AJ15" s="8"/>
      <c r="AK15" s="8"/>
      <c r="AL15" s="8"/>
      <c r="AM15" s="8"/>
      <c r="AN15" s="8"/>
      <c r="AO15" s="8"/>
      <c r="AP15" s="6"/>
      <c r="BA15" s="10"/>
      <c r="BB15" s="7"/>
      <c r="BC15" s="8"/>
      <c r="BD15" s="8"/>
      <c r="BE15" s="8"/>
      <c r="BF15" s="8"/>
      <c r="BG15" s="8"/>
      <c r="BH15" s="8"/>
      <c r="BI15" s="39"/>
      <c r="BJ15" s="8">
        <f t="shared" si="5"/>
        <v>79</v>
      </c>
      <c r="BK15" s="11">
        <f t="shared" si="6"/>
        <v>2</v>
      </c>
      <c r="BL15" s="11">
        <f t="shared" si="7"/>
        <v>4</v>
      </c>
      <c r="BM15" s="11">
        <f t="shared" si="8"/>
        <v>7</v>
      </c>
      <c r="BO15" s="11">
        <f t="shared" si="9"/>
        <v>15</v>
      </c>
    </row>
    <row r="16" spans="1:67" s="11" customFormat="1" ht="18.45">
      <c r="A16" s="6" t="s">
        <v>19</v>
      </c>
      <c r="B16" s="6" t="s">
        <v>117</v>
      </c>
      <c r="C16" s="11">
        <v>4</v>
      </c>
      <c r="D16" s="11">
        <v>1</v>
      </c>
      <c r="E16" s="11">
        <v>3</v>
      </c>
      <c r="F16" s="11">
        <v>4</v>
      </c>
      <c r="G16" s="11">
        <v>12</v>
      </c>
      <c r="H16" s="11">
        <f t="shared" si="0"/>
        <v>20</v>
      </c>
      <c r="I16" s="11">
        <v>2</v>
      </c>
      <c r="J16" s="11">
        <v>1</v>
      </c>
      <c r="K16" s="11">
        <v>0</v>
      </c>
      <c r="L16" s="11">
        <v>0</v>
      </c>
      <c r="M16" s="10">
        <f t="shared" si="1"/>
        <v>3</v>
      </c>
      <c r="N16" s="7">
        <v>48.24</v>
      </c>
      <c r="O16" s="8">
        <v>38.26</v>
      </c>
      <c r="P16" s="8">
        <f t="shared" si="3"/>
        <v>38.094364450261516</v>
      </c>
      <c r="Q16" s="8">
        <v>97</v>
      </c>
      <c r="R16" s="8">
        <v>79</v>
      </c>
      <c r="S16" s="8">
        <v>78</v>
      </c>
      <c r="T16" s="8">
        <f t="shared" si="4"/>
        <v>84.666666666666671</v>
      </c>
      <c r="U16" s="8">
        <v>44</v>
      </c>
      <c r="V16" s="6"/>
      <c r="AG16" s="10"/>
      <c r="AH16" s="7"/>
      <c r="AI16" s="8"/>
      <c r="AJ16" s="8"/>
      <c r="AK16" s="8"/>
      <c r="AL16" s="8"/>
      <c r="AM16" s="8"/>
      <c r="AN16" s="8"/>
      <c r="AO16" s="8"/>
      <c r="AP16" s="6"/>
      <c r="BA16" s="10"/>
      <c r="BB16" s="7"/>
      <c r="BC16" s="8"/>
      <c r="BD16" s="8"/>
      <c r="BE16" s="8"/>
      <c r="BF16" s="8"/>
      <c r="BG16" s="8"/>
      <c r="BH16" s="8"/>
      <c r="BI16" s="39"/>
      <c r="BJ16" s="8">
        <f t="shared" si="5"/>
        <v>84.666666666666671</v>
      </c>
      <c r="BK16" s="11">
        <f t="shared" si="6"/>
        <v>2</v>
      </c>
      <c r="BL16" s="11">
        <f t="shared" si="7"/>
        <v>3</v>
      </c>
      <c r="BM16" s="11">
        <f t="shared" si="8"/>
        <v>4</v>
      </c>
      <c r="BN16" s="11">
        <f t="shared" si="14"/>
        <v>12</v>
      </c>
      <c r="BO16" s="11">
        <f t="shared" si="9"/>
        <v>23</v>
      </c>
    </row>
    <row r="17" spans="1:67" s="11" customFormat="1" ht="18.45">
      <c r="A17" s="6" t="s">
        <v>20</v>
      </c>
      <c r="B17" s="6" t="s">
        <v>118</v>
      </c>
      <c r="C17" s="11">
        <v>4</v>
      </c>
      <c r="D17" s="11">
        <v>0</v>
      </c>
      <c r="E17" s="11">
        <v>4</v>
      </c>
      <c r="F17" s="11">
        <v>7</v>
      </c>
      <c r="G17" s="11">
        <v>9</v>
      </c>
      <c r="H17" s="11">
        <f t="shared" si="0"/>
        <v>20</v>
      </c>
      <c r="I17" s="11">
        <v>3</v>
      </c>
      <c r="J17" s="11">
        <v>0</v>
      </c>
      <c r="K17" s="11">
        <v>0</v>
      </c>
      <c r="L17" s="11">
        <v>0</v>
      </c>
      <c r="M17" s="10">
        <f t="shared" si="1"/>
        <v>3</v>
      </c>
      <c r="N17" s="7">
        <f>16.42+17.15</f>
        <v>33.57</v>
      </c>
      <c r="O17" s="8">
        <v>18.87</v>
      </c>
      <c r="P17" s="8">
        <f t="shared" si="3"/>
        <v>18.729345881471748</v>
      </c>
      <c r="Q17" s="8">
        <v>93</v>
      </c>
      <c r="R17" s="8">
        <v>81</v>
      </c>
      <c r="S17" s="8">
        <v>75</v>
      </c>
      <c r="T17" s="8">
        <f t="shared" si="4"/>
        <v>83</v>
      </c>
      <c r="U17" s="8">
        <v>49</v>
      </c>
      <c r="V17" s="6"/>
      <c r="AG17" s="10"/>
      <c r="AH17" s="7"/>
      <c r="AI17" s="8"/>
      <c r="AJ17" s="8"/>
      <c r="AK17" s="8"/>
      <c r="AL17" s="8"/>
      <c r="AM17" s="8"/>
      <c r="AN17" s="8"/>
      <c r="AO17" s="8"/>
      <c r="AP17" s="6"/>
      <c r="BA17" s="10"/>
      <c r="BB17" s="7"/>
      <c r="BC17" s="8"/>
      <c r="BD17" s="8"/>
      <c r="BE17" s="8"/>
      <c r="BF17" s="8"/>
      <c r="BG17" s="8"/>
      <c r="BH17" s="8"/>
      <c r="BI17" s="39"/>
      <c r="BJ17" s="8">
        <f t="shared" si="5"/>
        <v>83</v>
      </c>
      <c r="BK17" s="11">
        <f t="shared" si="6"/>
        <v>3</v>
      </c>
      <c r="BL17" s="11">
        <f t="shared" si="7"/>
        <v>4</v>
      </c>
      <c r="BM17" s="11">
        <f t="shared" si="8"/>
        <v>7</v>
      </c>
      <c r="BN17" s="11">
        <f t="shared" si="14"/>
        <v>9</v>
      </c>
      <c r="BO17" s="11">
        <f t="shared" si="9"/>
        <v>23</v>
      </c>
    </row>
    <row r="18" spans="1:67" s="11" customFormat="1" ht="18.45">
      <c r="A18" s="6" t="s">
        <v>21</v>
      </c>
      <c r="B18" s="6" t="s">
        <v>117</v>
      </c>
      <c r="C18" s="11">
        <v>3</v>
      </c>
      <c r="D18" s="11">
        <v>2</v>
      </c>
      <c r="E18" s="11">
        <v>4</v>
      </c>
      <c r="F18" s="11">
        <v>9</v>
      </c>
      <c r="G18" s="11">
        <v>0</v>
      </c>
      <c r="H18" s="11">
        <f t="shared" si="0"/>
        <v>15</v>
      </c>
      <c r="I18" s="11">
        <v>3</v>
      </c>
      <c r="J18" s="11">
        <v>0</v>
      </c>
      <c r="K18" s="11">
        <v>0</v>
      </c>
      <c r="L18" s="11">
        <v>0</v>
      </c>
      <c r="M18" s="10">
        <f t="shared" si="1"/>
        <v>3</v>
      </c>
      <c r="N18" s="7">
        <f>14.34+6.53+13.83+19.7</f>
        <v>54.400000000000006</v>
      </c>
      <c r="O18" s="8">
        <v>18.059999999999999</v>
      </c>
      <c r="P18" s="8">
        <f t="shared" si="3"/>
        <v>16.541086854807467</v>
      </c>
      <c r="Q18" s="8">
        <v>64</v>
      </c>
      <c r="R18" s="8">
        <v>73</v>
      </c>
      <c r="S18" s="8">
        <v>62</v>
      </c>
      <c r="T18" s="8">
        <f t="shared" si="4"/>
        <v>66.333333333333329</v>
      </c>
      <c r="U18" s="8">
        <v>52</v>
      </c>
      <c r="V18" s="6"/>
      <c r="AG18" s="10"/>
      <c r="AH18" s="7"/>
      <c r="AI18" s="8"/>
      <c r="AJ18" s="8"/>
      <c r="AK18" s="8"/>
      <c r="AL18" s="8"/>
      <c r="AM18" s="8"/>
      <c r="AN18" s="8"/>
      <c r="AO18" s="8"/>
      <c r="AP18" s="6"/>
      <c r="BA18" s="10"/>
      <c r="BB18" s="7"/>
      <c r="BC18" s="8"/>
      <c r="BD18" s="8"/>
      <c r="BE18" s="8"/>
      <c r="BF18" s="8"/>
      <c r="BG18" s="8"/>
      <c r="BH18" s="8"/>
      <c r="BI18" s="39"/>
      <c r="BJ18" s="8">
        <f t="shared" si="5"/>
        <v>66.333333333333329</v>
      </c>
      <c r="BK18" s="11">
        <f t="shared" si="6"/>
        <v>3</v>
      </c>
      <c r="BL18" s="11">
        <f t="shared" si="7"/>
        <v>4</v>
      </c>
      <c r="BM18" s="11">
        <f t="shared" si="8"/>
        <v>9</v>
      </c>
      <c r="BO18" s="11">
        <f t="shared" si="9"/>
        <v>18</v>
      </c>
    </row>
    <row r="19" spans="1:67" s="11" customFormat="1" ht="18.45">
      <c r="A19" s="6" t="s">
        <v>22</v>
      </c>
      <c r="B19" s="6" t="s">
        <v>117</v>
      </c>
      <c r="C19" s="11">
        <v>4</v>
      </c>
      <c r="D19" s="11">
        <v>0</v>
      </c>
      <c r="E19" s="11">
        <v>3</v>
      </c>
      <c r="F19" s="11">
        <v>6</v>
      </c>
      <c r="G19" s="11">
        <v>12</v>
      </c>
      <c r="H19" s="11">
        <f t="shared" si="0"/>
        <v>21</v>
      </c>
      <c r="I19" s="11">
        <v>3</v>
      </c>
      <c r="J19" s="11">
        <v>0</v>
      </c>
      <c r="K19" s="11">
        <v>0</v>
      </c>
      <c r="L19" s="11">
        <v>0</v>
      </c>
      <c r="M19" s="10">
        <f t="shared" si="1"/>
        <v>3</v>
      </c>
      <c r="N19" s="7">
        <f>21.02+8.24+6.91+10.98</f>
        <v>47.150000000000006</v>
      </c>
      <c r="O19" s="8">
        <v>25.5</v>
      </c>
      <c r="P19" s="8">
        <f t="shared" si="3"/>
        <v>24.631108570371243</v>
      </c>
      <c r="Q19" s="8">
        <v>64</v>
      </c>
      <c r="R19" s="8">
        <v>86</v>
      </c>
      <c r="S19" s="8">
        <v>75</v>
      </c>
      <c r="T19" s="8">
        <f t="shared" si="4"/>
        <v>75</v>
      </c>
      <c r="U19" s="8">
        <v>47</v>
      </c>
      <c r="V19" s="6" t="s">
        <v>117</v>
      </c>
      <c r="W19" s="11">
        <v>2</v>
      </c>
      <c r="X19" s="11">
        <v>2</v>
      </c>
      <c r="Y19" s="11">
        <v>5</v>
      </c>
      <c r="Z19" s="11">
        <v>0</v>
      </c>
      <c r="AA19" s="11">
        <v>0</v>
      </c>
      <c r="AB19" s="11">
        <v>7</v>
      </c>
      <c r="AC19" s="11">
        <v>2</v>
      </c>
      <c r="AD19" s="11">
        <v>0</v>
      </c>
      <c r="AE19" s="11">
        <v>0</v>
      </c>
      <c r="AF19" s="11">
        <v>0</v>
      </c>
      <c r="AG19" s="10">
        <v>2</v>
      </c>
      <c r="AH19" s="7">
        <f>4.85+10.74+6.49+7.27</f>
        <v>29.349999999999998</v>
      </c>
      <c r="AI19" s="8">
        <v>16.27</v>
      </c>
      <c r="AJ19" s="8">
        <f t="shared" si="12"/>
        <v>14.824633611506</v>
      </c>
      <c r="AK19" s="8">
        <v>69</v>
      </c>
      <c r="AL19" s="8">
        <v>66</v>
      </c>
      <c r="AM19" s="8">
        <v>62</v>
      </c>
      <c r="AN19" s="8">
        <f t="shared" si="13"/>
        <v>65.666666666666671</v>
      </c>
      <c r="AO19" s="8">
        <v>65</v>
      </c>
      <c r="AP19" s="6"/>
      <c r="BA19" s="10"/>
      <c r="BB19" s="7"/>
      <c r="BC19" s="8"/>
      <c r="BD19" s="8"/>
      <c r="BE19" s="8"/>
      <c r="BF19" s="8"/>
      <c r="BG19" s="8"/>
      <c r="BH19" s="8"/>
      <c r="BI19" s="39"/>
      <c r="BJ19" s="8">
        <f t="shared" si="5"/>
        <v>70.333333333333343</v>
      </c>
      <c r="BK19" s="11">
        <f t="shared" si="6"/>
        <v>5</v>
      </c>
      <c r="BL19" s="11">
        <f t="shared" si="7"/>
        <v>8</v>
      </c>
      <c r="BM19" s="11">
        <f t="shared" si="8"/>
        <v>6</v>
      </c>
      <c r="BN19" s="11">
        <f t="shared" si="14"/>
        <v>12</v>
      </c>
      <c r="BO19" s="11">
        <f t="shared" si="9"/>
        <v>33</v>
      </c>
    </row>
    <row r="20" spans="1:67" s="11" customFormat="1" ht="18.45">
      <c r="A20" s="6" t="s">
        <v>23</v>
      </c>
      <c r="B20" s="6" t="s">
        <v>117</v>
      </c>
      <c r="C20" s="11">
        <v>4</v>
      </c>
      <c r="D20" s="11">
        <v>0</v>
      </c>
      <c r="E20" s="11">
        <v>5</v>
      </c>
      <c r="F20" s="11">
        <v>7</v>
      </c>
      <c r="G20" s="11">
        <v>10</v>
      </c>
      <c r="H20" s="11">
        <f t="shared" si="0"/>
        <v>22</v>
      </c>
      <c r="I20" s="11">
        <v>3</v>
      </c>
      <c r="J20" s="11">
        <v>0</v>
      </c>
      <c r="K20" s="11">
        <v>0</v>
      </c>
      <c r="L20" s="11">
        <v>0</v>
      </c>
      <c r="M20" s="10">
        <f t="shared" si="1"/>
        <v>3</v>
      </c>
      <c r="N20" s="7">
        <f>8.9+5.08+9.42+5.53+4.37</f>
        <v>33.299999999999997</v>
      </c>
      <c r="O20" s="8">
        <v>27.7</v>
      </c>
      <c r="P20" s="8">
        <f t="shared" si="3"/>
        <v>26.797401579121331</v>
      </c>
      <c r="Q20" s="8">
        <v>79</v>
      </c>
      <c r="R20" s="8">
        <v>73</v>
      </c>
      <c r="S20" s="8">
        <v>74</v>
      </c>
      <c r="T20" s="8">
        <f t="shared" si="4"/>
        <v>75.333333333333329</v>
      </c>
      <c r="U20" s="8">
        <v>47</v>
      </c>
      <c r="V20" s="6"/>
      <c r="AG20" s="10"/>
      <c r="AH20" s="7"/>
      <c r="AI20" s="8"/>
      <c r="AJ20" s="8"/>
      <c r="AK20" s="8"/>
      <c r="AL20" s="8"/>
      <c r="AM20" s="8"/>
      <c r="AN20" s="8"/>
      <c r="AO20" s="8"/>
      <c r="AP20" s="6"/>
      <c r="BA20" s="10"/>
      <c r="BB20" s="7"/>
      <c r="BC20" s="8"/>
      <c r="BD20" s="8"/>
      <c r="BE20" s="8"/>
      <c r="BF20" s="8"/>
      <c r="BG20" s="8"/>
      <c r="BH20" s="8"/>
      <c r="BI20" s="39"/>
      <c r="BJ20" s="8">
        <f t="shared" si="5"/>
        <v>75.333333333333329</v>
      </c>
      <c r="BK20" s="11">
        <f t="shared" si="6"/>
        <v>3</v>
      </c>
      <c r="BL20" s="11">
        <f t="shared" si="7"/>
        <v>5</v>
      </c>
      <c r="BM20" s="11">
        <f t="shared" si="8"/>
        <v>7</v>
      </c>
      <c r="BN20" s="11">
        <f t="shared" si="14"/>
        <v>10</v>
      </c>
      <c r="BO20" s="11">
        <f t="shared" si="9"/>
        <v>25</v>
      </c>
    </row>
    <row r="21" spans="1:67" s="11" customFormat="1" ht="18.45">
      <c r="A21" s="6" t="s">
        <v>25</v>
      </c>
      <c r="B21" s="6" t="s">
        <v>117</v>
      </c>
      <c r="C21" s="11">
        <v>3</v>
      </c>
      <c r="D21" s="11">
        <v>3</v>
      </c>
      <c r="E21" s="11">
        <v>6</v>
      </c>
      <c r="F21" s="11">
        <v>9</v>
      </c>
      <c r="G21" s="11">
        <v>0</v>
      </c>
      <c r="H21" s="11">
        <f t="shared" si="0"/>
        <v>18</v>
      </c>
      <c r="I21" s="11">
        <v>4</v>
      </c>
      <c r="J21" s="11">
        <v>0</v>
      </c>
      <c r="K21" s="11">
        <v>0</v>
      </c>
      <c r="L21" s="11">
        <v>0</v>
      </c>
      <c r="M21" s="10">
        <f t="shared" si="1"/>
        <v>4</v>
      </c>
      <c r="N21" s="7">
        <f>10.8+8.37+13.63+6.62</f>
        <v>39.42</v>
      </c>
      <c r="O21" s="8">
        <v>25.67</v>
      </c>
      <c r="P21" s="8">
        <f t="shared" si="3"/>
        <v>25.198369799101535</v>
      </c>
      <c r="Q21" s="8">
        <v>89</v>
      </c>
      <c r="R21" s="8">
        <v>80</v>
      </c>
      <c r="S21" s="8">
        <v>68</v>
      </c>
      <c r="T21" s="8">
        <f t="shared" si="4"/>
        <v>79</v>
      </c>
      <c r="U21" s="8">
        <v>68</v>
      </c>
      <c r="V21" s="6" t="s">
        <v>117</v>
      </c>
      <c r="W21" s="11">
        <v>2</v>
      </c>
      <c r="X21" s="11">
        <v>3</v>
      </c>
      <c r="Y21" s="11">
        <v>9</v>
      </c>
      <c r="Z21" s="11">
        <v>0</v>
      </c>
      <c r="AA21" s="11">
        <v>0</v>
      </c>
      <c r="AB21" s="11">
        <v>12</v>
      </c>
      <c r="AC21" s="11">
        <v>0</v>
      </c>
      <c r="AD21" s="11">
        <v>0</v>
      </c>
      <c r="AE21" s="11">
        <v>0</v>
      </c>
      <c r="AF21" s="11">
        <v>0</v>
      </c>
      <c r="AG21" s="10">
        <v>0</v>
      </c>
      <c r="AH21" s="7">
        <f>17.69+6.35+5.16+10.9</f>
        <v>40.1</v>
      </c>
      <c r="AI21" s="8">
        <v>11.03</v>
      </c>
      <c r="AJ21" s="8">
        <f t="shared" ref="AJ21:AJ28" si="15">AI21*SIN(AN21*PI()/180)</f>
        <v>10.686656717561684</v>
      </c>
      <c r="AK21" s="8">
        <v>73</v>
      </c>
      <c r="AL21" s="8">
        <v>80</v>
      </c>
      <c r="AM21" s="8">
        <v>74</v>
      </c>
      <c r="AN21" s="8">
        <f t="shared" ref="AN21:AN33" si="16">AVERAGE(AK21,AL21,AM21)</f>
        <v>75.666666666666671</v>
      </c>
      <c r="AO21" s="8">
        <v>62</v>
      </c>
      <c r="AP21" s="6"/>
      <c r="BA21" s="10"/>
      <c r="BB21" s="7"/>
      <c r="BC21" s="8"/>
      <c r="BD21" s="8"/>
      <c r="BE21" s="8"/>
      <c r="BF21" s="8"/>
      <c r="BG21" s="8"/>
      <c r="BH21" s="8"/>
      <c r="BI21" s="39"/>
      <c r="BJ21" s="8">
        <f t="shared" si="5"/>
        <v>77.333333333333343</v>
      </c>
      <c r="BK21" s="11">
        <f t="shared" si="6"/>
        <v>4</v>
      </c>
      <c r="BL21" s="11">
        <f t="shared" si="7"/>
        <v>15</v>
      </c>
      <c r="BM21" s="11">
        <f t="shared" si="8"/>
        <v>9</v>
      </c>
      <c r="BO21" s="11">
        <f t="shared" si="9"/>
        <v>34</v>
      </c>
    </row>
    <row r="22" spans="1:67" s="11" customFormat="1" ht="18.45">
      <c r="A22" s="6" t="s">
        <v>44</v>
      </c>
      <c r="B22" s="6" t="s">
        <v>117</v>
      </c>
      <c r="C22" s="11">
        <v>4</v>
      </c>
      <c r="D22" s="11">
        <v>0</v>
      </c>
      <c r="E22" s="11">
        <v>3</v>
      </c>
      <c r="F22" s="11">
        <v>4</v>
      </c>
      <c r="G22" s="11">
        <v>10</v>
      </c>
      <c r="H22" s="11">
        <f t="shared" si="0"/>
        <v>17</v>
      </c>
      <c r="I22" s="11">
        <v>4</v>
      </c>
      <c r="J22" s="11">
        <v>0</v>
      </c>
      <c r="K22" s="11">
        <v>0</v>
      </c>
      <c r="L22" s="11">
        <v>0</v>
      </c>
      <c r="M22" s="10">
        <f t="shared" si="1"/>
        <v>4</v>
      </c>
      <c r="N22" s="7">
        <f>31.25+5.69+28.37</f>
        <v>65.31</v>
      </c>
      <c r="O22" s="8">
        <v>27.9</v>
      </c>
      <c r="P22" s="8">
        <f t="shared" si="3"/>
        <v>27.071250763100299</v>
      </c>
      <c r="Q22" s="8">
        <v>88</v>
      </c>
      <c r="R22" s="8">
        <v>61</v>
      </c>
      <c r="S22" s="8">
        <v>79</v>
      </c>
      <c r="T22" s="8">
        <f t="shared" si="4"/>
        <v>76</v>
      </c>
      <c r="U22" s="8">
        <v>54</v>
      </c>
      <c r="V22" s="6"/>
      <c r="AG22" s="10"/>
      <c r="AH22" s="7"/>
      <c r="AI22" s="8"/>
      <c r="AJ22" s="8"/>
      <c r="AK22" s="8"/>
      <c r="AL22" s="8"/>
      <c r="AM22" s="8"/>
      <c r="AN22" s="8"/>
      <c r="AO22" s="8"/>
      <c r="AP22" s="6"/>
      <c r="BA22" s="10"/>
      <c r="BB22" s="7"/>
      <c r="BC22" s="8"/>
      <c r="BD22" s="8"/>
      <c r="BE22" s="8"/>
      <c r="BF22" s="8"/>
      <c r="BG22" s="8"/>
      <c r="BH22" s="8"/>
      <c r="BI22" s="39"/>
      <c r="BJ22" s="8">
        <f t="shared" si="5"/>
        <v>76</v>
      </c>
      <c r="BK22" s="11">
        <f t="shared" si="6"/>
        <v>4</v>
      </c>
      <c r="BL22" s="11">
        <f t="shared" si="7"/>
        <v>3</v>
      </c>
      <c r="BM22" s="11">
        <f t="shared" si="8"/>
        <v>4</v>
      </c>
      <c r="BN22" s="11">
        <f t="shared" si="14"/>
        <v>10</v>
      </c>
      <c r="BO22" s="11">
        <f t="shared" si="9"/>
        <v>21</v>
      </c>
    </row>
    <row r="23" spans="1:67" s="11" customFormat="1" ht="18.45">
      <c r="A23" s="6" t="s">
        <v>27</v>
      </c>
      <c r="B23" s="6" t="s">
        <v>117</v>
      </c>
      <c r="C23" s="11">
        <v>3</v>
      </c>
      <c r="D23" s="11">
        <v>3</v>
      </c>
      <c r="E23" s="11">
        <v>4</v>
      </c>
      <c r="F23" s="11">
        <v>6</v>
      </c>
      <c r="G23" s="11">
        <v>0</v>
      </c>
      <c r="H23" s="11">
        <f t="shared" si="0"/>
        <v>13</v>
      </c>
      <c r="I23" s="11">
        <v>0</v>
      </c>
      <c r="J23" s="11">
        <v>0</v>
      </c>
      <c r="K23" s="11">
        <v>0</v>
      </c>
      <c r="L23" s="11">
        <v>0</v>
      </c>
      <c r="M23" s="10">
        <f t="shared" si="1"/>
        <v>0</v>
      </c>
      <c r="N23" s="7">
        <f>9.53+25.09</f>
        <v>34.619999999999997</v>
      </c>
      <c r="O23" s="8">
        <v>18.72</v>
      </c>
      <c r="P23" s="8">
        <f t="shared" si="3"/>
        <v>16.679642132806244</v>
      </c>
      <c r="Q23" s="8">
        <v>66</v>
      </c>
      <c r="R23" s="8">
        <v>67</v>
      </c>
      <c r="S23" s="8">
        <v>56</v>
      </c>
      <c r="T23" s="8">
        <f t="shared" si="4"/>
        <v>63</v>
      </c>
      <c r="U23" s="8">
        <v>55</v>
      </c>
      <c r="V23" s="6"/>
      <c r="AG23" s="10"/>
      <c r="AH23" s="7"/>
      <c r="AI23" s="8"/>
      <c r="AJ23" s="8"/>
      <c r="AK23" s="8"/>
      <c r="AL23" s="8"/>
      <c r="AM23" s="8"/>
      <c r="AN23" s="8"/>
      <c r="AO23" s="8"/>
      <c r="AP23" s="6"/>
      <c r="BA23" s="10"/>
      <c r="BB23" s="7"/>
      <c r="BC23" s="8"/>
      <c r="BD23" s="8"/>
      <c r="BE23" s="8"/>
      <c r="BF23" s="8"/>
      <c r="BG23" s="8"/>
      <c r="BH23" s="8"/>
      <c r="BI23" s="39"/>
      <c r="BJ23" s="8">
        <f t="shared" si="5"/>
        <v>63</v>
      </c>
      <c r="BL23" s="11">
        <f t="shared" si="7"/>
        <v>4</v>
      </c>
      <c r="BM23" s="11">
        <f t="shared" si="8"/>
        <v>6</v>
      </c>
      <c r="BO23" s="11">
        <f t="shared" si="9"/>
        <v>13</v>
      </c>
    </row>
    <row r="24" spans="1:67" s="11" customFormat="1" ht="18.45">
      <c r="A24" s="6" t="s">
        <v>28</v>
      </c>
      <c r="B24" s="6" t="s">
        <v>117</v>
      </c>
      <c r="C24" s="11">
        <v>2</v>
      </c>
      <c r="D24" s="11">
        <v>5</v>
      </c>
      <c r="E24" s="11">
        <v>7</v>
      </c>
      <c r="F24" s="11">
        <v>0</v>
      </c>
      <c r="G24" s="11">
        <v>0</v>
      </c>
      <c r="H24" s="11">
        <f t="shared" si="0"/>
        <v>12</v>
      </c>
      <c r="I24" s="11">
        <v>1</v>
      </c>
      <c r="J24" s="11">
        <v>0</v>
      </c>
      <c r="K24" s="11">
        <v>0</v>
      </c>
      <c r="L24" s="11">
        <v>0</v>
      </c>
      <c r="M24" s="10">
        <f t="shared" si="1"/>
        <v>1</v>
      </c>
      <c r="N24" s="7">
        <v>35.92</v>
      </c>
      <c r="O24" s="8">
        <v>8.0399999999999991</v>
      </c>
      <c r="P24" s="8">
        <f t="shared" si="3"/>
        <v>6.9155991490787363</v>
      </c>
      <c r="Q24" s="8">
        <v>67</v>
      </c>
      <c r="R24" s="8">
        <v>66</v>
      </c>
      <c r="S24" s="8">
        <v>45</v>
      </c>
      <c r="T24" s="8">
        <f t="shared" si="4"/>
        <v>59.333333333333336</v>
      </c>
      <c r="U24" s="8">
        <v>45</v>
      </c>
      <c r="V24" s="6"/>
      <c r="AG24" s="10"/>
      <c r="AH24" s="7"/>
      <c r="AI24" s="8"/>
      <c r="AJ24" s="8"/>
      <c r="AK24" s="8"/>
      <c r="AL24" s="8"/>
      <c r="AM24" s="8"/>
      <c r="AN24" s="8"/>
      <c r="AO24" s="8"/>
      <c r="AP24" s="6"/>
      <c r="BA24" s="10"/>
      <c r="BB24" s="7"/>
      <c r="BC24" s="8"/>
      <c r="BD24" s="8"/>
      <c r="BE24" s="8"/>
      <c r="BF24" s="8"/>
      <c r="BG24" s="8"/>
      <c r="BH24" s="8"/>
      <c r="BI24" s="39"/>
      <c r="BJ24" s="8">
        <f t="shared" si="5"/>
        <v>59.333333333333336</v>
      </c>
      <c r="BK24" s="11">
        <f t="shared" si="6"/>
        <v>1</v>
      </c>
      <c r="BL24" s="11">
        <f t="shared" si="7"/>
        <v>7</v>
      </c>
      <c r="BO24" s="11">
        <f t="shared" si="9"/>
        <v>13</v>
      </c>
    </row>
    <row r="25" spans="1:67" s="11" customFormat="1" ht="18.45">
      <c r="A25" s="6" t="s">
        <v>29</v>
      </c>
      <c r="B25" s="6" t="s">
        <v>117</v>
      </c>
      <c r="C25" s="11">
        <v>4</v>
      </c>
      <c r="D25" s="11">
        <v>3</v>
      </c>
      <c r="E25" s="11">
        <v>4</v>
      </c>
      <c r="F25" s="11">
        <v>5</v>
      </c>
      <c r="G25" s="11">
        <v>5</v>
      </c>
      <c r="H25" s="11">
        <f t="shared" si="0"/>
        <v>17</v>
      </c>
      <c r="I25" s="11">
        <v>1</v>
      </c>
      <c r="J25" s="11">
        <v>0</v>
      </c>
      <c r="K25" s="11">
        <v>0</v>
      </c>
      <c r="L25" s="11">
        <v>0</v>
      </c>
      <c r="M25" s="10">
        <f t="shared" si="1"/>
        <v>1</v>
      </c>
      <c r="N25" s="7">
        <f>12.57+14.07+17.89+6.6</f>
        <v>51.13</v>
      </c>
      <c r="O25" s="8">
        <v>19.079999999999998</v>
      </c>
      <c r="P25" s="8">
        <f t="shared" si="3"/>
        <v>17.690667945134301</v>
      </c>
      <c r="Q25" s="8">
        <v>68</v>
      </c>
      <c r="R25" s="8">
        <v>77</v>
      </c>
      <c r="S25" s="8">
        <v>59</v>
      </c>
      <c r="T25" s="8">
        <f t="shared" si="4"/>
        <v>68</v>
      </c>
      <c r="U25" s="8">
        <v>41</v>
      </c>
      <c r="V25" s="6" t="s">
        <v>117</v>
      </c>
      <c r="W25" s="11">
        <v>2</v>
      </c>
      <c r="X25" s="11">
        <v>3</v>
      </c>
      <c r="Y25" s="11">
        <v>5</v>
      </c>
      <c r="Z25" s="11">
        <v>0</v>
      </c>
      <c r="AA25" s="11">
        <v>0</v>
      </c>
      <c r="AB25" s="11">
        <v>8</v>
      </c>
      <c r="AC25" s="11">
        <v>1</v>
      </c>
      <c r="AD25" s="11">
        <v>0</v>
      </c>
      <c r="AE25" s="11">
        <v>0</v>
      </c>
      <c r="AF25" s="11">
        <v>0</v>
      </c>
      <c r="AG25" s="10">
        <v>1</v>
      </c>
      <c r="AH25" s="7">
        <f>13.79+19.53</f>
        <v>33.32</v>
      </c>
      <c r="AI25" s="8">
        <v>10.86</v>
      </c>
      <c r="AJ25" s="8">
        <f t="shared" si="15"/>
        <v>9.842502567218018</v>
      </c>
      <c r="AK25" s="8">
        <v>64</v>
      </c>
      <c r="AL25" s="8">
        <v>70</v>
      </c>
      <c r="AM25" s="8">
        <v>61</v>
      </c>
      <c r="AN25" s="8">
        <f t="shared" si="16"/>
        <v>65</v>
      </c>
      <c r="AO25" s="8">
        <v>61</v>
      </c>
      <c r="AP25" s="6"/>
      <c r="BA25" s="10"/>
      <c r="BB25" s="7"/>
      <c r="BC25" s="8"/>
      <c r="BD25" s="8"/>
      <c r="BE25" s="8"/>
      <c r="BF25" s="8"/>
      <c r="BG25" s="8"/>
      <c r="BH25" s="8"/>
      <c r="BI25" s="39"/>
      <c r="BJ25" s="8">
        <f t="shared" si="5"/>
        <v>66.5</v>
      </c>
      <c r="BK25" s="11">
        <f t="shared" si="6"/>
        <v>2</v>
      </c>
      <c r="BL25" s="11">
        <f t="shared" si="7"/>
        <v>9</v>
      </c>
      <c r="BM25" s="11">
        <f t="shared" si="8"/>
        <v>5</v>
      </c>
      <c r="BN25" s="11">
        <f t="shared" si="14"/>
        <v>5</v>
      </c>
      <c r="BO25" s="11">
        <f t="shared" si="9"/>
        <v>27</v>
      </c>
    </row>
    <row r="26" spans="1:67" s="11" customFormat="1" ht="18.45">
      <c r="A26" s="6" t="s">
        <v>31</v>
      </c>
      <c r="B26" s="6" t="s">
        <v>117</v>
      </c>
      <c r="C26" s="11">
        <v>3</v>
      </c>
      <c r="D26" s="11">
        <v>0</v>
      </c>
      <c r="E26" s="11">
        <v>4</v>
      </c>
      <c r="F26" s="11">
        <v>7</v>
      </c>
      <c r="G26" s="11">
        <v>0</v>
      </c>
      <c r="H26" s="11">
        <f t="shared" si="0"/>
        <v>11</v>
      </c>
      <c r="I26" s="11">
        <v>3</v>
      </c>
      <c r="J26" s="11">
        <v>0</v>
      </c>
      <c r="K26" s="11">
        <v>0</v>
      </c>
      <c r="L26" s="11">
        <v>0</v>
      </c>
      <c r="M26" s="10">
        <f t="shared" si="1"/>
        <v>3</v>
      </c>
      <c r="N26" s="7">
        <f>8.6+28.86</f>
        <v>37.46</v>
      </c>
      <c r="O26" s="8">
        <v>33.340000000000003</v>
      </c>
      <c r="P26" s="8">
        <f t="shared" si="3"/>
        <v>31.19455485808998</v>
      </c>
      <c r="Q26" s="8">
        <v>62</v>
      </c>
      <c r="R26" s="8">
        <v>65</v>
      </c>
      <c r="S26" s="8">
        <v>81</v>
      </c>
      <c r="T26" s="8">
        <f t="shared" si="4"/>
        <v>69.333333333333329</v>
      </c>
      <c r="U26" s="8">
        <v>54</v>
      </c>
      <c r="V26" s="6" t="s">
        <v>117</v>
      </c>
      <c r="W26" s="11">
        <v>3</v>
      </c>
      <c r="X26" s="11">
        <v>0</v>
      </c>
      <c r="Y26" s="11">
        <v>2</v>
      </c>
      <c r="Z26" s="11">
        <v>6</v>
      </c>
      <c r="AA26" s="11">
        <v>0</v>
      </c>
      <c r="AB26" s="11">
        <v>8</v>
      </c>
      <c r="AC26" s="11">
        <v>1</v>
      </c>
      <c r="AD26" s="11">
        <v>0</v>
      </c>
      <c r="AE26" s="11">
        <v>0</v>
      </c>
      <c r="AF26" s="11">
        <v>0</v>
      </c>
      <c r="AG26" s="10">
        <v>1</v>
      </c>
      <c r="AH26" s="7">
        <f>19.07+8.72+7.57</f>
        <v>35.36</v>
      </c>
      <c r="AI26" s="8">
        <v>33.4</v>
      </c>
      <c r="AJ26" s="8">
        <f t="shared" si="15"/>
        <v>29.306008291683035</v>
      </c>
      <c r="AK26" s="8">
        <v>54</v>
      </c>
      <c r="AL26" s="8">
        <v>64</v>
      </c>
      <c r="AM26" s="8">
        <v>66</v>
      </c>
      <c r="AN26" s="8">
        <f t="shared" si="16"/>
        <v>61.333333333333336</v>
      </c>
      <c r="AO26" s="8">
        <v>44</v>
      </c>
      <c r="AP26" s="6"/>
      <c r="BA26" s="10"/>
      <c r="BB26" s="7"/>
      <c r="BC26" s="8"/>
      <c r="BD26" s="8"/>
      <c r="BE26" s="8"/>
      <c r="BF26" s="8"/>
      <c r="BG26" s="8"/>
      <c r="BH26" s="8"/>
      <c r="BI26" s="39"/>
      <c r="BJ26" s="8">
        <f t="shared" si="5"/>
        <v>65.333333333333329</v>
      </c>
      <c r="BK26" s="11">
        <f t="shared" si="6"/>
        <v>4</v>
      </c>
      <c r="BL26" s="11">
        <f t="shared" si="7"/>
        <v>6</v>
      </c>
      <c r="BM26" s="11">
        <f t="shared" si="8"/>
        <v>13</v>
      </c>
      <c r="BO26" s="11">
        <f t="shared" si="9"/>
        <v>23</v>
      </c>
    </row>
    <row r="27" spans="1:67" s="11" customFormat="1" ht="18.45">
      <c r="A27" s="6" t="s">
        <v>32</v>
      </c>
      <c r="B27" s="6" t="s">
        <v>117</v>
      </c>
      <c r="C27" s="11">
        <v>4</v>
      </c>
      <c r="D27" s="11">
        <v>3</v>
      </c>
      <c r="E27" s="11">
        <v>2</v>
      </c>
      <c r="F27" s="11">
        <v>4</v>
      </c>
      <c r="G27" s="11">
        <v>6</v>
      </c>
      <c r="H27" s="11">
        <f t="shared" si="0"/>
        <v>15</v>
      </c>
      <c r="I27" s="11">
        <v>0</v>
      </c>
      <c r="J27" s="11">
        <v>0</v>
      </c>
      <c r="K27" s="11">
        <v>0</v>
      </c>
      <c r="L27" s="11">
        <v>0</v>
      </c>
      <c r="M27" s="10">
        <f t="shared" si="1"/>
        <v>0</v>
      </c>
      <c r="N27" s="7">
        <f>9.12+28.36+11.52</f>
        <v>49</v>
      </c>
      <c r="O27" s="8">
        <v>21.11</v>
      </c>
      <c r="P27" s="8">
        <f t="shared" si="3"/>
        <v>20.994357211224248</v>
      </c>
      <c r="Q27" s="8">
        <v>68</v>
      </c>
      <c r="R27" s="8">
        <v>90</v>
      </c>
      <c r="S27" s="8">
        <v>94</v>
      </c>
      <c r="T27" s="8">
        <f t="shared" si="4"/>
        <v>84</v>
      </c>
      <c r="U27" s="8">
        <v>57</v>
      </c>
      <c r="V27" s="6" t="s">
        <v>117</v>
      </c>
      <c r="W27" s="11">
        <v>3</v>
      </c>
      <c r="X27" s="11">
        <v>0</v>
      </c>
      <c r="Y27" s="11">
        <v>3</v>
      </c>
      <c r="Z27" s="11">
        <v>5</v>
      </c>
      <c r="AA27" s="11">
        <v>0</v>
      </c>
      <c r="AB27" s="11">
        <v>8</v>
      </c>
      <c r="AC27" s="11">
        <v>3</v>
      </c>
      <c r="AD27" s="11">
        <v>0</v>
      </c>
      <c r="AE27" s="11">
        <v>0</v>
      </c>
      <c r="AF27" s="11">
        <v>0</v>
      </c>
      <c r="AG27" s="10">
        <v>3</v>
      </c>
      <c r="AH27" s="7">
        <f>15.82+29.55</f>
        <v>45.370000000000005</v>
      </c>
      <c r="AI27" s="8">
        <v>26.14</v>
      </c>
      <c r="AJ27" s="8">
        <f t="shared" si="15"/>
        <v>24.665926357128274</v>
      </c>
      <c r="AK27" s="8">
        <v>68</v>
      </c>
      <c r="AL27" s="8">
        <v>68</v>
      </c>
      <c r="AM27" s="8">
        <v>76</v>
      </c>
      <c r="AN27" s="8">
        <f t="shared" si="16"/>
        <v>70.666666666666671</v>
      </c>
      <c r="AO27" s="8">
        <v>55</v>
      </c>
      <c r="AP27" s="6"/>
      <c r="BA27" s="10"/>
      <c r="BB27" s="7"/>
      <c r="BC27" s="8"/>
      <c r="BD27" s="8"/>
      <c r="BE27" s="8"/>
      <c r="BF27" s="8"/>
      <c r="BG27" s="8"/>
      <c r="BH27" s="8"/>
      <c r="BI27" s="39"/>
      <c r="BJ27" s="8">
        <f t="shared" si="5"/>
        <v>77.333333333333343</v>
      </c>
      <c r="BK27" s="11">
        <f t="shared" si="6"/>
        <v>3</v>
      </c>
      <c r="BL27" s="11">
        <f t="shared" si="7"/>
        <v>5</v>
      </c>
      <c r="BM27" s="11">
        <f t="shared" si="8"/>
        <v>9</v>
      </c>
      <c r="BN27" s="11">
        <f t="shared" si="14"/>
        <v>6</v>
      </c>
      <c r="BO27" s="11">
        <f t="shared" si="9"/>
        <v>26</v>
      </c>
    </row>
    <row r="28" spans="1:67" s="11" customFormat="1" ht="18.45">
      <c r="A28" s="6" t="s">
        <v>33</v>
      </c>
      <c r="B28" s="6" t="s">
        <v>117</v>
      </c>
      <c r="C28" s="11">
        <v>4</v>
      </c>
      <c r="D28" s="11">
        <v>0</v>
      </c>
      <c r="E28" s="11">
        <v>2</v>
      </c>
      <c r="F28" s="11">
        <v>5</v>
      </c>
      <c r="G28" s="11">
        <v>10</v>
      </c>
      <c r="H28" s="11">
        <f t="shared" si="0"/>
        <v>17</v>
      </c>
      <c r="I28" s="11">
        <v>2</v>
      </c>
      <c r="J28" s="11">
        <v>0</v>
      </c>
      <c r="K28" s="11">
        <v>0</v>
      </c>
      <c r="L28" s="11">
        <v>0</v>
      </c>
      <c r="M28" s="10">
        <f t="shared" si="1"/>
        <v>2</v>
      </c>
      <c r="N28" s="7">
        <v>59.06</v>
      </c>
      <c r="O28" s="8">
        <v>34.6</v>
      </c>
      <c r="P28" s="8">
        <f t="shared" si="3"/>
        <v>33.259654679465832</v>
      </c>
      <c r="Q28" s="8">
        <v>71</v>
      </c>
      <c r="R28" s="8">
        <v>77</v>
      </c>
      <c r="S28" s="8">
        <v>74</v>
      </c>
      <c r="T28" s="8">
        <f t="shared" si="4"/>
        <v>74</v>
      </c>
      <c r="U28" s="8">
        <v>60</v>
      </c>
      <c r="V28" s="6" t="s">
        <v>117</v>
      </c>
      <c r="W28" s="11">
        <v>3</v>
      </c>
      <c r="X28" s="11">
        <v>0</v>
      </c>
      <c r="Y28" s="11">
        <v>4</v>
      </c>
      <c r="Z28" s="11">
        <v>8</v>
      </c>
      <c r="AA28" s="11">
        <v>0</v>
      </c>
      <c r="AB28" s="11">
        <v>12</v>
      </c>
      <c r="AC28" s="11">
        <v>3</v>
      </c>
      <c r="AD28" s="11">
        <v>0</v>
      </c>
      <c r="AE28" s="11">
        <v>0</v>
      </c>
      <c r="AF28" s="11">
        <v>0</v>
      </c>
      <c r="AG28" s="10">
        <v>3</v>
      </c>
      <c r="AH28" s="7">
        <v>58.74</v>
      </c>
      <c r="AI28" s="8">
        <v>26.74</v>
      </c>
      <c r="AJ28" s="8">
        <f t="shared" si="15"/>
        <v>25.019268053549066</v>
      </c>
      <c r="AK28" s="8">
        <v>66</v>
      </c>
      <c r="AL28" s="8">
        <v>76</v>
      </c>
      <c r="AM28" s="8">
        <v>66</v>
      </c>
      <c r="AN28" s="8">
        <f t="shared" si="16"/>
        <v>69.333333333333329</v>
      </c>
      <c r="AO28" s="8">
        <v>62</v>
      </c>
      <c r="AP28" s="6"/>
      <c r="BA28" s="10"/>
      <c r="BB28" s="7"/>
      <c r="BC28" s="8"/>
      <c r="BD28" s="8"/>
      <c r="BE28" s="8"/>
      <c r="BF28" s="8"/>
      <c r="BG28" s="8"/>
      <c r="BH28" s="8"/>
      <c r="BI28" s="39"/>
      <c r="BJ28" s="8">
        <f t="shared" si="5"/>
        <v>71.666666666666657</v>
      </c>
      <c r="BK28" s="11">
        <f t="shared" si="6"/>
        <v>5</v>
      </c>
      <c r="BL28" s="11">
        <f t="shared" si="7"/>
        <v>6</v>
      </c>
      <c r="BM28" s="11">
        <f t="shared" si="8"/>
        <v>13</v>
      </c>
      <c r="BN28" s="11">
        <f t="shared" si="14"/>
        <v>10</v>
      </c>
      <c r="BO28" s="11">
        <f t="shared" si="9"/>
        <v>34</v>
      </c>
    </row>
    <row r="29" spans="1:67" s="11" customFormat="1" ht="18.45">
      <c r="A29" s="6" t="s">
        <v>34</v>
      </c>
      <c r="B29" s="6" t="s">
        <v>117</v>
      </c>
      <c r="C29" s="11">
        <v>3</v>
      </c>
      <c r="D29" s="11">
        <v>0</v>
      </c>
      <c r="E29" s="11">
        <v>3</v>
      </c>
      <c r="F29" s="11">
        <v>6</v>
      </c>
      <c r="G29" s="11">
        <v>0</v>
      </c>
      <c r="H29" s="11">
        <f t="shared" si="0"/>
        <v>9</v>
      </c>
      <c r="I29" s="11">
        <v>3</v>
      </c>
      <c r="J29" s="11">
        <v>0</v>
      </c>
      <c r="K29" s="11">
        <v>0</v>
      </c>
      <c r="L29" s="11">
        <v>0</v>
      </c>
      <c r="M29" s="10">
        <f t="shared" si="1"/>
        <v>3</v>
      </c>
      <c r="N29" s="7">
        <v>28.01</v>
      </c>
      <c r="O29" s="8">
        <v>18.84</v>
      </c>
      <c r="P29" s="8">
        <f t="shared" si="3"/>
        <v>18.048522412023811</v>
      </c>
      <c r="Q29" s="8">
        <v>72</v>
      </c>
      <c r="R29" s="8">
        <v>71</v>
      </c>
      <c r="S29" s="8">
        <v>77</v>
      </c>
      <c r="T29" s="8">
        <f t="shared" si="4"/>
        <v>73.333333333333329</v>
      </c>
      <c r="U29" s="8">
        <v>60</v>
      </c>
      <c r="V29" s="6"/>
      <c r="AG29" s="10"/>
      <c r="AH29" s="7"/>
      <c r="AI29" s="8"/>
      <c r="AJ29" s="8"/>
      <c r="AK29" s="8"/>
      <c r="AL29" s="8"/>
      <c r="AM29" s="8"/>
      <c r="AN29" s="8"/>
      <c r="AO29" s="8"/>
      <c r="AP29" s="6"/>
      <c r="BA29" s="10"/>
      <c r="BB29" s="7"/>
      <c r="BC29" s="8"/>
      <c r="BD29" s="8"/>
      <c r="BE29" s="8"/>
      <c r="BF29" s="8"/>
      <c r="BG29" s="8"/>
      <c r="BH29" s="8"/>
      <c r="BI29" s="39"/>
      <c r="BJ29" s="8">
        <f t="shared" si="5"/>
        <v>73.333333333333329</v>
      </c>
      <c r="BK29" s="11">
        <f t="shared" si="6"/>
        <v>3</v>
      </c>
      <c r="BL29" s="11">
        <f t="shared" si="7"/>
        <v>3</v>
      </c>
      <c r="BM29" s="11">
        <f t="shared" si="8"/>
        <v>6</v>
      </c>
      <c r="BO29" s="11">
        <f t="shared" si="9"/>
        <v>12</v>
      </c>
    </row>
    <row r="30" spans="1:67" s="11" customFormat="1" ht="18.45">
      <c r="A30" s="6" t="s">
        <v>35</v>
      </c>
      <c r="B30" s="6" t="s">
        <v>117</v>
      </c>
      <c r="C30" s="11">
        <v>4</v>
      </c>
      <c r="D30" s="11">
        <v>0</v>
      </c>
      <c r="E30" s="11">
        <v>4</v>
      </c>
      <c r="F30" s="11">
        <v>6</v>
      </c>
      <c r="G30" s="11">
        <v>11</v>
      </c>
      <c r="H30" s="11">
        <f t="shared" si="0"/>
        <v>21</v>
      </c>
      <c r="I30" s="11">
        <v>3</v>
      </c>
      <c r="J30" s="11">
        <v>0</v>
      </c>
      <c r="K30" s="11">
        <v>0</v>
      </c>
      <c r="L30" s="11">
        <v>0</v>
      </c>
      <c r="M30" s="10">
        <f t="shared" si="1"/>
        <v>3</v>
      </c>
      <c r="N30" s="7">
        <f>11.72+24.09+16.33+20.93</f>
        <v>73.069999999999993</v>
      </c>
      <c r="O30" s="8">
        <v>29.6</v>
      </c>
      <c r="P30" s="8">
        <f t="shared" si="3"/>
        <v>28.151272882336546</v>
      </c>
      <c r="Q30" s="8">
        <v>66</v>
      </c>
      <c r="R30" s="8">
        <v>76</v>
      </c>
      <c r="S30" s="8">
        <v>74</v>
      </c>
      <c r="T30" s="8">
        <f t="shared" si="4"/>
        <v>72</v>
      </c>
      <c r="U30" s="8">
        <v>55</v>
      </c>
      <c r="V30" s="6"/>
      <c r="AG30" s="10"/>
      <c r="AH30" s="7"/>
      <c r="AI30" s="8"/>
      <c r="AJ30" s="8"/>
      <c r="AK30" s="8"/>
      <c r="AL30" s="8"/>
      <c r="AM30" s="8"/>
      <c r="AN30" s="8"/>
      <c r="AO30" s="8"/>
      <c r="AP30" s="6"/>
      <c r="BA30" s="10"/>
      <c r="BB30" s="7"/>
      <c r="BC30" s="8"/>
      <c r="BD30" s="8"/>
      <c r="BE30" s="8"/>
      <c r="BF30" s="8"/>
      <c r="BG30" s="8"/>
      <c r="BH30" s="8"/>
      <c r="BI30" s="39"/>
      <c r="BJ30" s="8">
        <f t="shared" si="5"/>
        <v>72</v>
      </c>
      <c r="BK30" s="11">
        <f t="shared" si="6"/>
        <v>3</v>
      </c>
      <c r="BL30" s="11">
        <f t="shared" si="7"/>
        <v>4</v>
      </c>
      <c r="BM30" s="11">
        <f t="shared" si="8"/>
        <v>6</v>
      </c>
      <c r="BN30" s="11">
        <f t="shared" si="14"/>
        <v>11</v>
      </c>
      <c r="BO30" s="11">
        <f t="shared" si="9"/>
        <v>24</v>
      </c>
    </row>
    <row r="31" spans="1:67" s="11" customFormat="1" ht="18.45">
      <c r="A31" s="6" t="s">
        <v>36</v>
      </c>
      <c r="B31" s="6" t="s">
        <v>117</v>
      </c>
      <c r="C31" s="11">
        <v>4</v>
      </c>
      <c r="D31" s="11">
        <v>1</v>
      </c>
      <c r="E31" s="11">
        <v>2</v>
      </c>
      <c r="F31" s="11">
        <v>5</v>
      </c>
      <c r="G31" s="11">
        <v>13</v>
      </c>
      <c r="H31" s="11">
        <f t="shared" si="0"/>
        <v>21</v>
      </c>
      <c r="I31" s="11">
        <v>4</v>
      </c>
      <c r="J31" s="11">
        <v>0</v>
      </c>
      <c r="K31" s="11">
        <v>0</v>
      </c>
      <c r="L31" s="11">
        <v>0</v>
      </c>
      <c r="M31" s="10">
        <f t="shared" si="1"/>
        <v>4</v>
      </c>
      <c r="N31" s="7">
        <f>7.37+10.86+7.04+10.81+21.15+7.21+15.85</f>
        <v>80.289999999999992</v>
      </c>
      <c r="O31" s="8">
        <v>26.1</v>
      </c>
      <c r="P31" s="8">
        <f t="shared" si="3"/>
        <v>25.287555786796009</v>
      </c>
      <c r="Q31" s="8">
        <v>74</v>
      </c>
      <c r="R31" s="8">
        <v>76</v>
      </c>
      <c r="S31" s="8">
        <v>77</v>
      </c>
      <c r="T31" s="8">
        <f t="shared" si="4"/>
        <v>75.666666666666671</v>
      </c>
      <c r="U31" s="8">
        <v>48</v>
      </c>
      <c r="V31" s="6"/>
      <c r="AG31" s="10"/>
      <c r="AH31" s="7"/>
      <c r="AI31" s="8"/>
      <c r="AJ31" s="8"/>
      <c r="AK31" s="8"/>
      <c r="AL31" s="8"/>
      <c r="AM31" s="8"/>
      <c r="AN31" s="8"/>
      <c r="AO31" s="8"/>
      <c r="AP31" s="6"/>
      <c r="BA31" s="10"/>
      <c r="BB31" s="7"/>
      <c r="BC31" s="8"/>
      <c r="BD31" s="8"/>
      <c r="BE31" s="8"/>
      <c r="BF31" s="8"/>
      <c r="BG31" s="8"/>
      <c r="BH31" s="8"/>
      <c r="BI31" s="39"/>
      <c r="BJ31" s="8">
        <f t="shared" si="5"/>
        <v>75.666666666666671</v>
      </c>
      <c r="BK31" s="11">
        <f t="shared" si="6"/>
        <v>4</v>
      </c>
      <c r="BL31" s="11">
        <f t="shared" si="7"/>
        <v>2</v>
      </c>
      <c r="BM31" s="11">
        <f t="shared" si="8"/>
        <v>5</v>
      </c>
      <c r="BN31" s="11">
        <f t="shared" si="14"/>
        <v>13</v>
      </c>
      <c r="BO31" s="11">
        <f t="shared" si="9"/>
        <v>25</v>
      </c>
    </row>
    <row r="32" spans="1:67" s="11" customFormat="1" ht="18.45">
      <c r="A32" s="6" t="s">
        <v>37</v>
      </c>
      <c r="B32" s="6" t="s">
        <v>117</v>
      </c>
      <c r="C32" s="11">
        <v>3</v>
      </c>
      <c r="D32" s="11">
        <v>2</v>
      </c>
      <c r="E32" s="11">
        <v>3</v>
      </c>
      <c r="F32" s="11">
        <v>6</v>
      </c>
      <c r="G32" s="11">
        <v>0</v>
      </c>
      <c r="H32" s="11">
        <f t="shared" si="0"/>
        <v>11</v>
      </c>
      <c r="I32" s="11">
        <v>0</v>
      </c>
      <c r="J32" s="11">
        <v>0</v>
      </c>
      <c r="K32" s="11">
        <v>0</v>
      </c>
      <c r="L32" s="11">
        <v>0</v>
      </c>
      <c r="M32" s="10">
        <f t="shared" si="1"/>
        <v>0</v>
      </c>
      <c r="N32" s="7">
        <f>29.31+5.71+25.18</f>
        <v>60.199999999999996</v>
      </c>
      <c r="O32" s="8">
        <v>21.76</v>
      </c>
      <c r="P32" s="8">
        <f t="shared" si="3"/>
        <v>18.844712786349387</v>
      </c>
      <c r="Q32" s="8">
        <v>59</v>
      </c>
      <c r="R32" s="8">
        <v>63</v>
      </c>
      <c r="S32" s="8">
        <v>58</v>
      </c>
      <c r="T32" s="8">
        <f t="shared" si="4"/>
        <v>60</v>
      </c>
      <c r="U32" s="8">
        <v>54</v>
      </c>
      <c r="V32" s="6" t="s">
        <v>117</v>
      </c>
      <c r="W32" s="11">
        <v>3</v>
      </c>
      <c r="X32" s="11">
        <v>2</v>
      </c>
      <c r="Y32" s="11">
        <v>6</v>
      </c>
      <c r="Z32" s="11">
        <v>8</v>
      </c>
      <c r="AA32" s="11">
        <v>0</v>
      </c>
      <c r="AB32" s="11">
        <v>16</v>
      </c>
      <c r="AC32" s="11">
        <v>2</v>
      </c>
      <c r="AD32" s="11">
        <v>0</v>
      </c>
      <c r="AE32" s="11">
        <v>0</v>
      </c>
      <c r="AF32" s="11">
        <v>0</v>
      </c>
      <c r="AG32" s="10">
        <v>2</v>
      </c>
      <c r="AH32" s="7">
        <v>40.42</v>
      </c>
      <c r="AI32" s="8">
        <v>23.93</v>
      </c>
      <c r="AJ32" s="8">
        <f>AI32*SIN(AN32*PI()/180)</f>
        <v>23.73426101238239</v>
      </c>
      <c r="AK32" s="8">
        <v>79</v>
      </c>
      <c r="AL32" s="8">
        <v>76</v>
      </c>
      <c r="AM32" s="8">
        <v>93</v>
      </c>
      <c r="AN32" s="8">
        <f t="shared" si="16"/>
        <v>82.666666666666671</v>
      </c>
      <c r="AO32" s="8">
        <v>63</v>
      </c>
      <c r="AP32" s="6" t="s">
        <v>118</v>
      </c>
      <c r="AQ32" s="11">
        <v>3</v>
      </c>
      <c r="AR32" s="11">
        <v>2</v>
      </c>
      <c r="AS32" s="11">
        <v>4</v>
      </c>
      <c r="AT32" s="11">
        <v>8</v>
      </c>
      <c r="AU32" s="11">
        <v>0</v>
      </c>
      <c r="AV32" s="11">
        <v>14</v>
      </c>
      <c r="AW32" s="11">
        <v>0</v>
      </c>
      <c r="AX32" s="11">
        <v>0</v>
      </c>
      <c r="AY32" s="11">
        <v>0</v>
      </c>
      <c r="AZ32" s="11">
        <v>0</v>
      </c>
      <c r="BA32" s="10">
        <v>0</v>
      </c>
      <c r="BB32" s="7">
        <v>42.55</v>
      </c>
      <c r="BC32" s="8">
        <v>24.32</v>
      </c>
      <c r="BD32" s="8">
        <f>BC32*SIN(BH32*PI()/180)</f>
        <v>23.628074598342753</v>
      </c>
      <c r="BE32" s="8">
        <v>75</v>
      </c>
      <c r="BF32" s="8">
        <v>74</v>
      </c>
      <c r="BG32" s="8">
        <v>80</v>
      </c>
      <c r="BH32" s="8">
        <v>76.3</v>
      </c>
      <c r="BI32" s="39">
        <v>73</v>
      </c>
      <c r="BJ32" s="8">
        <f t="shared" si="5"/>
        <v>72.988888888888894</v>
      </c>
      <c r="BK32" s="11">
        <f t="shared" si="6"/>
        <v>2</v>
      </c>
      <c r="BL32" s="11">
        <f t="shared" si="7"/>
        <v>13</v>
      </c>
      <c r="BM32" s="11">
        <f t="shared" si="8"/>
        <v>22</v>
      </c>
      <c r="BO32" s="11">
        <f t="shared" si="9"/>
        <v>43</v>
      </c>
    </row>
    <row r="33" spans="1:67" s="11" customFormat="1" ht="18.45">
      <c r="A33" s="6" t="s">
        <v>39</v>
      </c>
      <c r="B33" s="6" t="s">
        <v>117</v>
      </c>
      <c r="C33" s="11">
        <v>3</v>
      </c>
      <c r="D33" s="11">
        <v>4</v>
      </c>
      <c r="E33" s="11">
        <v>11</v>
      </c>
      <c r="F33" s="11">
        <v>12</v>
      </c>
      <c r="G33" s="11">
        <v>0</v>
      </c>
      <c r="H33" s="11">
        <f t="shared" si="0"/>
        <v>27</v>
      </c>
      <c r="I33" s="11">
        <v>0</v>
      </c>
      <c r="J33" s="11">
        <v>0</v>
      </c>
      <c r="K33" s="11">
        <v>0</v>
      </c>
      <c r="L33" s="11">
        <v>0</v>
      </c>
      <c r="M33" s="10">
        <f t="shared" si="1"/>
        <v>0</v>
      </c>
      <c r="N33" s="7">
        <v>70.33</v>
      </c>
      <c r="O33" s="8">
        <v>20.309999999999999</v>
      </c>
      <c r="P33" s="8">
        <f t="shared" si="3"/>
        <v>19.841275117443839</v>
      </c>
      <c r="Q33" s="8">
        <v>89</v>
      </c>
      <c r="R33" s="8">
        <v>72</v>
      </c>
      <c r="S33" s="8">
        <v>72</v>
      </c>
      <c r="T33" s="8">
        <f t="shared" si="4"/>
        <v>77.666666666666671</v>
      </c>
      <c r="U33" s="8">
        <v>52</v>
      </c>
      <c r="V33" s="6" t="s">
        <v>117</v>
      </c>
      <c r="W33" s="11">
        <v>4</v>
      </c>
      <c r="X33" s="11">
        <v>0</v>
      </c>
      <c r="Y33" s="11">
        <v>5</v>
      </c>
      <c r="Z33" s="11">
        <v>6</v>
      </c>
      <c r="AA33" s="11">
        <v>11</v>
      </c>
      <c r="AB33" s="11">
        <v>22</v>
      </c>
      <c r="AC33" s="11">
        <v>4</v>
      </c>
      <c r="AD33" s="11">
        <v>0</v>
      </c>
      <c r="AE33" s="11">
        <v>0</v>
      </c>
      <c r="AF33" s="11">
        <v>0</v>
      </c>
      <c r="AG33" s="10">
        <v>4</v>
      </c>
      <c r="AH33" s="7">
        <v>70.790000000000006</v>
      </c>
      <c r="AI33" s="8">
        <v>27.5</v>
      </c>
      <c r="AJ33" s="8">
        <f>AI33*SIN(AN33*PI()/180)</f>
        <v>26.298380788983476</v>
      </c>
      <c r="AK33" s="8">
        <v>74</v>
      </c>
      <c r="AL33" s="8">
        <v>77</v>
      </c>
      <c r="AM33" s="8">
        <v>68</v>
      </c>
      <c r="AN33" s="8">
        <f t="shared" si="16"/>
        <v>73</v>
      </c>
      <c r="AO33" s="8">
        <v>39</v>
      </c>
      <c r="AP33" s="6" t="s">
        <v>117</v>
      </c>
      <c r="AQ33" s="11">
        <v>3</v>
      </c>
      <c r="AR33" s="11">
        <v>0</v>
      </c>
      <c r="AS33" s="11">
        <v>3</v>
      </c>
      <c r="AT33" s="11">
        <v>7</v>
      </c>
      <c r="AU33" s="11">
        <v>0</v>
      </c>
      <c r="AV33" s="11">
        <v>10</v>
      </c>
      <c r="AW33" s="11">
        <v>3</v>
      </c>
      <c r="AX33" s="11">
        <v>0</v>
      </c>
      <c r="AY33" s="11">
        <v>0</v>
      </c>
      <c r="AZ33" s="11">
        <v>0</v>
      </c>
      <c r="BA33" s="10">
        <v>3</v>
      </c>
      <c r="BB33" s="7">
        <v>34.35</v>
      </c>
      <c r="BC33" s="8">
        <v>21.63</v>
      </c>
      <c r="BD33" s="8">
        <f>BC33*SIN(BH33*PI()/180)</f>
        <v>18.918024265425128</v>
      </c>
      <c r="BE33" s="8">
        <v>67</v>
      </c>
      <c r="BF33" s="8">
        <v>57</v>
      </c>
      <c r="BG33" s="8">
        <v>59</v>
      </c>
      <c r="BH33" s="8">
        <v>61</v>
      </c>
      <c r="BI33" s="39">
        <v>54</v>
      </c>
      <c r="BJ33" s="8">
        <f t="shared" si="5"/>
        <v>70.555555555555557</v>
      </c>
      <c r="BK33" s="11">
        <f t="shared" si="6"/>
        <v>7</v>
      </c>
      <c r="BL33" s="11">
        <f t="shared" si="7"/>
        <v>19</v>
      </c>
      <c r="BM33" s="11">
        <f t="shared" si="8"/>
        <v>25</v>
      </c>
      <c r="BN33" s="11">
        <f t="shared" si="14"/>
        <v>11</v>
      </c>
      <c r="BO33" s="11">
        <f t="shared" si="9"/>
        <v>66</v>
      </c>
    </row>
    <row r="34" spans="1:67" s="11" customFormat="1" ht="18.45">
      <c r="A34" s="6" t="s">
        <v>40</v>
      </c>
      <c r="B34" s="6" t="s">
        <v>117</v>
      </c>
      <c r="C34" s="11">
        <v>3</v>
      </c>
      <c r="D34" s="11">
        <v>0</v>
      </c>
      <c r="E34" s="11">
        <v>10</v>
      </c>
      <c r="F34" s="11">
        <v>23</v>
      </c>
      <c r="G34" s="11">
        <v>0</v>
      </c>
      <c r="H34" s="11">
        <f t="shared" si="0"/>
        <v>33</v>
      </c>
      <c r="I34" s="11">
        <v>7</v>
      </c>
      <c r="J34" s="11">
        <v>0</v>
      </c>
      <c r="K34" s="11">
        <v>0</v>
      </c>
      <c r="L34" s="11">
        <v>0</v>
      </c>
      <c r="M34" s="10">
        <f t="shared" si="1"/>
        <v>7</v>
      </c>
      <c r="N34" s="7">
        <f>29.24+21.27+13.33+17.52+10.42+8.58+5.14+16.75</f>
        <v>122.25</v>
      </c>
      <c r="O34" s="8">
        <v>37.130000000000003</v>
      </c>
      <c r="P34" s="8">
        <f t="shared" si="3"/>
        <v>36.447817321411769</v>
      </c>
      <c r="Q34" s="8">
        <v>70</v>
      </c>
      <c r="R34" s="8">
        <v>90</v>
      </c>
      <c r="S34" s="8">
        <v>77</v>
      </c>
      <c r="T34" s="8">
        <f t="shared" si="4"/>
        <v>79</v>
      </c>
      <c r="U34" s="8">
        <v>57</v>
      </c>
      <c r="V34" s="6"/>
      <c r="AG34" s="10"/>
      <c r="AH34" s="7"/>
      <c r="AI34" s="8"/>
      <c r="AJ34" s="8"/>
      <c r="AK34" s="8"/>
      <c r="AL34" s="8"/>
      <c r="AM34" s="8"/>
      <c r="AN34" s="8"/>
      <c r="AO34" s="8"/>
      <c r="AP34" s="6"/>
      <c r="BA34" s="10"/>
      <c r="BB34" s="7"/>
      <c r="BC34" s="8"/>
      <c r="BD34" s="8"/>
      <c r="BE34" s="8"/>
      <c r="BF34" s="8"/>
      <c r="BG34" s="8"/>
      <c r="BH34" s="8"/>
      <c r="BI34" s="39"/>
      <c r="BJ34" s="8">
        <f t="shared" si="5"/>
        <v>79</v>
      </c>
      <c r="BK34" s="11">
        <f t="shared" si="6"/>
        <v>7</v>
      </c>
      <c r="BL34" s="11">
        <f t="shared" si="7"/>
        <v>10</v>
      </c>
      <c r="BM34" s="11">
        <f t="shared" si="8"/>
        <v>23</v>
      </c>
      <c r="BO34" s="11">
        <f t="shared" si="9"/>
        <v>40</v>
      </c>
    </row>
    <row r="35" spans="1:67" s="11" customFormat="1" ht="18.45">
      <c r="A35" s="6" t="s">
        <v>42</v>
      </c>
      <c r="B35" s="6" t="s">
        <v>117</v>
      </c>
      <c r="C35" s="11">
        <v>3</v>
      </c>
      <c r="D35" s="11">
        <v>2</v>
      </c>
      <c r="E35" s="11">
        <v>11</v>
      </c>
      <c r="F35" s="11">
        <v>23</v>
      </c>
      <c r="G35" s="11">
        <v>0</v>
      </c>
      <c r="H35" s="11">
        <f t="shared" si="0"/>
        <v>36</v>
      </c>
      <c r="I35" s="11">
        <v>10</v>
      </c>
      <c r="J35" s="11">
        <v>0</v>
      </c>
      <c r="K35" s="11">
        <v>0</v>
      </c>
      <c r="L35" s="11">
        <v>0</v>
      </c>
      <c r="M35" s="10">
        <f t="shared" si="1"/>
        <v>10</v>
      </c>
      <c r="N35" s="7">
        <f>13.37+32.38+13.62+21.92+11.84+24.76+20.38</f>
        <v>138.27000000000001</v>
      </c>
      <c r="O35" s="8">
        <v>19.79</v>
      </c>
      <c r="P35" s="8">
        <f t="shared" si="3"/>
        <v>19.085550016874642</v>
      </c>
      <c r="Q35" s="8">
        <v>73</v>
      </c>
      <c r="R35" s="8">
        <v>75</v>
      </c>
      <c r="S35" s="8">
        <v>76</v>
      </c>
      <c r="T35" s="8">
        <f t="shared" si="4"/>
        <v>74.666666666666671</v>
      </c>
      <c r="U35" s="8">
        <v>64</v>
      </c>
      <c r="V35" s="6"/>
      <c r="AG35" s="10"/>
      <c r="AH35" s="7"/>
      <c r="AI35" s="8"/>
      <c r="AJ35" s="8"/>
      <c r="AK35" s="8"/>
      <c r="AL35" s="8"/>
      <c r="AM35" s="8"/>
      <c r="AN35" s="8"/>
      <c r="AO35" s="8"/>
      <c r="AP35" s="6"/>
      <c r="BA35" s="10"/>
      <c r="BB35" s="7"/>
      <c r="BC35" s="8"/>
      <c r="BD35" s="8"/>
      <c r="BE35" s="8"/>
      <c r="BF35" s="8"/>
      <c r="BG35" s="8"/>
      <c r="BH35" s="8"/>
      <c r="BI35" s="39"/>
      <c r="BJ35" s="8">
        <f t="shared" si="5"/>
        <v>74.666666666666671</v>
      </c>
      <c r="BK35" s="11">
        <f t="shared" si="6"/>
        <v>10</v>
      </c>
      <c r="BL35" s="11">
        <f t="shared" si="7"/>
        <v>11</v>
      </c>
      <c r="BM35" s="11">
        <f t="shared" si="8"/>
        <v>23</v>
      </c>
      <c r="BO35" s="11">
        <f t="shared" si="9"/>
        <v>46</v>
      </c>
    </row>
    <row r="36" spans="1:67" s="11" customFormat="1" ht="18.45">
      <c r="A36" s="6" t="s">
        <v>43</v>
      </c>
      <c r="B36" s="6" t="s">
        <v>117</v>
      </c>
      <c r="C36" s="11">
        <v>4</v>
      </c>
      <c r="D36" s="11">
        <v>7</v>
      </c>
      <c r="E36" s="11">
        <v>10</v>
      </c>
      <c r="F36" s="11">
        <v>11</v>
      </c>
      <c r="G36" s="11">
        <v>14</v>
      </c>
      <c r="H36" s="11">
        <f t="shared" si="0"/>
        <v>42</v>
      </c>
      <c r="I36" s="11">
        <v>5</v>
      </c>
      <c r="J36" s="11">
        <v>0</v>
      </c>
      <c r="K36" s="11">
        <v>0</v>
      </c>
      <c r="L36" s="11">
        <v>0</v>
      </c>
      <c r="M36" s="10">
        <f t="shared" si="1"/>
        <v>5</v>
      </c>
      <c r="N36" s="7">
        <f>31.24+10.53+21.72+5.98+8.82+7.73+7+9+14.27+14.07+10.7</f>
        <v>141.05999999999997</v>
      </c>
      <c r="O36" s="8">
        <v>23.4</v>
      </c>
      <c r="P36" s="8">
        <f t="shared" si="3"/>
        <v>22.169081434835306</v>
      </c>
      <c r="Q36" s="8">
        <v>71</v>
      </c>
      <c r="R36" s="8">
        <v>78</v>
      </c>
      <c r="S36" s="8">
        <v>65</v>
      </c>
      <c r="T36" s="8">
        <f t="shared" si="4"/>
        <v>71.333333333333329</v>
      </c>
      <c r="U36" s="8">
        <v>47</v>
      </c>
      <c r="V36" s="6"/>
      <c r="AG36" s="10"/>
      <c r="AH36" s="7"/>
      <c r="AI36" s="8"/>
      <c r="AJ36" s="8"/>
      <c r="AK36" s="8"/>
      <c r="AL36" s="8"/>
      <c r="AM36" s="8"/>
      <c r="AN36" s="8"/>
      <c r="AO36" s="8"/>
      <c r="AP36" s="6"/>
      <c r="BA36" s="10"/>
      <c r="BB36" s="7"/>
      <c r="BC36" s="8"/>
      <c r="BD36" s="8"/>
      <c r="BE36" s="8"/>
      <c r="BF36" s="8"/>
      <c r="BG36" s="8"/>
      <c r="BH36" s="8"/>
      <c r="BI36" s="39"/>
      <c r="BJ36" s="8">
        <f t="shared" si="5"/>
        <v>71.333333333333329</v>
      </c>
      <c r="BK36" s="11">
        <f t="shared" si="6"/>
        <v>5</v>
      </c>
      <c r="BL36" s="11">
        <f t="shared" si="7"/>
        <v>10</v>
      </c>
      <c r="BM36" s="11">
        <f t="shared" si="8"/>
        <v>11</v>
      </c>
      <c r="BN36" s="11">
        <f t="shared" si="14"/>
        <v>14</v>
      </c>
      <c r="BO36" s="11">
        <f t="shared" si="9"/>
        <v>47</v>
      </c>
    </row>
    <row r="37" spans="1:67" s="11" customFormat="1" ht="18.45">
      <c r="A37" s="11" t="s">
        <v>46</v>
      </c>
      <c r="B37" s="6" t="s">
        <v>117</v>
      </c>
      <c r="C37" s="11">
        <v>4</v>
      </c>
      <c r="D37" s="11">
        <v>14</v>
      </c>
      <c r="E37" s="11">
        <v>8</v>
      </c>
      <c r="F37" s="11">
        <v>3</v>
      </c>
      <c r="G37" s="11">
        <v>0</v>
      </c>
      <c r="H37" s="11">
        <f t="shared" si="0"/>
        <v>25</v>
      </c>
      <c r="I37" s="11">
        <v>0</v>
      </c>
      <c r="J37" s="11">
        <v>0</v>
      </c>
      <c r="K37" s="11">
        <v>0</v>
      </c>
      <c r="L37" s="11">
        <v>2</v>
      </c>
      <c r="M37" s="10">
        <f t="shared" si="1"/>
        <v>2</v>
      </c>
      <c r="N37" s="8">
        <f>29.39+13.54</f>
        <v>42.93</v>
      </c>
      <c r="O37" s="8">
        <v>33.299999999999997</v>
      </c>
      <c r="P37" s="8">
        <f t="shared" si="3"/>
        <v>33.231834659108038</v>
      </c>
      <c r="Q37" s="8">
        <v>87</v>
      </c>
      <c r="R37" s="8">
        <v>87</v>
      </c>
      <c r="S37" s="8">
        <v>85</v>
      </c>
      <c r="T37" s="8">
        <f t="shared" si="4"/>
        <v>86.333333333333329</v>
      </c>
      <c r="U37" s="39">
        <v>63</v>
      </c>
      <c r="V37" s="10"/>
      <c r="AG37" s="10"/>
      <c r="AH37" s="8"/>
      <c r="AI37" s="8"/>
      <c r="AJ37" s="8"/>
      <c r="AK37" s="8"/>
      <c r="AL37" s="8"/>
      <c r="AM37" s="8"/>
      <c r="AN37" s="8"/>
      <c r="AO37" s="39"/>
      <c r="AP37" s="10"/>
      <c r="BA37" s="10"/>
      <c r="BB37" s="8"/>
      <c r="BC37" s="8"/>
      <c r="BD37" s="8"/>
      <c r="BE37" s="8"/>
      <c r="BF37" s="8"/>
      <c r="BG37" s="8"/>
      <c r="BH37" s="8"/>
      <c r="BI37" s="39"/>
      <c r="BJ37" s="8">
        <f t="shared" si="5"/>
        <v>86.333333333333329</v>
      </c>
      <c r="BL37" s="11">
        <f t="shared" si="7"/>
        <v>8</v>
      </c>
      <c r="BM37" s="11">
        <f t="shared" si="8"/>
        <v>3</v>
      </c>
      <c r="BO37" s="11">
        <f t="shared" si="9"/>
        <v>27</v>
      </c>
    </row>
    <row r="38" spans="1:67" s="11" customFormat="1" ht="18.45">
      <c r="A38" s="11" t="s">
        <v>158</v>
      </c>
      <c r="B38" s="6" t="s">
        <v>117</v>
      </c>
      <c r="C38" s="11">
        <v>3</v>
      </c>
      <c r="D38" s="11">
        <v>7</v>
      </c>
      <c r="E38" s="11">
        <v>3</v>
      </c>
      <c r="F38" s="11">
        <v>0</v>
      </c>
      <c r="G38" s="11">
        <v>0</v>
      </c>
      <c r="H38" s="11">
        <f t="shared" si="0"/>
        <v>10</v>
      </c>
      <c r="I38" s="11">
        <v>0</v>
      </c>
      <c r="J38" s="11">
        <v>0</v>
      </c>
      <c r="K38" s="11">
        <v>3</v>
      </c>
      <c r="L38" s="11">
        <v>0</v>
      </c>
      <c r="M38" s="10">
        <f t="shared" si="1"/>
        <v>3</v>
      </c>
      <c r="N38" s="8">
        <f>32.2+14.19</f>
        <v>46.39</v>
      </c>
      <c r="O38" s="8">
        <v>15.75</v>
      </c>
      <c r="P38" s="8">
        <f t="shared" si="3"/>
        <v>15.477850185626009</v>
      </c>
      <c r="Q38" s="8">
        <v>79</v>
      </c>
      <c r="R38" s="8">
        <v>79</v>
      </c>
      <c r="S38" s="8">
        <v>80</v>
      </c>
      <c r="T38" s="8">
        <f t="shared" si="4"/>
        <v>79.333333333333329</v>
      </c>
      <c r="U38" s="39">
        <v>57</v>
      </c>
      <c r="V38" s="10"/>
      <c r="AG38" s="10"/>
      <c r="AH38" s="8"/>
      <c r="AI38" s="8"/>
      <c r="AJ38" s="8"/>
      <c r="AK38" s="8"/>
      <c r="AL38" s="8"/>
      <c r="AM38" s="8"/>
      <c r="AN38" s="8"/>
      <c r="AO38" s="39"/>
      <c r="AP38" s="10"/>
      <c r="BA38" s="10"/>
      <c r="BB38" s="8"/>
      <c r="BC38" s="8"/>
      <c r="BD38" s="8"/>
      <c r="BE38" s="8"/>
      <c r="BF38" s="8"/>
      <c r="BG38" s="8"/>
      <c r="BH38" s="8"/>
      <c r="BI38" s="39"/>
      <c r="BJ38" s="8">
        <f t="shared" si="5"/>
        <v>79.333333333333329</v>
      </c>
      <c r="BL38" s="11">
        <f t="shared" si="7"/>
        <v>3</v>
      </c>
      <c r="BO38" s="11">
        <f t="shared" si="9"/>
        <v>13</v>
      </c>
    </row>
    <row r="39" spans="1:67" s="11" customFormat="1" ht="18.45">
      <c r="A39" s="11" t="s">
        <v>47</v>
      </c>
      <c r="B39" s="6" t="s">
        <v>117</v>
      </c>
      <c r="C39" s="11">
        <v>2</v>
      </c>
      <c r="D39" s="11">
        <v>8</v>
      </c>
      <c r="E39" s="11">
        <v>2</v>
      </c>
      <c r="F39" s="11">
        <v>0</v>
      </c>
      <c r="G39" s="11">
        <v>0</v>
      </c>
      <c r="H39" s="11">
        <f t="shared" si="0"/>
        <v>10</v>
      </c>
      <c r="I39" s="11">
        <v>0</v>
      </c>
      <c r="J39" s="11">
        <v>0</v>
      </c>
      <c r="K39" s="11">
        <v>0</v>
      </c>
      <c r="L39" s="11">
        <v>0</v>
      </c>
      <c r="M39" s="10">
        <f t="shared" si="1"/>
        <v>0</v>
      </c>
      <c r="N39" s="8">
        <v>44.67</v>
      </c>
      <c r="O39" s="8">
        <v>21.92</v>
      </c>
      <c r="P39" s="8">
        <f t="shared" si="3"/>
        <v>20.924560898870286</v>
      </c>
      <c r="Q39" s="8">
        <v>68</v>
      </c>
      <c r="R39" s="8">
        <v>82</v>
      </c>
      <c r="S39" s="8">
        <v>68</v>
      </c>
      <c r="T39" s="8">
        <f t="shared" si="4"/>
        <v>72.666666666666671</v>
      </c>
      <c r="U39" s="39">
        <v>62</v>
      </c>
      <c r="V39" s="10"/>
      <c r="AG39" s="10"/>
      <c r="AH39" s="8">
        <v>53.02</v>
      </c>
      <c r="AI39" s="8">
        <v>12.38</v>
      </c>
      <c r="AJ39" s="8">
        <f t="shared" ref="AJ39:AJ47" si="17">AI39*SIN(AN39*PI()/180)</f>
        <v>11.155333523967494</v>
      </c>
      <c r="AK39" s="8">
        <v>65</v>
      </c>
      <c r="AL39" s="8">
        <v>69</v>
      </c>
      <c r="AM39" s="8">
        <v>59</v>
      </c>
      <c r="AN39" s="8">
        <v>64.3</v>
      </c>
      <c r="AO39" s="39">
        <v>59</v>
      </c>
      <c r="AP39" s="10"/>
      <c r="BA39" s="10"/>
      <c r="BB39" s="8"/>
      <c r="BC39" s="8"/>
      <c r="BD39" s="8"/>
      <c r="BE39" s="8"/>
      <c r="BF39" s="8"/>
      <c r="BG39" s="8"/>
      <c r="BH39" s="8"/>
      <c r="BI39" s="39"/>
      <c r="BJ39" s="8">
        <f t="shared" si="5"/>
        <v>68.483333333333334</v>
      </c>
      <c r="BL39" s="11">
        <f t="shared" si="7"/>
        <v>2</v>
      </c>
      <c r="BO39" s="11">
        <f t="shared" si="9"/>
        <v>10</v>
      </c>
    </row>
    <row r="40" spans="1:67" s="11" customFormat="1" ht="18.45">
      <c r="A40" s="11" t="s">
        <v>50</v>
      </c>
      <c r="B40" s="6" t="s">
        <v>117</v>
      </c>
      <c r="C40" s="11">
        <v>2</v>
      </c>
      <c r="D40" s="11">
        <v>12</v>
      </c>
      <c r="E40" s="11">
        <v>0</v>
      </c>
      <c r="F40" s="11">
        <v>0</v>
      </c>
      <c r="G40" s="11">
        <v>0</v>
      </c>
      <c r="H40" s="11">
        <f t="shared" si="0"/>
        <v>12</v>
      </c>
      <c r="I40" s="11">
        <v>0</v>
      </c>
      <c r="J40" s="11">
        <v>4</v>
      </c>
      <c r="K40" s="11">
        <v>0</v>
      </c>
      <c r="L40" s="11">
        <v>0</v>
      </c>
      <c r="M40" s="10">
        <f t="shared" si="1"/>
        <v>4</v>
      </c>
      <c r="N40" s="8">
        <f>31.11+24.87</f>
        <v>55.980000000000004</v>
      </c>
      <c r="O40" s="8">
        <v>15.77</v>
      </c>
      <c r="P40" s="8">
        <f t="shared" si="3"/>
        <v>14.213960875994937</v>
      </c>
      <c r="Q40" s="8">
        <v>60</v>
      </c>
      <c r="R40" s="8">
        <v>66</v>
      </c>
      <c r="S40" s="8">
        <v>67</v>
      </c>
      <c r="T40" s="8">
        <f t="shared" si="4"/>
        <v>64.333333333333329</v>
      </c>
      <c r="U40" s="39">
        <v>60</v>
      </c>
      <c r="V40" s="10"/>
      <c r="AG40" s="10"/>
      <c r="AH40" s="8"/>
      <c r="AI40" s="8"/>
      <c r="AJ40" s="8"/>
      <c r="AK40" s="8"/>
      <c r="AL40" s="8"/>
      <c r="AM40" s="8"/>
      <c r="AO40" s="39"/>
      <c r="AP40" s="10"/>
      <c r="BA40" s="10"/>
      <c r="BB40" s="8"/>
      <c r="BC40" s="8"/>
      <c r="BD40" s="8"/>
      <c r="BE40" s="8"/>
      <c r="BF40" s="8"/>
      <c r="BG40" s="8"/>
      <c r="BI40" s="39"/>
      <c r="BJ40" s="8">
        <f t="shared" si="5"/>
        <v>64.333333333333329</v>
      </c>
      <c r="BO40" s="11">
        <f t="shared" si="9"/>
        <v>16</v>
      </c>
    </row>
    <row r="41" spans="1:67" s="11" customFormat="1" ht="18.45">
      <c r="A41" s="11" t="s">
        <v>49</v>
      </c>
      <c r="B41" s="6" t="s">
        <v>117</v>
      </c>
      <c r="C41" s="11">
        <v>3</v>
      </c>
      <c r="D41" s="11">
        <v>8</v>
      </c>
      <c r="E41" s="11">
        <v>5</v>
      </c>
      <c r="F41" s="11">
        <v>3</v>
      </c>
      <c r="G41" s="11">
        <v>0</v>
      </c>
      <c r="H41" s="11">
        <f t="shared" si="0"/>
        <v>16</v>
      </c>
      <c r="I41" s="11">
        <v>0</v>
      </c>
      <c r="J41" s="11">
        <v>0</v>
      </c>
      <c r="K41" s="11">
        <v>0</v>
      </c>
      <c r="L41" s="11">
        <v>0</v>
      </c>
      <c r="M41" s="10">
        <f t="shared" si="1"/>
        <v>0</v>
      </c>
      <c r="N41" s="8">
        <f>19.89+22.92</f>
        <v>42.81</v>
      </c>
      <c r="O41" s="8">
        <v>17.36</v>
      </c>
      <c r="P41" s="8">
        <f t="shared" si="3"/>
        <v>17.317711912510546</v>
      </c>
      <c r="Q41" s="8">
        <v>88</v>
      </c>
      <c r="R41" s="8">
        <v>90</v>
      </c>
      <c r="S41" s="8">
        <v>80</v>
      </c>
      <c r="T41" s="8">
        <f t="shared" si="4"/>
        <v>86</v>
      </c>
      <c r="U41" s="39">
        <v>80</v>
      </c>
      <c r="V41" s="10"/>
      <c r="AG41" s="10"/>
      <c r="AH41" s="8"/>
      <c r="AI41" s="8"/>
      <c r="AJ41" s="8"/>
      <c r="AK41" s="8"/>
      <c r="AL41" s="8"/>
      <c r="AM41" s="8"/>
      <c r="AN41" s="8"/>
      <c r="AO41" s="39"/>
      <c r="AP41" s="10"/>
      <c r="BA41" s="10"/>
      <c r="BB41" s="8"/>
      <c r="BC41" s="8"/>
      <c r="BD41" s="8"/>
      <c r="BE41" s="8"/>
      <c r="BF41" s="8"/>
      <c r="BG41" s="8"/>
      <c r="BH41" s="8"/>
      <c r="BI41" s="39"/>
      <c r="BJ41" s="8">
        <f t="shared" si="5"/>
        <v>86</v>
      </c>
      <c r="BL41" s="11">
        <f t="shared" si="7"/>
        <v>5</v>
      </c>
      <c r="BM41" s="11">
        <f t="shared" si="8"/>
        <v>3</v>
      </c>
      <c r="BO41" s="11">
        <f t="shared" si="9"/>
        <v>16</v>
      </c>
    </row>
    <row r="42" spans="1:67" s="11" customFormat="1" ht="18.45">
      <c r="A42" s="11" t="s">
        <v>51</v>
      </c>
      <c r="B42" s="6" t="s">
        <v>117</v>
      </c>
      <c r="C42" s="11">
        <v>2</v>
      </c>
      <c r="D42" s="11">
        <v>7</v>
      </c>
      <c r="E42" s="11">
        <v>4</v>
      </c>
      <c r="F42" s="11">
        <v>0</v>
      </c>
      <c r="G42" s="11">
        <v>0</v>
      </c>
      <c r="H42" s="11">
        <f t="shared" si="0"/>
        <v>11</v>
      </c>
      <c r="I42" s="11">
        <v>0</v>
      </c>
      <c r="J42" s="11">
        <v>0</v>
      </c>
      <c r="K42" s="11">
        <v>0</v>
      </c>
      <c r="L42" s="11">
        <v>0</v>
      </c>
      <c r="M42" s="10">
        <f t="shared" si="1"/>
        <v>0</v>
      </c>
      <c r="N42" s="8">
        <v>43.66</v>
      </c>
      <c r="O42" s="8">
        <v>27.7</v>
      </c>
      <c r="P42" s="8">
        <f t="shared" si="3"/>
        <v>25.973928152743412</v>
      </c>
      <c r="Q42" s="8">
        <v>65</v>
      </c>
      <c r="R42" s="8">
        <v>70</v>
      </c>
      <c r="S42" s="8">
        <v>74</v>
      </c>
      <c r="T42" s="8">
        <f t="shared" si="4"/>
        <v>69.666666666666671</v>
      </c>
      <c r="U42" s="39">
        <v>65</v>
      </c>
      <c r="V42" s="10"/>
      <c r="AG42" s="10"/>
      <c r="AH42" s="8"/>
      <c r="AI42" s="8"/>
      <c r="AJ42" s="8"/>
      <c r="AK42" s="8"/>
      <c r="AL42" s="8"/>
      <c r="AM42" s="8"/>
      <c r="AN42" s="8"/>
      <c r="AO42" s="39"/>
      <c r="AP42" s="10"/>
      <c r="BA42" s="10"/>
      <c r="BB42" s="8"/>
      <c r="BC42" s="8"/>
      <c r="BD42" s="8"/>
      <c r="BE42" s="8"/>
      <c r="BF42" s="8"/>
      <c r="BG42" s="8"/>
      <c r="BH42" s="8"/>
      <c r="BI42" s="39"/>
      <c r="BJ42" s="8">
        <f t="shared" si="5"/>
        <v>69.666666666666671</v>
      </c>
      <c r="BL42" s="11">
        <f t="shared" si="7"/>
        <v>4</v>
      </c>
      <c r="BO42" s="11">
        <f t="shared" si="9"/>
        <v>11</v>
      </c>
    </row>
    <row r="43" spans="1:67" s="11" customFormat="1" ht="18.45">
      <c r="A43" s="11" t="s">
        <v>52</v>
      </c>
      <c r="B43" s="6" t="s">
        <v>117</v>
      </c>
      <c r="C43" s="11">
        <v>2</v>
      </c>
      <c r="D43" s="11">
        <v>4</v>
      </c>
      <c r="E43" s="11">
        <v>3</v>
      </c>
      <c r="F43" s="11">
        <v>0</v>
      </c>
      <c r="G43" s="11">
        <v>0</v>
      </c>
      <c r="H43" s="11">
        <f t="shared" si="0"/>
        <v>7</v>
      </c>
      <c r="I43" s="11">
        <v>0</v>
      </c>
      <c r="J43" s="11">
        <v>0</v>
      </c>
      <c r="K43" s="11">
        <v>0</v>
      </c>
      <c r="L43" s="11">
        <v>0</v>
      </c>
      <c r="M43" s="10">
        <f t="shared" si="1"/>
        <v>0</v>
      </c>
      <c r="N43" s="8">
        <v>29.07</v>
      </c>
      <c r="O43" s="8">
        <v>9.42</v>
      </c>
      <c r="P43" s="8">
        <f t="shared" si="3"/>
        <v>9.0550851757389648</v>
      </c>
      <c r="Q43" s="8">
        <v>69</v>
      </c>
      <c r="R43" s="8">
        <v>73</v>
      </c>
      <c r="S43" s="8">
        <v>80</v>
      </c>
      <c r="T43" s="8">
        <f t="shared" si="4"/>
        <v>74</v>
      </c>
      <c r="U43" s="39">
        <v>69</v>
      </c>
      <c r="V43" s="6" t="s">
        <v>117</v>
      </c>
      <c r="W43" s="11">
        <v>2</v>
      </c>
      <c r="X43" s="11">
        <v>9</v>
      </c>
      <c r="Y43" s="11">
        <v>5</v>
      </c>
      <c r="Z43" s="11">
        <v>0</v>
      </c>
      <c r="AA43" s="11">
        <v>0</v>
      </c>
      <c r="AB43" s="11">
        <v>14</v>
      </c>
      <c r="AC43" s="11">
        <v>0</v>
      </c>
      <c r="AD43" s="11">
        <v>0</v>
      </c>
      <c r="AE43" s="11">
        <v>0</v>
      </c>
      <c r="AF43" s="11">
        <v>0</v>
      </c>
      <c r="AG43" s="10">
        <v>0</v>
      </c>
      <c r="AH43" s="8">
        <v>29.43</v>
      </c>
      <c r="AI43" s="8">
        <v>8.59</v>
      </c>
      <c r="AJ43" s="8">
        <f t="shared" si="17"/>
        <v>8.1833621239683048</v>
      </c>
      <c r="AK43" s="8">
        <v>74</v>
      </c>
      <c r="AL43" s="8">
        <v>73</v>
      </c>
      <c r="AM43" s="8">
        <v>70</v>
      </c>
      <c r="AN43" s="8">
        <v>72.3</v>
      </c>
      <c r="AO43" s="39">
        <v>70</v>
      </c>
      <c r="AP43" s="10"/>
      <c r="BA43" s="10"/>
      <c r="BB43" s="8"/>
      <c r="BC43" s="8"/>
      <c r="BD43" s="8"/>
      <c r="BE43" s="8"/>
      <c r="BF43" s="8"/>
      <c r="BG43" s="8"/>
      <c r="BH43" s="8"/>
      <c r="BI43" s="39"/>
      <c r="BJ43" s="8">
        <f t="shared" si="5"/>
        <v>73.150000000000006</v>
      </c>
      <c r="BL43" s="11">
        <f t="shared" si="7"/>
        <v>8</v>
      </c>
      <c r="BO43" s="11">
        <f t="shared" si="9"/>
        <v>21</v>
      </c>
    </row>
    <row r="44" spans="1:67" s="11" customFormat="1" ht="18.45">
      <c r="A44" s="11" t="s">
        <v>53</v>
      </c>
      <c r="B44" s="6" t="s">
        <v>117</v>
      </c>
      <c r="C44" s="11">
        <v>2</v>
      </c>
      <c r="D44" s="11">
        <v>5</v>
      </c>
      <c r="E44" s="11">
        <v>0</v>
      </c>
      <c r="F44" s="11">
        <v>0</v>
      </c>
      <c r="G44" s="11">
        <v>0</v>
      </c>
      <c r="H44" s="11">
        <f t="shared" si="0"/>
        <v>5</v>
      </c>
      <c r="I44" s="11">
        <v>0</v>
      </c>
      <c r="J44" s="11">
        <v>2</v>
      </c>
      <c r="K44" s="11">
        <v>0</v>
      </c>
      <c r="L44" s="11">
        <v>0</v>
      </c>
      <c r="M44" s="10">
        <f t="shared" si="1"/>
        <v>2</v>
      </c>
      <c r="N44" s="8">
        <f>15.43+11.39</f>
        <v>26.82</v>
      </c>
      <c r="O44" s="8">
        <v>13.4</v>
      </c>
      <c r="P44" s="8">
        <f t="shared" si="3"/>
        <v>11.719904075667904</v>
      </c>
      <c r="Q44" s="8">
        <v>69</v>
      </c>
      <c r="R44" s="8">
        <v>58</v>
      </c>
      <c r="S44" s="8">
        <v>56</v>
      </c>
      <c r="T44" s="8">
        <f t="shared" si="4"/>
        <v>61</v>
      </c>
      <c r="U44" s="39">
        <v>47</v>
      </c>
      <c r="V44" s="10"/>
      <c r="AG44" s="10"/>
      <c r="AH44" s="8"/>
      <c r="AI44" s="8"/>
      <c r="AJ44" s="8"/>
      <c r="AK44" s="8"/>
      <c r="AL44" s="8"/>
      <c r="AM44" s="8"/>
      <c r="AN44" s="8"/>
      <c r="AO44" s="39"/>
      <c r="AP44" s="10"/>
      <c r="BA44" s="10"/>
      <c r="BB44" s="8"/>
      <c r="BC44" s="8"/>
      <c r="BD44" s="8"/>
      <c r="BE44" s="8"/>
      <c r="BF44" s="8"/>
      <c r="BG44" s="8"/>
      <c r="BH44" s="8"/>
      <c r="BI44" s="39"/>
      <c r="BJ44" s="8">
        <f t="shared" si="5"/>
        <v>61</v>
      </c>
      <c r="BO44" s="11">
        <f t="shared" si="9"/>
        <v>7</v>
      </c>
    </row>
    <row r="45" spans="1:67" s="11" customFormat="1" ht="18.45">
      <c r="A45" s="11" t="s">
        <v>54</v>
      </c>
      <c r="B45" s="6" t="s">
        <v>117</v>
      </c>
      <c r="C45" s="11">
        <v>2</v>
      </c>
      <c r="D45" s="11">
        <v>8</v>
      </c>
      <c r="E45" s="11">
        <v>5</v>
      </c>
      <c r="F45" s="11">
        <v>0</v>
      </c>
      <c r="G45" s="11">
        <v>0</v>
      </c>
      <c r="H45" s="11">
        <f t="shared" si="0"/>
        <v>13</v>
      </c>
      <c r="I45" s="11">
        <v>0</v>
      </c>
      <c r="J45" s="11">
        <v>0</v>
      </c>
      <c r="K45" s="11">
        <v>0</v>
      </c>
      <c r="L45" s="11">
        <v>0</v>
      </c>
      <c r="M45" s="10">
        <f t="shared" si="1"/>
        <v>0</v>
      </c>
      <c r="N45" s="8">
        <v>32.08</v>
      </c>
      <c r="O45" s="8">
        <v>10.68</v>
      </c>
      <c r="P45" s="8">
        <f t="shared" si="3"/>
        <v>8.1813546525106844</v>
      </c>
      <c r="Q45" s="8">
        <v>55</v>
      </c>
      <c r="R45" s="8">
        <v>45</v>
      </c>
      <c r="S45" s="8">
        <v>50</v>
      </c>
      <c r="T45" s="8">
        <f t="shared" si="4"/>
        <v>50</v>
      </c>
      <c r="U45" s="39">
        <v>45</v>
      </c>
      <c r="V45" s="10"/>
      <c r="AG45" s="10"/>
      <c r="AH45" s="8"/>
      <c r="AI45" s="8"/>
      <c r="AJ45" s="8"/>
      <c r="AK45" s="8"/>
      <c r="AL45" s="8"/>
      <c r="AM45" s="8"/>
      <c r="AN45" s="8"/>
      <c r="AO45" s="39"/>
      <c r="AP45" s="10"/>
      <c r="BA45" s="10"/>
      <c r="BB45" s="8"/>
      <c r="BC45" s="8"/>
      <c r="BD45" s="8"/>
      <c r="BE45" s="8"/>
      <c r="BF45" s="8"/>
      <c r="BG45" s="8"/>
      <c r="BH45" s="8"/>
      <c r="BI45" s="39"/>
      <c r="BJ45" s="8">
        <f t="shared" si="5"/>
        <v>50</v>
      </c>
      <c r="BL45" s="11">
        <f t="shared" si="7"/>
        <v>5</v>
      </c>
      <c r="BO45" s="11">
        <f t="shared" si="9"/>
        <v>13</v>
      </c>
    </row>
    <row r="46" spans="1:67" s="11" customFormat="1" ht="18.45">
      <c r="A46" s="11" t="s">
        <v>55</v>
      </c>
      <c r="B46" s="6" t="s">
        <v>117</v>
      </c>
      <c r="C46" s="11">
        <v>2</v>
      </c>
      <c r="D46" s="11">
        <v>6</v>
      </c>
      <c r="E46" s="11">
        <v>4</v>
      </c>
      <c r="F46" s="11">
        <v>0</v>
      </c>
      <c r="G46" s="11">
        <v>0</v>
      </c>
      <c r="H46" s="11">
        <f t="shared" si="0"/>
        <v>10</v>
      </c>
      <c r="I46" s="11">
        <v>0</v>
      </c>
      <c r="J46" s="11">
        <v>0</v>
      </c>
      <c r="K46" s="11">
        <v>0</v>
      </c>
      <c r="L46" s="11">
        <v>0</v>
      </c>
      <c r="M46" s="10">
        <f t="shared" si="1"/>
        <v>0</v>
      </c>
      <c r="N46" s="8">
        <v>30.67</v>
      </c>
      <c r="O46" s="8">
        <v>12.81</v>
      </c>
      <c r="P46" s="8">
        <f t="shared" si="3"/>
        <v>11.379766712658384</v>
      </c>
      <c r="Q46" s="8">
        <v>66</v>
      </c>
      <c r="R46" s="8">
        <v>58</v>
      </c>
      <c r="S46" s="8">
        <v>64</v>
      </c>
      <c r="T46" s="8">
        <f t="shared" si="4"/>
        <v>62.666666666666664</v>
      </c>
      <c r="U46" s="39">
        <v>57</v>
      </c>
      <c r="V46" s="10"/>
      <c r="AG46" s="10"/>
      <c r="AH46" s="8"/>
      <c r="AI46" s="8"/>
      <c r="AJ46" s="8"/>
      <c r="AK46" s="8"/>
      <c r="AL46" s="8"/>
      <c r="AM46" s="8"/>
      <c r="AN46" s="8"/>
      <c r="AO46" s="39"/>
      <c r="AP46" s="10"/>
      <c r="BA46" s="10"/>
      <c r="BB46" s="8"/>
      <c r="BC46" s="8"/>
      <c r="BD46" s="8"/>
      <c r="BE46" s="8"/>
      <c r="BF46" s="8"/>
      <c r="BG46" s="8"/>
      <c r="BH46" s="8"/>
      <c r="BI46" s="39"/>
      <c r="BJ46" s="8">
        <f t="shared" si="5"/>
        <v>62.666666666666664</v>
      </c>
      <c r="BL46" s="11">
        <f t="shared" si="7"/>
        <v>4</v>
      </c>
      <c r="BO46" s="11">
        <f t="shared" si="9"/>
        <v>10</v>
      </c>
    </row>
    <row r="47" spans="1:67" s="11" customFormat="1" ht="18.45">
      <c r="A47" s="11" t="s">
        <v>56</v>
      </c>
      <c r="B47" s="6" t="s">
        <v>117</v>
      </c>
      <c r="C47" s="11">
        <v>3</v>
      </c>
      <c r="D47" s="11">
        <v>4</v>
      </c>
      <c r="E47" s="11">
        <v>1</v>
      </c>
      <c r="F47" s="11">
        <v>1</v>
      </c>
      <c r="G47" s="11">
        <v>0</v>
      </c>
      <c r="H47" s="11">
        <f t="shared" si="0"/>
        <v>6</v>
      </c>
      <c r="I47" s="11">
        <v>0</v>
      </c>
      <c r="J47" s="11">
        <v>0</v>
      </c>
      <c r="K47" s="11">
        <v>0</v>
      </c>
      <c r="L47" s="11">
        <v>0</v>
      </c>
      <c r="M47" s="10">
        <f t="shared" si="1"/>
        <v>0</v>
      </c>
      <c r="N47" s="8">
        <v>26.08</v>
      </c>
      <c r="O47" s="8">
        <v>15.67</v>
      </c>
      <c r="P47" s="8">
        <f t="shared" si="3"/>
        <v>14.845705388199541</v>
      </c>
      <c r="Q47" s="8">
        <v>70</v>
      </c>
      <c r="R47" s="8">
        <v>69</v>
      </c>
      <c r="S47" s="8">
        <v>75</v>
      </c>
      <c r="T47" s="8">
        <f t="shared" si="4"/>
        <v>71.333333333333329</v>
      </c>
      <c r="U47" s="39">
        <v>61</v>
      </c>
      <c r="V47" s="6" t="s">
        <v>117</v>
      </c>
      <c r="W47" s="11">
        <v>3</v>
      </c>
      <c r="X47" s="11">
        <v>8</v>
      </c>
      <c r="Y47" s="11">
        <v>4</v>
      </c>
      <c r="Z47" s="11">
        <v>0</v>
      </c>
      <c r="AA47" s="11">
        <v>0</v>
      </c>
      <c r="AB47" s="11">
        <v>12</v>
      </c>
      <c r="AC47" s="11">
        <v>0</v>
      </c>
      <c r="AD47" s="11">
        <v>0</v>
      </c>
      <c r="AE47" s="11">
        <v>3</v>
      </c>
      <c r="AF47" s="11">
        <v>0</v>
      </c>
      <c r="AG47" s="10">
        <v>3</v>
      </c>
      <c r="AH47" s="8">
        <v>32.18</v>
      </c>
      <c r="AI47" s="8">
        <v>17.559999999999999</v>
      </c>
      <c r="AJ47" s="8">
        <f t="shared" si="17"/>
        <v>15.54751206824754</v>
      </c>
      <c r="AK47" s="8">
        <v>67</v>
      </c>
      <c r="AL47" s="8">
        <v>61</v>
      </c>
      <c r="AM47" s="8">
        <v>59</v>
      </c>
      <c r="AN47" s="8">
        <v>62.3</v>
      </c>
      <c r="AO47" s="39">
        <v>59</v>
      </c>
      <c r="AP47" s="10"/>
      <c r="BA47" s="10"/>
      <c r="BB47" s="8"/>
      <c r="BC47" s="8"/>
      <c r="BD47" s="8"/>
      <c r="BE47" s="8"/>
      <c r="BF47" s="8"/>
      <c r="BG47" s="8"/>
      <c r="BH47" s="8"/>
      <c r="BI47" s="39"/>
      <c r="BJ47" s="8">
        <f t="shared" si="5"/>
        <v>66.816666666666663</v>
      </c>
      <c r="BL47" s="11">
        <f t="shared" si="7"/>
        <v>5</v>
      </c>
      <c r="BM47" s="11">
        <f t="shared" si="8"/>
        <v>1</v>
      </c>
      <c r="BO47" s="11">
        <f t="shared" si="9"/>
        <v>21</v>
      </c>
    </row>
    <row r="48" spans="1:67" s="11" customFormat="1" ht="18.45">
      <c r="A48" s="11" t="s">
        <v>57</v>
      </c>
      <c r="B48" s="6" t="s">
        <v>117</v>
      </c>
      <c r="C48" s="11">
        <v>3</v>
      </c>
      <c r="D48" s="11">
        <v>6</v>
      </c>
      <c r="E48" s="11">
        <v>3</v>
      </c>
      <c r="F48" s="11">
        <v>2</v>
      </c>
      <c r="G48" s="11">
        <v>0</v>
      </c>
      <c r="H48" s="11">
        <f t="shared" si="0"/>
        <v>11</v>
      </c>
      <c r="I48" s="11">
        <v>0</v>
      </c>
      <c r="J48" s="11">
        <v>0</v>
      </c>
      <c r="K48" s="11">
        <v>0</v>
      </c>
      <c r="L48" s="11">
        <v>0</v>
      </c>
      <c r="M48" s="10">
        <f t="shared" si="1"/>
        <v>0</v>
      </c>
      <c r="N48" s="8">
        <v>31.17</v>
      </c>
      <c r="O48" s="8">
        <v>19.14</v>
      </c>
      <c r="P48" s="8">
        <f t="shared" si="3"/>
        <v>18.203221721889239</v>
      </c>
      <c r="Q48" s="8">
        <v>75</v>
      </c>
      <c r="R48" s="8">
        <v>73</v>
      </c>
      <c r="S48" s="8">
        <v>68</v>
      </c>
      <c r="T48" s="8">
        <f t="shared" si="4"/>
        <v>72</v>
      </c>
      <c r="U48" s="39">
        <v>68</v>
      </c>
      <c r="V48" s="10"/>
      <c r="AG48" s="10"/>
      <c r="AH48" s="8"/>
      <c r="AI48" s="8"/>
      <c r="AJ48" s="8"/>
      <c r="AK48" s="8"/>
      <c r="AL48" s="8"/>
      <c r="AM48" s="8"/>
      <c r="AN48" s="8"/>
      <c r="AO48" s="39"/>
      <c r="AP48" s="10"/>
      <c r="BA48" s="10"/>
      <c r="BB48" s="8"/>
      <c r="BC48" s="8"/>
      <c r="BD48" s="8"/>
      <c r="BE48" s="8"/>
      <c r="BF48" s="8"/>
      <c r="BG48" s="8"/>
      <c r="BH48" s="8"/>
      <c r="BI48" s="39"/>
      <c r="BJ48" s="8">
        <f t="shared" si="5"/>
        <v>72</v>
      </c>
      <c r="BL48" s="11">
        <f t="shared" si="7"/>
        <v>3</v>
      </c>
      <c r="BM48" s="11">
        <f t="shared" si="8"/>
        <v>2</v>
      </c>
      <c r="BO48" s="11">
        <f t="shared" si="9"/>
        <v>11</v>
      </c>
    </row>
    <row r="49" spans="1:67" s="11" customFormat="1" ht="18.45">
      <c r="A49" s="11" t="s">
        <v>58</v>
      </c>
      <c r="B49" s="6" t="s">
        <v>117</v>
      </c>
      <c r="C49" s="11">
        <v>2</v>
      </c>
      <c r="D49" s="11">
        <v>6</v>
      </c>
      <c r="E49" s="11">
        <v>4</v>
      </c>
      <c r="F49" s="11">
        <v>0</v>
      </c>
      <c r="G49" s="11">
        <v>0</v>
      </c>
      <c r="H49" s="11">
        <f t="shared" si="0"/>
        <v>10</v>
      </c>
      <c r="I49" s="11">
        <v>0</v>
      </c>
      <c r="J49" s="11">
        <v>0</v>
      </c>
      <c r="K49" s="11">
        <v>0</v>
      </c>
      <c r="L49" s="11">
        <v>0</v>
      </c>
      <c r="M49" s="10">
        <f t="shared" si="1"/>
        <v>0</v>
      </c>
      <c r="N49" s="8">
        <f>27.09+14.82</f>
        <v>41.91</v>
      </c>
      <c r="O49" s="8">
        <v>12.93</v>
      </c>
      <c r="P49" s="8">
        <f t="shared" si="3"/>
        <v>11.718559686383884</v>
      </c>
      <c r="Q49" s="8">
        <v>60</v>
      </c>
      <c r="R49" s="8">
        <v>67</v>
      </c>
      <c r="S49" s="8">
        <v>68</v>
      </c>
      <c r="T49" s="8">
        <f t="shared" si="4"/>
        <v>65</v>
      </c>
      <c r="U49" s="39">
        <v>60</v>
      </c>
      <c r="V49" s="6" t="s">
        <v>117</v>
      </c>
      <c r="W49" s="11">
        <v>2</v>
      </c>
      <c r="X49" s="11">
        <v>8</v>
      </c>
      <c r="Y49" s="11">
        <v>4</v>
      </c>
      <c r="Z49" s="11">
        <v>0</v>
      </c>
      <c r="AA49" s="11">
        <v>0</v>
      </c>
      <c r="AB49" s="11">
        <v>12</v>
      </c>
      <c r="AC49" s="11">
        <v>0</v>
      </c>
      <c r="AD49" s="11">
        <v>0</v>
      </c>
      <c r="AE49" s="11">
        <v>0</v>
      </c>
      <c r="AF49" s="11">
        <v>0</v>
      </c>
      <c r="AG49" s="10">
        <v>0</v>
      </c>
      <c r="AH49" s="8">
        <v>42.55</v>
      </c>
      <c r="AI49" s="8">
        <v>15.99</v>
      </c>
      <c r="AJ49" s="8">
        <f t="shared" ref="AJ49:AJ55" si="18">AI49*SIN(AN49*PI()/180)</f>
        <v>15.207393695559505</v>
      </c>
      <c r="AK49" s="8">
        <v>70</v>
      </c>
      <c r="AL49" s="8">
        <v>76</v>
      </c>
      <c r="AM49" s="8">
        <v>70</v>
      </c>
      <c r="AN49" s="8">
        <v>72</v>
      </c>
      <c r="AO49" s="39">
        <v>70</v>
      </c>
      <c r="AP49" s="10"/>
      <c r="BA49" s="10"/>
      <c r="BB49" s="8"/>
      <c r="BC49" s="8"/>
      <c r="BD49" s="8"/>
      <c r="BE49" s="8"/>
      <c r="BF49" s="8"/>
      <c r="BG49" s="8"/>
      <c r="BH49" s="8"/>
      <c r="BI49" s="39"/>
      <c r="BJ49" s="8">
        <f t="shared" si="5"/>
        <v>68.5</v>
      </c>
      <c r="BL49" s="11">
        <f t="shared" si="7"/>
        <v>8</v>
      </c>
      <c r="BO49" s="11">
        <f t="shared" si="9"/>
        <v>22</v>
      </c>
    </row>
    <row r="50" spans="1:67" s="11" customFormat="1" ht="18.45">
      <c r="A50" s="11" t="s">
        <v>59</v>
      </c>
      <c r="B50" s="6" t="s">
        <v>117</v>
      </c>
      <c r="C50" s="11">
        <v>3</v>
      </c>
      <c r="D50" s="11">
        <v>9</v>
      </c>
      <c r="E50" s="11">
        <v>4</v>
      </c>
      <c r="F50" s="11">
        <v>2</v>
      </c>
      <c r="G50" s="11">
        <v>0</v>
      </c>
      <c r="H50" s="11">
        <f t="shared" si="0"/>
        <v>15</v>
      </c>
      <c r="I50" s="11">
        <v>0</v>
      </c>
      <c r="J50" s="11">
        <v>0</v>
      </c>
      <c r="K50" s="11">
        <v>0</v>
      </c>
      <c r="L50" s="11">
        <v>0</v>
      </c>
      <c r="M50" s="10">
        <f t="shared" si="1"/>
        <v>0</v>
      </c>
      <c r="N50" s="8">
        <v>36.200000000000003</v>
      </c>
      <c r="O50" s="8">
        <v>11.06</v>
      </c>
      <c r="P50" s="8">
        <f t="shared" si="3"/>
        <v>9.7043249013776762</v>
      </c>
      <c r="Q50" s="8">
        <v>50</v>
      </c>
      <c r="R50" s="8">
        <v>64</v>
      </c>
      <c r="S50" s="8">
        <v>70</v>
      </c>
      <c r="T50" s="8">
        <f t="shared" si="4"/>
        <v>61.333333333333336</v>
      </c>
      <c r="U50" s="39">
        <v>48</v>
      </c>
      <c r="V50" s="10"/>
      <c r="AG50" s="10"/>
      <c r="AH50" s="8"/>
      <c r="AI50" s="8"/>
      <c r="AJ50" s="8"/>
      <c r="AK50" s="8"/>
      <c r="AL50" s="8"/>
      <c r="AM50" s="8"/>
      <c r="AN50" s="8"/>
      <c r="AO50" s="39"/>
      <c r="AP50" s="10"/>
      <c r="BA50" s="10"/>
      <c r="BB50" s="8"/>
      <c r="BC50" s="8"/>
      <c r="BD50" s="8"/>
      <c r="BE50" s="8"/>
      <c r="BF50" s="8"/>
      <c r="BG50" s="8"/>
      <c r="BH50" s="8"/>
      <c r="BI50" s="39"/>
      <c r="BJ50" s="8">
        <f t="shared" si="5"/>
        <v>61.333333333333336</v>
      </c>
      <c r="BL50" s="11">
        <f t="shared" si="7"/>
        <v>4</v>
      </c>
      <c r="BM50" s="11">
        <f t="shared" si="8"/>
        <v>2</v>
      </c>
      <c r="BO50" s="11">
        <f t="shared" si="9"/>
        <v>15</v>
      </c>
    </row>
    <row r="51" spans="1:67" s="11" customFormat="1" ht="18.45">
      <c r="A51" s="11" t="s">
        <v>60</v>
      </c>
      <c r="B51" s="6" t="s">
        <v>117</v>
      </c>
      <c r="C51" s="11">
        <v>3</v>
      </c>
      <c r="D51" s="11">
        <v>5</v>
      </c>
      <c r="E51" s="11">
        <v>3</v>
      </c>
      <c r="F51" s="11">
        <v>1</v>
      </c>
      <c r="G51" s="11">
        <v>0</v>
      </c>
      <c r="H51" s="11">
        <f t="shared" si="0"/>
        <v>9</v>
      </c>
      <c r="I51" s="11">
        <v>0</v>
      </c>
      <c r="J51" s="11">
        <v>0</v>
      </c>
      <c r="K51" s="11">
        <v>2</v>
      </c>
      <c r="L51" s="11">
        <v>0</v>
      </c>
      <c r="M51" s="10">
        <f t="shared" si="1"/>
        <v>2</v>
      </c>
      <c r="N51" s="8">
        <f>16.08+39.07</f>
        <v>55.15</v>
      </c>
      <c r="O51" s="8">
        <v>15.86</v>
      </c>
      <c r="P51" s="8">
        <f t="shared" si="3"/>
        <v>13.351343526120782</v>
      </c>
      <c r="Q51" s="8">
        <v>56</v>
      </c>
      <c r="R51" s="8">
        <v>63</v>
      </c>
      <c r="S51" s="8">
        <v>53</v>
      </c>
      <c r="T51" s="8">
        <f t="shared" si="4"/>
        <v>57.333333333333336</v>
      </c>
      <c r="U51" s="39">
        <v>53</v>
      </c>
      <c r="V51" s="10"/>
      <c r="AG51" s="10"/>
      <c r="AH51" s="8"/>
      <c r="AI51" s="8"/>
      <c r="AJ51" s="8"/>
      <c r="AK51" s="8"/>
      <c r="AL51" s="8"/>
      <c r="AM51" s="8"/>
      <c r="AN51" s="8"/>
      <c r="AO51" s="39"/>
      <c r="AP51" s="10"/>
      <c r="BA51" s="10"/>
      <c r="BB51" s="8"/>
      <c r="BC51" s="8"/>
      <c r="BD51" s="8"/>
      <c r="BE51" s="8"/>
      <c r="BF51" s="8"/>
      <c r="BG51" s="8"/>
      <c r="BH51" s="8"/>
      <c r="BI51" s="39"/>
      <c r="BJ51" s="8">
        <f t="shared" si="5"/>
        <v>57.333333333333336</v>
      </c>
      <c r="BL51" s="11">
        <f t="shared" si="7"/>
        <v>3</v>
      </c>
      <c r="BM51" s="11">
        <f t="shared" si="8"/>
        <v>1</v>
      </c>
      <c r="BO51" s="11">
        <f t="shared" si="9"/>
        <v>11</v>
      </c>
    </row>
    <row r="52" spans="1:67" s="11" customFormat="1" ht="18.45">
      <c r="A52" s="11" t="s">
        <v>61</v>
      </c>
      <c r="B52" s="6" t="s">
        <v>117</v>
      </c>
      <c r="C52" s="11">
        <v>2</v>
      </c>
      <c r="D52" s="11">
        <v>5</v>
      </c>
      <c r="E52" s="11">
        <v>4</v>
      </c>
      <c r="F52" s="11">
        <v>0</v>
      </c>
      <c r="G52" s="11">
        <v>0</v>
      </c>
      <c r="H52" s="11">
        <f t="shared" si="0"/>
        <v>9</v>
      </c>
      <c r="I52" s="11">
        <v>0</v>
      </c>
      <c r="J52" s="11">
        <v>0</v>
      </c>
      <c r="K52" s="11">
        <v>0</v>
      </c>
      <c r="L52" s="11">
        <v>0</v>
      </c>
      <c r="M52" s="10">
        <f t="shared" si="1"/>
        <v>0</v>
      </c>
      <c r="N52" s="8">
        <v>48.45</v>
      </c>
      <c r="O52" s="8">
        <v>5.78</v>
      </c>
      <c r="P52" s="8">
        <f t="shared" si="3"/>
        <v>5.1651966610693227</v>
      </c>
      <c r="Q52" s="8">
        <v>68</v>
      </c>
      <c r="R52" s="8">
        <v>61</v>
      </c>
      <c r="S52" s="8">
        <v>61</v>
      </c>
      <c r="T52" s="8">
        <f t="shared" si="4"/>
        <v>63.333333333333336</v>
      </c>
      <c r="U52" s="39">
        <v>60</v>
      </c>
      <c r="V52" s="10"/>
      <c r="AG52" s="10"/>
      <c r="AH52" s="8"/>
      <c r="AI52" s="8"/>
      <c r="AJ52" s="8"/>
      <c r="AK52" s="8"/>
      <c r="AL52" s="8"/>
      <c r="AM52" s="8"/>
      <c r="AN52" s="8"/>
      <c r="AO52" s="39"/>
      <c r="AP52" s="10"/>
      <c r="BA52" s="10"/>
      <c r="BB52" s="8"/>
      <c r="BC52" s="8"/>
      <c r="BD52" s="8"/>
      <c r="BE52" s="8"/>
      <c r="BF52" s="8"/>
      <c r="BG52" s="8"/>
      <c r="BH52" s="8"/>
      <c r="BI52" s="39"/>
      <c r="BJ52" s="8">
        <f t="shared" si="5"/>
        <v>63.333333333333336</v>
      </c>
      <c r="BL52" s="11">
        <f t="shared" si="7"/>
        <v>4</v>
      </c>
      <c r="BO52" s="11">
        <f t="shared" si="9"/>
        <v>9</v>
      </c>
    </row>
    <row r="53" spans="1:67" s="11" customFormat="1" ht="18.45">
      <c r="A53" s="11" t="s">
        <v>62</v>
      </c>
      <c r="B53" s="6" t="s">
        <v>117</v>
      </c>
      <c r="C53" s="11">
        <v>2</v>
      </c>
      <c r="D53" s="11">
        <v>15</v>
      </c>
      <c r="E53" s="11">
        <v>0</v>
      </c>
      <c r="F53" s="11">
        <v>0</v>
      </c>
      <c r="G53" s="11">
        <v>0</v>
      </c>
      <c r="H53" s="11">
        <f t="shared" si="0"/>
        <v>15</v>
      </c>
      <c r="I53" s="11">
        <v>0</v>
      </c>
      <c r="J53" s="11">
        <v>6</v>
      </c>
      <c r="K53" s="11">
        <v>0</v>
      </c>
      <c r="L53" s="11">
        <v>0</v>
      </c>
      <c r="M53" s="10">
        <f t="shared" si="1"/>
        <v>6</v>
      </c>
      <c r="N53" s="8">
        <f>31.25+16.6+6.57</f>
        <v>54.42</v>
      </c>
      <c r="O53" s="8">
        <v>16.18</v>
      </c>
      <c r="P53" s="8">
        <f t="shared" si="3"/>
        <v>15.416922064477188</v>
      </c>
      <c r="Q53" s="8">
        <v>66</v>
      </c>
      <c r="R53" s="8">
        <v>73</v>
      </c>
      <c r="S53" s="8">
        <v>78</v>
      </c>
      <c r="T53" s="8">
        <f t="shared" si="4"/>
        <v>72.333333333333329</v>
      </c>
      <c r="U53" s="39">
        <v>65</v>
      </c>
      <c r="V53" s="10"/>
      <c r="AG53" s="10"/>
      <c r="AH53" s="8"/>
      <c r="AI53" s="8"/>
      <c r="AJ53" s="8"/>
      <c r="AK53" s="8"/>
      <c r="AL53" s="8"/>
      <c r="AM53" s="8"/>
      <c r="AN53" s="8"/>
      <c r="AO53" s="39"/>
      <c r="AP53" s="10"/>
      <c r="BA53" s="10"/>
      <c r="BB53" s="8"/>
      <c r="BC53" s="8"/>
      <c r="BD53" s="8"/>
      <c r="BE53" s="8"/>
      <c r="BF53" s="8"/>
      <c r="BG53" s="8"/>
      <c r="BH53" s="8"/>
      <c r="BI53" s="39"/>
      <c r="BJ53" s="8">
        <f t="shared" si="5"/>
        <v>72.333333333333329</v>
      </c>
      <c r="BO53" s="11">
        <f t="shared" si="9"/>
        <v>21</v>
      </c>
    </row>
    <row r="54" spans="1:67" s="11" customFormat="1" ht="18.45">
      <c r="A54" s="11" t="s">
        <v>64</v>
      </c>
      <c r="B54" s="6" t="s">
        <v>117</v>
      </c>
      <c r="C54" s="11">
        <v>2</v>
      </c>
      <c r="D54" s="11">
        <v>10</v>
      </c>
      <c r="E54" s="11">
        <v>6</v>
      </c>
      <c r="F54" s="11">
        <v>0</v>
      </c>
      <c r="G54" s="11">
        <v>0</v>
      </c>
      <c r="H54" s="11">
        <f t="shared" si="0"/>
        <v>16</v>
      </c>
      <c r="I54" s="11">
        <v>0</v>
      </c>
      <c r="J54" s="11">
        <v>0</v>
      </c>
      <c r="K54" s="11">
        <v>0</v>
      </c>
      <c r="L54" s="11">
        <v>0</v>
      </c>
      <c r="M54" s="10">
        <f t="shared" si="1"/>
        <v>0</v>
      </c>
      <c r="N54" s="8">
        <v>45.36</v>
      </c>
      <c r="O54" s="8">
        <v>10.81</v>
      </c>
      <c r="P54" s="8">
        <f t="shared" si="3"/>
        <v>9.3301313469693898</v>
      </c>
      <c r="Q54" s="8">
        <v>47</v>
      </c>
      <c r="R54" s="8">
        <v>72</v>
      </c>
      <c r="S54" s="8">
        <v>60</v>
      </c>
      <c r="T54" s="8">
        <f t="shared" si="4"/>
        <v>59.666666666666664</v>
      </c>
      <c r="U54" s="39">
        <v>47</v>
      </c>
      <c r="V54" s="10"/>
      <c r="AG54" s="10"/>
      <c r="AH54" s="8"/>
      <c r="AI54" s="8"/>
      <c r="AJ54" s="8"/>
      <c r="AK54" s="8"/>
      <c r="AL54" s="8"/>
      <c r="AM54" s="8"/>
      <c r="AN54" s="8"/>
      <c r="AO54" s="39"/>
      <c r="AP54" s="10"/>
      <c r="BA54" s="10"/>
      <c r="BB54" s="8"/>
      <c r="BC54" s="8"/>
      <c r="BD54" s="8"/>
      <c r="BE54" s="8"/>
      <c r="BF54" s="8"/>
      <c r="BG54" s="8"/>
      <c r="BH54" s="8"/>
      <c r="BI54" s="39"/>
      <c r="BJ54" s="8">
        <f t="shared" si="5"/>
        <v>59.666666666666664</v>
      </c>
      <c r="BL54" s="11">
        <f t="shared" si="7"/>
        <v>6</v>
      </c>
      <c r="BO54" s="11">
        <f t="shared" si="9"/>
        <v>16</v>
      </c>
    </row>
    <row r="55" spans="1:67" s="11" customFormat="1" ht="18.45">
      <c r="A55" s="11" t="s">
        <v>65</v>
      </c>
      <c r="B55" s="6" t="s">
        <v>117</v>
      </c>
      <c r="C55" s="11">
        <v>2</v>
      </c>
      <c r="D55" s="11">
        <v>14</v>
      </c>
      <c r="E55" s="11">
        <v>3</v>
      </c>
      <c r="F55" s="11">
        <v>0</v>
      </c>
      <c r="G55" s="11">
        <v>0</v>
      </c>
      <c r="H55" s="11">
        <f t="shared" si="0"/>
        <v>17</v>
      </c>
      <c r="I55" s="11">
        <v>0</v>
      </c>
      <c r="J55" s="11">
        <v>2</v>
      </c>
      <c r="K55" s="11">
        <v>0</v>
      </c>
      <c r="L55" s="11">
        <v>0</v>
      </c>
      <c r="M55" s="10">
        <f t="shared" si="1"/>
        <v>2</v>
      </c>
      <c r="N55" s="8">
        <v>49.6</v>
      </c>
      <c r="O55" s="8">
        <v>17.38</v>
      </c>
      <c r="P55" s="8">
        <f t="shared" si="3"/>
        <v>15.794094621560546</v>
      </c>
      <c r="Q55" s="8">
        <v>60</v>
      </c>
      <c r="R55" s="8">
        <v>68</v>
      </c>
      <c r="S55" s="8">
        <v>68</v>
      </c>
      <c r="T55" s="8">
        <f t="shared" si="4"/>
        <v>65.333333333333329</v>
      </c>
      <c r="U55" s="39">
        <v>60</v>
      </c>
      <c r="V55" s="10" t="s">
        <v>117</v>
      </c>
      <c r="W55" s="11">
        <v>2</v>
      </c>
      <c r="X55" s="11">
        <v>7</v>
      </c>
      <c r="Y55" s="11">
        <v>1</v>
      </c>
      <c r="Z55" s="11">
        <v>0</v>
      </c>
      <c r="AA55" s="11">
        <v>0</v>
      </c>
      <c r="AB55" s="11">
        <v>8</v>
      </c>
      <c r="AC55" s="11">
        <v>0</v>
      </c>
      <c r="AD55" s="11">
        <v>2</v>
      </c>
      <c r="AE55" s="11">
        <v>0</v>
      </c>
      <c r="AF55" s="11">
        <v>0</v>
      </c>
      <c r="AG55" s="10">
        <v>2</v>
      </c>
      <c r="AH55" s="8">
        <v>45.93</v>
      </c>
      <c r="AI55" s="8">
        <v>22.87</v>
      </c>
      <c r="AJ55" s="8">
        <f t="shared" si="18"/>
        <v>21.905400457112354</v>
      </c>
      <c r="AK55" s="8">
        <v>70</v>
      </c>
      <c r="AL55" s="8">
        <v>65</v>
      </c>
      <c r="AM55" s="8">
        <v>85</v>
      </c>
      <c r="AN55" s="8">
        <v>73.3</v>
      </c>
      <c r="AO55" s="39">
        <v>62</v>
      </c>
      <c r="AP55" s="10"/>
      <c r="BA55" s="10"/>
      <c r="BB55" s="8"/>
      <c r="BC55" s="8"/>
      <c r="BD55" s="8"/>
      <c r="BE55" s="8"/>
      <c r="BF55" s="8"/>
      <c r="BG55" s="8"/>
      <c r="BH55" s="8"/>
      <c r="BI55" s="39"/>
      <c r="BJ55" s="8">
        <f t="shared" si="5"/>
        <v>69.316666666666663</v>
      </c>
      <c r="BL55" s="11">
        <f t="shared" si="7"/>
        <v>4</v>
      </c>
      <c r="BO55" s="11">
        <f t="shared" si="9"/>
        <v>29</v>
      </c>
    </row>
    <row r="56" spans="1:67" s="11" customFormat="1" ht="18.45">
      <c r="A56" s="11" t="s">
        <v>66</v>
      </c>
      <c r="B56" s="6" t="s">
        <v>117</v>
      </c>
      <c r="C56" s="11">
        <v>2</v>
      </c>
      <c r="D56" s="11">
        <v>9</v>
      </c>
      <c r="E56" s="11">
        <v>0</v>
      </c>
      <c r="F56" s="11">
        <v>0</v>
      </c>
      <c r="G56" s="11">
        <v>0</v>
      </c>
      <c r="H56" s="11">
        <f t="shared" si="0"/>
        <v>9</v>
      </c>
      <c r="I56" s="11">
        <v>0</v>
      </c>
      <c r="J56" s="11">
        <v>2</v>
      </c>
      <c r="K56" s="11">
        <v>0</v>
      </c>
      <c r="L56" s="11">
        <v>0</v>
      </c>
      <c r="M56" s="10">
        <f t="shared" si="1"/>
        <v>2</v>
      </c>
      <c r="N56" s="8">
        <f>28.08+37.25</f>
        <v>65.33</v>
      </c>
      <c r="O56" s="8">
        <v>19.89</v>
      </c>
      <c r="P56" s="8">
        <f t="shared" si="3"/>
        <v>17.049057610965011</v>
      </c>
      <c r="Q56" s="8">
        <v>55</v>
      </c>
      <c r="R56" s="8">
        <v>56</v>
      </c>
      <c r="S56" s="8">
        <v>66</v>
      </c>
      <c r="T56" s="8">
        <f t="shared" si="4"/>
        <v>59</v>
      </c>
      <c r="U56" s="39">
        <v>55</v>
      </c>
      <c r="V56" s="10"/>
      <c r="AG56" s="10"/>
      <c r="AH56" s="8"/>
      <c r="AI56" s="8"/>
      <c r="AJ56" s="8"/>
      <c r="AK56" s="8"/>
      <c r="AL56" s="8"/>
      <c r="AM56" s="8"/>
      <c r="AN56" s="8"/>
      <c r="AO56" s="39"/>
      <c r="AP56" s="10"/>
      <c r="BA56" s="10"/>
      <c r="BB56" s="8"/>
      <c r="BC56" s="8"/>
      <c r="BD56" s="8"/>
      <c r="BE56" s="8"/>
      <c r="BF56" s="8"/>
      <c r="BG56" s="8"/>
      <c r="BH56" s="8"/>
      <c r="BI56" s="39"/>
      <c r="BJ56" s="8">
        <f t="shared" si="5"/>
        <v>59</v>
      </c>
      <c r="BO56" s="11">
        <f t="shared" si="9"/>
        <v>11</v>
      </c>
    </row>
    <row r="57" spans="1:67" s="11" customFormat="1" ht="18.45">
      <c r="A57" s="11" t="s">
        <v>67</v>
      </c>
      <c r="B57" s="6" t="s">
        <v>117</v>
      </c>
      <c r="C57" s="11">
        <v>2</v>
      </c>
      <c r="D57" s="11">
        <v>6</v>
      </c>
      <c r="E57" s="11">
        <v>3</v>
      </c>
      <c r="F57" s="11">
        <v>0</v>
      </c>
      <c r="G57" s="11">
        <v>0</v>
      </c>
      <c r="H57" s="11">
        <f t="shared" si="0"/>
        <v>9</v>
      </c>
      <c r="I57" s="11">
        <v>0</v>
      </c>
      <c r="J57" s="11">
        <v>0</v>
      </c>
      <c r="K57" s="11">
        <v>0</v>
      </c>
      <c r="L57" s="11">
        <v>0</v>
      </c>
      <c r="M57" s="10">
        <f t="shared" si="1"/>
        <v>0</v>
      </c>
      <c r="N57" s="8">
        <v>44.36</v>
      </c>
      <c r="O57" s="8">
        <v>10.7</v>
      </c>
      <c r="P57" s="8">
        <f t="shared" si="3"/>
        <v>9.8494019319411095</v>
      </c>
      <c r="Q57" s="8">
        <v>67</v>
      </c>
      <c r="R57" s="8">
        <v>69</v>
      </c>
      <c r="S57" s="8">
        <v>65</v>
      </c>
      <c r="T57" s="8">
        <f t="shared" si="4"/>
        <v>67</v>
      </c>
      <c r="U57" s="39">
        <v>65</v>
      </c>
      <c r="V57" s="10"/>
      <c r="AG57" s="10"/>
      <c r="AH57" s="8"/>
      <c r="AI57" s="8"/>
      <c r="AJ57" s="8"/>
      <c r="AK57" s="8"/>
      <c r="AL57" s="8"/>
      <c r="AM57" s="8"/>
      <c r="AO57" s="39"/>
      <c r="AP57" s="10"/>
      <c r="BA57" s="10"/>
      <c r="BB57" s="8"/>
      <c r="BC57" s="8"/>
      <c r="BD57" s="8"/>
      <c r="BE57" s="8"/>
      <c r="BF57" s="8"/>
      <c r="BG57" s="8"/>
      <c r="BI57" s="39"/>
      <c r="BJ57" s="8">
        <f t="shared" si="5"/>
        <v>67</v>
      </c>
      <c r="BL57" s="11">
        <f t="shared" si="7"/>
        <v>3</v>
      </c>
      <c r="BO57" s="11">
        <f t="shared" si="9"/>
        <v>9</v>
      </c>
    </row>
    <row r="58" spans="1:67" s="11" customFormat="1" ht="18.45">
      <c r="A58" s="18" t="s">
        <v>68</v>
      </c>
      <c r="B58" s="12" t="s">
        <v>117</v>
      </c>
      <c r="C58" s="18">
        <v>2</v>
      </c>
      <c r="D58" s="18">
        <v>9</v>
      </c>
      <c r="E58" s="18">
        <v>4</v>
      </c>
      <c r="F58" s="18">
        <v>0</v>
      </c>
      <c r="G58" s="18">
        <v>0</v>
      </c>
      <c r="H58" s="18">
        <f t="shared" si="0"/>
        <v>13</v>
      </c>
      <c r="I58" s="18">
        <v>0</v>
      </c>
      <c r="J58" s="18">
        <v>0</v>
      </c>
      <c r="K58" s="18">
        <v>0</v>
      </c>
      <c r="L58" s="18">
        <v>0</v>
      </c>
      <c r="M58" s="14">
        <f t="shared" si="1"/>
        <v>0</v>
      </c>
      <c r="N58" s="13">
        <v>37.51</v>
      </c>
      <c r="O58" s="13">
        <v>9.4600000000000009</v>
      </c>
      <c r="P58" s="13">
        <f t="shared" si="3"/>
        <v>8.0803199373517725</v>
      </c>
      <c r="Q58" s="13">
        <v>55</v>
      </c>
      <c r="R58" s="13">
        <v>57</v>
      </c>
      <c r="S58" s="13">
        <v>64</v>
      </c>
      <c r="T58" s="13">
        <f t="shared" si="4"/>
        <v>58.666666666666664</v>
      </c>
      <c r="U58" s="42">
        <v>55</v>
      </c>
      <c r="V58" s="14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4"/>
      <c r="AH58" s="13"/>
      <c r="AI58" s="13"/>
      <c r="AJ58" s="13"/>
      <c r="AK58" s="13"/>
      <c r="AL58" s="13"/>
      <c r="AM58" s="13"/>
      <c r="AN58" s="13"/>
      <c r="AO58" s="42"/>
      <c r="AP58" s="14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4"/>
      <c r="BB58" s="13"/>
      <c r="BC58" s="13"/>
      <c r="BD58" s="13"/>
      <c r="BE58" s="13"/>
      <c r="BF58" s="13"/>
      <c r="BG58" s="13"/>
      <c r="BH58" s="13"/>
      <c r="BI58" s="42"/>
      <c r="BJ58" s="8">
        <f t="shared" si="5"/>
        <v>58.666666666666664</v>
      </c>
      <c r="BL58" s="11">
        <f t="shared" si="7"/>
        <v>4</v>
      </c>
      <c r="BO58" s="11">
        <f t="shared" si="9"/>
        <v>13</v>
      </c>
    </row>
    <row r="59" spans="1:67" s="11" customFormat="1" ht="18.45">
      <c r="N59" s="8"/>
      <c r="O59" s="8"/>
      <c r="P59" s="8"/>
      <c r="Q59" s="8"/>
      <c r="R59" s="8"/>
      <c r="S59" s="8"/>
      <c r="T59" s="8"/>
      <c r="U59" s="8"/>
      <c r="AH59" s="8"/>
      <c r="AI59" s="8"/>
      <c r="AJ59" s="8"/>
      <c r="AK59" s="8"/>
      <c r="AL59" s="8"/>
      <c r="AM59" s="8"/>
      <c r="AN59" s="8"/>
      <c r="AO59" s="8"/>
      <c r="BB59" s="8"/>
      <c r="BC59" s="8"/>
      <c r="BD59" s="8"/>
      <c r="BE59" s="8"/>
      <c r="BF59" s="8"/>
      <c r="BG59" s="8"/>
      <c r="BH59" s="8"/>
      <c r="BI59" s="8"/>
    </row>
    <row r="60" spans="1:67" s="11" customFormat="1" ht="18.45">
      <c r="N60" s="8"/>
      <c r="O60" s="8"/>
      <c r="P60" s="8"/>
      <c r="Q60" s="8"/>
      <c r="R60" s="8"/>
      <c r="S60" s="8"/>
      <c r="T60" s="8"/>
      <c r="U60" s="8"/>
      <c r="AH60" s="8"/>
      <c r="AI60" s="8"/>
      <c r="AJ60" s="8"/>
      <c r="AK60" s="8"/>
      <c r="AL60" s="8"/>
      <c r="AM60" s="8"/>
      <c r="AN60" s="8"/>
      <c r="AO60" s="8"/>
      <c r="BB60" s="8"/>
      <c r="BC60" s="8"/>
      <c r="BD60" s="8"/>
      <c r="BE60" s="8"/>
      <c r="BF60" s="8"/>
      <c r="BG60" s="8"/>
      <c r="BH60" s="8"/>
      <c r="BI60" s="8"/>
    </row>
    <row r="61" spans="1:67" s="11" customFormat="1" ht="18.45">
      <c r="N61" s="8"/>
      <c r="O61" s="8"/>
      <c r="P61" s="8"/>
      <c r="Q61" s="8"/>
      <c r="R61" s="8"/>
      <c r="S61" s="8"/>
      <c r="T61" s="8"/>
      <c r="U61" s="8"/>
      <c r="AH61" s="8"/>
      <c r="AI61" s="8"/>
      <c r="AJ61" s="8"/>
      <c r="AK61" s="8"/>
      <c r="AL61" s="8"/>
      <c r="AM61" s="8"/>
      <c r="AN61" s="8"/>
      <c r="AO61" s="8"/>
      <c r="BB61" s="8"/>
      <c r="BC61" s="8"/>
      <c r="BD61" s="8"/>
      <c r="BE61" s="8"/>
      <c r="BF61" s="8"/>
      <c r="BG61" s="8"/>
      <c r="BH61" s="8"/>
      <c r="BI61" s="8"/>
    </row>
    <row r="62" spans="1:67" s="11" customFormat="1" ht="18.45">
      <c r="N62" s="8"/>
      <c r="O62" s="8"/>
      <c r="P62" s="8"/>
      <c r="Q62" s="8"/>
      <c r="R62" s="8"/>
      <c r="S62" s="8"/>
      <c r="T62" s="8"/>
      <c r="U62" s="8"/>
      <c r="AH62" s="8"/>
      <c r="AI62" s="8"/>
      <c r="AJ62" s="8"/>
      <c r="AK62" s="8"/>
      <c r="AL62" s="8"/>
      <c r="AM62" s="8"/>
      <c r="AN62" s="8"/>
      <c r="AO62" s="8"/>
      <c r="BB62" s="8"/>
      <c r="BC62" s="8"/>
      <c r="BD62" s="8"/>
      <c r="BE62" s="8"/>
      <c r="BF62" s="8"/>
      <c r="BG62" s="8"/>
      <c r="BH62" s="8"/>
      <c r="BI62" s="8"/>
    </row>
    <row r="63" spans="1:67" s="11" customFormat="1" ht="18.45">
      <c r="N63" s="8"/>
      <c r="O63" s="8"/>
      <c r="P63" s="8"/>
      <c r="Q63" s="8"/>
      <c r="R63" s="8"/>
      <c r="S63" s="8"/>
      <c r="T63" s="8"/>
      <c r="U63" s="8"/>
      <c r="AH63" s="8"/>
      <c r="AI63" s="8"/>
      <c r="AJ63" s="8"/>
      <c r="AK63" s="8"/>
      <c r="AL63" s="8"/>
      <c r="AM63" s="8"/>
      <c r="AN63" s="8"/>
      <c r="AO63" s="8"/>
      <c r="BB63" s="8"/>
      <c r="BC63" s="8"/>
      <c r="BD63" s="8"/>
      <c r="BE63" s="8"/>
      <c r="BF63" s="8"/>
      <c r="BG63" s="8"/>
      <c r="BH63" s="8"/>
      <c r="BI63" s="8"/>
    </row>
    <row r="64" spans="1:67" s="11" customFormat="1" ht="18.45">
      <c r="N64" s="8"/>
      <c r="O64" s="8"/>
      <c r="P64" s="8"/>
      <c r="Q64" s="8"/>
      <c r="R64" s="8"/>
      <c r="S64" s="8"/>
      <c r="T64" s="8"/>
      <c r="U64" s="8"/>
      <c r="AH64" s="8"/>
      <c r="AI64" s="8"/>
      <c r="AJ64" s="8"/>
      <c r="AK64" s="8"/>
      <c r="AL64" s="8"/>
      <c r="AM64" s="8"/>
      <c r="AN64" s="8"/>
      <c r="AO64" s="8"/>
      <c r="BB64" s="8"/>
      <c r="BC64" s="8"/>
      <c r="BD64" s="8"/>
      <c r="BE64" s="8"/>
      <c r="BF64" s="8"/>
      <c r="BG64" s="8"/>
      <c r="BH64" s="8"/>
      <c r="BI64" s="8"/>
    </row>
    <row r="65" spans="14:61" s="11" customFormat="1" ht="18.45">
      <c r="N65" s="8"/>
      <c r="O65" s="8"/>
      <c r="P65" s="8"/>
      <c r="Q65" s="8"/>
      <c r="R65" s="8"/>
      <c r="S65" s="8"/>
      <c r="T65" s="8"/>
      <c r="U65" s="8"/>
      <c r="AH65" s="8"/>
      <c r="AI65" s="8"/>
      <c r="AJ65" s="8"/>
      <c r="AK65" s="8"/>
      <c r="AL65" s="8"/>
      <c r="AM65" s="8"/>
      <c r="AN65" s="8"/>
      <c r="AO65" s="8"/>
      <c r="BB65" s="8"/>
      <c r="BC65" s="8"/>
      <c r="BD65" s="8"/>
      <c r="BE65" s="8"/>
      <c r="BF65" s="8"/>
      <c r="BG65" s="8"/>
      <c r="BH65" s="8"/>
      <c r="BI65" s="8"/>
    </row>
    <row r="66" spans="14:61" s="11" customFormat="1" ht="18.45">
      <c r="N66" s="8"/>
      <c r="O66" s="8"/>
      <c r="P66" s="8"/>
      <c r="Q66" s="8"/>
      <c r="R66" s="8"/>
      <c r="S66" s="8"/>
      <c r="T66" s="8"/>
      <c r="U66" s="8"/>
      <c r="AH66" s="8"/>
      <c r="AI66" s="8"/>
      <c r="AJ66" s="8"/>
      <c r="AK66" s="8"/>
      <c r="AL66" s="8"/>
      <c r="AM66" s="8"/>
      <c r="AN66" s="8"/>
      <c r="AO66" s="8"/>
      <c r="BB66" s="8"/>
      <c r="BC66" s="8"/>
      <c r="BD66" s="8"/>
      <c r="BE66" s="8"/>
      <c r="BF66" s="8"/>
      <c r="BG66" s="8"/>
      <c r="BH66" s="8"/>
      <c r="BI66" s="8"/>
    </row>
    <row r="67" spans="14:61" s="11" customFormat="1" ht="18.45">
      <c r="N67" s="8"/>
      <c r="O67" s="8"/>
      <c r="P67" s="8"/>
      <c r="Q67" s="8"/>
      <c r="R67" s="8"/>
      <c r="S67" s="8"/>
      <c r="T67" s="8"/>
      <c r="U67" s="8"/>
      <c r="AH67" s="8"/>
      <c r="AI67" s="8"/>
      <c r="AJ67" s="8"/>
      <c r="AK67" s="8"/>
      <c r="AL67" s="8"/>
      <c r="AM67" s="8"/>
      <c r="AN67" s="8"/>
      <c r="AO67" s="8"/>
      <c r="BB67" s="8"/>
      <c r="BC67" s="8"/>
      <c r="BD67" s="8"/>
      <c r="BE67" s="8"/>
      <c r="BF67" s="8"/>
      <c r="BG67" s="8"/>
      <c r="BH67" s="8"/>
      <c r="BI67" s="8"/>
    </row>
    <row r="68" spans="14:61" s="11" customFormat="1" ht="18.45">
      <c r="N68" s="8"/>
      <c r="O68" s="8"/>
      <c r="P68" s="8"/>
      <c r="Q68" s="8"/>
      <c r="R68" s="8"/>
      <c r="S68" s="8"/>
      <c r="T68" s="8"/>
      <c r="U68" s="8"/>
      <c r="AH68" s="8"/>
      <c r="AI68" s="8"/>
      <c r="AJ68" s="8"/>
      <c r="AK68" s="8"/>
      <c r="AL68" s="8"/>
      <c r="AM68" s="8"/>
      <c r="AN68" s="8"/>
      <c r="AO68" s="8"/>
      <c r="BB68" s="8"/>
      <c r="BC68" s="8"/>
      <c r="BD68" s="8"/>
      <c r="BE68" s="8"/>
      <c r="BF68" s="8"/>
      <c r="BG68" s="8"/>
      <c r="BH68" s="8"/>
      <c r="BI68" s="8"/>
    </row>
    <row r="69" spans="14:61" s="11" customFormat="1" ht="18.45">
      <c r="N69" s="8"/>
      <c r="O69" s="8"/>
      <c r="P69" s="8"/>
      <c r="Q69" s="8"/>
      <c r="R69" s="8"/>
      <c r="S69" s="8"/>
      <c r="T69" s="8"/>
      <c r="U69" s="8"/>
      <c r="AH69" s="8"/>
      <c r="AI69" s="8"/>
      <c r="AJ69" s="8"/>
      <c r="AK69" s="8"/>
      <c r="AL69" s="8"/>
      <c r="AM69" s="8"/>
      <c r="AN69" s="8"/>
      <c r="AO69" s="8"/>
      <c r="BB69" s="8"/>
      <c r="BC69" s="8"/>
      <c r="BD69" s="8"/>
      <c r="BE69" s="8"/>
      <c r="BF69" s="8"/>
      <c r="BG69" s="8"/>
      <c r="BH69" s="8"/>
      <c r="BI69" s="8"/>
    </row>
    <row r="70" spans="14:61" s="11" customFormat="1" ht="18.45">
      <c r="N70" s="8"/>
      <c r="O70" s="8"/>
      <c r="P70" s="8"/>
      <c r="Q70" s="8"/>
      <c r="R70" s="8"/>
      <c r="S70" s="8"/>
      <c r="T70" s="8"/>
      <c r="U70" s="8"/>
      <c r="AH70" s="8"/>
      <c r="AI70" s="8"/>
      <c r="AJ70" s="8"/>
      <c r="AK70" s="8"/>
      <c r="AL70" s="8"/>
      <c r="AM70" s="8"/>
      <c r="AN70" s="8"/>
      <c r="AO70" s="8"/>
      <c r="BB70" s="8"/>
      <c r="BC70" s="8"/>
      <c r="BD70" s="8"/>
      <c r="BE70" s="8"/>
      <c r="BF70" s="8"/>
      <c r="BG70" s="8"/>
      <c r="BH70" s="8"/>
      <c r="BI70" s="8"/>
    </row>
    <row r="71" spans="14:61" s="11" customFormat="1" ht="18.45">
      <c r="N71" s="8"/>
      <c r="O71" s="8"/>
      <c r="P71" s="8"/>
      <c r="Q71" s="8"/>
      <c r="R71" s="8"/>
      <c r="S71" s="8"/>
      <c r="T71" s="8"/>
      <c r="U71" s="8"/>
      <c r="AJ71" s="8"/>
      <c r="BD71" s="8"/>
    </row>
    <row r="72" spans="14:61" s="11" customFormat="1" ht="18.45">
      <c r="N72" s="8"/>
      <c r="O72" s="8"/>
      <c r="P72" s="8"/>
      <c r="Q72" s="8"/>
      <c r="R72" s="8"/>
      <c r="S72" s="8"/>
      <c r="T72" s="8"/>
      <c r="U72" s="8"/>
      <c r="AH72" s="8"/>
      <c r="AI72" s="8"/>
      <c r="AJ72" s="8"/>
      <c r="AK72" s="8"/>
      <c r="AL72" s="8"/>
      <c r="AM72" s="8"/>
      <c r="AN72" s="8"/>
      <c r="AO72" s="8"/>
      <c r="BB72" s="8"/>
      <c r="BC72" s="8"/>
      <c r="BD72" s="8"/>
      <c r="BE72" s="8"/>
      <c r="BF72" s="8"/>
      <c r="BG72" s="8"/>
      <c r="BH72" s="8"/>
      <c r="BI72" s="8"/>
    </row>
    <row r="73" spans="14:61" s="11" customFormat="1" ht="18.45">
      <c r="N73" s="8"/>
      <c r="O73" s="8"/>
      <c r="P73" s="8"/>
      <c r="Q73" s="8"/>
      <c r="R73" s="8"/>
      <c r="S73" s="8"/>
      <c r="T73" s="8"/>
      <c r="U73" s="8"/>
      <c r="AH73" s="8"/>
      <c r="AI73" s="8"/>
      <c r="AJ73" s="8"/>
      <c r="AK73" s="8"/>
      <c r="AL73" s="8"/>
      <c r="AM73" s="8"/>
      <c r="AN73" s="8"/>
      <c r="AO73" s="8"/>
      <c r="BB73" s="8"/>
      <c r="BC73" s="8"/>
      <c r="BD73" s="8"/>
      <c r="BE73" s="8"/>
      <c r="BF73" s="8"/>
      <c r="BG73" s="8"/>
      <c r="BH73" s="8"/>
      <c r="BI73" s="8"/>
    </row>
    <row r="74" spans="14:61" s="11" customFormat="1" ht="18.45">
      <c r="N74" s="8"/>
      <c r="O74" s="8"/>
      <c r="P74" s="8"/>
      <c r="Q74" s="8"/>
      <c r="R74" s="8"/>
      <c r="S74" s="8"/>
      <c r="T74" s="8"/>
      <c r="U74" s="8"/>
      <c r="AH74" s="8"/>
      <c r="AI74" s="8"/>
      <c r="AJ74" s="8"/>
      <c r="AK74" s="8"/>
      <c r="AL74" s="8"/>
      <c r="AM74" s="8"/>
      <c r="AN74" s="8"/>
      <c r="AO74" s="8"/>
      <c r="BB74" s="8"/>
      <c r="BC74" s="8"/>
      <c r="BD74" s="8"/>
      <c r="BE74" s="8"/>
      <c r="BF74" s="8"/>
      <c r="BG74" s="8"/>
      <c r="BH74" s="8"/>
      <c r="BI74" s="8"/>
    </row>
    <row r="75" spans="14:61" s="11" customFormat="1" ht="18.45">
      <c r="N75" s="8"/>
      <c r="O75" s="8"/>
      <c r="P75" s="8"/>
      <c r="Q75" s="8"/>
      <c r="R75" s="8"/>
      <c r="S75" s="8"/>
      <c r="T75" s="8"/>
      <c r="U75" s="8"/>
      <c r="AH75" s="8"/>
      <c r="AI75" s="8"/>
      <c r="AJ75" s="8"/>
      <c r="AK75" s="8"/>
      <c r="AL75" s="8"/>
      <c r="AM75" s="8"/>
      <c r="AN75" s="8"/>
      <c r="AO75" s="8"/>
      <c r="BB75" s="8"/>
      <c r="BC75" s="8"/>
      <c r="BD75" s="8"/>
      <c r="BE75" s="8"/>
      <c r="BF75" s="8"/>
      <c r="BG75" s="8"/>
      <c r="BH75" s="8"/>
      <c r="BI75" s="8"/>
    </row>
    <row r="76" spans="14:61" s="11" customFormat="1" ht="18.45">
      <c r="N76" s="8"/>
      <c r="O76" s="8"/>
      <c r="P76" s="8"/>
      <c r="Q76" s="8"/>
      <c r="R76" s="8"/>
      <c r="S76" s="8"/>
      <c r="T76" s="8"/>
      <c r="U76" s="8"/>
      <c r="AH76" s="8"/>
      <c r="AI76" s="8"/>
      <c r="AJ76" s="8"/>
      <c r="AK76" s="8"/>
      <c r="AL76" s="8"/>
      <c r="AM76" s="8"/>
      <c r="AN76" s="8"/>
      <c r="AO76" s="8"/>
      <c r="BB76" s="8"/>
      <c r="BC76" s="8"/>
      <c r="BD76" s="8"/>
      <c r="BE76" s="8"/>
      <c r="BF76" s="8"/>
      <c r="BG76" s="8"/>
      <c r="BH76" s="8"/>
      <c r="BI76" s="8"/>
    </row>
    <row r="77" spans="14:61" s="11" customFormat="1" ht="18.45">
      <c r="N77" s="8"/>
      <c r="O77" s="8"/>
      <c r="P77" s="8"/>
      <c r="Q77" s="8"/>
      <c r="R77" s="8"/>
      <c r="S77" s="8"/>
      <c r="T77" s="8"/>
      <c r="U77" s="8"/>
      <c r="AH77" s="8"/>
      <c r="AI77" s="8"/>
      <c r="AJ77" s="8"/>
      <c r="AK77" s="8"/>
      <c r="AL77" s="8"/>
      <c r="AM77" s="8"/>
      <c r="AN77" s="8"/>
      <c r="AO77" s="8"/>
      <c r="BB77" s="8"/>
      <c r="BC77" s="8"/>
      <c r="BD77" s="8"/>
      <c r="BE77" s="8"/>
      <c r="BF77" s="8"/>
      <c r="BG77" s="8"/>
      <c r="BH77" s="8"/>
      <c r="BI77" s="8"/>
    </row>
    <row r="78" spans="14:61" s="11" customFormat="1" ht="18.45">
      <c r="N78" s="8"/>
      <c r="O78" s="8"/>
      <c r="P78" s="8"/>
      <c r="Q78" s="8"/>
      <c r="R78" s="8"/>
      <c r="S78" s="8"/>
      <c r="T78" s="8"/>
      <c r="U78" s="8"/>
      <c r="AH78" s="8"/>
      <c r="AI78" s="8"/>
      <c r="AJ78" s="8"/>
      <c r="AK78" s="8"/>
      <c r="AL78" s="8"/>
      <c r="AM78" s="8"/>
      <c r="AN78" s="8"/>
      <c r="AO78" s="8"/>
      <c r="BB78" s="8"/>
      <c r="BC78" s="8"/>
      <c r="BD78" s="8"/>
      <c r="BE78" s="8"/>
      <c r="BF78" s="8"/>
      <c r="BG78" s="8"/>
      <c r="BH78" s="8"/>
      <c r="BI78" s="8"/>
    </row>
    <row r="79" spans="14:61" s="11" customFormat="1" ht="18.45">
      <c r="N79" s="8"/>
      <c r="O79" s="8"/>
      <c r="P79" s="8"/>
      <c r="Q79" s="8"/>
      <c r="R79" s="8"/>
      <c r="S79" s="8"/>
      <c r="T79" s="8"/>
      <c r="U79" s="8"/>
      <c r="AH79" s="8"/>
      <c r="AI79" s="8"/>
      <c r="AJ79" s="8"/>
      <c r="AK79" s="8"/>
      <c r="AL79" s="8"/>
      <c r="AM79" s="8"/>
      <c r="AN79" s="8"/>
      <c r="AO79" s="8"/>
      <c r="BB79" s="8"/>
      <c r="BC79" s="8"/>
      <c r="BD79" s="8"/>
      <c r="BE79" s="8"/>
      <c r="BF79" s="8"/>
      <c r="BG79" s="8"/>
      <c r="BH79" s="8"/>
      <c r="BI79" s="8"/>
    </row>
    <row r="80" spans="14:61" s="11" customFormat="1" ht="18.45">
      <c r="N80" s="8"/>
      <c r="O80" s="8"/>
      <c r="P80" s="8"/>
      <c r="Q80" s="8"/>
      <c r="R80" s="8"/>
      <c r="S80" s="8"/>
      <c r="T80" s="8"/>
      <c r="U80" s="8"/>
      <c r="AH80" s="8"/>
      <c r="AI80" s="8"/>
      <c r="AJ80" s="8"/>
      <c r="AK80" s="8"/>
      <c r="AL80" s="8"/>
      <c r="AM80" s="8"/>
      <c r="AN80" s="8"/>
      <c r="AO80" s="8"/>
      <c r="BB80" s="8"/>
      <c r="BC80" s="8"/>
      <c r="BD80" s="8"/>
      <c r="BE80" s="8"/>
      <c r="BF80" s="8"/>
      <c r="BG80" s="8"/>
      <c r="BH80" s="8"/>
      <c r="BI80" s="8"/>
    </row>
    <row r="81" spans="14:61" s="11" customFormat="1" ht="18.45">
      <c r="N81" s="8"/>
      <c r="O81" s="8"/>
      <c r="P81" s="8"/>
      <c r="Q81" s="8"/>
      <c r="R81" s="8"/>
      <c r="S81" s="8"/>
      <c r="T81" s="8"/>
      <c r="U81" s="8"/>
      <c r="AH81" s="8"/>
      <c r="AI81" s="8"/>
      <c r="AJ81" s="8"/>
      <c r="AK81" s="8"/>
      <c r="AL81" s="8"/>
      <c r="AM81" s="8"/>
      <c r="AN81" s="8"/>
      <c r="AO81" s="8"/>
      <c r="BB81" s="8"/>
      <c r="BC81" s="8"/>
      <c r="BD81" s="8"/>
      <c r="BE81" s="8"/>
      <c r="BF81" s="8"/>
      <c r="BG81" s="8"/>
      <c r="BH81" s="8"/>
      <c r="BI81" s="8"/>
    </row>
    <row r="82" spans="14:61" s="11" customFormat="1" ht="18.45">
      <c r="N82" s="8"/>
      <c r="O82" s="8"/>
      <c r="P82" s="8"/>
      <c r="Q82" s="8"/>
      <c r="R82" s="8"/>
      <c r="S82" s="8"/>
      <c r="T82" s="8"/>
      <c r="U82" s="8"/>
      <c r="AH82" s="8"/>
      <c r="AI82" s="8"/>
      <c r="AJ82" s="8"/>
      <c r="AK82" s="8"/>
      <c r="AL82" s="8"/>
      <c r="AM82" s="8"/>
      <c r="AN82" s="8"/>
      <c r="AO82" s="8"/>
      <c r="BB82" s="8"/>
      <c r="BC82" s="8"/>
      <c r="BD82" s="8"/>
      <c r="BE82" s="8"/>
      <c r="BF82" s="8"/>
      <c r="BG82" s="8"/>
      <c r="BH82" s="8"/>
      <c r="BI82" s="8"/>
    </row>
    <row r="83" spans="14:61" s="11" customFormat="1" ht="18.45">
      <c r="N83" s="8"/>
      <c r="O83" s="8"/>
      <c r="P83" s="8"/>
      <c r="Q83" s="8"/>
      <c r="R83" s="8"/>
      <c r="S83" s="8"/>
      <c r="T83" s="8"/>
      <c r="U83" s="8"/>
      <c r="AH83" s="8"/>
      <c r="AI83" s="8"/>
      <c r="AJ83" s="8"/>
      <c r="AK83" s="8"/>
      <c r="AL83" s="8"/>
      <c r="AM83" s="8"/>
      <c r="AN83" s="8"/>
      <c r="AO83" s="8"/>
      <c r="BB83" s="8"/>
      <c r="BC83" s="8"/>
      <c r="BD83" s="8"/>
      <c r="BE83" s="8"/>
      <c r="BF83" s="8"/>
      <c r="BG83" s="8"/>
      <c r="BH83" s="8"/>
      <c r="BI83" s="8"/>
    </row>
    <row r="84" spans="14:61" s="11" customFormat="1" ht="18.45">
      <c r="N84" s="8"/>
      <c r="O84" s="8"/>
      <c r="P84" s="8"/>
      <c r="Q84" s="8"/>
      <c r="R84" s="8"/>
      <c r="S84" s="8"/>
      <c r="T84" s="8"/>
      <c r="U84" s="8"/>
      <c r="AH84" s="8"/>
      <c r="AI84" s="8"/>
      <c r="AJ84" s="8"/>
      <c r="AK84" s="8"/>
      <c r="AL84" s="8"/>
      <c r="AM84" s="8"/>
      <c r="AN84" s="8"/>
      <c r="AO84" s="8"/>
      <c r="BB84" s="8"/>
      <c r="BC84" s="8"/>
      <c r="BD84" s="8"/>
      <c r="BE84" s="8"/>
      <c r="BF84" s="8"/>
      <c r="BG84" s="8"/>
      <c r="BH84" s="8"/>
      <c r="BI84" s="8"/>
    </row>
    <row r="85" spans="14:61" s="11" customFormat="1" ht="18.45">
      <c r="N85" s="8"/>
      <c r="O85" s="8"/>
      <c r="P85" s="8"/>
      <c r="Q85" s="8"/>
      <c r="R85" s="8"/>
      <c r="S85" s="8"/>
      <c r="T85" s="8"/>
      <c r="U85" s="8"/>
      <c r="AH85" s="8"/>
      <c r="AI85" s="8"/>
      <c r="AJ85" s="8"/>
      <c r="AK85" s="8"/>
      <c r="AL85" s="8"/>
      <c r="AM85" s="8"/>
      <c r="AN85" s="8"/>
      <c r="AO85" s="8"/>
      <c r="BB85" s="8"/>
      <c r="BC85" s="8"/>
      <c r="BD85" s="8"/>
      <c r="BE85" s="8"/>
      <c r="BF85" s="8"/>
      <c r="BG85" s="8"/>
      <c r="BH85" s="8"/>
      <c r="BI85" s="8"/>
    </row>
    <row r="86" spans="14:61" s="11" customFormat="1" ht="18.45">
      <c r="N86" s="8"/>
      <c r="O86" s="8"/>
      <c r="P86" s="8"/>
      <c r="Q86" s="8"/>
      <c r="R86" s="8"/>
      <c r="S86" s="8"/>
      <c r="T86" s="8"/>
      <c r="U86" s="8"/>
      <c r="AH86" s="8"/>
      <c r="AI86" s="8"/>
      <c r="AJ86" s="8"/>
      <c r="AK86" s="8"/>
      <c r="AL86" s="8"/>
      <c r="AM86" s="8"/>
      <c r="AN86" s="8"/>
      <c r="AO86" s="8"/>
      <c r="BB86" s="8"/>
      <c r="BC86" s="8"/>
      <c r="BD86" s="8"/>
      <c r="BE86" s="8"/>
      <c r="BF86" s="8"/>
      <c r="BG86" s="8"/>
      <c r="BH86" s="8"/>
      <c r="BI86" s="8"/>
    </row>
    <row r="87" spans="14:61" s="11" customFormat="1" ht="18.45">
      <c r="N87" s="8"/>
      <c r="O87" s="8"/>
      <c r="P87" s="8"/>
      <c r="Q87" s="8"/>
      <c r="R87" s="8"/>
      <c r="S87" s="8"/>
      <c r="T87" s="8"/>
      <c r="U87" s="8"/>
      <c r="AH87" s="8"/>
      <c r="AI87" s="8"/>
      <c r="AJ87" s="8"/>
      <c r="AK87" s="8"/>
      <c r="AL87" s="8"/>
      <c r="AM87" s="8"/>
      <c r="AN87" s="8"/>
      <c r="AO87" s="8"/>
      <c r="BB87" s="8"/>
      <c r="BC87" s="8"/>
      <c r="BD87" s="8"/>
      <c r="BE87" s="8"/>
      <c r="BF87" s="8"/>
      <c r="BG87" s="8"/>
      <c r="BH87" s="8"/>
      <c r="BI87" s="8"/>
    </row>
    <row r="88" spans="14:61" s="11" customFormat="1" ht="18.45">
      <c r="N88" s="8"/>
      <c r="O88" s="8"/>
      <c r="P88" s="8"/>
      <c r="Q88" s="8"/>
      <c r="R88" s="8"/>
      <c r="S88" s="8"/>
      <c r="T88" s="8"/>
      <c r="U88" s="8"/>
      <c r="AH88" s="8"/>
      <c r="AI88" s="8"/>
      <c r="AJ88" s="8"/>
      <c r="AK88" s="8"/>
      <c r="AL88" s="8"/>
      <c r="AM88" s="8"/>
      <c r="AN88" s="8"/>
      <c r="AO88" s="8"/>
      <c r="BB88" s="8"/>
      <c r="BC88" s="8"/>
      <c r="BD88" s="8"/>
      <c r="BE88" s="8"/>
      <c r="BF88" s="8"/>
      <c r="BG88" s="8"/>
      <c r="BH88" s="8"/>
      <c r="BI88" s="8"/>
    </row>
    <row r="89" spans="14:61" s="11" customFormat="1" ht="18.45">
      <c r="N89" s="8"/>
      <c r="O89" s="8"/>
      <c r="P89" s="8"/>
      <c r="Q89" s="8"/>
      <c r="R89" s="8"/>
      <c r="S89" s="8"/>
      <c r="T89" s="8"/>
      <c r="U89" s="8"/>
      <c r="AH89" s="8"/>
      <c r="AI89" s="8"/>
      <c r="AJ89" s="8"/>
      <c r="AK89" s="8"/>
      <c r="AL89" s="8"/>
      <c r="AM89" s="8"/>
      <c r="AN89" s="8"/>
      <c r="AO89" s="8"/>
      <c r="BB89" s="8"/>
      <c r="BC89" s="8"/>
      <c r="BD89" s="8"/>
      <c r="BE89" s="8"/>
      <c r="BF89" s="8"/>
      <c r="BG89" s="8"/>
      <c r="BH89" s="8"/>
      <c r="BI89" s="8"/>
    </row>
    <row r="90" spans="14:61" s="11" customFormat="1" ht="18.45">
      <c r="N90" s="8"/>
      <c r="O90" s="8"/>
      <c r="P90" s="8"/>
      <c r="Q90" s="8"/>
      <c r="R90" s="8"/>
      <c r="S90" s="8"/>
      <c r="T90" s="8"/>
      <c r="U90" s="8"/>
      <c r="AH90" s="8"/>
      <c r="AI90" s="8"/>
      <c r="AJ90" s="8"/>
      <c r="AK90" s="8"/>
      <c r="AL90" s="8"/>
      <c r="AM90" s="8"/>
      <c r="AN90" s="8"/>
      <c r="AO90" s="8"/>
      <c r="BB90" s="8"/>
      <c r="BC90" s="8"/>
      <c r="BD90" s="8"/>
      <c r="BE90" s="8"/>
      <c r="BF90" s="8"/>
      <c r="BG90" s="8"/>
      <c r="BH90" s="8"/>
      <c r="BI90" s="8"/>
    </row>
    <row r="91" spans="14:61" s="11" customFormat="1" ht="18.45">
      <c r="N91" s="8"/>
      <c r="O91" s="8"/>
      <c r="P91" s="8"/>
      <c r="Q91" s="8"/>
      <c r="R91" s="8"/>
      <c r="S91" s="8"/>
      <c r="T91" s="8"/>
      <c r="U91" s="8"/>
      <c r="AH91" s="8"/>
      <c r="AI91" s="8"/>
      <c r="AJ91" s="8"/>
      <c r="AK91" s="8"/>
      <c r="AL91" s="8"/>
      <c r="AM91" s="8"/>
      <c r="AN91" s="8"/>
      <c r="AO91" s="8"/>
      <c r="BB91" s="8"/>
      <c r="BC91" s="8"/>
      <c r="BD91" s="8"/>
      <c r="BE91" s="8"/>
      <c r="BF91" s="8"/>
      <c r="BG91" s="8"/>
      <c r="BH91" s="8"/>
      <c r="BI91" s="8"/>
    </row>
    <row r="92" spans="14:61" s="11" customFormat="1" ht="18.45">
      <c r="N92" s="8"/>
      <c r="O92" s="8"/>
      <c r="P92" s="8"/>
      <c r="Q92" s="8"/>
      <c r="R92" s="8"/>
      <c r="S92" s="8"/>
      <c r="T92" s="8"/>
      <c r="U92" s="8"/>
      <c r="AH92" s="8"/>
      <c r="AI92" s="8"/>
      <c r="AJ92" s="8"/>
      <c r="AK92" s="8"/>
      <c r="AL92" s="8"/>
      <c r="AM92" s="8"/>
      <c r="AN92" s="8"/>
      <c r="AO92" s="8"/>
      <c r="BB92" s="8"/>
      <c r="BC92" s="8"/>
      <c r="BD92" s="8"/>
      <c r="BE92" s="8"/>
      <c r="BF92" s="8"/>
      <c r="BG92" s="8"/>
      <c r="BH92" s="8"/>
      <c r="BI92" s="8"/>
    </row>
    <row r="93" spans="14:61" s="11" customFormat="1" ht="18.45">
      <c r="N93" s="8"/>
      <c r="O93" s="8"/>
      <c r="P93" s="8"/>
      <c r="Q93" s="8"/>
      <c r="R93" s="8"/>
      <c r="S93" s="8"/>
      <c r="T93" s="8"/>
      <c r="U93" s="8"/>
      <c r="AH93" s="8"/>
      <c r="AI93" s="8"/>
      <c r="AJ93" s="8"/>
      <c r="AK93" s="8"/>
      <c r="AL93" s="8"/>
      <c r="AM93" s="8"/>
      <c r="AN93" s="8"/>
      <c r="AO93" s="8"/>
      <c r="BB93" s="8"/>
      <c r="BC93" s="8"/>
      <c r="BD93" s="8"/>
      <c r="BE93" s="8"/>
      <c r="BF93" s="8"/>
      <c r="BG93" s="8"/>
      <c r="BH93" s="8"/>
      <c r="BI93" s="8"/>
    </row>
    <row r="94" spans="14:61" s="11" customFormat="1" ht="18.45">
      <c r="N94" s="8"/>
      <c r="O94" s="8"/>
      <c r="P94" s="8"/>
      <c r="Q94" s="8"/>
      <c r="R94" s="8"/>
      <c r="S94" s="8"/>
      <c r="T94" s="8"/>
      <c r="U94" s="8"/>
      <c r="AH94" s="8"/>
      <c r="AI94" s="8"/>
      <c r="AJ94" s="8"/>
      <c r="AK94" s="8"/>
      <c r="AL94" s="8"/>
      <c r="AM94" s="8"/>
      <c r="AN94" s="8"/>
      <c r="AO94" s="8"/>
      <c r="BB94" s="8"/>
      <c r="BC94" s="8"/>
      <c r="BD94" s="8"/>
      <c r="BE94" s="8"/>
      <c r="BF94" s="8"/>
      <c r="BG94" s="8"/>
      <c r="BH94" s="8"/>
      <c r="BI94" s="8"/>
    </row>
    <row r="95" spans="14:61" s="11" customFormat="1" ht="18.45">
      <c r="N95" s="8"/>
      <c r="O95" s="8"/>
      <c r="P95" s="8"/>
      <c r="Q95" s="8"/>
      <c r="R95" s="8"/>
      <c r="S95" s="8"/>
      <c r="T95" s="8"/>
      <c r="U95" s="8"/>
      <c r="AH95" s="8"/>
      <c r="AI95" s="8"/>
      <c r="AJ95" s="8"/>
      <c r="AK95" s="8"/>
      <c r="AL95" s="8"/>
      <c r="AM95" s="8"/>
      <c r="AN95" s="8"/>
      <c r="AO95" s="8"/>
      <c r="BB95" s="8"/>
      <c r="BC95" s="8"/>
      <c r="BD95" s="8"/>
      <c r="BE95" s="8"/>
      <c r="BF95" s="8"/>
      <c r="BG95" s="8"/>
      <c r="BH95" s="8"/>
      <c r="BI95" s="8"/>
    </row>
    <row r="96" spans="14:61" s="11" customFormat="1" ht="18.45">
      <c r="N96" s="8"/>
      <c r="O96" s="8"/>
      <c r="P96" s="8"/>
      <c r="Q96" s="8"/>
      <c r="R96" s="8"/>
      <c r="S96" s="8"/>
      <c r="T96" s="8"/>
      <c r="U96" s="8"/>
      <c r="AH96" s="8"/>
      <c r="AI96" s="8"/>
      <c r="AJ96" s="8"/>
      <c r="AK96" s="8"/>
      <c r="AL96" s="8"/>
      <c r="AM96" s="8"/>
      <c r="AN96" s="8"/>
      <c r="AO96" s="8"/>
      <c r="BB96" s="8"/>
      <c r="BC96" s="8"/>
      <c r="BD96" s="8"/>
      <c r="BE96" s="8"/>
      <c r="BF96" s="8"/>
      <c r="BG96" s="8"/>
      <c r="BH96" s="8"/>
      <c r="BI96" s="8"/>
    </row>
    <row r="97" spans="14:61" s="11" customFormat="1" ht="18.45">
      <c r="N97" s="8"/>
      <c r="O97" s="8"/>
      <c r="P97" s="8"/>
      <c r="Q97" s="8"/>
      <c r="R97" s="8"/>
      <c r="S97" s="8"/>
      <c r="T97" s="8"/>
      <c r="U97" s="8"/>
      <c r="AH97" s="8"/>
      <c r="AI97" s="8"/>
      <c r="AJ97" s="8"/>
      <c r="AK97" s="8"/>
      <c r="AL97" s="8"/>
      <c r="AM97" s="8"/>
      <c r="AN97" s="8"/>
      <c r="AO97" s="8"/>
      <c r="BB97" s="8"/>
      <c r="BC97" s="8"/>
      <c r="BD97" s="8"/>
      <c r="BE97" s="8"/>
      <c r="BF97" s="8"/>
      <c r="BG97" s="8"/>
      <c r="BH97" s="8"/>
      <c r="BI97" s="8"/>
    </row>
    <row r="98" spans="14:61" s="11" customFormat="1" ht="18.45">
      <c r="N98" s="8"/>
      <c r="O98" s="8"/>
      <c r="P98" s="8"/>
      <c r="Q98" s="8"/>
      <c r="R98" s="8"/>
      <c r="S98" s="8"/>
      <c r="T98" s="8"/>
      <c r="U98" s="8"/>
      <c r="AH98" s="8"/>
      <c r="AI98" s="8"/>
      <c r="AJ98" s="8"/>
      <c r="AK98" s="8"/>
      <c r="AL98" s="8"/>
      <c r="AM98" s="8"/>
      <c r="AN98" s="8"/>
      <c r="AO98" s="8"/>
      <c r="BB98" s="8"/>
      <c r="BC98" s="8"/>
      <c r="BD98" s="8"/>
      <c r="BE98" s="8"/>
      <c r="BF98" s="8"/>
      <c r="BG98" s="8"/>
      <c r="BH98" s="8"/>
      <c r="BI98" s="8"/>
    </row>
    <row r="99" spans="14:61" s="11" customFormat="1" ht="18.45">
      <c r="N99" s="8"/>
      <c r="O99" s="8"/>
      <c r="P99" s="8"/>
      <c r="Q99" s="8"/>
      <c r="R99" s="8"/>
      <c r="S99" s="8"/>
      <c r="T99" s="8"/>
      <c r="U99" s="8"/>
      <c r="AH99" s="8"/>
      <c r="AI99" s="8"/>
      <c r="AJ99" s="8"/>
      <c r="AK99" s="8"/>
      <c r="AL99" s="8"/>
      <c r="AM99" s="8"/>
      <c r="AN99" s="8"/>
      <c r="AO99" s="8"/>
      <c r="BB99" s="8"/>
      <c r="BC99" s="8"/>
      <c r="BD99" s="8"/>
      <c r="BE99" s="8"/>
      <c r="BF99" s="8"/>
      <c r="BG99" s="8"/>
      <c r="BH99" s="8"/>
      <c r="BI99" s="8"/>
    </row>
    <row r="100" spans="14:61" s="11" customFormat="1" ht="18.45">
      <c r="N100" s="8"/>
      <c r="O100" s="8"/>
      <c r="P100" s="8"/>
      <c r="Q100" s="8"/>
      <c r="R100" s="8"/>
      <c r="S100" s="8"/>
      <c r="T100" s="8"/>
      <c r="U100" s="8"/>
      <c r="AH100" s="8"/>
      <c r="AI100" s="8"/>
      <c r="AJ100" s="8"/>
      <c r="AK100" s="8"/>
      <c r="AL100" s="8"/>
      <c r="AM100" s="8"/>
      <c r="AN100" s="8"/>
      <c r="AO100" s="8"/>
      <c r="BB100" s="8"/>
      <c r="BC100" s="8"/>
      <c r="BD100" s="8"/>
      <c r="BE100" s="8"/>
      <c r="BF100" s="8"/>
      <c r="BG100" s="8"/>
      <c r="BH100" s="8"/>
      <c r="BI100" s="8"/>
    </row>
    <row r="101" spans="14:61" s="11" customFormat="1" ht="18.45">
      <c r="N101" s="8"/>
      <c r="O101" s="8"/>
      <c r="P101" s="8"/>
      <c r="Q101" s="8"/>
      <c r="R101" s="8"/>
      <c r="S101" s="8"/>
      <c r="T101" s="8"/>
      <c r="U101" s="8"/>
      <c r="AH101" s="8"/>
      <c r="AI101" s="8"/>
      <c r="AJ101" s="8"/>
      <c r="AK101" s="8"/>
      <c r="AL101" s="8"/>
      <c r="AM101" s="8"/>
      <c r="AN101" s="8"/>
      <c r="AO101" s="8"/>
      <c r="BB101" s="8"/>
      <c r="BC101" s="8"/>
      <c r="BD101" s="8"/>
      <c r="BE101" s="8"/>
      <c r="BF101" s="8"/>
      <c r="BG101" s="8"/>
      <c r="BH101" s="8"/>
      <c r="BI101" s="8"/>
    </row>
    <row r="102" spans="14:61" s="11" customFormat="1" ht="18.45">
      <c r="N102" s="8"/>
      <c r="O102" s="8"/>
      <c r="P102" s="8"/>
      <c r="Q102" s="8"/>
      <c r="R102" s="8"/>
      <c r="S102" s="8"/>
      <c r="T102" s="8"/>
      <c r="U102" s="8"/>
      <c r="AH102" s="8"/>
      <c r="AI102" s="8"/>
      <c r="AJ102" s="8"/>
      <c r="AK102" s="8"/>
      <c r="AL102" s="8"/>
      <c r="AM102" s="8"/>
      <c r="AN102" s="8"/>
      <c r="AO102" s="8"/>
      <c r="BB102" s="8"/>
      <c r="BC102" s="8"/>
      <c r="BD102" s="8"/>
      <c r="BE102" s="8"/>
      <c r="BF102" s="8"/>
      <c r="BG102" s="8"/>
      <c r="BH102" s="8"/>
      <c r="BI102" s="8"/>
    </row>
    <row r="103" spans="14:61" s="11" customFormat="1" ht="18.45">
      <c r="N103" s="8"/>
      <c r="O103" s="8"/>
      <c r="P103" s="8"/>
      <c r="Q103" s="8"/>
      <c r="R103" s="8"/>
      <c r="S103" s="8"/>
      <c r="T103" s="8"/>
      <c r="U103" s="8"/>
      <c r="AH103" s="8"/>
      <c r="AI103" s="8"/>
      <c r="AJ103" s="8"/>
      <c r="AK103" s="8"/>
      <c r="AL103" s="8"/>
      <c r="AM103" s="8"/>
      <c r="AN103" s="8"/>
      <c r="AO103" s="8"/>
      <c r="BB103" s="8"/>
      <c r="BC103" s="8"/>
      <c r="BD103" s="8"/>
      <c r="BE103" s="8"/>
      <c r="BF103" s="8"/>
      <c r="BG103" s="8"/>
      <c r="BH103" s="8"/>
      <c r="BI103" s="8"/>
    </row>
    <row r="104" spans="14:61" s="11" customFormat="1" ht="18.45">
      <c r="N104" s="8"/>
      <c r="O104" s="8"/>
      <c r="P104" s="8"/>
      <c r="Q104" s="8"/>
      <c r="R104" s="8"/>
      <c r="S104" s="8"/>
      <c r="T104" s="8"/>
      <c r="U104" s="8"/>
      <c r="AH104" s="8"/>
      <c r="AI104" s="8"/>
      <c r="AJ104" s="8"/>
      <c r="AK104" s="8"/>
      <c r="AL104" s="8"/>
      <c r="AM104" s="8"/>
      <c r="AN104" s="8"/>
      <c r="AO104" s="8"/>
      <c r="BB104" s="8"/>
      <c r="BC104" s="8"/>
      <c r="BD104" s="8"/>
      <c r="BE104" s="8"/>
      <c r="BF104" s="8"/>
      <c r="BG104" s="8"/>
      <c r="BH104" s="8"/>
      <c r="BI104" s="8"/>
    </row>
    <row r="105" spans="14:61" s="11" customFormat="1" ht="18.45">
      <c r="N105" s="8"/>
      <c r="O105" s="8"/>
      <c r="P105" s="8"/>
      <c r="Q105" s="8"/>
      <c r="R105" s="8"/>
      <c r="S105" s="8"/>
      <c r="T105" s="8"/>
      <c r="U105" s="8"/>
      <c r="AH105" s="8"/>
      <c r="AI105" s="8"/>
      <c r="AJ105" s="8"/>
      <c r="AK105" s="8"/>
      <c r="AL105" s="8"/>
      <c r="AM105" s="8"/>
      <c r="AN105" s="8"/>
      <c r="AO105" s="8"/>
      <c r="BB105" s="8"/>
      <c r="BC105" s="8"/>
      <c r="BD105" s="8"/>
      <c r="BE105" s="8"/>
      <c r="BF105" s="8"/>
      <c r="BG105" s="8"/>
      <c r="BH105" s="8"/>
      <c r="BI105" s="8"/>
    </row>
    <row r="106" spans="14:61" s="11" customFormat="1" ht="18.45">
      <c r="N106" s="8"/>
      <c r="O106" s="8"/>
      <c r="P106" s="8"/>
      <c r="Q106" s="8"/>
      <c r="R106" s="8"/>
      <c r="S106" s="8"/>
      <c r="T106" s="8"/>
      <c r="U106" s="8"/>
      <c r="AH106" s="8"/>
      <c r="AI106" s="8"/>
      <c r="AJ106" s="8"/>
      <c r="AK106" s="8"/>
      <c r="AL106" s="8"/>
      <c r="AM106" s="8"/>
      <c r="AN106" s="8"/>
      <c r="AO106" s="8"/>
      <c r="BB106" s="8"/>
      <c r="BC106" s="8"/>
      <c r="BD106" s="8"/>
      <c r="BE106" s="8"/>
      <c r="BF106" s="8"/>
      <c r="BG106" s="8"/>
      <c r="BH106" s="8"/>
      <c r="BI106" s="8"/>
    </row>
    <row r="107" spans="14:61" s="11" customFormat="1" ht="18.45">
      <c r="N107" s="8"/>
      <c r="O107" s="8"/>
      <c r="P107" s="8"/>
      <c r="Q107" s="8"/>
      <c r="R107" s="8"/>
      <c r="S107" s="8"/>
      <c r="T107" s="8"/>
      <c r="U107" s="8"/>
      <c r="AH107" s="8"/>
      <c r="AI107" s="8"/>
      <c r="AJ107" s="8"/>
      <c r="AK107" s="8"/>
      <c r="AL107" s="8"/>
      <c r="AM107" s="8"/>
      <c r="AN107" s="8"/>
      <c r="AO107" s="8"/>
      <c r="BB107" s="8"/>
      <c r="BC107" s="8"/>
      <c r="BD107" s="8"/>
      <c r="BE107" s="8"/>
      <c r="BF107" s="8"/>
      <c r="BG107" s="8"/>
      <c r="BH107" s="8"/>
      <c r="BI107" s="8"/>
    </row>
    <row r="108" spans="14:61" s="11" customFormat="1" ht="18.45">
      <c r="N108" s="8"/>
      <c r="O108" s="8"/>
      <c r="P108" s="8"/>
      <c r="Q108" s="8"/>
      <c r="R108" s="8"/>
      <c r="S108" s="8"/>
      <c r="T108" s="8"/>
      <c r="U108" s="8"/>
      <c r="AH108" s="8"/>
      <c r="AI108" s="8"/>
      <c r="AJ108" s="8"/>
      <c r="AK108" s="8"/>
      <c r="AL108" s="8"/>
      <c r="AM108" s="8"/>
      <c r="AN108" s="8"/>
      <c r="AO108" s="8"/>
      <c r="BB108" s="8"/>
      <c r="BC108" s="8"/>
      <c r="BD108" s="8"/>
      <c r="BE108" s="8"/>
      <c r="BF108" s="8"/>
      <c r="BG108" s="8"/>
      <c r="BH108" s="8"/>
      <c r="BI108" s="8"/>
    </row>
    <row r="109" spans="14:61" s="11" customFormat="1" ht="18.45">
      <c r="N109" s="8"/>
      <c r="O109" s="8"/>
      <c r="P109" s="8"/>
      <c r="Q109" s="8"/>
      <c r="R109" s="8"/>
      <c r="S109" s="8"/>
      <c r="T109" s="8"/>
      <c r="U109" s="8"/>
      <c r="AH109" s="8"/>
      <c r="AI109" s="8"/>
      <c r="AJ109" s="8"/>
      <c r="AK109" s="8"/>
      <c r="AL109" s="8"/>
      <c r="AM109" s="8"/>
      <c r="AN109" s="8"/>
      <c r="AO109" s="8"/>
      <c r="BB109" s="8"/>
      <c r="BC109" s="8"/>
      <c r="BD109" s="8"/>
      <c r="BE109" s="8"/>
      <c r="BF109" s="8"/>
      <c r="BG109" s="8"/>
      <c r="BH109" s="8"/>
      <c r="BI109" s="8"/>
    </row>
    <row r="110" spans="14:61" s="11" customFormat="1" ht="18.45">
      <c r="N110" s="8"/>
      <c r="O110" s="8"/>
      <c r="P110" s="8"/>
      <c r="Q110" s="8"/>
      <c r="R110" s="8"/>
      <c r="S110" s="8"/>
      <c r="T110" s="8"/>
      <c r="U110" s="8"/>
      <c r="AH110" s="8"/>
      <c r="AI110" s="8"/>
      <c r="AJ110" s="8"/>
      <c r="AK110" s="8"/>
      <c r="AL110" s="8"/>
      <c r="AM110" s="8"/>
      <c r="AN110" s="8"/>
      <c r="AO110" s="8"/>
      <c r="BB110" s="8"/>
      <c r="BC110" s="8"/>
      <c r="BD110" s="8"/>
      <c r="BE110" s="8"/>
      <c r="BF110" s="8"/>
      <c r="BG110" s="8"/>
      <c r="BH110" s="8"/>
      <c r="BI110" s="8"/>
    </row>
    <row r="111" spans="14:61" s="11" customFormat="1" ht="18.45">
      <c r="N111" s="8"/>
      <c r="O111" s="8"/>
      <c r="P111" s="8"/>
      <c r="Q111" s="8"/>
      <c r="R111" s="8"/>
      <c r="S111" s="8"/>
      <c r="T111" s="8"/>
      <c r="U111" s="8"/>
      <c r="AH111" s="8"/>
      <c r="AI111" s="8"/>
      <c r="AJ111" s="8"/>
      <c r="AK111" s="8"/>
      <c r="AL111" s="8"/>
      <c r="AM111" s="8"/>
      <c r="AN111" s="8"/>
      <c r="AO111" s="8"/>
      <c r="BB111" s="8"/>
      <c r="BC111" s="8"/>
      <c r="BD111" s="8"/>
      <c r="BE111" s="8"/>
      <c r="BF111" s="8"/>
      <c r="BG111" s="8"/>
      <c r="BH111" s="8"/>
      <c r="BI111" s="8"/>
    </row>
    <row r="112" spans="14:61" s="11" customFormat="1" ht="18.45">
      <c r="N112" s="8"/>
      <c r="O112" s="8"/>
      <c r="P112" s="8"/>
      <c r="Q112" s="8"/>
      <c r="R112" s="8"/>
      <c r="S112" s="8"/>
      <c r="T112" s="8"/>
      <c r="U112" s="8"/>
      <c r="AH112" s="8"/>
      <c r="AI112" s="8"/>
      <c r="AJ112" s="8"/>
      <c r="AK112" s="8"/>
      <c r="AL112" s="8"/>
      <c r="AM112" s="8"/>
      <c r="AN112" s="8"/>
      <c r="AO112" s="8"/>
      <c r="BB112" s="8"/>
      <c r="BC112" s="8"/>
      <c r="BD112" s="8"/>
      <c r="BE112" s="8"/>
      <c r="BF112" s="8"/>
      <c r="BG112" s="8"/>
      <c r="BH112" s="8"/>
      <c r="BI112" s="8"/>
    </row>
    <row r="113" spans="14:61" s="11" customFormat="1" ht="18.45">
      <c r="N113" s="8"/>
      <c r="O113" s="8"/>
      <c r="P113" s="8"/>
      <c r="Q113" s="8"/>
      <c r="R113" s="8"/>
      <c r="S113" s="8"/>
      <c r="T113" s="8"/>
      <c r="U113" s="8"/>
      <c r="AH113" s="8"/>
      <c r="AI113" s="8"/>
      <c r="AJ113" s="8"/>
      <c r="AK113" s="8"/>
      <c r="AL113" s="8"/>
      <c r="AM113" s="8"/>
      <c r="AN113" s="8"/>
      <c r="AO113" s="8"/>
      <c r="BB113" s="8"/>
      <c r="BC113" s="8"/>
      <c r="BD113" s="8"/>
      <c r="BE113" s="8"/>
      <c r="BF113" s="8"/>
      <c r="BG113" s="8"/>
      <c r="BH113" s="8"/>
      <c r="BI113" s="8"/>
    </row>
    <row r="114" spans="14:61" s="11" customFormat="1" ht="18.45">
      <c r="N114" s="8"/>
      <c r="O114" s="8"/>
      <c r="P114" s="8"/>
      <c r="Q114" s="8"/>
      <c r="R114" s="8"/>
      <c r="S114" s="8"/>
      <c r="T114" s="8"/>
      <c r="U114" s="8"/>
      <c r="AH114" s="8"/>
      <c r="AI114" s="8"/>
      <c r="AJ114" s="8"/>
      <c r="AK114" s="8"/>
      <c r="AL114" s="8"/>
      <c r="AM114" s="8"/>
      <c r="AN114" s="8"/>
      <c r="AO114" s="8"/>
      <c r="BB114" s="8"/>
      <c r="BC114" s="8"/>
      <c r="BD114" s="8"/>
      <c r="BE114" s="8"/>
      <c r="BF114" s="8"/>
      <c r="BG114" s="8"/>
      <c r="BH114" s="8"/>
      <c r="BI114" s="8"/>
    </row>
    <row r="115" spans="14:61" s="11" customFormat="1" ht="18.45">
      <c r="N115" s="8"/>
      <c r="O115" s="8"/>
      <c r="P115" s="8"/>
      <c r="Q115" s="8"/>
      <c r="R115" s="8"/>
      <c r="S115" s="8"/>
      <c r="T115" s="8"/>
      <c r="U115" s="8"/>
      <c r="AH115" s="8"/>
      <c r="AI115" s="8"/>
      <c r="AJ115" s="8"/>
      <c r="AK115" s="8"/>
      <c r="AL115" s="8"/>
      <c r="AM115" s="8"/>
      <c r="AN115" s="8"/>
      <c r="AO115" s="8"/>
      <c r="BB115" s="8"/>
      <c r="BC115" s="8"/>
      <c r="BD115" s="8"/>
      <c r="BE115" s="8"/>
      <c r="BF115" s="8"/>
      <c r="BG115" s="8"/>
      <c r="BH115" s="8"/>
      <c r="BI115" s="8"/>
    </row>
    <row r="116" spans="14:61" s="11" customFormat="1" ht="18.45">
      <c r="N116" s="8"/>
      <c r="O116" s="8"/>
      <c r="P116" s="8"/>
      <c r="Q116" s="8"/>
      <c r="R116" s="8"/>
      <c r="S116" s="8"/>
      <c r="T116" s="8"/>
      <c r="U116" s="8"/>
      <c r="AH116" s="8"/>
      <c r="AI116" s="8"/>
      <c r="AJ116" s="8"/>
      <c r="AK116" s="8"/>
      <c r="AL116" s="8"/>
      <c r="AM116" s="8"/>
      <c r="AN116" s="8"/>
      <c r="AO116" s="8"/>
      <c r="BB116" s="8"/>
      <c r="BC116" s="8"/>
      <c r="BD116" s="8"/>
      <c r="BE116" s="8"/>
      <c r="BF116" s="8"/>
      <c r="BG116" s="8"/>
      <c r="BH116" s="8"/>
      <c r="BI116" s="8"/>
    </row>
    <row r="117" spans="14:61" s="11" customFormat="1" ht="18.45">
      <c r="N117" s="8"/>
      <c r="O117" s="8"/>
      <c r="P117" s="8"/>
      <c r="Q117" s="8"/>
      <c r="R117" s="8"/>
      <c r="S117" s="8"/>
      <c r="T117" s="8"/>
      <c r="U117" s="8"/>
      <c r="AH117" s="8"/>
      <c r="AI117" s="8"/>
      <c r="AJ117" s="8"/>
      <c r="AK117" s="8"/>
      <c r="AL117" s="8"/>
      <c r="AM117" s="8"/>
      <c r="AN117" s="8"/>
      <c r="AO117" s="8"/>
      <c r="BB117" s="8"/>
      <c r="BC117" s="8"/>
      <c r="BD117" s="8"/>
      <c r="BE117" s="8"/>
      <c r="BF117" s="8"/>
      <c r="BG117" s="8"/>
      <c r="BH117" s="8"/>
      <c r="BI117" s="8"/>
    </row>
    <row r="118" spans="14:61" s="11" customFormat="1" ht="18.45">
      <c r="N118" s="8"/>
      <c r="O118" s="8"/>
      <c r="P118" s="8"/>
      <c r="Q118" s="8"/>
      <c r="R118" s="8"/>
      <c r="S118" s="8"/>
      <c r="T118" s="8"/>
      <c r="U118" s="8"/>
      <c r="AH118" s="8"/>
      <c r="AI118" s="8"/>
      <c r="AJ118" s="8"/>
      <c r="AK118" s="8"/>
      <c r="AL118" s="8"/>
      <c r="AM118" s="8"/>
      <c r="AN118" s="8"/>
      <c r="AO118" s="8"/>
      <c r="BB118" s="8"/>
      <c r="BC118" s="8"/>
      <c r="BD118" s="8"/>
      <c r="BE118" s="8"/>
      <c r="BF118" s="8"/>
      <c r="BG118" s="8"/>
      <c r="BH118" s="8"/>
      <c r="BI118" s="8"/>
    </row>
    <row r="119" spans="14:61" s="11" customFormat="1" ht="18.45">
      <c r="N119" s="8"/>
      <c r="O119" s="8"/>
      <c r="P119" s="8"/>
      <c r="Q119" s="8"/>
      <c r="R119" s="8"/>
      <c r="S119" s="8"/>
      <c r="T119" s="8"/>
      <c r="U119" s="8"/>
      <c r="AH119" s="8"/>
      <c r="AI119" s="8"/>
      <c r="AJ119" s="8"/>
      <c r="AK119" s="8"/>
      <c r="AL119" s="8"/>
      <c r="AM119" s="8"/>
      <c r="AN119" s="8"/>
      <c r="AO119" s="8"/>
      <c r="BB119" s="8"/>
      <c r="BC119" s="8"/>
      <c r="BD119" s="8"/>
      <c r="BE119" s="8"/>
      <c r="BF119" s="8"/>
      <c r="BG119" s="8"/>
      <c r="BH119" s="8"/>
      <c r="BI119" s="8"/>
    </row>
    <row r="120" spans="14:61" s="11" customFormat="1" ht="18.45">
      <c r="N120" s="8"/>
      <c r="O120" s="8"/>
      <c r="P120" s="8"/>
      <c r="Q120" s="8"/>
      <c r="R120" s="8"/>
      <c r="S120" s="8"/>
      <c r="T120" s="8"/>
      <c r="U120" s="8"/>
      <c r="AH120" s="8"/>
      <c r="AI120" s="8"/>
      <c r="AJ120" s="8"/>
      <c r="AK120" s="8"/>
      <c r="AL120" s="8"/>
      <c r="AM120" s="8"/>
      <c r="AN120" s="8"/>
      <c r="AO120" s="8"/>
      <c r="BB120" s="8"/>
      <c r="BC120" s="8"/>
      <c r="BD120" s="8"/>
      <c r="BE120" s="8"/>
      <c r="BF120" s="8"/>
      <c r="BG120" s="8"/>
      <c r="BH120" s="8"/>
      <c r="BI120" s="8"/>
    </row>
    <row r="121" spans="14:61" s="11" customFormat="1" ht="18.45">
      <c r="N121" s="8"/>
      <c r="O121" s="8"/>
      <c r="P121" s="8"/>
      <c r="Q121" s="8"/>
      <c r="R121" s="8"/>
      <c r="S121" s="8"/>
      <c r="T121" s="8"/>
      <c r="U121" s="8"/>
      <c r="AH121" s="8"/>
      <c r="AI121" s="8"/>
      <c r="AJ121" s="8"/>
      <c r="AK121" s="8"/>
      <c r="AL121" s="8"/>
      <c r="AM121" s="8"/>
      <c r="AN121" s="8"/>
      <c r="AO121" s="8"/>
      <c r="BB121" s="8"/>
      <c r="BC121" s="8"/>
      <c r="BD121" s="8"/>
      <c r="BE121" s="8"/>
      <c r="BF121" s="8"/>
      <c r="BG121" s="8"/>
      <c r="BH121" s="8"/>
      <c r="BI121" s="8"/>
    </row>
    <row r="122" spans="14:61" s="11" customFormat="1" ht="18.45">
      <c r="N122" s="8"/>
      <c r="O122" s="8"/>
      <c r="P122" s="8"/>
      <c r="Q122" s="8"/>
      <c r="R122" s="8"/>
      <c r="S122" s="8"/>
      <c r="T122" s="8"/>
      <c r="U122" s="8"/>
      <c r="AH122" s="8"/>
      <c r="AI122" s="8"/>
      <c r="AJ122" s="8"/>
      <c r="AK122" s="8"/>
      <c r="AL122" s="8"/>
      <c r="AM122" s="8"/>
      <c r="AN122" s="8"/>
      <c r="AO122" s="8"/>
      <c r="BB122" s="8"/>
      <c r="BC122" s="8"/>
      <c r="BD122" s="8"/>
      <c r="BE122" s="8"/>
      <c r="BF122" s="8"/>
      <c r="BG122" s="8"/>
      <c r="BH122" s="8"/>
      <c r="BI122" s="8"/>
    </row>
    <row r="123" spans="14:61" s="11" customFormat="1" ht="18.45">
      <c r="N123" s="8"/>
      <c r="O123" s="8"/>
      <c r="P123" s="8"/>
      <c r="Q123" s="8"/>
      <c r="R123" s="8"/>
      <c r="S123" s="8"/>
      <c r="T123" s="8"/>
      <c r="U123" s="8"/>
      <c r="AH123" s="8"/>
      <c r="AI123" s="8"/>
      <c r="AJ123" s="8"/>
      <c r="AK123" s="8"/>
      <c r="AL123" s="8"/>
      <c r="AM123" s="8"/>
      <c r="AN123" s="8"/>
      <c r="AO123" s="8"/>
      <c r="BB123" s="8"/>
      <c r="BC123" s="8"/>
      <c r="BD123" s="8"/>
      <c r="BE123" s="8"/>
      <c r="BF123" s="8"/>
      <c r="BG123" s="8"/>
      <c r="BH123" s="8"/>
      <c r="BI123" s="8"/>
    </row>
    <row r="124" spans="14:61" s="11" customFormat="1" ht="18.45">
      <c r="N124" s="8"/>
      <c r="O124" s="8"/>
      <c r="P124" s="8"/>
      <c r="Q124" s="8"/>
      <c r="R124" s="8"/>
      <c r="S124" s="8"/>
      <c r="T124" s="8"/>
      <c r="U124" s="8"/>
      <c r="AH124" s="8"/>
      <c r="AI124" s="8"/>
      <c r="AJ124" s="8"/>
      <c r="AK124" s="8"/>
      <c r="AL124" s="8"/>
      <c r="AM124" s="8"/>
      <c r="AN124" s="8"/>
      <c r="AO124" s="8"/>
      <c r="BB124" s="8"/>
      <c r="BC124" s="8"/>
      <c r="BD124" s="8"/>
      <c r="BE124" s="8"/>
      <c r="BF124" s="8"/>
      <c r="BG124" s="8"/>
      <c r="BH124" s="8"/>
      <c r="BI124" s="8"/>
    </row>
    <row r="125" spans="14:61" s="11" customFormat="1" ht="18.45">
      <c r="N125" s="8"/>
      <c r="O125" s="8"/>
      <c r="P125" s="8"/>
      <c r="Q125" s="8"/>
      <c r="R125" s="8"/>
      <c r="S125" s="8"/>
      <c r="T125" s="8"/>
      <c r="U125" s="8"/>
      <c r="AH125" s="8"/>
      <c r="AI125" s="8"/>
      <c r="AJ125" s="8"/>
      <c r="AK125" s="8"/>
      <c r="AL125" s="8"/>
      <c r="AM125" s="8"/>
      <c r="AN125" s="8"/>
      <c r="AO125" s="8"/>
      <c r="BB125" s="8"/>
      <c r="BC125" s="8"/>
      <c r="BD125" s="8"/>
      <c r="BE125" s="8"/>
      <c r="BF125" s="8"/>
      <c r="BG125" s="8"/>
      <c r="BH125" s="8"/>
      <c r="BI125" s="8"/>
    </row>
    <row r="126" spans="14:61" s="11" customFormat="1" ht="18.45">
      <c r="N126" s="8"/>
      <c r="O126" s="8"/>
      <c r="P126" s="8"/>
      <c r="Q126" s="8"/>
      <c r="R126" s="8"/>
      <c r="S126" s="8"/>
      <c r="T126" s="8"/>
      <c r="U126" s="8"/>
      <c r="AH126" s="8"/>
      <c r="AI126" s="8"/>
      <c r="AJ126" s="8"/>
      <c r="AK126" s="8"/>
      <c r="AL126" s="8"/>
      <c r="AM126" s="8"/>
      <c r="AN126" s="8"/>
      <c r="AO126" s="8"/>
      <c r="BB126" s="8"/>
      <c r="BC126" s="8"/>
      <c r="BD126" s="8"/>
      <c r="BE126" s="8"/>
      <c r="BF126" s="8"/>
      <c r="BG126" s="8"/>
      <c r="BH126" s="8"/>
      <c r="BI126" s="8"/>
    </row>
    <row r="127" spans="14:61" s="11" customFormat="1" ht="18.45">
      <c r="N127" s="8"/>
      <c r="O127" s="8"/>
      <c r="P127" s="8"/>
      <c r="Q127" s="8"/>
      <c r="R127" s="8"/>
      <c r="S127" s="8"/>
      <c r="T127" s="8"/>
      <c r="U127" s="8"/>
      <c r="AH127" s="8"/>
      <c r="AI127" s="8"/>
      <c r="AJ127" s="8"/>
      <c r="AK127" s="8"/>
      <c r="AL127" s="8"/>
      <c r="AM127" s="8"/>
      <c r="AN127" s="8"/>
      <c r="AO127" s="8"/>
      <c r="BB127" s="8"/>
      <c r="BC127" s="8"/>
      <c r="BD127" s="8"/>
      <c r="BE127" s="8"/>
      <c r="BF127" s="8"/>
      <c r="BG127" s="8"/>
      <c r="BH127" s="8"/>
      <c r="BI127" s="8"/>
    </row>
    <row r="128" spans="14:61" s="11" customFormat="1" ht="18.45">
      <c r="N128" s="8"/>
      <c r="O128" s="8"/>
      <c r="P128" s="8"/>
      <c r="Q128" s="8"/>
      <c r="R128" s="8"/>
      <c r="S128" s="8"/>
      <c r="T128" s="8"/>
      <c r="U128" s="8"/>
      <c r="AH128" s="8"/>
      <c r="AI128" s="8"/>
      <c r="AJ128" s="8"/>
      <c r="AK128" s="8"/>
      <c r="AL128" s="8"/>
      <c r="AM128" s="8"/>
      <c r="AN128" s="8"/>
      <c r="AO128" s="8"/>
      <c r="BB128" s="8"/>
      <c r="BC128" s="8"/>
      <c r="BD128" s="8"/>
      <c r="BE128" s="8"/>
      <c r="BF128" s="8"/>
      <c r="BG128" s="8"/>
      <c r="BH128" s="8"/>
      <c r="BI128" s="8"/>
    </row>
    <row r="129" spans="14:61" s="11" customFormat="1" ht="18.45">
      <c r="N129" s="8"/>
      <c r="O129" s="8"/>
      <c r="P129" s="8"/>
      <c r="Q129" s="8"/>
      <c r="R129" s="8"/>
      <c r="S129" s="8"/>
      <c r="T129" s="8"/>
      <c r="U129" s="8"/>
      <c r="AH129" s="8"/>
      <c r="AI129" s="8"/>
      <c r="AJ129" s="8"/>
      <c r="AK129" s="8"/>
      <c r="AL129" s="8"/>
      <c r="AM129" s="8"/>
      <c r="AN129" s="8"/>
      <c r="AO129" s="8"/>
      <c r="BB129" s="8"/>
      <c r="BC129" s="8"/>
      <c r="BD129" s="8"/>
      <c r="BE129" s="8"/>
      <c r="BF129" s="8"/>
      <c r="BG129" s="8"/>
      <c r="BH129" s="8"/>
      <c r="BI129" s="8"/>
    </row>
    <row r="130" spans="14:61" s="11" customFormat="1" ht="18.45">
      <c r="N130" s="8"/>
      <c r="O130" s="8"/>
      <c r="P130" s="8"/>
      <c r="Q130" s="8"/>
      <c r="R130" s="8"/>
      <c r="S130" s="8"/>
      <c r="T130" s="8"/>
      <c r="U130" s="8"/>
      <c r="AH130" s="8"/>
      <c r="AI130" s="8"/>
      <c r="AJ130" s="8"/>
      <c r="AK130" s="8"/>
      <c r="AL130" s="8"/>
      <c r="AM130" s="8"/>
      <c r="AN130" s="8"/>
      <c r="AO130" s="8"/>
      <c r="BB130" s="8"/>
      <c r="BC130" s="8"/>
      <c r="BD130" s="8"/>
      <c r="BE130" s="8"/>
      <c r="BF130" s="8"/>
      <c r="BG130" s="8"/>
      <c r="BH130" s="8"/>
      <c r="BI130" s="8"/>
    </row>
    <row r="131" spans="14:61" s="11" customFormat="1" ht="18.45">
      <c r="N131" s="8"/>
      <c r="O131" s="8"/>
      <c r="P131" s="8"/>
      <c r="Q131" s="8"/>
      <c r="R131" s="8"/>
      <c r="S131" s="8"/>
      <c r="T131" s="8"/>
      <c r="U131" s="8"/>
      <c r="AH131" s="8"/>
      <c r="AI131" s="8"/>
      <c r="AJ131" s="8"/>
      <c r="AK131" s="8"/>
      <c r="AL131" s="8"/>
      <c r="AM131" s="8"/>
      <c r="AN131" s="8"/>
      <c r="AO131" s="8"/>
      <c r="BB131" s="8"/>
      <c r="BC131" s="8"/>
      <c r="BD131" s="8"/>
      <c r="BE131" s="8"/>
      <c r="BF131" s="8"/>
      <c r="BG131" s="8"/>
      <c r="BH131" s="8"/>
      <c r="BI131" s="8"/>
    </row>
    <row r="132" spans="14:61" s="11" customFormat="1" ht="18.45">
      <c r="N132" s="8"/>
      <c r="O132" s="8"/>
      <c r="P132" s="8"/>
      <c r="Q132" s="8"/>
      <c r="R132" s="8"/>
      <c r="S132" s="8"/>
      <c r="T132" s="8"/>
      <c r="U132" s="8"/>
      <c r="AH132" s="8"/>
      <c r="AI132" s="8"/>
      <c r="AJ132" s="8"/>
      <c r="AK132" s="8"/>
      <c r="AL132" s="8"/>
      <c r="AM132" s="8"/>
      <c r="AN132" s="8"/>
      <c r="AO132" s="8"/>
      <c r="BB132" s="8"/>
      <c r="BC132" s="8"/>
      <c r="BD132" s="8"/>
      <c r="BE132" s="8"/>
      <c r="BF132" s="8"/>
      <c r="BG132" s="8"/>
      <c r="BH132" s="8"/>
      <c r="BI132" s="8"/>
    </row>
    <row r="133" spans="14:61" s="11" customFormat="1" ht="18.45">
      <c r="N133" s="8"/>
      <c r="O133" s="8"/>
      <c r="P133" s="8"/>
      <c r="Q133" s="8"/>
      <c r="R133" s="8"/>
      <c r="S133" s="8"/>
      <c r="T133" s="8"/>
      <c r="U133" s="8"/>
      <c r="AH133" s="8"/>
      <c r="AI133" s="8"/>
      <c r="AJ133" s="8"/>
      <c r="AK133" s="8"/>
      <c r="AL133" s="8"/>
      <c r="AM133" s="8"/>
      <c r="AN133" s="8"/>
      <c r="AO133" s="8"/>
      <c r="BB133" s="8"/>
      <c r="BC133" s="8"/>
      <c r="BD133" s="8"/>
      <c r="BE133" s="8"/>
      <c r="BF133" s="8"/>
      <c r="BG133" s="8"/>
      <c r="BH133" s="8"/>
      <c r="BI133" s="8"/>
    </row>
    <row r="134" spans="14:61" s="11" customFormat="1" ht="18.45">
      <c r="N134" s="8"/>
      <c r="O134" s="8"/>
      <c r="P134" s="8"/>
      <c r="Q134" s="8"/>
      <c r="R134" s="8"/>
      <c r="S134" s="8"/>
      <c r="T134" s="8"/>
      <c r="U134" s="8"/>
      <c r="AH134" s="8"/>
      <c r="AI134" s="8"/>
      <c r="AJ134" s="8"/>
      <c r="AK134" s="8"/>
      <c r="AL134" s="8"/>
      <c r="AM134" s="8"/>
      <c r="AN134" s="8"/>
      <c r="AO134" s="8"/>
      <c r="BB134" s="8"/>
      <c r="BC134" s="8"/>
      <c r="BD134" s="8"/>
      <c r="BE134" s="8"/>
      <c r="BF134" s="8"/>
      <c r="BG134" s="8"/>
      <c r="BH134" s="8"/>
      <c r="BI134" s="8"/>
    </row>
    <row r="135" spans="14:61" s="11" customFormat="1" ht="18.45">
      <c r="N135" s="8"/>
      <c r="O135" s="8"/>
      <c r="P135" s="8"/>
      <c r="Q135" s="8"/>
      <c r="R135" s="8"/>
      <c r="S135" s="8"/>
      <c r="T135" s="8"/>
      <c r="U135" s="8"/>
      <c r="AH135" s="8"/>
      <c r="AI135" s="8"/>
      <c r="AJ135" s="8"/>
      <c r="AK135" s="8"/>
      <c r="AL135" s="8"/>
      <c r="AM135" s="8"/>
      <c r="AN135" s="8"/>
      <c r="AO135" s="8"/>
      <c r="BB135" s="8"/>
      <c r="BC135" s="8"/>
      <c r="BD135" s="8"/>
      <c r="BE135" s="8"/>
      <c r="BF135" s="8"/>
      <c r="BG135" s="8"/>
      <c r="BH135" s="8"/>
      <c r="BI135" s="8"/>
    </row>
    <row r="136" spans="14:61" s="11" customFormat="1" ht="18.45">
      <c r="N136" s="8"/>
      <c r="O136" s="8"/>
      <c r="P136" s="8"/>
      <c r="Q136" s="8"/>
      <c r="R136" s="8"/>
      <c r="S136" s="8"/>
      <c r="T136" s="8"/>
      <c r="U136" s="8"/>
      <c r="AH136" s="8"/>
      <c r="AI136" s="8"/>
      <c r="AJ136" s="8"/>
      <c r="AK136" s="8"/>
      <c r="AL136" s="8"/>
      <c r="AM136" s="8"/>
      <c r="AN136" s="8"/>
      <c r="AO136" s="8"/>
      <c r="BB136" s="8"/>
      <c r="BC136" s="8"/>
      <c r="BD136" s="8"/>
      <c r="BE136" s="8"/>
      <c r="BF136" s="8"/>
      <c r="BG136" s="8"/>
      <c r="BH136" s="8"/>
      <c r="BI136" s="8"/>
    </row>
    <row r="137" spans="14:61" s="11" customFormat="1" ht="18.45">
      <c r="N137" s="8"/>
      <c r="O137" s="8"/>
      <c r="P137" s="8"/>
      <c r="Q137" s="8"/>
      <c r="R137" s="8"/>
      <c r="S137" s="8"/>
      <c r="T137" s="8"/>
      <c r="U137" s="8"/>
      <c r="AH137" s="8"/>
      <c r="AI137" s="8"/>
      <c r="AJ137" s="8"/>
      <c r="AK137" s="8"/>
      <c r="AL137" s="8"/>
      <c r="AM137" s="8"/>
      <c r="AN137" s="8"/>
      <c r="AO137" s="8"/>
      <c r="BB137" s="8"/>
      <c r="BC137" s="8"/>
      <c r="BD137" s="8"/>
      <c r="BE137" s="8"/>
      <c r="BF137" s="8"/>
      <c r="BG137" s="8"/>
      <c r="BH137" s="8"/>
      <c r="BI137" s="8"/>
    </row>
    <row r="138" spans="14:61" s="11" customFormat="1" ht="18.45">
      <c r="N138" s="8"/>
      <c r="O138" s="8"/>
      <c r="P138" s="8"/>
      <c r="Q138" s="8"/>
      <c r="R138" s="8"/>
      <c r="S138" s="8"/>
      <c r="T138" s="8"/>
      <c r="U138" s="8"/>
      <c r="AH138" s="8"/>
      <c r="AI138" s="8"/>
      <c r="AJ138" s="8"/>
      <c r="AK138" s="8"/>
      <c r="AL138" s="8"/>
      <c r="AM138" s="8"/>
      <c r="AN138" s="8"/>
      <c r="AO138" s="8"/>
      <c r="BB138" s="8"/>
      <c r="BC138" s="8"/>
      <c r="BD138" s="8"/>
      <c r="BE138" s="8"/>
      <c r="BF138" s="8"/>
      <c r="BG138" s="8"/>
      <c r="BH138" s="8"/>
      <c r="BI138" s="8"/>
    </row>
    <row r="139" spans="14:61" s="11" customFormat="1" ht="18.45">
      <c r="N139" s="8"/>
      <c r="O139" s="8"/>
      <c r="P139" s="8"/>
      <c r="Q139" s="8"/>
      <c r="R139" s="8"/>
      <c r="S139" s="8"/>
      <c r="T139" s="8"/>
      <c r="U139" s="8"/>
      <c r="AH139" s="8"/>
      <c r="AI139" s="8"/>
      <c r="AJ139" s="8"/>
      <c r="AK139" s="8"/>
      <c r="AL139" s="8"/>
      <c r="AM139" s="8"/>
      <c r="AN139" s="8"/>
      <c r="AO139" s="8"/>
      <c r="BB139" s="8"/>
      <c r="BC139" s="8"/>
      <c r="BD139" s="8"/>
      <c r="BE139" s="8"/>
      <c r="BF139" s="8"/>
      <c r="BG139" s="8"/>
      <c r="BH139" s="8"/>
      <c r="BI139" s="8"/>
    </row>
    <row r="140" spans="14:61" s="11" customFormat="1" ht="18.45">
      <c r="N140" s="8"/>
      <c r="O140" s="8"/>
      <c r="P140" s="8"/>
      <c r="Q140" s="8"/>
      <c r="R140" s="8"/>
      <c r="S140" s="8"/>
      <c r="T140" s="8"/>
      <c r="U140" s="8"/>
      <c r="AH140" s="8"/>
      <c r="AI140" s="8"/>
      <c r="AJ140" s="8"/>
      <c r="AK140" s="8"/>
      <c r="AL140" s="8"/>
      <c r="AM140" s="8"/>
      <c r="AN140" s="8"/>
      <c r="AO140" s="8"/>
      <c r="BB140" s="8"/>
      <c r="BC140" s="8"/>
      <c r="BD140" s="8"/>
      <c r="BE140" s="8"/>
      <c r="BF140" s="8"/>
      <c r="BG140" s="8"/>
      <c r="BH140" s="8"/>
      <c r="BI140" s="8"/>
    </row>
    <row r="141" spans="14:61" s="11" customFormat="1" ht="18.45">
      <c r="N141" s="8"/>
      <c r="O141" s="8"/>
      <c r="P141" s="8"/>
      <c r="Q141" s="8"/>
      <c r="R141" s="8"/>
      <c r="S141" s="8"/>
      <c r="T141" s="8"/>
      <c r="U141" s="8"/>
      <c r="AH141" s="8"/>
      <c r="AI141" s="8"/>
      <c r="AJ141" s="8"/>
      <c r="AK141" s="8"/>
      <c r="AL141" s="8"/>
      <c r="AM141" s="8"/>
      <c r="AN141" s="8"/>
      <c r="AO141" s="8"/>
      <c r="BB141" s="8"/>
      <c r="BC141" s="8"/>
      <c r="BD141" s="8"/>
      <c r="BE141" s="8"/>
      <c r="BF141" s="8"/>
      <c r="BG141" s="8"/>
      <c r="BH141" s="8"/>
      <c r="BI141" s="8"/>
    </row>
    <row r="142" spans="14:61" s="11" customFormat="1" ht="18.45">
      <c r="N142" s="8"/>
      <c r="O142" s="8"/>
      <c r="P142" s="8"/>
      <c r="Q142" s="8"/>
      <c r="R142" s="8"/>
      <c r="S142" s="8"/>
      <c r="T142" s="8"/>
      <c r="U142" s="8"/>
      <c r="AH142" s="8"/>
      <c r="AI142" s="8"/>
      <c r="AJ142" s="8"/>
      <c r="AK142" s="8"/>
      <c r="AL142" s="8"/>
      <c r="AM142" s="8"/>
      <c r="AN142" s="8"/>
      <c r="AO142" s="8"/>
      <c r="BB142" s="8"/>
      <c r="BC142" s="8"/>
      <c r="BD142" s="8"/>
      <c r="BE142" s="8"/>
      <c r="BF142" s="8"/>
      <c r="BG142" s="8"/>
      <c r="BH142" s="8"/>
      <c r="BI142" s="8"/>
    </row>
    <row r="143" spans="14:61" s="11" customFormat="1" ht="18.45">
      <c r="N143" s="8"/>
      <c r="O143" s="8"/>
      <c r="P143" s="8"/>
      <c r="Q143" s="8"/>
      <c r="R143" s="8"/>
      <c r="S143" s="8"/>
      <c r="T143" s="8"/>
      <c r="U143" s="8"/>
      <c r="AH143" s="8"/>
      <c r="AI143" s="8"/>
      <c r="AJ143" s="8"/>
      <c r="AK143" s="8"/>
      <c r="AL143" s="8"/>
      <c r="AM143" s="8"/>
      <c r="AN143" s="8"/>
      <c r="AO143" s="8"/>
      <c r="BB143" s="8"/>
      <c r="BC143" s="8"/>
      <c r="BD143" s="8"/>
      <c r="BE143" s="8"/>
      <c r="BF143" s="8"/>
      <c r="BG143" s="8"/>
      <c r="BH143" s="8"/>
      <c r="BI143" s="8"/>
    </row>
    <row r="144" spans="14:61" s="11" customFormat="1" ht="18.45">
      <c r="N144" s="8"/>
      <c r="O144" s="8"/>
      <c r="P144" s="8"/>
      <c r="Q144" s="8"/>
      <c r="R144" s="8"/>
      <c r="S144" s="8"/>
      <c r="T144" s="8"/>
      <c r="U144" s="8"/>
      <c r="AH144" s="8"/>
      <c r="AI144" s="8"/>
      <c r="AJ144" s="8"/>
      <c r="AK144" s="8"/>
      <c r="AL144" s="8"/>
      <c r="AM144" s="8"/>
      <c r="AN144" s="8"/>
      <c r="AO144" s="8"/>
      <c r="BB144" s="8"/>
      <c r="BC144" s="8"/>
      <c r="BD144" s="8"/>
      <c r="BE144" s="8"/>
      <c r="BF144" s="8"/>
      <c r="BG144" s="8"/>
      <c r="BH144" s="8"/>
      <c r="BI144" s="8"/>
    </row>
    <row r="145" spans="14:61" s="11" customFormat="1" ht="18.45">
      <c r="N145" s="8"/>
      <c r="O145" s="8"/>
      <c r="P145" s="8"/>
      <c r="Q145" s="8"/>
      <c r="R145" s="8"/>
      <c r="S145" s="8"/>
      <c r="T145" s="8"/>
      <c r="U145" s="8"/>
      <c r="AH145" s="8"/>
      <c r="AI145" s="8"/>
      <c r="AJ145" s="8"/>
      <c r="AK145" s="8"/>
      <c r="AL145" s="8"/>
      <c r="AM145" s="8"/>
      <c r="AN145" s="8"/>
      <c r="AO145" s="8"/>
      <c r="BB145" s="8"/>
      <c r="BC145" s="8"/>
      <c r="BD145" s="8"/>
      <c r="BE145" s="8"/>
      <c r="BF145" s="8"/>
      <c r="BG145" s="8"/>
      <c r="BH145" s="8"/>
      <c r="BI145" s="8"/>
    </row>
    <row r="146" spans="14:61" s="11" customFormat="1" ht="18.45">
      <c r="N146" s="8"/>
      <c r="O146" s="8"/>
      <c r="P146" s="8"/>
      <c r="Q146" s="8"/>
      <c r="R146" s="8"/>
      <c r="S146" s="8"/>
      <c r="T146" s="8"/>
      <c r="U146" s="8"/>
      <c r="AH146" s="8"/>
      <c r="AI146" s="8"/>
      <c r="AJ146" s="8"/>
      <c r="AK146" s="8"/>
      <c r="AL146" s="8"/>
      <c r="AM146" s="8"/>
      <c r="AN146" s="8"/>
      <c r="AO146" s="8"/>
      <c r="BB146" s="8"/>
      <c r="BC146" s="8"/>
      <c r="BD146" s="8"/>
      <c r="BE146" s="8"/>
      <c r="BF146" s="8"/>
      <c r="BG146" s="8"/>
      <c r="BH146" s="8"/>
      <c r="BI146" s="8"/>
    </row>
    <row r="147" spans="14:61" s="11" customFormat="1" ht="18.45">
      <c r="N147" s="8"/>
      <c r="O147" s="8"/>
      <c r="P147" s="8"/>
      <c r="Q147" s="8"/>
      <c r="R147" s="8"/>
      <c r="S147" s="8"/>
      <c r="T147" s="8"/>
      <c r="U147" s="8"/>
      <c r="AH147" s="8"/>
      <c r="AI147" s="8"/>
      <c r="AJ147" s="8"/>
      <c r="AK147" s="8"/>
      <c r="AL147" s="8"/>
      <c r="AM147" s="8"/>
      <c r="AN147" s="8"/>
      <c r="AO147" s="8"/>
      <c r="BB147" s="8"/>
      <c r="BC147" s="8"/>
      <c r="BD147" s="8"/>
      <c r="BE147" s="8"/>
      <c r="BF147" s="8"/>
      <c r="BG147" s="8"/>
      <c r="BH147" s="8"/>
      <c r="BI147" s="8"/>
    </row>
    <row r="148" spans="14:61" s="11" customFormat="1" ht="18.45">
      <c r="N148" s="8"/>
      <c r="O148" s="8"/>
      <c r="P148" s="8"/>
      <c r="Q148" s="8"/>
      <c r="R148" s="8"/>
      <c r="S148" s="8"/>
      <c r="T148" s="8"/>
      <c r="U148" s="8"/>
      <c r="AH148" s="8"/>
      <c r="AI148" s="8"/>
      <c r="AJ148" s="8"/>
      <c r="AK148" s="8"/>
      <c r="AL148" s="8"/>
      <c r="AM148" s="8"/>
      <c r="AN148" s="8"/>
      <c r="AO148" s="8"/>
      <c r="BB148" s="8"/>
      <c r="BC148" s="8"/>
      <c r="BD148" s="8"/>
      <c r="BE148" s="8"/>
      <c r="BF148" s="8"/>
      <c r="BG148" s="8"/>
      <c r="BH148" s="8"/>
      <c r="BI148" s="8"/>
    </row>
    <row r="149" spans="14:61" s="11" customFormat="1" ht="18.45">
      <c r="N149" s="8"/>
      <c r="O149" s="8"/>
      <c r="P149" s="8"/>
      <c r="Q149" s="8"/>
      <c r="R149" s="8"/>
      <c r="S149" s="8"/>
      <c r="T149" s="8"/>
      <c r="U149" s="8"/>
      <c r="AH149" s="8"/>
      <c r="AI149" s="8"/>
      <c r="AJ149" s="8"/>
      <c r="AK149" s="8"/>
      <c r="AL149" s="8"/>
      <c r="AM149" s="8"/>
      <c r="AN149" s="8"/>
      <c r="AO149" s="8"/>
    </row>
    <row r="150" spans="14:61" s="11" customFormat="1" ht="18.45">
      <c r="N150" s="8"/>
      <c r="O150" s="8"/>
      <c r="P150" s="8"/>
      <c r="Q150" s="8"/>
      <c r="R150" s="8"/>
      <c r="S150" s="8"/>
      <c r="T150" s="8"/>
      <c r="U150" s="8"/>
      <c r="AH150" s="8"/>
      <c r="AI150" s="8"/>
      <c r="AJ150" s="8"/>
      <c r="AK150" s="8"/>
      <c r="AL150" s="8"/>
      <c r="AM150" s="8"/>
      <c r="AN150" s="8"/>
      <c r="AO150" s="8"/>
    </row>
    <row r="151" spans="14:61" s="11" customFormat="1" ht="18.45">
      <c r="N151" s="8"/>
      <c r="O151" s="8"/>
      <c r="P151" s="8"/>
      <c r="Q151" s="8"/>
      <c r="R151" s="8"/>
      <c r="S151" s="8"/>
      <c r="T151" s="8"/>
      <c r="U151" s="8"/>
      <c r="AH151" s="8"/>
      <c r="AI151" s="8"/>
      <c r="AJ151" s="8"/>
      <c r="AK151" s="8"/>
      <c r="AL151" s="8"/>
      <c r="AM151" s="8"/>
      <c r="AN151" s="8"/>
      <c r="AO151" s="8"/>
    </row>
    <row r="152" spans="14:61" s="11" customFormat="1" ht="18.45">
      <c r="N152" s="8"/>
      <c r="O152" s="8"/>
      <c r="P152" s="8"/>
      <c r="Q152" s="8"/>
      <c r="R152" s="8"/>
      <c r="S152" s="8"/>
      <c r="T152" s="8"/>
      <c r="U152" s="8"/>
      <c r="AH152" s="8"/>
      <c r="AI152" s="8"/>
      <c r="AJ152" s="8"/>
      <c r="AK152" s="8"/>
      <c r="AL152" s="8"/>
      <c r="AM152" s="8"/>
      <c r="AN152" s="8"/>
      <c r="AO152" s="8"/>
    </row>
    <row r="153" spans="14:61" s="11" customFormat="1" ht="18.45">
      <c r="N153" s="8"/>
      <c r="O153" s="8"/>
      <c r="P153" s="8"/>
      <c r="Q153" s="8"/>
      <c r="R153" s="8"/>
      <c r="S153" s="8"/>
      <c r="T153" s="8"/>
      <c r="U153" s="8"/>
      <c r="AH153" s="8"/>
      <c r="AI153" s="8"/>
      <c r="AJ153" s="8"/>
      <c r="AK153" s="8"/>
      <c r="AL153" s="8"/>
      <c r="AM153" s="8"/>
      <c r="AN153" s="8"/>
      <c r="AO153" s="8"/>
    </row>
    <row r="154" spans="14:61" s="11" customFormat="1" ht="18.45">
      <c r="N154" s="8"/>
      <c r="O154" s="8"/>
      <c r="P154" s="8"/>
      <c r="Q154" s="8"/>
      <c r="R154" s="8"/>
      <c r="S154" s="8"/>
      <c r="T154" s="8"/>
      <c r="U154" s="8"/>
      <c r="AH154" s="8"/>
      <c r="AI154" s="8"/>
      <c r="AJ154" s="8"/>
      <c r="AK154" s="8"/>
      <c r="AL154" s="8"/>
      <c r="AM154" s="8"/>
      <c r="AN154" s="8"/>
      <c r="AO154" s="8"/>
    </row>
    <row r="155" spans="14:61" s="11" customFormat="1" ht="18.45">
      <c r="N155" s="8"/>
      <c r="O155" s="8"/>
      <c r="P155" s="8"/>
      <c r="Q155" s="8"/>
      <c r="R155" s="8"/>
      <c r="S155" s="8"/>
      <c r="T155" s="8"/>
      <c r="U155" s="8"/>
      <c r="AH155" s="8"/>
      <c r="AI155" s="8"/>
      <c r="AJ155" s="8"/>
      <c r="AK155" s="8"/>
      <c r="AL155" s="8"/>
      <c r="AM155" s="8"/>
      <c r="AN155" s="8"/>
      <c r="AO155" s="8"/>
    </row>
    <row r="156" spans="14:61" s="11" customFormat="1" ht="18.45">
      <c r="N156" s="8"/>
      <c r="O156" s="8"/>
      <c r="P156" s="8"/>
      <c r="Q156" s="8"/>
      <c r="R156" s="8"/>
      <c r="S156" s="8"/>
      <c r="T156" s="8"/>
      <c r="U156" s="8"/>
      <c r="AH156" s="8"/>
      <c r="AI156" s="8"/>
      <c r="AJ156" s="8"/>
      <c r="AK156" s="8"/>
      <c r="AL156" s="8"/>
      <c r="AM156" s="8"/>
      <c r="AN156" s="8"/>
      <c r="AO156" s="8"/>
    </row>
    <row r="157" spans="14:61" s="11" customFormat="1" ht="18.45">
      <c r="N157" s="8"/>
      <c r="O157" s="8"/>
      <c r="P157" s="8"/>
      <c r="Q157" s="8"/>
      <c r="R157" s="8"/>
      <c r="S157" s="8"/>
      <c r="T157" s="8"/>
      <c r="U157" s="8"/>
      <c r="AH157" s="8"/>
      <c r="AI157" s="8"/>
      <c r="AJ157" s="8"/>
      <c r="AK157" s="8"/>
      <c r="AL157" s="8"/>
      <c r="AM157" s="8"/>
      <c r="AN157" s="8"/>
      <c r="AO157" s="8"/>
    </row>
    <row r="158" spans="14:61" s="11" customFormat="1" ht="18.45">
      <c r="N158" s="8"/>
      <c r="O158" s="8"/>
      <c r="P158" s="8"/>
      <c r="Q158" s="8"/>
      <c r="R158" s="8"/>
      <c r="S158" s="8"/>
      <c r="T158" s="8"/>
      <c r="U158" s="8"/>
      <c r="AH158" s="8"/>
      <c r="AI158" s="8"/>
      <c r="AJ158" s="8"/>
      <c r="AK158" s="8"/>
      <c r="AL158" s="8"/>
      <c r="AM158" s="8"/>
      <c r="AN158" s="8"/>
      <c r="AO158" s="8"/>
    </row>
    <row r="159" spans="14:61" s="11" customFormat="1" ht="18.45">
      <c r="N159" s="8"/>
      <c r="O159" s="8"/>
      <c r="P159" s="8"/>
      <c r="Q159" s="8"/>
      <c r="R159" s="8"/>
      <c r="S159" s="8"/>
      <c r="T159" s="8"/>
      <c r="U159" s="8"/>
      <c r="AH159" s="8"/>
      <c r="AI159" s="8"/>
      <c r="AJ159" s="8"/>
      <c r="AK159" s="8"/>
      <c r="AL159" s="8"/>
      <c r="AM159" s="8"/>
      <c r="AN159" s="8"/>
      <c r="AO159" s="8"/>
    </row>
    <row r="160" spans="14:61" s="11" customFormat="1" ht="18.45">
      <c r="N160" s="8"/>
      <c r="O160" s="8"/>
      <c r="P160" s="8"/>
      <c r="Q160" s="8"/>
      <c r="R160" s="8"/>
      <c r="S160" s="8"/>
      <c r="T160" s="8"/>
      <c r="U160" s="8"/>
      <c r="AH160" s="8"/>
      <c r="AI160" s="8"/>
      <c r="AJ160" s="8"/>
      <c r="AK160" s="8"/>
      <c r="AL160" s="8"/>
      <c r="AM160" s="8"/>
      <c r="AN160" s="8"/>
      <c r="AO160" s="8"/>
    </row>
    <row r="161" spans="14:41" s="11" customFormat="1" ht="18.45">
      <c r="N161" s="8"/>
      <c r="O161" s="8"/>
      <c r="P161" s="8"/>
      <c r="Q161" s="8"/>
      <c r="R161" s="8"/>
      <c r="S161" s="8"/>
      <c r="T161" s="8"/>
      <c r="U161" s="8"/>
      <c r="AH161" s="8"/>
      <c r="AI161" s="8"/>
      <c r="AJ161" s="8"/>
      <c r="AK161" s="8"/>
      <c r="AL161" s="8"/>
      <c r="AM161" s="8"/>
      <c r="AN161" s="8"/>
      <c r="AO161" s="8"/>
    </row>
    <row r="162" spans="14:41" s="11" customFormat="1" ht="18.45">
      <c r="N162" s="8"/>
      <c r="O162" s="8"/>
      <c r="P162" s="8"/>
      <c r="Q162" s="8"/>
      <c r="R162" s="8"/>
      <c r="S162" s="8"/>
      <c r="T162" s="8"/>
      <c r="U162" s="8"/>
      <c r="AH162" s="8"/>
      <c r="AI162" s="8"/>
      <c r="AJ162" s="8"/>
      <c r="AK162" s="8"/>
      <c r="AL162" s="8"/>
      <c r="AM162" s="8"/>
      <c r="AN162" s="8"/>
      <c r="AO162" s="8"/>
    </row>
    <row r="163" spans="14:41" s="11" customFormat="1" ht="18.45">
      <c r="N163" s="8"/>
      <c r="O163" s="8"/>
      <c r="P163" s="8"/>
      <c r="Q163" s="8"/>
      <c r="R163" s="8"/>
      <c r="S163" s="8"/>
      <c r="T163" s="8"/>
      <c r="U163" s="8"/>
      <c r="AH163" s="8"/>
      <c r="AI163" s="8"/>
      <c r="AJ163" s="8"/>
      <c r="AK163" s="8"/>
      <c r="AL163" s="8"/>
      <c r="AM163" s="8"/>
      <c r="AN163" s="8"/>
      <c r="AO163" s="8"/>
    </row>
    <row r="164" spans="14:41" s="11" customFormat="1" ht="18.45">
      <c r="N164" s="8"/>
      <c r="O164" s="8"/>
      <c r="P164" s="8"/>
      <c r="Q164" s="8"/>
      <c r="R164" s="8"/>
      <c r="S164" s="8"/>
      <c r="T164" s="8"/>
      <c r="U164" s="8"/>
      <c r="AH164" s="8"/>
      <c r="AI164" s="8"/>
      <c r="AJ164" s="8"/>
      <c r="AK164" s="8"/>
      <c r="AL164" s="8"/>
      <c r="AM164" s="8"/>
      <c r="AN164" s="8"/>
      <c r="AO164" s="8"/>
    </row>
    <row r="165" spans="14:41" s="11" customFormat="1" ht="18.45">
      <c r="N165" s="8"/>
      <c r="O165" s="8"/>
      <c r="P165" s="8"/>
      <c r="Q165" s="8"/>
      <c r="R165" s="8"/>
      <c r="S165" s="8"/>
      <c r="T165" s="8"/>
      <c r="U165" s="8"/>
      <c r="AH165" s="8"/>
      <c r="AI165" s="8"/>
      <c r="AJ165" s="8"/>
      <c r="AK165" s="8"/>
      <c r="AL165" s="8"/>
      <c r="AM165" s="8"/>
      <c r="AN165" s="8"/>
      <c r="AO165" s="8"/>
    </row>
    <row r="166" spans="14:41" s="11" customFormat="1" ht="18.45">
      <c r="N166" s="8"/>
      <c r="O166" s="8"/>
      <c r="P166" s="8"/>
      <c r="Q166" s="8"/>
      <c r="R166" s="8"/>
      <c r="S166" s="8"/>
      <c r="T166" s="8"/>
      <c r="U166" s="8"/>
      <c r="AH166" s="8"/>
      <c r="AI166" s="8"/>
      <c r="AJ166" s="8"/>
      <c r="AK166" s="8"/>
      <c r="AL166" s="8"/>
      <c r="AM166" s="8"/>
      <c r="AN166" s="8"/>
      <c r="AO166" s="8"/>
    </row>
    <row r="167" spans="14:41" s="11" customFormat="1" ht="18.45">
      <c r="N167" s="8"/>
      <c r="O167" s="8"/>
      <c r="P167" s="8"/>
      <c r="Q167" s="8"/>
      <c r="R167" s="8"/>
      <c r="S167" s="8"/>
      <c r="T167" s="8"/>
      <c r="U167" s="8"/>
      <c r="AH167" s="8"/>
      <c r="AI167" s="8"/>
      <c r="AJ167" s="8"/>
      <c r="AK167" s="8"/>
      <c r="AL167" s="8"/>
      <c r="AM167" s="8"/>
      <c r="AN167" s="8"/>
      <c r="AO167" s="8"/>
    </row>
    <row r="168" spans="14:41" s="11" customFormat="1" ht="18.45">
      <c r="N168" s="8"/>
      <c r="O168" s="8"/>
      <c r="P168" s="8"/>
      <c r="Q168" s="8"/>
      <c r="R168" s="8"/>
      <c r="S168" s="8"/>
      <c r="T168" s="8"/>
      <c r="U168" s="8"/>
      <c r="AH168" s="8"/>
      <c r="AI168" s="8"/>
      <c r="AJ168" s="8"/>
      <c r="AK168" s="8"/>
      <c r="AL168" s="8"/>
      <c r="AM168" s="8"/>
      <c r="AN168" s="8"/>
      <c r="AO168" s="8"/>
    </row>
    <row r="169" spans="14:41" s="11" customFormat="1" ht="18.45">
      <c r="N169" s="8"/>
      <c r="O169" s="8"/>
      <c r="P169" s="8"/>
      <c r="Q169" s="8"/>
      <c r="R169" s="8"/>
      <c r="S169" s="8"/>
      <c r="T169" s="8"/>
      <c r="U169" s="8"/>
      <c r="AH169" s="8"/>
      <c r="AI169" s="8"/>
      <c r="AJ169" s="8"/>
      <c r="AK169" s="8"/>
      <c r="AL169" s="8"/>
      <c r="AM169" s="8"/>
      <c r="AN169" s="8"/>
      <c r="AO169" s="8"/>
    </row>
    <row r="170" spans="14:41" s="11" customFormat="1" ht="18.45">
      <c r="N170" s="8"/>
      <c r="O170" s="8"/>
      <c r="P170" s="8"/>
      <c r="Q170" s="8"/>
      <c r="R170" s="8"/>
      <c r="S170" s="8"/>
      <c r="T170" s="8"/>
      <c r="U170" s="8"/>
      <c r="AH170" s="8"/>
      <c r="AI170" s="8"/>
      <c r="AJ170" s="8"/>
      <c r="AK170" s="8"/>
      <c r="AL170" s="8"/>
      <c r="AM170" s="8"/>
      <c r="AN170" s="8"/>
      <c r="AO170" s="8"/>
    </row>
    <row r="171" spans="14:41" s="11" customFormat="1" ht="18.45">
      <c r="N171" s="8"/>
      <c r="O171" s="8"/>
      <c r="P171" s="8"/>
      <c r="Q171" s="8"/>
      <c r="R171" s="8"/>
      <c r="S171" s="8"/>
      <c r="T171" s="8"/>
      <c r="U171" s="8"/>
      <c r="AH171" s="8"/>
      <c r="AI171" s="8"/>
      <c r="AJ171" s="8"/>
      <c r="AK171" s="8"/>
      <c r="AL171" s="8"/>
      <c r="AM171" s="8"/>
      <c r="AN171" s="8"/>
      <c r="AO171" s="8"/>
    </row>
    <row r="172" spans="14:41" s="11" customFormat="1" ht="18.45">
      <c r="N172" s="8"/>
      <c r="O172" s="8"/>
      <c r="P172" s="8"/>
      <c r="Q172" s="8"/>
      <c r="R172" s="8"/>
      <c r="S172" s="8"/>
      <c r="T172" s="8"/>
      <c r="U172" s="8"/>
      <c r="AH172" s="8"/>
      <c r="AI172" s="8"/>
      <c r="AJ172" s="8"/>
      <c r="AK172" s="8"/>
      <c r="AL172" s="8"/>
      <c r="AM172" s="8"/>
      <c r="AN172" s="8"/>
      <c r="AO172" s="8"/>
    </row>
    <row r="173" spans="14:41" s="11" customFormat="1" ht="18.45">
      <c r="N173" s="8"/>
      <c r="O173" s="8"/>
      <c r="P173" s="8"/>
      <c r="Q173" s="8"/>
      <c r="R173" s="8"/>
      <c r="S173" s="8"/>
      <c r="T173" s="8"/>
      <c r="U173" s="8"/>
      <c r="AH173" s="8"/>
      <c r="AI173" s="8"/>
      <c r="AJ173" s="8"/>
      <c r="AK173" s="8"/>
      <c r="AL173" s="8"/>
      <c r="AM173" s="8"/>
      <c r="AN173" s="8"/>
      <c r="AO173" s="8"/>
    </row>
    <row r="174" spans="14:41" s="11" customFormat="1" ht="18.45">
      <c r="N174" s="8"/>
      <c r="O174" s="8"/>
      <c r="P174" s="8"/>
      <c r="Q174" s="8"/>
      <c r="R174" s="8"/>
      <c r="S174" s="8"/>
      <c r="T174" s="8"/>
      <c r="U174" s="8"/>
      <c r="AH174" s="8"/>
      <c r="AI174" s="8"/>
      <c r="AJ174" s="8"/>
      <c r="AK174" s="8"/>
      <c r="AL174" s="8"/>
      <c r="AM174" s="8"/>
      <c r="AN174" s="8"/>
      <c r="AO174" s="8"/>
    </row>
    <row r="175" spans="14:41" s="11" customFormat="1" ht="18.45">
      <c r="N175" s="8"/>
      <c r="O175" s="8"/>
      <c r="P175" s="8"/>
      <c r="Q175" s="8"/>
      <c r="R175" s="8"/>
      <c r="S175" s="8"/>
      <c r="T175" s="8"/>
      <c r="U175" s="8"/>
      <c r="AH175" s="8"/>
      <c r="AI175" s="8"/>
      <c r="AJ175" s="8"/>
      <c r="AK175" s="8"/>
      <c r="AL175" s="8"/>
      <c r="AM175" s="8"/>
      <c r="AN175" s="8"/>
      <c r="AO175" s="8"/>
    </row>
    <row r="176" spans="14:41" s="11" customFormat="1" ht="18.45">
      <c r="N176" s="8"/>
      <c r="O176" s="8"/>
      <c r="P176" s="8"/>
      <c r="Q176" s="8"/>
      <c r="R176" s="8"/>
      <c r="S176" s="8"/>
      <c r="T176" s="8"/>
      <c r="U176" s="8"/>
      <c r="AH176" s="8"/>
      <c r="AI176" s="8"/>
      <c r="AJ176" s="8"/>
      <c r="AK176" s="8"/>
      <c r="AL176" s="8"/>
      <c r="AM176" s="8"/>
      <c r="AN176" s="8"/>
      <c r="AO176" s="8"/>
    </row>
    <row r="177" spans="14:41" s="11" customFormat="1" ht="18.45">
      <c r="N177" s="8"/>
      <c r="O177" s="8"/>
      <c r="P177" s="8"/>
      <c r="Q177" s="8"/>
      <c r="R177" s="8"/>
      <c r="S177" s="8"/>
      <c r="T177" s="8"/>
      <c r="U177" s="8"/>
      <c r="AH177" s="8"/>
      <c r="AI177" s="8"/>
      <c r="AJ177" s="8"/>
      <c r="AK177" s="8"/>
      <c r="AL177" s="8"/>
      <c r="AM177" s="8"/>
      <c r="AN177" s="8"/>
      <c r="AO177" s="8"/>
    </row>
    <row r="178" spans="14:41" s="11" customFormat="1" ht="18.45">
      <c r="N178" s="8"/>
      <c r="O178" s="8"/>
      <c r="P178" s="8"/>
      <c r="Q178" s="8"/>
      <c r="R178" s="8"/>
      <c r="S178" s="8"/>
      <c r="T178" s="8"/>
      <c r="U178" s="8"/>
      <c r="AH178" s="8"/>
      <c r="AI178" s="8"/>
      <c r="AJ178" s="8"/>
      <c r="AK178" s="8"/>
      <c r="AL178" s="8"/>
      <c r="AM178" s="8"/>
      <c r="AN178" s="8"/>
      <c r="AO178" s="8"/>
    </row>
    <row r="179" spans="14:41" s="11" customFormat="1" ht="18.45">
      <c r="N179" s="8"/>
      <c r="O179" s="8"/>
      <c r="P179" s="8"/>
      <c r="Q179" s="8"/>
      <c r="R179" s="8"/>
      <c r="S179" s="8"/>
      <c r="T179" s="8"/>
      <c r="U179" s="8"/>
      <c r="AH179" s="8"/>
      <c r="AI179" s="8"/>
      <c r="AJ179" s="8"/>
      <c r="AK179" s="8"/>
      <c r="AL179" s="8"/>
      <c r="AM179" s="8"/>
      <c r="AN179" s="8"/>
      <c r="AO179" s="8"/>
    </row>
    <row r="180" spans="14:41" s="11" customFormat="1" ht="18.45">
      <c r="N180" s="8"/>
      <c r="O180" s="8"/>
      <c r="P180" s="8"/>
      <c r="Q180" s="8"/>
      <c r="R180" s="8"/>
      <c r="S180" s="8"/>
      <c r="T180" s="8"/>
      <c r="U180" s="8"/>
      <c r="AH180" s="8"/>
      <c r="AI180" s="8"/>
      <c r="AJ180" s="8"/>
      <c r="AK180" s="8"/>
      <c r="AL180" s="8"/>
      <c r="AM180" s="8"/>
      <c r="AN180" s="8"/>
      <c r="AO180" s="8"/>
    </row>
    <row r="181" spans="14:41" s="11" customFormat="1" ht="18.45">
      <c r="N181" s="8"/>
      <c r="O181" s="8"/>
      <c r="P181" s="8"/>
      <c r="Q181" s="8"/>
      <c r="R181" s="8"/>
      <c r="S181" s="8"/>
      <c r="T181" s="8"/>
      <c r="U181" s="8"/>
      <c r="AH181" s="8"/>
      <c r="AI181" s="8"/>
      <c r="AJ181" s="8"/>
      <c r="AK181" s="8"/>
      <c r="AL181" s="8"/>
      <c r="AM181" s="8"/>
      <c r="AN181" s="8"/>
      <c r="AO181" s="8"/>
    </row>
    <row r="182" spans="14:41" s="11" customFormat="1" ht="18.45">
      <c r="N182" s="8"/>
      <c r="O182" s="8"/>
      <c r="P182" s="8"/>
      <c r="Q182" s="8"/>
      <c r="R182" s="8"/>
      <c r="S182" s="8"/>
      <c r="T182" s="8"/>
      <c r="U182" s="8"/>
      <c r="AH182" s="8"/>
      <c r="AI182" s="8"/>
      <c r="AJ182" s="8"/>
      <c r="AK182" s="8"/>
      <c r="AL182" s="8"/>
      <c r="AM182" s="8"/>
      <c r="AN182" s="8"/>
      <c r="AO182" s="8"/>
    </row>
    <row r="183" spans="14:41" s="11" customFormat="1" ht="18.45">
      <c r="N183" s="8"/>
      <c r="O183" s="8"/>
      <c r="P183" s="8"/>
      <c r="Q183" s="8"/>
      <c r="R183" s="8"/>
      <c r="S183" s="8"/>
      <c r="T183" s="8"/>
      <c r="U183" s="8"/>
      <c r="AH183" s="8"/>
      <c r="AI183" s="8"/>
      <c r="AJ183" s="8"/>
      <c r="AK183" s="8"/>
      <c r="AL183" s="8"/>
      <c r="AM183" s="8"/>
      <c r="AN183" s="8"/>
      <c r="AO183" s="8"/>
    </row>
    <row r="184" spans="14:41" s="11" customFormat="1" ht="18.45">
      <c r="N184" s="8"/>
      <c r="O184" s="8"/>
      <c r="P184" s="8"/>
      <c r="Q184" s="8"/>
      <c r="R184" s="8"/>
      <c r="S184" s="8"/>
      <c r="T184" s="8"/>
      <c r="U184" s="8"/>
      <c r="AH184" s="8"/>
      <c r="AI184" s="8"/>
      <c r="AJ184" s="8"/>
      <c r="AK184" s="8"/>
      <c r="AL184" s="8"/>
      <c r="AM184" s="8"/>
      <c r="AN184" s="8"/>
      <c r="AO184" s="8"/>
    </row>
    <row r="185" spans="14:41" s="11" customFormat="1" ht="18.45">
      <c r="N185" s="8"/>
      <c r="O185" s="8"/>
      <c r="P185" s="8"/>
      <c r="Q185" s="8"/>
      <c r="R185" s="8"/>
      <c r="S185" s="8"/>
      <c r="T185" s="8"/>
      <c r="U185" s="8"/>
      <c r="AH185" s="8"/>
      <c r="AI185" s="8"/>
      <c r="AJ185" s="8"/>
      <c r="AK185" s="8"/>
      <c r="AL185" s="8"/>
      <c r="AM185" s="8"/>
      <c r="AN185" s="8"/>
      <c r="AO185" s="8"/>
    </row>
    <row r="186" spans="14:41" s="11" customFormat="1" ht="18.45">
      <c r="N186" s="8"/>
      <c r="O186" s="8"/>
      <c r="P186" s="8"/>
      <c r="Q186" s="8"/>
      <c r="R186" s="8"/>
      <c r="S186" s="8"/>
      <c r="T186" s="8"/>
      <c r="U186" s="8"/>
      <c r="AH186" s="8"/>
      <c r="AI186" s="8"/>
      <c r="AJ186" s="8"/>
      <c r="AK186" s="8"/>
      <c r="AL186" s="8"/>
      <c r="AM186" s="8"/>
      <c r="AN186" s="8"/>
      <c r="AO186" s="8"/>
    </row>
    <row r="187" spans="14:41" s="11" customFormat="1" ht="18.45">
      <c r="N187" s="8"/>
      <c r="O187" s="8"/>
      <c r="P187" s="8"/>
      <c r="Q187" s="8"/>
      <c r="R187" s="8"/>
      <c r="S187" s="8"/>
      <c r="T187" s="8"/>
      <c r="U187" s="8"/>
      <c r="AH187" s="8"/>
      <c r="AI187" s="8"/>
      <c r="AJ187" s="8"/>
      <c r="AK187" s="8"/>
      <c r="AL187" s="8"/>
      <c r="AM187" s="8"/>
      <c r="AN187" s="8"/>
      <c r="AO187" s="8"/>
    </row>
    <row r="188" spans="14:41" s="11" customFormat="1" ht="18.45">
      <c r="N188" s="8"/>
      <c r="O188" s="8"/>
      <c r="P188" s="8"/>
      <c r="Q188" s="8"/>
      <c r="R188" s="8"/>
      <c r="S188" s="8"/>
      <c r="T188" s="8"/>
      <c r="U188" s="8"/>
      <c r="AH188" s="8"/>
      <c r="AI188" s="8"/>
      <c r="AJ188" s="8"/>
      <c r="AK188" s="8"/>
      <c r="AL188" s="8"/>
      <c r="AM188" s="8"/>
      <c r="AN188" s="8"/>
      <c r="AO188" s="8"/>
    </row>
    <row r="189" spans="14:41" s="11" customFormat="1" ht="18.45">
      <c r="N189" s="8"/>
      <c r="O189" s="8"/>
      <c r="P189" s="8"/>
      <c r="Q189" s="8"/>
      <c r="R189" s="8"/>
      <c r="S189" s="8"/>
      <c r="T189" s="8"/>
      <c r="U189" s="8"/>
      <c r="AH189" s="8"/>
      <c r="AI189" s="8"/>
      <c r="AJ189" s="8"/>
      <c r="AK189" s="8"/>
      <c r="AL189" s="8"/>
      <c r="AM189" s="8"/>
      <c r="AN189" s="8"/>
      <c r="AO189" s="8"/>
    </row>
    <row r="190" spans="14:41" s="11" customFormat="1" ht="18.45">
      <c r="N190" s="8"/>
      <c r="O190" s="8"/>
      <c r="P190" s="8"/>
      <c r="Q190" s="8"/>
      <c r="R190" s="8"/>
      <c r="S190" s="8"/>
      <c r="T190" s="8"/>
      <c r="U190" s="8"/>
      <c r="AH190" s="8"/>
      <c r="AI190" s="8"/>
      <c r="AJ190" s="8"/>
      <c r="AK190" s="8"/>
      <c r="AL190" s="8"/>
      <c r="AM190" s="8"/>
      <c r="AN190" s="8"/>
      <c r="AO190" s="8"/>
    </row>
    <row r="191" spans="14:41" s="11" customFormat="1" ht="18.45">
      <c r="N191" s="8"/>
      <c r="O191" s="8"/>
      <c r="P191" s="8"/>
      <c r="Q191" s="8"/>
      <c r="R191" s="8"/>
      <c r="S191" s="8"/>
      <c r="T191" s="8"/>
      <c r="U191" s="8"/>
      <c r="AH191" s="8"/>
      <c r="AI191" s="8"/>
      <c r="AJ191" s="8"/>
      <c r="AK191" s="8"/>
      <c r="AL191" s="8"/>
      <c r="AM191" s="8"/>
      <c r="AN191" s="8"/>
      <c r="AO191" s="8"/>
    </row>
    <row r="192" spans="14:41" s="11" customFormat="1" ht="18.45">
      <c r="N192" s="8"/>
      <c r="O192" s="8"/>
      <c r="P192" s="8"/>
      <c r="Q192" s="8"/>
      <c r="R192" s="8"/>
      <c r="S192" s="8"/>
      <c r="T192" s="8"/>
      <c r="U192" s="8"/>
      <c r="AH192" s="8"/>
      <c r="AI192" s="8"/>
      <c r="AJ192" s="8"/>
      <c r="AK192" s="8"/>
      <c r="AL192" s="8"/>
      <c r="AM192" s="8"/>
      <c r="AN192" s="8"/>
      <c r="AO192" s="8"/>
    </row>
    <row r="193" spans="14:41" s="11" customFormat="1" ht="18.45">
      <c r="N193" s="8"/>
      <c r="O193" s="8"/>
      <c r="P193" s="8"/>
      <c r="Q193" s="8"/>
      <c r="R193" s="8"/>
      <c r="S193" s="8"/>
      <c r="T193" s="8"/>
      <c r="U193" s="8"/>
      <c r="AH193" s="8"/>
      <c r="AI193" s="8"/>
      <c r="AJ193" s="8"/>
      <c r="AK193" s="8"/>
      <c r="AL193" s="8"/>
      <c r="AM193" s="8"/>
      <c r="AN193" s="8"/>
      <c r="AO193" s="8"/>
    </row>
    <row r="194" spans="14:41" s="11" customFormat="1" ht="18.45">
      <c r="N194" s="8"/>
      <c r="O194" s="8"/>
      <c r="P194" s="8"/>
      <c r="Q194" s="8"/>
      <c r="R194" s="8"/>
      <c r="S194" s="8"/>
      <c r="T194" s="8"/>
      <c r="U194" s="8"/>
      <c r="AH194" s="8"/>
      <c r="AI194" s="8"/>
      <c r="AJ194" s="8"/>
      <c r="AK194" s="8"/>
      <c r="AL194" s="8"/>
      <c r="AM194" s="8"/>
      <c r="AN194" s="8"/>
      <c r="AO194" s="8"/>
    </row>
    <row r="195" spans="14:41" s="11" customFormat="1" ht="18.45">
      <c r="N195" s="8"/>
      <c r="O195" s="8"/>
      <c r="P195" s="8"/>
      <c r="Q195" s="8"/>
      <c r="R195" s="8"/>
      <c r="S195" s="8"/>
      <c r="T195" s="8"/>
      <c r="U195" s="8"/>
      <c r="AH195" s="8"/>
      <c r="AI195" s="8"/>
      <c r="AJ195" s="8"/>
      <c r="AK195" s="8"/>
      <c r="AL195" s="8"/>
      <c r="AM195" s="8"/>
      <c r="AN195" s="8"/>
      <c r="AO195" s="8"/>
    </row>
    <row r="196" spans="14:41" s="11" customFormat="1" ht="18.45">
      <c r="N196" s="8"/>
      <c r="O196" s="8"/>
      <c r="P196" s="8"/>
      <c r="Q196" s="8"/>
      <c r="R196" s="8"/>
      <c r="S196" s="8"/>
      <c r="T196" s="8"/>
      <c r="U196" s="8"/>
      <c r="AH196" s="8"/>
      <c r="AI196" s="8"/>
      <c r="AJ196" s="8"/>
      <c r="AK196" s="8"/>
      <c r="AL196" s="8"/>
      <c r="AM196" s="8"/>
      <c r="AN196" s="8"/>
      <c r="AO196" s="8"/>
    </row>
    <row r="197" spans="14:41" s="11" customFormat="1" ht="18.45">
      <c r="N197" s="8"/>
      <c r="O197" s="8"/>
      <c r="P197" s="8"/>
      <c r="Q197" s="8"/>
      <c r="R197" s="8"/>
      <c r="S197" s="8"/>
      <c r="T197" s="8"/>
      <c r="U197" s="8"/>
      <c r="AH197" s="8"/>
      <c r="AI197" s="8"/>
      <c r="AJ197" s="8"/>
      <c r="AK197" s="8"/>
      <c r="AL197" s="8"/>
      <c r="AM197" s="8"/>
      <c r="AN197" s="8"/>
      <c r="AO197" s="8"/>
    </row>
    <row r="198" spans="14:41" s="11" customFormat="1" ht="18.45">
      <c r="N198" s="8"/>
      <c r="O198" s="8"/>
      <c r="P198" s="8"/>
      <c r="Q198" s="8"/>
      <c r="R198" s="8"/>
      <c r="S198" s="8"/>
      <c r="T198" s="8"/>
      <c r="U198" s="8"/>
      <c r="AH198" s="8"/>
      <c r="AI198" s="8"/>
      <c r="AJ198" s="8"/>
      <c r="AK198" s="8"/>
      <c r="AL198" s="8"/>
      <c r="AM198" s="8"/>
      <c r="AN198" s="8"/>
      <c r="AO198" s="8"/>
    </row>
    <row r="199" spans="14:41" s="11" customFormat="1" ht="18.45">
      <c r="N199" s="8"/>
      <c r="O199" s="8"/>
      <c r="P199" s="8"/>
      <c r="Q199" s="8"/>
      <c r="R199" s="8"/>
      <c r="S199" s="8"/>
      <c r="T199" s="8"/>
      <c r="U199" s="8"/>
      <c r="AH199" s="8"/>
      <c r="AI199" s="8"/>
      <c r="AJ199" s="8"/>
      <c r="AK199" s="8"/>
      <c r="AL199" s="8"/>
      <c r="AM199" s="8"/>
      <c r="AN199" s="8"/>
      <c r="AO199" s="8"/>
    </row>
    <row r="200" spans="14:41" s="11" customFormat="1" ht="18.45">
      <c r="N200" s="8"/>
      <c r="O200" s="8"/>
      <c r="P200" s="8"/>
      <c r="Q200" s="8"/>
      <c r="R200" s="8"/>
      <c r="S200" s="8"/>
      <c r="T200" s="8"/>
      <c r="U200" s="8"/>
      <c r="AH200" s="8"/>
      <c r="AI200" s="8"/>
      <c r="AJ200" s="8"/>
      <c r="AK200" s="8"/>
      <c r="AL200" s="8"/>
      <c r="AM200" s="8"/>
      <c r="AN200" s="8"/>
      <c r="AO200" s="8"/>
    </row>
    <row r="201" spans="14:41" s="11" customFormat="1" ht="18.45">
      <c r="N201" s="8"/>
      <c r="O201" s="8"/>
      <c r="P201" s="8"/>
      <c r="Q201" s="8"/>
      <c r="R201" s="8"/>
      <c r="S201" s="8"/>
      <c r="T201" s="8"/>
      <c r="U201" s="8"/>
      <c r="AH201" s="8"/>
      <c r="AI201" s="8"/>
      <c r="AJ201" s="8"/>
      <c r="AK201" s="8"/>
      <c r="AL201" s="8"/>
      <c r="AM201" s="8"/>
      <c r="AN201" s="8"/>
      <c r="AO201" s="8"/>
    </row>
    <row r="202" spans="14:41" s="11" customFormat="1" ht="18.45">
      <c r="N202" s="8"/>
      <c r="O202" s="8"/>
      <c r="P202" s="8"/>
      <c r="Q202" s="8"/>
      <c r="R202" s="8"/>
      <c r="S202" s="8"/>
      <c r="T202" s="8"/>
      <c r="U202" s="8"/>
      <c r="AH202" s="8"/>
      <c r="AI202" s="8"/>
      <c r="AJ202" s="8"/>
      <c r="AK202" s="8"/>
      <c r="AL202" s="8"/>
      <c r="AM202" s="8"/>
      <c r="AN202" s="8"/>
      <c r="AO202" s="8"/>
    </row>
    <row r="203" spans="14:41" s="11" customFormat="1" ht="18.45">
      <c r="N203" s="8"/>
      <c r="O203" s="8"/>
      <c r="P203" s="8"/>
      <c r="Q203" s="8"/>
      <c r="R203" s="8"/>
      <c r="S203" s="8"/>
      <c r="T203" s="8"/>
      <c r="U203" s="8"/>
      <c r="AH203" s="8"/>
      <c r="AI203" s="8"/>
      <c r="AJ203" s="8"/>
      <c r="AK203" s="8"/>
      <c r="AL203" s="8"/>
      <c r="AM203" s="8"/>
      <c r="AN203" s="8"/>
      <c r="AO203" s="8"/>
    </row>
    <row r="204" spans="14:41" s="11" customFormat="1" ht="18.45">
      <c r="N204" s="8"/>
      <c r="O204" s="8"/>
      <c r="P204" s="8"/>
      <c r="Q204" s="8"/>
      <c r="R204" s="8"/>
      <c r="S204" s="8"/>
      <c r="T204" s="8"/>
      <c r="U204" s="8"/>
      <c r="AH204" s="8"/>
      <c r="AI204" s="8"/>
      <c r="AJ204" s="8"/>
      <c r="AK204" s="8"/>
      <c r="AL204" s="8"/>
      <c r="AM204" s="8"/>
      <c r="AN204" s="8"/>
      <c r="AO204" s="8"/>
    </row>
    <row r="205" spans="14:41" s="11" customFormat="1" ht="18.45">
      <c r="N205" s="8"/>
      <c r="O205" s="8"/>
      <c r="P205" s="8"/>
      <c r="Q205" s="8"/>
      <c r="R205" s="8"/>
      <c r="S205" s="8"/>
      <c r="T205" s="8"/>
      <c r="U205" s="8"/>
      <c r="AH205" s="8"/>
      <c r="AI205" s="8"/>
      <c r="AJ205" s="8"/>
      <c r="AK205" s="8"/>
      <c r="AL205" s="8"/>
      <c r="AM205" s="8"/>
      <c r="AN205" s="8"/>
      <c r="AO205" s="8"/>
    </row>
    <row r="206" spans="14:41" s="11" customFormat="1" ht="18.45">
      <c r="N206" s="8"/>
      <c r="O206" s="8"/>
      <c r="P206" s="8"/>
      <c r="Q206" s="8"/>
      <c r="R206" s="8"/>
      <c r="S206" s="8"/>
      <c r="T206" s="8"/>
      <c r="U206" s="8"/>
      <c r="AH206" s="8"/>
      <c r="AI206" s="8"/>
      <c r="AJ206" s="8"/>
      <c r="AK206" s="8"/>
      <c r="AL206" s="8"/>
      <c r="AM206" s="8"/>
      <c r="AN206" s="8"/>
      <c r="AO206" s="8"/>
    </row>
    <row r="207" spans="14:41" s="11" customFormat="1" ht="18.45">
      <c r="N207" s="8"/>
      <c r="O207" s="8"/>
      <c r="P207" s="8"/>
      <c r="Q207" s="8"/>
      <c r="R207" s="8"/>
      <c r="S207" s="8"/>
      <c r="T207" s="8"/>
      <c r="U207" s="8"/>
      <c r="AH207" s="8"/>
      <c r="AI207" s="8"/>
      <c r="AJ207" s="8"/>
      <c r="AK207" s="8"/>
      <c r="AL207" s="8"/>
      <c r="AM207" s="8"/>
      <c r="AN207" s="8"/>
      <c r="AO207" s="8"/>
    </row>
    <row r="208" spans="14:41" s="11" customFormat="1" ht="18.45">
      <c r="N208" s="8"/>
      <c r="O208" s="8"/>
      <c r="P208" s="8"/>
      <c r="Q208" s="8"/>
      <c r="R208" s="8"/>
      <c r="S208" s="8"/>
      <c r="T208" s="8"/>
      <c r="U208" s="8"/>
      <c r="AH208" s="8"/>
      <c r="AI208" s="8"/>
      <c r="AJ208" s="8"/>
      <c r="AK208" s="8"/>
      <c r="AL208" s="8"/>
      <c r="AM208" s="8"/>
      <c r="AN208" s="8"/>
      <c r="AO208" s="8"/>
    </row>
    <row r="209" spans="14:41" s="11" customFormat="1" ht="18.45">
      <c r="N209" s="8"/>
      <c r="O209" s="8"/>
      <c r="P209" s="8"/>
      <c r="Q209" s="8"/>
      <c r="R209" s="8"/>
      <c r="S209" s="8"/>
      <c r="T209" s="8"/>
      <c r="U209" s="8"/>
      <c r="AH209" s="8"/>
      <c r="AI209" s="8"/>
      <c r="AJ209" s="8"/>
      <c r="AK209" s="8"/>
      <c r="AL209" s="8"/>
      <c r="AM209" s="8"/>
      <c r="AN209" s="8"/>
      <c r="AO209" s="8"/>
    </row>
    <row r="210" spans="14:41" s="11" customFormat="1" ht="18.45">
      <c r="N210" s="8"/>
      <c r="O210" s="8"/>
      <c r="P210" s="8"/>
      <c r="Q210" s="8"/>
      <c r="R210" s="8"/>
      <c r="S210" s="8"/>
      <c r="T210" s="8"/>
      <c r="U210" s="8"/>
      <c r="AH210" s="8"/>
      <c r="AI210" s="8"/>
      <c r="AJ210" s="8"/>
      <c r="AK210" s="8"/>
      <c r="AL210" s="8"/>
      <c r="AM210" s="8"/>
      <c r="AN210" s="8"/>
      <c r="AO210" s="8"/>
    </row>
    <row r="211" spans="14:41" s="11" customFormat="1" ht="18.45">
      <c r="N211" s="8"/>
      <c r="O211" s="8"/>
      <c r="P211" s="8"/>
      <c r="Q211" s="8"/>
      <c r="R211" s="8"/>
      <c r="S211" s="8"/>
      <c r="T211" s="8"/>
      <c r="U211" s="8"/>
      <c r="AH211" s="8"/>
      <c r="AI211" s="8"/>
      <c r="AJ211" s="8"/>
      <c r="AK211" s="8"/>
      <c r="AL211" s="8"/>
      <c r="AM211" s="8"/>
      <c r="AN211" s="8"/>
      <c r="AO211" s="8"/>
    </row>
    <row r="212" spans="14:41" s="11" customFormat="1" ht="18.45">
      <c r="N212" s="8"/>
      <c r="O212" s="8"/>
      <c r="P212" s="8"/>
      <c r="Q212" s="8"/>
      <c r="R212" s="8"/>
      <c r="S212" s="8"/>
      <c r="T212" s="8"/>
      <c r="U212" s="8"/>
      <c r="AH212" s="8"/>
      <c r="AI212" s="8"/>
      <c r="AJ212" s="8"/>
      <c r="AK212" s="8"/>
      <c r="AL212" s="8"/>
      <c r="AM212" s="8"/>
      <c r="AN212" s="8"/>
      <c r="AO212" s="8"/>
    </row>
    <row r="213" spans="14:41" s="11" customFormat="1" ht="18.45">
      <c r="N213" s="8"/>
      <c r="O213" s="8"/>
      <c r="P213" s="8"/>
      <c r="Q213" s="8"/>
      <c r="R213" s="8"/>
      <c r="S213" s="8"/>
      <c r="T213" s="8"/>
      <c r="U213" s="8"/>
      <c r="AH213" s="8"/>
      <c r="AI213" s="8"/>
      <c r="AJ213" s="8"/>
      <c r="AK213" s="8"/>
      <c r="AL213" s="8"/>
      <c r="AM213" s="8"/>
      <c r="AN213" s="8"/>
      <c r="AO213" s="8"/>
    </row>
    <row r="214" spans="14:41" s="11" customFormat="1" ht="18.45">
      <c r="N214" s="8"/>
      <c r="O214" s="8"/>
      <c r="P214" s="8"/>
      <c r="Q214" s="8"/>
      <c r="R214" s="8"/>
      <c r="S214" s="8"/>
      <c r="T214" s="8"/>
      <c r="U214" s="8"/>
      <c r="AH214" s="8"/>
      <c r="AI214" s="8"/>
      <c r="AJ214" s="8"/>
      <c r="AK214" s="8"/>
      <c r="AL214" s="8"/>
      <c r="AM214" s="8"/>
      <c r="AN214" s="8"/>
      <c r="AO214" s="8"/>
    </row>
    <row r="215" spans="14:41" s="11" customFormat="1" ht="18.45">
      <c r="N215" s="8"/>
      <c r="O215" s="8"/>
      <c r="P215" s="8"/>
      <c r="Q215" s="8"/>
      <c r="R215" s="8"/>
      <c r="S215" s="8"/>
      <c r="T215" s="8"/>
      <c r="U215" s="8"/>
      <c r="AH215" s="8"/>
      <c r="AI215" s="8"/>
      <c r="AJ215" s="8"/>
      <c r="AK215" s="8"/>
      <c r="AL215" s="8"/>
      <c r="AM215" s="8"/>
      <c r="AN215" s="8"/>
      <c r="AO215" s="8"/>
    </row>
    <row r="216" spans="14:41" s="11" customFormat="1" ht="18.45">
      <c r="N216" s="8"/>
      <c r="O216" s="8"/>
      <c r="P216" s="8"/>
      <c r="Q216" s="8"/>
      <c r="R216" s="8"/>
      <c r="S216" s="8"/>
      <c r="T216" s="8"/>
      <c r="U216" s="8"/>
      <c r="AH216" s="8"/>
      <c r="AI216" s="8"/>
      <c r="AJ216" s="8"/>
      <c r="AK216" s="8"/>
      <c r="AL216" s="8"/>
      <c r="AM216" s="8"/>
      <c r="AN216" s="8"/>
      <c r="AO216" s="8"/>
    </row>
    <row r="217" spans="14:41" s="11" customFormat="1" ht="18.45">
      <c r="N217" s="8"/>
      <c r="O217" s="8"/>
      <c r="P217" s="8"/>
      <c r="Q217" s="8"/>
      <c r="R217" s="8"/>
      <c r="S217" s="8"/>
      <c r="T217" s="8"/>
      <c r="U217" s="8"/>
      <c r="AH217" s="8"/>
      <c r="AI217" s="8"/>
      <c r="AJ217" s="8"/>
      <c r="AK217" s="8"/>
      <c r="AL217" s="8"/>
      <c r="AM217" s="8"/>
      <c r="AN217" s="8"/>
      <c r="AO217" s="8"/>
    </row>
    <row r="218" spans="14:41" s="11" customFormat="1" ht="18.45">
      <c r="N218" s="8"/>
      <c r="O218" s="8"/>
      <c r="P218" s="8"/>
      <c r="Q218" s="8"/>
      <c r="R218" s="8"/>
      <c r="S218" s="8"/>
      <c r="T218" s="8"/>
      <c r="U218" s="8"/>
      <c r="AH218" s="8"/>
      <c r="AI218" s="8"/>
      <c r="AJ218" s="8"/>
      <c r="AK218" s="8"/>
      <c r="AL218" s="8"/>
      <c r="AM218" s="8"/>
      <c r="AN218" s="8"/>
      <c r="AO218" s="8"/>
    </row>
    <row r="219" spans="14:41" s="11" customFormat="1" ht="18.45">
      <c r="N219" s="8"/>
      <c r="O219" s="8"/>
      <c r="P219" s="8"/>
      <c r="Q219" s="8"/>
      <c r="R219" s="8"/>
      <c r="S219" s="8"/>
      <c r="T219" s="8"/>
      <c r="U219" s="8"/>
      <c r="AH219" s="8"/>
      <c r="AI219" s="8"/>
      <c r="AJ219" s="8"/>
      <c r="AK219" s="8"/>
      <c r="AL219" s="8"/>
      <c r="AM219" s="8"/>
      <c r="AN219" s="8"/>
      <c r="AO219" s="8"/>
    </row>
    <row r="220" spans="14:41" s="11" customFormat="1" ht="18.45">
      <c r="N220" s="8"/>
      <c r="O220" s="8"/>
      <c r="P220" s="8"/>
      <c r="Q220" s="8"/>
      <c r="R220" s="8"/>
      <c r="S220" s="8"/>
      <c r="T220" s="8"/>
      <c r="U220" s="8"/>
      <c r="AH220" s="8"/>
      <c r="AI220" s="8"/>
      <c r="AJ220" s="8"/>
      <c r="AK220" s="8"/>
      <c r="AL220" s="8"/>
      <c r="AM220" s="8"/>
      <c r="AN220" s="8"/>
      <c r="AO220" s="8"/>
    </row>
    <row r="221" spans="14:41" s="11" customFormat="1" ht="18.45">
      <c r="N221" s="8"/>
      <c r="O221" s="8"/>
      <c r="P221" s="8"/>
      <c r="Q221" s="8"/>
      <c r="R221" s="8"/>
      <c r="S221" s="8"/>
      <c r="T221" s="8"/>
      <c r="U221" s="8"/>
      <c r="AH221" s="8"/>
      <c r="AI221" s="8"/>
      <c r="AJ221" s="8"/>
      <c r="AK221" s="8"/>
      <c r="AL221" s="8"/>
      <c r="AM221" s="8"/>
      <c r="AN221" s="8"/>
      <c r="AO221" s="8"/>
    </row>
    <row r="222" spans="14:41" s="11" customFormat="1" ht="18.45">
      <c r="N222" s="8"/>
      <c r="O222" s="8"/>
      <c r="P222" s="8"/>
      <c r="Q222" s="8"/>
      <c r="R222" s="8"/>
      <c r="S222" s="8"/>
      <c r="T222" s="8"/>
      <c r="U222" s="8"/>
      <c r="AH222" s="8"/>
      <c r="AI222" s="8"/>
      <c r="AJ222" s="8"/>
      <c r="AK222" s="8"/>
      <c r="AL222" s="8"/>
      <c r="AM222" s="8"/>
      <c r="AN222" s="8"/>
      <c r="AO222" s="8"/>
    </row>
    <row r="223" spans="14:41" s="11" customFormat="1" ht="18.45">
      <c r="N223" s="8"/>
      <c r="O223" s="8"/>
      <c r="P223" s="8"/>
      <c r="Q223" s="8"/>
      <c r="R223" s="8"/>
      <c r="S223" s="8"/>
      <c r="T223" s="8"/>
      <c r="U223" s="8"/>
      <c r="AH223" s="8"/>
      <c r="AI223" s="8"/>
      <c r="AJ223" s="8"/>
      <c r="AK223" s="8"/>
      <c r="AL223" s="8"/>
      <c r="AM223" s="8"/>
      <c r="AN223" s="8"/>
      <c r="AO223" s="8"/>
    </row>
    <row r="224" spans="14:41" s="11" customFormat="1" ht="18.45">
      <c r="N224" s="8"/>
      <c r="O224" s="8"/>
      <c r="P224" s="8"/>
      <c r="Q224" s="8"/>
      <c r="R224" s="8"/>
      <c r="S224" s="8"/>
      <c r="T224" s="8"/>
      <c r="U224" s="8"/>
      <c r="AH224" s="8"/>
      <c r="AI224" s="8"/>
      <c r="AJ224" s="8"/>
      <c r="AK224" s="8"/>
      <c r="AL224" s="8"/>
      <c r="AM224" s="8"/>
      <c r="AN224" s="8"/>
      <c r="AO224" s="8"/>
    </row>
    <row r="225" spans="14:41" s="11" customFormat="1" ht="18.45">
      <c r="N225" s="8"/>
      <c r="O225" s="8"/>
      <c r="P225" s="8"/>
      <c r="Q225" s="8"/>
      <c r="R225" s="8"/>
      <c r="S225" s="8"/>
      <c r="T225" s="8"/>
      <c r="U225" s="8"/>
      <c r="AH225" s="8"/>
      <c r="AI225" s="8"/>
      <c r="AJ225" s="8"/>
      <c r="AK225" s="8"/>
      <c r="AL225" s="8"/>
      <c r="AM225" s="8"/>
      <c r="AN225" s="8"/>
      <c r="AO225" s="8"/>
    </row>
    <row r="226" spans="14:41" s="11" customFormat="1" ht="18.45">
      <c r="N226" s="8"/>
      <c r="O226" s="8"/>
      <c r="P226" s="8"/>
      <c r="Q226" s="8"/>
      <c r="R226" s="8"/>
      <c r="S226" s="8"/>
      <c r="T226" s="8"/>
      <c r="U226" s="8"/>
      <c r="AH226" s="8"/>
      <c r="AI226" s="8"/>
      <c r="AJ226" s="8"/>
      <c r="AK226" s="8"/>
      <c r="AL226" s="8"/>
      <c r="AM226" s="8"/>
      <c r="AN226" s="8"/>
      <c r="AO226" s="8"/>
    </row>
    <row r="227" spans="14:41" s="11" customFormat="1" ht="18.45">
      <c r="N227" s="8"/>
      <c r="O227" s="8"/>
      <c r="P227" s="8"/>
      <c r="Q227" s="8"/>
      <c r="R227" s="8"/>
      <c r="S227" s="8"/>
      <c r="T227" s="8"/>
      <c r="U227" s="8"/>
      <c r="AH227" s="8"/>
      <c r="AI227" s="8"/>
      <c r="AJ227" s="8"/>
      <c r="AK227" s="8"/>
      <c r="AL227" s="8"/>
      <c r="AM227" s="8"/>
      <c r="AN227" s="8"/>
      <c r="AO227" s="8"/>
    </row>
    <row r="228" spans="14:41" s="11" customFormat="1" ht="18.45">
      <c r="N228" s="8"/>
      <c r="O228" s="8"/>
      <c r="P228" s="8"/>
      <c r="Q228" s="8"/>
      <c r="R228" s="8"/>
      <c r="S228" s="8"/>
      <c r="T228" s="8"/>
      <c r="U228" s="8"/>
      <c r="AH228" s="8"/>
      <c r="AI228" s="8"/>
      <c r="AJ228" s="8"/>
      <c r="AK228" s="8"/>
      <c r="AL228" s="8"/>
      <c r="AM228" s="8"/>
      <c r="AN228" s="8"/>
      <c r="AO228" s="8"/>
    </row>
    <row r="229" spans="14:41" s="11" customFormat="1" ht="18.45">
      <c r="N229" s="8"/>
      <c r="O229" s="8"/>
      <c r="P229" s="8"/>
      <c r="Q229" s="8"/>
      <c r="R229" s="8"/>
      <c r="S229" s="8"/>
      <c r="T229" s="8"/>
      <c r="U229" s="8"/>
      <c r="AH229" s="8"/>
      <c r="AI229" s="8"/>
      <c r="AJ229" s="8"/>
      <c r="AK229" s="8"/>
      <c r="AL229" s="8"/>
      <c r="AM229" s="8"/>
      <c r="AN229" s="8"/>
      <c r="AO229" s="8"/>
    </row>
    <row r="230" spans="14:41" s="11" customFormat="1" ht="18.45">
      <c r="N230" s="8"/>
      <c r="O230" s="8"/>
      <c r="P230" s="8"/>
      <c r="Q230" s="8"/>
      <c r="R230" s="8"/>
      <c r="S230" s="8"/>
      <c r="T230" s="8"/>
      <c r="U230" s="8"/>
      <c r="AH230" s="8"/>
      <c r="AI230" s="8"/>
      <c r="AJ230" s="8"/>
      <c r="AK230" s="8"/>
      <c r="AL230" s="8"/>
      <c r="AM230" s="8"/>
      <c r="AN230" s="8"/>
      <c r="AO230" s="8"/>
    </row>
    <row r="231" spans="14:41" s="11" customFormat="1" ht="18.45">
      <c r="N231" s="8"/>
      <c r="O231" s="8"/>
      <c r="P231" s="8"/>
      <c r="Q231" s="8"/>
      <c r="R231" s="8"/>
      <c r="S231" s="8"/>
      <c r="T231" s="8"/>
      <c r="U231" s="8"/>
      <c r="AH231" s="8"/>
      <c r="AI231" s="8"/>
      <c r="AJ231" s="8"/>
      <c r="AK231" s="8"/>
      <c r="AL231" s="8"/>
      <c r="AM231" s="8"/>
      <c r="AN231" s="8"/>
      <c r="AO231" s="8"/>
    </row>
    <row r="232" spans="14:41" s="11" customFormat="1" ht="18.45">
      <c r="N232" s="8"/>
      <c r="O232" s="8"/>
      <c r="P232" s="8"/>
      <c r="Q232" s="8"/>
      <c r="R232" s="8"/>
      <c r="S232" s="8"/>
      <c r="T232" s="8"/>
      <c r="U232" s="8"/>
      <c r="AH232" s="8"/>
      <c r="AI232" s="8"/>
      <c r="AJ232" s="8"/>
      <c r="AK232" s="8"/>
      <c r="AL232" s="8"/>
      <c r="AM232" s="8"/>
      <c r="AN232" s="8"/>
      <c r="AO232" s="8"/>
    </row>
    <row r="233" spans="14:41" s="11" customFormat="1" ht="18.45">
      <c r="N233" s="8"/>
      <c r="O233" s="8"/>
      <c r="P233" s="8"/>
      <c r="Q233" s="8"/>
      <c r="R233" s="8"/>
      <c r="S233" s="8"/>
      <c r="T233" s="8"/>
      <c r="U233" s="8"/>
      <c r="AH233" s="8"/>
      <c r="AI233" s="8"/>
      <c r="AJ233" s="8"/>
      <c r="AK233" s="8"/>
      <c r="AL233" s="8"/>
      <c r="AM233" s="8"/>
      <c r="AN233" s="8"/>
      <c r="AO233" s="8"/>
    </row>
    <row r="234" spans="14:41" s="11" customFormat="1" ht="18.45">
      <c r="N234" s="8"/>
      <c r="O234" s="8"/>
      <c r="P234" s="8"/>
      <c r="Q234" s="8"/>
      <c r="R234" s="8"/>
      <c r="S234" s="8"/>
      <c r="T234" s="8"/>
      <c r="U234" s="8"/>
      <c r="AH234" s="8"/>
      <c r="AI234" s="8"/>
      <c r="AJ234" s="8"/>
      <c r="AK234" s="8"/>
      <c r="AL234" s="8"/>
      <c r="AM234" s="8"/>
      <c r="AN234" s="8"/>
      <c r="AO234" s="8"/>
    </row>
    <row r="235" spans="14:41" s="11" customFormat="1" ht="18.45">
      <c r="N235" s="8"/>
      <c r="O235" s="8"/>
      <c r="P235" s="8"/>
      <c r="Q235" s="8"/>
      <c r="R235" s="8"/>
      <c r="S235" s="8"/>
      <c r="T235" s="8"/>
      <c r="U235" s="8"/>
      <c r="AH235" s="8"/>
      <c r="AI235" s="8"/>
      <c r="AJ235" s="8"/>
      <c r="AK235" s="8"/>
      <c r="AL235" s="8"/>
      <c r="AM235" s="8"/>
      <c r="AN235" s="8"/>
      <c r="AO235" s="8"/>
    </row>
    <row r="236" spans="14:41" s="11" customFormat="1" ht="18.45">
      <c r="N236" s="8"/>
      <c r="O236" s="8"/>
      <c r="P236" s="8"/>
      <c r="Q236" s="8"/>
      <c r="R236" s="8"/>
      <c r="S236" s="8"/>
      <c r="T236" s="8"/>
      <c r="U236" s="8"/>
      <c r="AH236" s="8"/>
      <c r="AI236" s="8"/>
      <c r="AJ236" s="8"/>
      <c r="AK236" s="8"/>
      <c r="AL236" s="8"/>
      <c r="AM236" s="8"/>
      <c r="AN236" s="8"/>
      <c r="AO236" s="8"/>
    </row>
    <row r="237" spans="14:41" s="11" customFormat="1" ht="18.45">
      <c r="N237" s="8"/>
      <c r="O237" s="8"/>
      <c r="P237" s="8"/>
      <c r="Q237" s="8"/>
      <c r="R237" s="8"/>
      <c r="S237" s="8"/>
      <c r="T237" s="8"/>
      <c r="U237" s="8"/>
      <c r="AH237" s="8"/>
      <c r="AI237" s="8"/>
      <c r="AJ237" s="8"/>
      <c r="AK237" s="8"/>
      <c r="AL237" s="8"/>
      <c r="AM237" s="8"/>
      <c r="AN237" s="8"/>
      <c r="AO237" s="8"/>
    </row>
    <row r="238" spans="14:41" s="11" customFormat="1" ht="18.45">
      <c r="N238" s="8"/>
      <c r="O238" s="8"/>
      <c r="P238" s="8"/>
      <c r="Q238" s="8"/>
      <c r="R238" s="8"/>
      <c r="S238" s="8"/>
      <c r="T238" s="8"/>
      <c r="U238" s="8"/>
      <c r="AH238" s="8"/>
      <c r="AI238" s="8"/>
      <c r="AJ238" s="8"/>
      <c r="AK238" s="8"/>
      <c r="AL238" s="8"/>
      <c r="AM238" s="8"/>
      <c r="AN238" s="8"/>
      <c r="AO238" s="8"/>
    </row>
    <row r="239" spans="14:41" s="11" customFormat="1" ht="18.45">
      <c r="N239" s="8"/>
      <c r="O239" s="8"/>
      <c r="P239" s="8"/>
      <c r="Q239" s="8"/>
      <c r="R239" s="8"/>
      <c r="S239" s="8"/>
      <c r="T239" s="8"/>
      <c r="U239" s="8"/>
      <c r="AH239" s="8"/>
      <c r="AI239" s="8"/>
      <c r="AJ239" s="8"/>
      <c r="AK239" s="8"/>
      <c r="AL239" s="8"/>
      <c r="AM239" s="8"/>
      <c r="AN239" s="8"/>
      <c r="AO239" s="8"/>
    </row>
    <row r="240" spans="14:41" s="11" customFormat="1" ht="18.45">
      <c r="N240" s="8"/>
      <c r="O240" s="8"/>
      <c r="P240" s="8"/>
      <c r="Q240" s="8"/>
      <c r="R240" s="8"/>
      <c r="S240" s="8"/>
      <c r="T240" s="8"/>
      <c r="U240" s="8"/>
      <c r="AH240" s="8"/>
      <c r="AI240" s="8"/>
      <c r="AJ240" s="8"/>
      <c r="AK240" s="8"/>
      <c r="AL240" s="8"/>
      <c r="AM240" s="8"/>
      <c r="AN240" s="8"/>
      <c r="AO240" s="8"/>
    </row>
    <row r="241" spans="14:41" s="11" customFormat="1" ht="18.45">
      <c r="N241" s="8"/>
      <c r="O241" s="8"/>
      <c r="P241" s="8"/>
      <c r="Q241" s="8"/>
      <c r="R241" s="8"/>
      <c r="S241" s="8"/>
      <c r="T241" s="8"/>
      <c r="U241" s="8"/>
      <c r="AH241" s="8"/>
      <c r="AI241" s="8"/>
      <c r="AJ241" s="8"/>
      <c r="AK241" s="8"/>
      <c r="AL241" s="8"/>
      <c r="AM241" s="8"/>
      <c r="AN241" s="8"/>
      <c r="AO241" s="8"/>
    </row>
    <row r="242" spans="14:41" s="11" customFormat="1" ht="18.45">
      <c r="N242" s="8"/>
      <c r="O242" s="8"/>
      <c r="P242" s="8"/>
      <c r="Q242" s="8"/>
      <c r="R242" s="8"/>
      <c r="S242" s="8"/>
      <c r="T242" s="8"/>
      <c r="U242" s="8"/>
      <c r="AH242" s="8"/>
      <c r="AI242" s="8"/>
      <c r="AJ242" s="8"/>
      <c r="AK242" s="8"/>
      <c r="AL242" s="8"/>
      <c r="AM242" s="8"/>
      <c r="AN242" s="8"/>
      <c r="AO242" s="8"/>
    </row>
    <row r="243" spans="14:41" s="11" customFormat="1" ht="18.45">
      <c r="N243" s="8"/>
      <c r="O243" s="8"/>
      <c r="P243" s="8"/>
      <c r="Q243" s="8"/>
      <c r="R243" s="8"/>
      <c r="S243" s="8"/>
      <c r="T243" s="8"/>
      <c r="U243" s="8"/>
      <c r="AH243" s="8"/>
      <c r="AI243" s="8"/>
      <c r="AJ243" s="8"/>
      <c r="AK243" s="8"/>
      <c r="AL243" s="8"/>
      <c r="AM243" s="8"/>
      <c r="AN243" s="8"/>
      <c r="AO243" s="8"/>
    </row>
    <row r="244" spans="14:41" s="11" customFormat="1" ht="18.45">
      <c r="N244" s="8"/>
      <c r="O244" s="8"/>
      <c r="P244" s="8"/>
      <c r="Q244" s="8"/>
      <c r="R244" s="8"/>
      <c r="S244" s="8"/>
      <c r="T244" s="8"/>
      <c r="U244" s="8"/>
      <c r="AH244" s="8"/>
      <c r="AI244" s="8"/>
      <c r="AJ244" s="8"/>
      <c r="AK244" s="8"/>
      <c r="AL244" s="8"/>
      <c r="AM244" s="8"/>
      <c r="AN244" s="8"/>
      <c r="AO244" s="8"/>
    </row>
    <row r="245" spans="14:41" s="11" customFormat="1" ht="18.45">
      <c r="N245" s="8"/>
      <c r="O245" s="8"/>
      <c r="P245" s="8"/>
      <c r="Q245" s="8"/>
      <c r="R245" s="8"/>
      <c r="S245" s="8"/>
      <c r="T245" s="8"/>
      <c r="U245" s="8"/>
      <c r="AH245" s="8"/>
      <c r="AI245" s="8"/>
      <c r="AJ245" s="8"/>
      <c r="AK245" s="8"/>
      <c r="AL245" s="8"/>
      <c r="AM245" s="8"/>
      <c r="AN245" s="8"/>
      <c r="AO245" s="8"/>
    </row>
    <row r="246" spans="14:41" s="11" customFormat="1" ht="18.45">
      <c r="N246" s="8"/>
      <c r="O246" s="8"/>
      <c r="P246" s="8"/>
      <c r="Q246" s="8"/>
      <c r="R246" s="8"/>
      <c r="S246" s="8"/>
      <c r="T246" s="8"/>
      <c r="U246" s="8"/>
      <c r="AH246" s="8"/>
      <c r="AI246" s="8"/>
      <c r="AJ246" s="8"/>
      <c r="AK246" s="8"/>
      <c r="AL246" s="8"/>
      <c r="AM246" s="8"/>
      <c r="AN246" s="8"/>
      <c r="AO246" s="8"/>
    </row>
    <row r="247" spans="14:41" s="11" customFormat="1" ht="18.45">
      <c r="N247" s="8"/>
      <c r="O247" s="8"/>
      <c r="P247" s="8"/>
      <c r="Q247" s="8"/>
      <c r="R247" s="8"/>
      <c r="S247" s="8"/>
      <c r="T247" s="8"/>
      <c r="U247" s="8"/>
      <c r="AH247" s="8"/>
      <c r="AI247" s="8"/>
      <c r="AJ247" s="8"/>
      <c r="AK247" s="8"/>
      <c r="AL247" s="8"/>
      <c r="AM247" s="8"/>
      <c r="AN247" s="8"/>
      <c r="AO247" s="8"/>
    </row>
    <row r="248" spans="14:41" s="11" customFormat="1" ht="18.45">
      <c r="N248" s="8"/>
      <c r="O248" s="8"/>
      <c r="P248" s="8"/>
      <c r="Q248" s="8"/>
      <c r="R248" s="8"/>
      <c r="S248" s="8"/>
      <c r="T248" s="8"/>
      <c r="U248" s="8"/>
      <c r="AH248" s="8"/>
      <c r="AI248" s="8"/>
      <c r="AJ248" s="8"/>
      <c r="AK248" s="8"/>
      <c r="AL248" s="8"/>
      <c r="AM248" s="8"/>
      <c r="AN248" s="8"/>
      <c r="AO248" s="8"/>
    </row>
    <row r="249" spans="14:41" s="11" customFormat="1" ht="18.45">
      <c r="N249" s="8"/>
      <c r="O249" s="8"/>
      <c r="P249" s="8"/>
      <c r="Q249" s="8"/>
      <c r="R249" s="8"/>
      <c r="S249" s="8"/>
      <c r="T249" s="8"/>
      <c r="U249" s="8"/>
      <c r="AH249" s="8"/>
      <c r="AI249" s="8"/>
      <c r="AJ249" s="8"/>
      <c r="AK249" s="8"/>
      <c r="AL249" s="8"/>
      <c r="AM249" s="8"/>
      <c r="AN249" s="8"/>
      <c r="AO249" s="8"/>
    </row>
    <row r="250" spans="14:41" s="11" customFormat="1" ht="18.45">
      <c r="N250" s="8"/>
      <c r="O250" s="8"/>
      <c r="P250" s="8"/>
      <c r="Q250" s="8"/>
      <c r="R250" s="8"/>
      <c r="S250" s="8"/>
      <c r="T250" s="8"/>
      <c r="U250" s="8"/>
      <c r="AH250" s="8"/>
      <c r="AI250" s="8"/>
      <c r="AJ250" s="8"/>
      <c r="AK250" s="8"/>
      <c r="AL250" s="8"/>
      <c r="AM250" s="8"/>
      <c r="AN250" s="8"/>
      <c r="AO250" s="8"/>
    </row>
    <row r="251" spans="14:41" s="11" customFormat="1" ht="18.45">
      <c r="N251" s="8"/>
      <c r="O251" s="8"/>
      <c r="P251" s="8"/>
      <c r="Q251" s="8"/>
      <c r="R251" s="8"/>
      <c r="S251" s="8"/>
      <c r="T251" s="8"/>
      <c r="U251" s="8"/>
      <c r="AH251" s="8"/>
      <c r="AI251" s="8"/>
      <c r="AJ251" s="8"/>
      <c r="AK251" s="8"/>
      <c r="AL251" s="8"/>
      <c r="AM251" s="8"/>
      <c r="AN251" s="8"/>
      <c r="AO251" s="8"/>
    </row>
    <row r="252" spans="14:41" s="11" customFormat="1" ht="18.45">
      <c r="N252" s="8"/>
      <c r="O252" s="8"/>
      <c r="P252" s="8"/>
      <c r="Q252" s="8"/>
      <c r="R252" s="8"/>
      <c r="S252" s="8"/>
      <c r="T252" s="8"/>
      <c r="U252" s="8"/>
      <c r="AH252" s="8"/>
      <c r="AI252" s="8"/>
      <c r="AJ252" s="8"/>
      <c r="AK252" s="8"/>
      <c r="AL252" s="8"/>
      <c r="AM252" s="8"/>
      <c r="AN252" s="8"/>
      <c r="AO252" s="8"/>
    </row>
    <row r="253" spans="14:41" s="11" customFormat="1" ht="18.45">
      <c r="N253" s="8"/>
      <c r="O253" s="8"/>
      <c r="P253" s="8"/>
      <c r="Q253" s="8"/>
      <c r="R253" s="8"/>
      <c r="S253" s="8"/>
      <c r="T253" s="8"/>
      <c r="U253" s="8"/>
      <c r="AH253" s="8"/>
      <c r="AI253" s="8"/>
      <c r="AJ253" s="8"/>
      <c r="AK253" s="8"/>
      <c r="AL253" s="8"/>
      <c r="AM253" s="8"/>
      <c r="AN253" s="8"/>
      <c r="AO253" s="8"/>
    </row>
    <row r="254" spans="14:41" s="11" customFormat="1" ht="18.45">
      <c r="N254" s="8"/>
      <c r="O254" s="8"/>
      <c r="P254" s="8"/>
      <c r="Q254" s="8"/>
      <c r="R254" s="8"/>
      <c r="S254" s="8"/>
      <c r="T254" s="8"/>
      <c r="U254" s="8"/>
      <c r="AH254" s="8"/>
      <c r="AI254" s="8"/>
      <c r="AJ254" s="8"/>
      <c r="AK254" s="8"/>
      <c r="AL254" s="8"/>
      <c r="AM254" s="8"/>
      <c r="AN254" s="8"/>
      <c r="AO254" s="8"/>
    </row>
    <row r="255" spans="14:41" s="11" customFormat="1" ht="18.45">
      <c r="N255" s="8"/>
      <c r="O255" s="8"/>
      <c r="P255" s="8"/>
      <c r="Q255" s="8"/>
      <c r="R255" s="8"/>
      <c r="S255" s="8"/>
      <c r="T255" s="8"/>
      <c r="U255" s="8"/>
      <c r="AH255" s="8"/>
      <c r="AI255" s="8"/>
      <c r="AJ255" s="8"/>
      <c r="AK255" s="8"/>
      <c r="AL255" s="8"/>
      <c r="AM255" s="8"/>
      <c r="AN255" s="8"/>
      <c r="AO255" s="8"/>
    </row>
    <row r="256" spans="14:41" s="11" customFormat="1" ht="18.45">
      <c r="N256" s="8"/>
      <c r="O256" s="8"/>
      <c r="P256" s="8"/>
      <c r="Q256" s="8"/>
      <c r="R256" s="8"/>
      <c r="S256" s="8"/>
      <c r="T256" s="8"/>
      <c r="U256" s="8"/>
      <c r="AH256" s="8"/>
      <c r="AI256" s="8"/>
      <c r="AJ256" s="8"/>
      <c r="AK256" s="8"/>
      <c r="AL256" s="8"/>
      <c r="AM256" s="8"/>
      <c r="AN256" s="8"/>
      <c r="AO256" s="8"/>
    </row>
    <row r="257" spans="14:41" s="11" customFormat="1" ht="18.45">
      <c r="N257" s="8"/>
      <c r="O257" s="8"/>
      <c r="P257" s="8"/>
      <c r="Q257" s="8"/>
      <c r="R257" s="8"/>
      <c r="S257" s="8"/>
      <c r="T257" s="8"/>
      <c r="U257" s="8"/>
      <c r="AH257" s="8"/>
      <c r="AI257" s="8"/>
      <c r="AJ257" s="8"/>
      <c r="AK257" s="8"/>
      <c r="AL257" s="8"/>
      <c r="AM257" s="8"/>
      <c r="AN257" s="8"/>
      <c r="AO257" s="8"/>
    </row>
    <row r="258" spans="14:41" s="11" customFormat="1" ht="18.45">
      <c r="N258" s="8"/>
      <c r="O258" s="8"/>
      <c r="P258" s="8"/>
      <c r="Q258" s="8"/>
      <c r="R258" s="8"/>
      <c r="S258" s="8"/>
      <c r="T258" s="8"/>
      <c r="U258" s="8"/>
      <c r="AH258" s="8"/>
      <c r="AI258" s="8"/>
      <c r="AJ258" s="8"/>
      <c r="AK258" s="8"/>
      <c r="AL258" s="8"/>
      <c r="AM258" s="8"/>
      <c r="AN258" s="8"/>
      <c r="AO258" s="8"/>
    </row>
    <row r="259" spans="14:41" s="11" customFormat="1" ht="18.45">
      <c r="N259" s="8"/>
      <c r="O259" s="8"/>
      <c r="P259" s="8"/>
      <c r="Q259" s="8"/>
      <c r="R259" s="8"/>
      <c r="S259" s="8"/>
      <c r="T259" s="8"/>
      <c r="U259" s="8"/>
      <c r="AH259" s="8"/>
      <c r="AI259" s="8"/>
      <c r="AJ259" s="8"/>
      <c r="AK259" s="8"/>
      <c r="AL259" s="8"/>
      <c r="AM259" s="8"/>
      <c r="AN259" s="8"/>
      <c r="AO259" s="8"/>
    </row>
    <row r="260" spans="14:41" s="11" customFormat="1" ht="18.45">
      <c r="N260" s="8"/>
      <c r="O260" s="8"/>
      <c r="P260" s="8"/>
      <c r="Q260" s="8"/>
      <c r="R260" s="8"/>
      <c r="S260" s="8"/>
      <c r="T260" s="8"/>
      <c r="U260" s="8"/>
      <c r="AH260" s="8"/>
      <c r="AI260" s="8"/>
      <c r="AJ260" s="8"/>
      <c r="AK260" s="8"/>
      <c r="AL260" s="8"/>
      <c r="AM260" s="8"/>
      <c r="AN260" s="8"/>
      <c r="AO260" s="8"/>
    </row>
    <row r="261" spans="14:41" s="11" customFormat="1" ht="18.45">
      <c r="N261" s="8"/>
      <c r="O261" s="8"/>
      <c r="P261" s="8"/>
      <c r="Q261" s="8"/>
      <c r="R261" s="8"/>
      <c r="S261" s="8"/>
      <c r="T261" s="8"/>
      <c r="U261" s="8"/>
      <c r="AH261" s="8"/>
      <c r="AI261" s="8"/>
      <c r="AJ261" s="8"/>
      <c r="AK261" s="8"/>
      <c r="AL261" s="8"/>
      <c r="AM261" s="8"/>
      <c r="AN261" s="8"/>
      <c r="AO261" s="8"/>
    </row>
    <row r="262" spans="14:41" s="11" customFormat="1" ht="18.45">
      <c r="N262" s="8"/>
      <c r="O262" s="8"/>
      <c r="P262" s="8"/>
      <c r="Q262" s="8"/>
      <c r="R262" s="8"/>
      <c r="S262" s="8"/>
      <c r="T262" s="8"/>
      <c r="U262" s="8"/>
      <c r="AH262" s="8"/>
      <c r="AI262" s="8"/>
      <c r="AJ262" s="8"/>
      <c r="AK262" s="8"/>
      <c r="AL262" s="8"/>
      <c r="AM262" s="8"/>
      <c r="AN262" s="8"/>
      <c r="AO262" s="8"/>
    </row>
    <row r="263" spans="14:41" s="11" customFormat="1" ht="18.45">
      <c r="N263" s="8"/>
      <c r="O263" s="8"/>
      <c r="P263" s="8"/>
      <c r="Q263" s="8"/>
      <c r="R263" s="8"/>
      <c r="S263" s="8"/>
      <c r="T263" s="8"/>
      <c r="U263" s="8"/>
      <c r="AH263" s="8"/>
      <c r="AI263" s="8"/>
      <c r="AJ263" s="8"/>
      <c r="AK263" s="8"/>
      <c r="AL263" s="8"/>
      <c r="AM263" s="8"/>
      <c r="AN263" s="8"/>
      <c r="AO263" s="8"/>
    </row>
    <row r="264" spans="14:41" s="11" customFormat="1" ht="18.45">
      <c r="N264" s="8"/>
      <c r="O264" s="8"/>
      <c r="P264" s="8"/>
      <c r="Q264" s="8"/>
      <c r="R264" s="8"/>
      <c r="S264" s="8"/>
      <c r="T264" s="8"/>
      <c r="U264" s="8"/>
      <c r="AH264" s="8"/>
      <c r="AI264" s="8"/>
      <c r="AJ264" s="8"/>
      <c r="AK264" s="8"/>
      <c r="AL264" s="8"/>
      <c r="AM264" s="8"/>
      <c r="AN264" s="8"/>
      <c r="AO264" s="8"/>
    </row>
    <row r="265" spans="14:41" s="11" customFormat="1" ht="18.45">
      <c r="N265" s="8"/>
      <c r="O265" s="8"/>
      <c r="P265" s="8"/>
      <c r="Q265" s="8"/>
      <c r="R265" s="8"/>
      <c r="S265" s="8"/>
      <c r="T265" s="8"/>
      <c r="U265" s="8"/>
      <c r="AH265" s="8"/>
      <c r="AI265" s="8"/>
      <c r="AJ265" s="8"/>
      <c r="AK265" s="8"/>
      <c r="AL265" s="8"/>
      <c r="AM265" s="8"/>
      <c r="AN265" s="8"/>
      <c r="AO265" s="8"/>
    </row>
    <row r="266" spans="14:41" s="11" customFormat="1" ht="18.45">
      <c r="N266" s="8"/>
      <c r="O266" s="8"/>
      <c r="P266" s="8"/>
      <c r="Q266" s="8"/>
      <c r="R266" s="8"/>
      <c r="S266" s="8"/>
      <c r="T266" s="8"/>
      <c r="U266" s="8"/>
      <c r="AH266" s="8"/>
      <c r="AI266" s="8"/>
      <c r="AJ266" s="8"/>
      <c r="AK266" s="8"/>
      <c r="AL266" s="8"/>
      <c r="AM266" s="8"/>
      <c r="AN266" s="8"/>
      <c r="AO266" s="8"/>
    </row>
    <row r="267" spans="14:41" s="11" customFormat="1" ht="18.45">
      <c r="N267" s="8"/>
      <c r="O267" s="8"/>
      <c r="P267" s="8"/>
      <c r="Q267" s="8"/>
      <c r="R267" s="8"/>
      <c r="S267" s="8"/>
      <c r="T267" s="8"/>
      <c r="U267" s="8"/>
      <c r="AH267" s="8"/>
      <c r="AI267" s="8"/>
      <c r="AJ267" s="8"/>
      <c r="AK267" s="8"/>
      <c r="AL267" s="8"/>
      <c r="AM267" s="8"/>
      <c r="AN267" s="8"/>
      <c r="AO267" s="8"/>
    </row>
    <row r="268" spans="14:41" s="11" customFormat="1" ht="18.45">
      <c r="N268" s="8"/>
      <c r="O268" s="8"/>
      <c r="P268" s="8"/>
      <c r="Q268" s="8"/>
      <c r="R268" s="8"/>
      <c r="S268" s="8"/>
      <c r="T268" s="8"/>
      <c r="U268" s="8"/>
      <c r="AH268" s="8"/>
      <c r="AI268" s="8"/>
      <c r="AJ268" s="8"/>
      <c r="AK268" s="8"/>
      <c r="AL268" s="8"/>
      <c r="AM268" s="8"/>
      <c r="AN268" s="8"/>
      <c r="AO268" s="8"/>
    </row>
    <row r="269" spans="14:41" s="11" customFormat="1" ht="18.45">
      <c r="N269" s="8"/>
      <c r="O269" s="8"/>
      <c r="P269" s="8"/>
      <c r="Q269" s="8"/>
      <c r="R269" s="8"/>
      <c r="S269" s="8"/>
      <c r="T269" s="8"/>
      <c r="U269" s="8"/>
      <c r="AH269" s="8"/>
      <c r="AI269" s="8"/>
      <c r="AJ269" s="8"/>
      <c r="AK269" s="8"/>
      <c r="AL269" s="8"/>
      <c r="AM269" s="8"/>
      <c r="AN269" s="8"/>
      <c r="AO269" s="8"/>
    </row>
    <row r="270" spans="14:41" s="11" customFormat="1" ht="18.45">
      <c r="N270" s="8"/>
      <c r="O270" s="8"/>
      <c r="P270" s="8"/>
      <c r="Q270" s="8"/>
      <c r="R270" s="8"/>
      <c r="S270" s="8"/>
      <c r="T270" s="8"/>
      <c r="U270" s="8"/>
      <c r="AH270" s="8"/>
      <c r="AI270" s="8"/>
      <c r="AJ270" s="8"/>
      <c r="AK270" s="8"/>
      <c r="AL270" s="8"/>
      <c r="AM270" s="8"/>
      <c r="AN270" s="8"/>
      <c r="AO270" s="8"/>
    </row>
    <row r="271" spans="14:41" s="11" customFormat="1" ht="18.45">
      <c r="N271" s="8"/>
      <c r="O271" s="8"/>
      <c r="P271" s="8"/>
      <c r="Q271" s="8"/>
      <c r="R271" s="8"/>
      <c r="S271" s="8"/>
      <c r="T271" s="8"/>
      <c r="U271" s="8"/>
      <c r="AH271" s="8"/>
      <c r="AI271" s="8"/>
      <c r="AJ271" s="8"/>
      <c r="AK271" s="8"/>
      <c r="AL271" s="8"/>
      <c r="AM271" s="8"/>
      <c r="AN271" s="8"/>
      <c r="AO271" s="8"/>
    </row>
    <row r="272" spans="14:41" s="11" customFormat="1" ht="18.45">
      <c r="N272" s="8"/>
      <c r="O272" s="8"/>
      <c r="P272" s="8"/>
      <c r="Q272" s="8"/>
      <c r="R272" s="8"/>
      <c r="S272" s="8"/>
      <c r="T272" s="8"/>
      <c r="U272" s="8"/>
      <c r="AH272" s="8"/>
      <c r="AI272" s="8"/>
      <c r="AJ272" s="8"/>
      <c r="AK272" s="8"/>
      <c r="AL272" s="8"/>
      <c r="AM272" s="8"/>
      <c r="AN272" s="8"/>
      <c r="AO272" s="8"/>
    </row>
    <row r="273" spans="14:41" s="11" customFormat="1" ht="18.45">
      <c r="N273" s="8"/>
      <c r="O273" s="8"/>
      <c r="P273" s="8"/>
      <c r="Q273" s="8"/>
      <c r="R273" s="8"/>
      <c r="S273" s="8"/>
      <c r="T273" s="8"/>
      <c r="U273" s="8"/>
      <c r="AH273" s="8"/>
      <c r="AI273" s="8"/>
      <c r="AJ273" s="8"/>
      <c r="AK273" s="8"/>
      <c r="AL273" s="8"/>
      <c r="AM273" s="8"/>
      <c r="AN273" s="8"/>
      <c r="AO273" s="8"/>
    </row>
    <row r="274" spans="14:41" s="11" customFormat="1" ht="18.45">
      <c r="N274" s="8"/>
      <c r="O274" s="8"/>
      <c r="P274" s="8"/>
      <c r="Q274" s="8"/>
      <c r="R274" s="8"/>
      <c r="S274" s="8"/>
      <c r="T274" s="8"/>
      <c r="U274" s="8"/>
      <c r="AH274" s="8"/>
      <c r="AI274" s="8"/>
      <c r="AJ274" s="8"/>
      <c r="AK274" s="8"/>
      <c r="AL274" s="8"/>
      <c r="AM274" s="8"/>
      <c r="AN274" s="8"/>
      <c r="AO274" s="8"/>
    </row>
    <row r="275" spans="14:41" s="11" customFormat="1" ht="18.45">
      <c r="N275" s="8"/>
      <c r="O275" s="8"/>
      <c r="P275" s="8"/>
      <c r="Q275" s="8"/>
      <c r="R275" s="8"/>
      <c r="S275" s="8"/>
      <c r="T275" s="8"/>
      <c r="U275" s="8"/>
      <c r="AH275" s="8"/>
      <c r="AI275" s="8"/>
      <c r="AJ275" s="8"/>
      <c r="AK275" s="8"/>
      <c r="AL275" s="8"/>
      <c r="AM275" s="8"/>
      <c r="AN275" s="8"/>
      <c r="AO275" s="8"/>
    </row>
    <row r="276" spans="14:41" s="11" customFormat="1" ht="18.45">
      <c r="N276" s="8"/>
      <c r="O276" s="8"/>
      <c r="P276" s="8"/>
      <c r="Q276" s="8"/>
      <c r="R276" s="8"/>
      <c r="S276" s="8"/>
      <c r="T276" s="8"/>
      <c r="U276" s="8"/>
      <c r="AH276" s="8"/>
      <c r="AI276" s="8"/>
      <c r="AJ276" s="8"/>
      <c r="AK276" s="8"/>
      <c r="AL276" s="8"/>
      <c r="AM276" s="8"/>
      <c r="AN276" s="8"/>
      <c r="AO276" s="8"/>
    </row>
    <row r="277" spans="14:41" s="11" customFormat="1" ht="18.45">
      <c r="N277" s="8"/>
      <c r="O277" s="8"/>
      <c r="P277" s="8"/>
      <c r="Q277" s="8"/>
      <c r="R277" s="8"/>
      <c r="S277" s="8"/>
      <c r="T277" s="8"/>
      <c r="U277" s="8"/>
      <c r="AH277" s="8"/>
      <c r="AI277" s="8"/>
      <c r="AJ277" s="8"/>
      <c r="AK277" s="8"/>
      <c r="AL277" s="8"/>
      <c r="AM277" s="8"/>
      <c r="AN277" s="8"/>
      <c r="AO277" s="8"/>
    </row>
    <row r="278" spans="14:41" s="11" customFormat="1" ht="18.45">
      <c r="N278" s="8"/>
      <c r="O278" s="8"/>
      <c r="P278" s="8"/>
      <c r="Q278" s="8"/>
      <c r="R278" s="8"/>
      <c r="S278" s="8"/>
      <c r="T278" s="8"/>
      <c r="U278" s="8"/>
      <c r="AH278" s="8"/>
      <c r="AI278" s="8"/>
      <c r="AJ278" s="8"/>
      <c r="AK278" s="8"/>
      <c r="AL278" s="8"/>
      <c r="AM278" s="8"/>
      <c r="AN278" s="8"/>
      <c r="AO278" s="8"/>
    </row>
    <row r="279" spans="14:41" s="11" customFormat="1" ht="18.45">
      <c r="N279" s="8"/>
      <c r="O279" s="8"/>
      <c r="P279" s="8"/>
      <c r="Q279" s="8"/>
      <c r="R279" s="8"/>
      <c r="S279" s="8"/>
      <c r="T279" s="8"/>
      <c r="U279" s="8"/>
      <c r="AH279" s="8"/>
      <c r="AI279" s="8"/>
      <c r="AJ279" s="8"/>
      <c r="AK279" s="8"/>
      <c r="AL279" s="8"/>
      <c r="AM279" s="8"/>
      <c r="AN279" s="8"/>
      <c r="AO279" s="8"/>
    </row>
    <row r="280" spans="14:41" s="11" customFormat="1" ht="18.45">
      <c r="N280" s="8"/>
      <c r="O280" s="8"/>
      <c r="P280" s="8"/>
      <c r="Q280" s="8"/>
      <c r="R280" s="8"/>
      <c r="S280" s="8"/>
      <c r="T280" s="8"/>
      <c r="U280" s="8"/>
      <c r="AH280" s="8"/>
      <c r="AI280" s="8"/>
      <c r="AJ280" s="8"/>
      <c r="AK280" s="8"/>
      <c r="AL280" s="8"/>
      <c r="AM280" s="8"/>
      <c r="AN280" s="8"/>
      <c r="AO280" s="8"/>
    </row>
    <row r="281" spans="14:41" s="11" customFormat="1" ht="18.45">
      <c r="N281" s="8"/>
      <c r="O281" s="8"/>
      <c r="P281" s="8"/>
      <c r="Q281" s="8"/>
      <c r="R281" s="8"/>
      <c r="S281" s="8"/>
      <c r="T281" s="8"/>
      <c r="U281" s="8"/>
      <c r="AH281" s="8"/>
      <c r="AI281" s="8"/>
      <c r="AJ281" s="8"/>
      <c r="AK281" s="8"/>
      <c r="AL281" s="8"/>
      <c r="AM281" s="8"/>
      <c r="AN281" s="8"/>
      <c r="AO281" s="8"/>
    </row>
    <row r="282" spans="14:41" s="11" customFormat="1" ht="18.45">
      <c r="N282" s="8"/>
      <c r="O282" s="8"/>
      <c r="P282" s="8"/>
      <c r="Q282" s="8"/>
      <c r="R282" s="8"/>
      <c r="S282" s="8"/>
      <c r="T282" s="8"/>
      <c r="U282" s="8"/>
      <c r="AH282" s="8"/>
      <c r="AI282" s="8"/>
      <c r="AJ282" s="8"/>
      <c r="AK282" s="8"/>
      <c r="AL282" s="8"/>
      <c r="AM282" s="8"/>
      <c r="AN282" s="8"/>
      <c r="AO282" s="8"/>
    </row>
    <row r="283" spans="14:41" s="11" customFormat="1" ht="18.45">
      <c r="N283" s="8"/>
      <c r="O283" s="8"/>
      <c r="P283" s="8"/>
      <c r="Q283" s="8"/>
      <c r="R283" s="8"/>
      <c r="S283" s="8"/>
      <c r="T283" s="8"/>
      <c r="U283" s="8"/>
      <c r="AH283" s="8"/>
      <c r="AI283" s="8"/>
      <c r="AJ283" s="8"/>
      <c r="AK283" s="8"/>
      <c r="AL283" s="8"/>
      <c r="AM283" s="8"/>
      <c r="AN283" s="8"/>
      <c r="AO283" s="8"/>
    </row>
    <row r="284" spans="14:41" s="11" customFormat="1" ht="18.45">
      <c r="N284" s="8"/>
      <c r="O284" s="8"/>
      <c r="P284" s="8"/>
      <c r="Q284" s="8"/>
      <c r="R284" s="8"/>
      <c r="S284" s="8"/>
      <c r="T284" s="8"/>
      <c r="U284" s="8"/>
      <c r="AH284" s="8"/>
      <c r="AI284" s="8"/>
      <c r="AJ284" s="8"/>
      <c r="AK284" s="8"/>
      <c r="AL284" s="8"/>
      <c r="AM284" s="8"/>
      <c r="AN284" s="8"/>
      <c r="AO284" s="8"/>
    </row>
    <row r="285" spans="14:41" s="11" customFormat="1" ht="18.45">
      <c r="N285" s="8"/>
      <c r="O285" s="8"/>
      <c r="P285" s="8"/>
      <c r="Q285" s="8"/>
      <c r="R285" s="8"/>
      <c r="S285" s="8"/>
      <c r="T285" s="8"/>
      <c r="U285" s="8"/>
      <c r="AH285" s="8"/>
      <c r="AI285" s="8"/>
      <c r="AJ285" s="8"/>
      <c r="AK285" s="8"/>
      <c r="AL285" s="8"/>
      <c r="AM285" s="8"/>
      <c r="AN285" s="8"/>
      <c r="AO285" s="8"/>
    </row>
    <row r="286" spans="14:41" s="11" customFormat="1" ht="18.45">
      <c r="N286" s="8"/>
      <c r="O286" s="8"/>
      <c r="P286" s="8"/>
      <c r="Q286" s="8"/>
      <c r="R286" s="8"/>
      <c r="S286" s="8"/>
      <c r="T286" s="8"/>
      <c r="U286" s="8"/>
      <c r="AH286" s="8"/>
      <c r="AI286" s="8"/>
      <c r="AJ286" s="8"/>
      <c r="AK286" s="8"/>
      <c r="AL286" s="8"/>
      <c r="AM286" s="8"/>
      <c r="AN286" s="8"/>
      <c r="AO286" s="8"/>
    </row>
    <row r="287" spans="14:41" s="11" customFormat="1" ht="18.45">
      <c r="N287" s="8"/>
      <c r="O287" s="8"/>
      <c r="P287" s="8"/>
      <c r="Q287" s="8"/>
      <c r="R287" s="8"/>
      <c r="S287" s="8"/>
      <c r="T287" s="8"/>
      <c r="U287" s="8"/>
      <c r="AH287" s="8"/>
      <c r="AI287" s="8"/>
      <c r="AJ287" s="8"/>
      <c r="AK287" s="8"/>
      <c r="AL287" s="8"/>
      <c r="AM287" s="8"/>
      <c r="AN287" s="8"/>
      <c r="AO287" s="8"/>
    </row>
    <row r="288" spans="14:41" s="11" customFormat="1" ht="18.45">
      <c r="N288" s="8"/>
      <c r="O288" s="8"/>
      <c r="P288" s="8"/>
      <c r="Q288" s="8"/>
      <c r="R288" s="8"/>
      <c r="S288" s="8"/>
      <c r="T288" s="8"/>
      <c r="U288" s="8"/>
      <c r="AH288" s="8"/>
      <c r="AI288" s="8"/>
      <c r="AJ288" s="8"/>
      <c r="AK288" s="8"/>
      <c r="AL288" s="8"/>
      <c r="AM288" s="8"/>
      <c r="AN288" s="8"/>
      <c r="AO288" s="8"/>
    </row>
    <row r="289" spans="14:41" s="11" customFormat="1" ht="18.45">
      <c r="N289" s="8"/>
      <c r="O289" s="8"/>
      <c r="P289" s="8"/>
      <c r="Q289" s="8"/>
      <c r="R289" s="8"/>
      <c r="S289" s="8"/>
      <c r="T289" s="8"/>
      <c r="U289" s="8"/>
      <c r="AH289" s="8"/>
      <c r="AI289" s="8"/>
      <c r="AJ289" s="8"/>
      <c r="AK289" s="8"/>
      <c r="AL289" s="8"/>
      <c r="AM289" s="8"/>
      <c r="AN289" s="8"/>
      <c r="AO289" s="8"/>
    </row>
    <row r="290" spans="14:41" s="11" customFormat="1" ht="18.45">
      <c r="N290" s="8"/>
      <c r="O290" s="8"/>
      <c r="P290" s="8"/>
      <c r="Q290" s="8"/>
      <c r="R290" s="8"/>
      <c r="S290" s="8"/>
      <c r="T290" s="8"/>
      <c r="U290" s="8"/>
      <c r="AH290" s="8"/>
      <c r="AI290" s="8"/>
      <c r="AJ290" s="8"/>
      <c r="AK290" s="8"/>
      <c r="AL290" s="8"/>
      <c r="AM290" s="8"/>
      <c r="AN290" s="8"/>
      <c r="AO290" s="8"/>
    </row>
    <row r="291" spans="14:41" s="11" customFormat="1" ht="18.45">
      <c r="N291" s="8"/>
      <c r="O291" s="8"/>
      <c r="P291" s="8"/>
      <c r="Q291" s="8"/>
      <c r="R291" s="8"/>
      <c r="S291" s="8"/>
      <c r="T291" s="8"/>
      <c r="U291" s="8"/>
      <c r="AH291" s="8"/>
      <c r="AI291" s="8"/>
      <c r="AJ291" s="8"/>
      <c r="AK291" s="8"/>
      <c r="AL291" s="8"/>
      <c r="AM291" s="8"/>
      <c r="AN291" s="8"/>
      <c r="AO291" s="8"/>
    </row>
    <row r="292" spans="14:41" s="11" customFormat="1" ht="18.45">
      <c r="N292" s="8"/>
      <c r="O292" s="8"/>
      <c r="P292" s="8"/>
      <c r="Q292" s="8"/>
      <c r="R292" s="8"/>
      <c r="S292" s="8"/>
      <c r="T292" s="8"/>
      <c r="U292" s="8"/>
      <c r="AH292" s="8"/>
      <c r="AI292" s="8"/>
      <c r="AJ292" s="8"/>
      <c r="AK292" s="8"/>
      <c r="AL292" s="8"/>
      <c r="AM292" s="8"/>
      <c r="AN292" s="8"/>
      <c r="AO292" s="8"/>
    </row>
    <row r="293" spans="14:41" s="11" customFormat="1" ht="18.45">
      <c r="N293" s="8"/>
      <c r="O293" s="8"/>
      <c r="P293" s="8"/>
      <c r="Q293" s="8"/>
      <c r="R293" s="8"/>
      <c r="S293" s="8"/>
      <c r="T293" s="8"/>
      <c r="U293" s="8"/>
      <c r="AH293" s="8"/>
      <c r="AI293" s="8"/>
      <c r="AJ293" s="8"/>
      <c r="AK293" s="8"/>
      <c r="AL293" s="8"/>
      <c r="AM293" s="8"/>
      <c r="AN293" s="8"/>
      <c r="AO293" s="8"/>
    </row>
    <row r="294" spans="14:41" s="11" customFormat="1" ht="18.45">
      <c r="N294" s="8"/>
      <c r="O294" s="8"/>
      <c r="P294" s="8"/>
      <c r="Q294" s="8"/>
      <c r="R294" s="8"/>
      <c r="S294" s="8"/>
      <c r="T294" s="8"/>
      <c r="U294" s="8"/>
      <c r="AH294" s="8"/>
      <c r="AI294" s="8"/>
      <c r="AJ294" s="8"/>
      <c r="AK294" s="8"/>
      <c r="AL294" s="8"/>
      <c r="AM294" s="8"/>
      <c r="AN294" s="8"/>
      <c r="AO294" s="8"/>
    </row>
    <row r="295" spans="14:41" s="11" customFormat="1" ht="18.45">
      <c r="N295" s="8"/>
      <c r="O295" s="8"/>
      <c r="P295" s="8"/>
      <c r="Q295" s="8"/>
      <c r="R295" s="8"/>
      <c r="S295" s="8"/>
      <c r="T295" s="8"/>
      <c r="U295" s="8"/>
      <c r="AH295" s="8"/>
      <c r="AI295" s="8"/>
      <c r="AJ295" s="8"/>
      <c r="AK295" s="8"/>
      <c r="AL295" s="8"/>
      <c r="AM295" s="8"/>
      <c r="AN295" s="8"/>
      <c r="AO295" s="8"/>
    </row>
    <row r="296" spans="14:41" s="11" customFormat="1" ht="18.45">
      <c r="N296" s="8"/>
      <c r="O296" s="8"/>
      <c r="P296" s="8"/>
      <c r="Q296" s="8"/>
      <c r="R296" s="8"/>
      <c r="S296" s="8"/>
      <c r="T296" s="8"/>
      <c r="U296" s="8"/>
      <c r="AH296" s="8"/>
      <c r="AI296" s="8"/>
      <c r="AJ296" s="8"/>
      <c r="AK296" s="8"/>
      <c r="AL296" s="8"/>
      <c r="AM296" s="8"/>
      <c r="AN296" s="8"/>
      <c r="AO296" s="8"/>
    </row>
    <row r="297" spans="14:41" s="11" customFormat="1" ht="18.45">
      <c r="N297" s="8"/>
      <c r="O297" s="8"/>
      <c r="P297" s="8"/>
      <c r="Q297" s="8"/>
      <c r="R297" s="8"/>
      <c r="S297" s="8"/>
      <c r="T297" s="8"/>
      <c r="U297" s="8"/>
      <c r="AH297" s="8"/>
      <c r="AI297" s="8"/>
      <c r="AJ297" s="8"/>
      <c r="AK297" s="8"/>
      <c r="AL297" s="8"/>
      <c r="AM297" s="8"/>
      <c r="AN297" s="8"/>
      <c r="AO297" s="8"/>
    </row>
    <row r="298" spans="14:41" s="11" customFormat="1" ht="18.45">
      <c r="N298" s="8"/>
      <c r="O298" s="8"/>
      <c r="P298" s="8"/>
      <c r="Q298" s="8"/>
      <c r="R298" s="8"/>
      <c r="S298" s="8"/>
      <c r="T298" s="8"/>
      <c r="U298" s="8"/>
      <c r="AH298" s="8"/>
      <c r="AI298" s="8"/>
      <c r="AJ298" s="8"/>
      <c r="AK298" s="8"/>
      <c r="AL298" s="8"/>
      <c r="AM298" s="8"/>
      <c r="AN298" s="8"/>
      <c r="AO298" s="8"/>
    </row>
    <row r="299" spans="14:41" s="11" customFormat="1" ht="18.45">
      <c r="N299" s="8"/>
      <c r="O299" s="8"/>
      <c r="P299" s="8"/>
      <c r="Q299" s="8"/>
      <c r="R299" s="8"/>
      <c r="S299" s="8"/>
      <c r="T299" s="8"/>
      <c r="U299" s="8"/>
      <c r="AH299" s="8"/>
      <c r="AI299" s="8"/>
      <c r="AJ299" s="8"/>
      <c r="AK299" s="8"/>
      <c r="AL299" s="8"/>
      <c r="AM299" s="8"/>
      <c r="AN299" s="8"/>
      <c r="AO299" s="8"/>
    </row>
    <row r="300" spans="14:41" s="11" customFormat="1" ht="18.45">
      <c r="N300" s="8"/>
      <c r="O300" s="8"/>
      <c r="P300" s="8"/>
      <c r="Q300" s="8"/>
      <c r="R300" s="8"/>
      <c r="S300" s="8"/>
      <c r="T300" s="8"/>
      <c r="U300" s="8"/>
      <c r="AH300" s="8"/>
      <c r="AI300" s="8"/>
      <c r="AJ300" s="8"/>
      <c r="AK300" s="8"/>
      <c r="AL300" s="8"/>
      <c r="AM300" s="8"/>
      <c r="AN300" s="8"/>
      <c r="AO300" s="8"/>
    </row>
    <row r="301" spans="14:41" s="11" customFormat="1" ht="18.45">
      <c r="N301" s="8"/>
      <c r="O301" s="8"/>
      <c r="P301" s="8"/>
      <c r="Q301" s="8"/>
      <c r="R301" s="8"/>
      <c r="S301" s="8"/>
      <c r="T301" s="8"/>
      <c r="U301" s="8"/>
      <c r="AH301" s="8"/>
      <c r="AI301" s="8"/>
      <c r="AJ301" s="8"/>
      <c r="AK301" s="8"/>
      <c r="AL301" s="8"/>
      <c r="AM301" s="8"/>
      <c r="AN301" s="8"/>
      <c r="AO301" s="8"/>
    </row>
    <row r="302" spans="14:41" s="11" customFormat="1" ht="18.45">
      <c r="N302" s="8"/>
      <c r="O302" s="8"/>
      <c r="P302" s="8"/>
      <c r="Q302" s="8"/>
      <c r="R302" s="8"/>
      <c r="S302" s="8"/>
      <c r="T302" s="8"/>
      <c r="U302" s="8"/>
      <c r="AH302" s="8"/>
      <c r="AI302" s="8"/>
      <c r="AJ302" s="8"/>
      <c r="AK302" s="8"/>
      <c r="AL302" s="8"/>
      <c r="AM302" s="8"/>
      <c r="AN302" s="8"/>
      <c r="AO302" s="8"/>
    </row>
    <row r="303" spans="14:41" s="11" customFormat="1" ht="18.45">
      <c r="N303" s="8"/>
      <c r="O303" s="8"/>
      <c r="P303" s="8"/>
      <c r="Q303" s="8"/>
      <c r="R303" s="8"/>
      <c r="S303" s="8"/>
      <c r="T303" s="8"/>
      <c r="U303" s="8"/>
      <c r="AH303" s="8"/>
      <c r="AI303" s="8"/>
      <c r="AJ303" s="8"/>
      <c r="AK303" s="8"/>
      <c r="AL303" s="8"/>
      <c r="AM303" s="8"/>
      <c r="AN303" s="8"/>
      <c r="AO303" s="8"/>
    </row>
    <row r="304" spans="14:41" s="11" customFormat="1" ht="18.45">
      <c r="N304" s="8"/>
      <c r="O304" s="8"/>
      <c r="P304" s="8"/>
      <c r="Q304" s="8"/>
      <c r="R304" s="8"/>
      <c r="S304" s="8"/>
      <c r="T304" s="8"/>
      <c r="U304" s="8"/>
      <c r="AH304" s="8"/>
      <c r="AI304" s="8"/>
      <c r="AJ304" s="8"/>
      <c r="AK304" s="8"/>
      <c r="AL304" s="8"/>
      <c r="AM304" s="8"/>
      <c r="AN304" s="8"/>
      <c r="AO304" s="8"/>
    </row>
    <row r="305" spans="14:41" s="11" customFormat="1" ht="18.45">
      <c r="N305" s="8"/>
      <c r="O305" s="8"/>
      <c r="P305" s="8"/>
      <c r="Q305" s="8"/>
      <c r="R305" s="8"/>
      <c r="S305" s="8"/>
      <c r="T305" s="8"/>
      <c r="U305" s="8"/>
      <c r="AH305" s="8"/>
      <c r="AI305" s="8"/>
      <c r="AJ305" s="8"/>
      <c r="AK305" s="8"/>
      <c r="AL305" s="8"/>
      <c r="AM305" s="8"/>
      <c r="AN305" s="8"/>
      <c r="AO305" s="8"/>
    </row>
    <row r="306" spans="14:41" s="11" customFormat="1" ht="18.45">
      <c r="N306" s="8"/>
      <c r="O306" s="8"/>
      <c r="P306" s="8"/>
      <c r="Q306" s="8"/>
      <c r="R306" s="8"/>
      <c r="S306" s="8"/>
      <c r="T306" s="8"/>
      <c r="U306" s="8"/>
      <c r="AH306" s="8"/>
      <c r="AI306" s="8"/>
      <c r="AJ306" s="8"/>
      <c r="AK306" s="8"/>
      <c r="AL306" s="8"/>
      <c r="AM306" s="8"/>
      <c r="AN306" s="8"/>
      <c r="AO306" s="8"/>
    </row>
    <row r="307" spans="14:41" s="11" customFormat="1" ht="18.45">
      <c r="N307" s="8"/>
      <c r="O307" s="8"/>
      <c r="P307" s="8"/>
      <c r="Q307" s="8"/>
      <c r="R307" s="8"/>
      <c r="S307" s="8"/>
      <c r="T307" s="8"/>
      <c r="U307" s="8"/>
      <c r="AH307" s="8"/>
      <c r="AI307" s="8"/>
      <c r="AJ307" s="8"/>
      <c r="AK307" s="8"/>
      <c r="AL307" s="8"/>
      <c r="AM307" s="8"/>
      <c r="AN307" s="8"/>
      <c r="AO307" s="8"/>
    </row>
    <row r="308" spans="14:41" s="11" customFormat="1" ht="18.45">
      <c r="N308" s="8"/>
      <c r="O308" s="8"/>
      <c r="P308" s="8"/>
      <c r="Q308" s="8"/>
      <c r="R308" s="8"/>
      <c r="S308" s="8"/>
      <c r="T308" s="8"/>
      <c r="U308" s="8"/>
      <c r="AH308" s="8"/>
      <c r="AI308" s="8"/>
      <c r="AJ308" s="8"/>
      <c r="AK308" s="8"/>
      <c r="AL308" s="8"/>
      <c r="AM308" s="8"/>
      <c r="AN308" s="8"/>
      <c r="AO308" s="8"/>
    </row>
    <row r="309" spans="14:41" s="11" customFormat="1" ht="18.45">
      <c r="N309" s="8"/>
      <c r="O309" s="8"/>
      <c r="P309" s="8"/>
      <c r="Q309" s="8"/>
      <c r="R309" s="8"/>
      <c r="S309" s="8"/>
      <c r="T309" s="8"/>
      <c r="U309" s="8"/>
      <c r="AH309" s="8"/>
      <c r="AI309" s="8"/>
      <c r="AJ309" s="8"/>
      <c r="AK309" s="8"/>
      <c r="AL309" s="8"/>
      <c r="AM309" s="8"/>
      <c r="AN309" s="8"/>
      <c r="AO309" s="8"/>
    </row>
    <row r="310" spans="14:41" s="11" customFormat="1" ht="18.45">
      <c r="N310" s="8"/>
      <c r="O310" s="8"/>
      <c r="P310" s="8"/>
      <c r="Q310" s="8"/>
      <c r="R310" s="8"/>
      <c r="S310" s="8"/>
      <c r="T310" s="8"/>
      <c r="U310" s="8"/>
      <c r="AH310" s="8"/>
      <c r="AI310" s="8"/>
      <c r="AJ310" s="8"/>
      <c r="AK310" s="8"/>
      <c r="AL310" s="8"/>
      <c r="AM310" s="8"/>
      <c r="AN310" s="8"/>
      <c r="AO310" s="8"/>
    </row>
    <row r="311" spans="14:41" s="11" customFormat="1" ht="18.45">
      <c r="N311" s="8"/>
      <c r="O311" s="8"/>
      <c r="P311" s="8"/>
      <c r="Q311" s="8"/>
      <c r="R311" s="8"/>
      <c r="S311" s="8"/>
      <c r="T311" s="8"/>
      <c r="U311" s="8"/>
      <c r="AH311" s="8"/>
      <c r="AI311" s="8"/>
      <c r="AJ311" s="8"/>
      <c r="AK311" s="8"/>
      <c r="AL311" s="8"/>
      <c r="AM311" s="8"/>
      <c r="AN311" s="8"/>
      <c r="AO311" s="8"/>
    </row>
    <row r="312" spans="14:41" s="11" customFormat="1" ht="18.45">
      <c r="N312" s="8"/>
      <c r="O312" s="8"/>
      <c r="P312" s="8"/>
      <c r="Q312" s="8"/>
      <c r="R312" s="8"/>
      <c r="S312" s="8"/>
      <c r="T312" s="8"/>
      <c r="U312" s="8"/>
      <c r="AH312" s="8"/>
      <c r="AI312" s="8"/>
      <c r="AJ312" s="8"/>
      <c r="AK312" s="8"/>
      <c r="AL312" s="8"/>
      <c r="AM312" s="8"/>
      <c r="AN312" s="8"/>
      <c r="AO312" s="8"/>
    </row>
    <row r="313" spans="14:41" s="11" customFormat="1" ht="18.45">
      <c r="N313" s="8"/>
      <c r="O313" s="8"/>
      <c r="P313" s="8"/>
      <c r="Q313" s="8"/>
      <c r="R313" s="8"/>
      <c r="S313" s="8"/>
      <c r="T313" s="8"/>
      <c r="U313" s="8"/>
      <c r="AH313" s="8"/>
      <c r="AI313" s="8"/>
      <c r="AJ313" s="8"/>
      <c r="AK313" s="8"/>
      <c r="AL313" s="8"/>
      <c r="AM313" s="8"/>
      <c r="AN313" s="8"/>
      <c r="AO313" s="8"/>
    </row>
    <row r="314" spans="14:41" s="11" customFormat="1" ht="18.45">
      <c r="N314" s="8"/>
      <c r="O314" s="8"/>
      <c r="P314" s="8"/>
      <c r="Q314" s="8"/>
      <c r="R314" s="8"/>
      <c r="S314" s="8"/>
      <c r="T314" s="8"/>
      <c r="U314" s="8"/>
      <c r="AH314" s="8"/>
      <c r="AI314" s="8"/>
      <c r="AJ314" s="8"/>
      <c r="AK314" s="8"/>
      <c r="AL314" s="8"/>
      <c r="AM314" s="8"/>
      <c r="AN314" s="8"/>
      <c r="AO314" s="8"/>
    </row>
    <row r="315" spans="14:41" s="11" customFormat="1" ht="18.45">
      <c r="N315" s="8"/>
      <c r="O315" s="8"/>
      <c r="P315" s="8"/>
      <c r="Q315" s="8"/>
      <c r="R315" s="8"/>
      <c r="S315" s="8"/>
      <c r="T315" s="8"/>
      <c r="U315" s="8"/>
      <c r="AH315" s="8"/>
      <c r="AI315" s="8"/>
      <c r="AJ315" s="8"/>
      <c r="AK315" s="8"/>
      <c r="AL315" s="8"/>
      <c r="AM315" s="8"/>
      <c r="AN315" s="8"/>
      <c r="AO315" s="8"/>
    </row>
    <row r="316" spans="14:41" s="11" customFormat="1" ht="18.45">
      <c r="N316" s="8"/>
      <c r="O316" s="8"/>
      <c r="P316" s="8"/>
      <c r="Q316" s="8"/>
      <c r="R316" s="8"/>
      <c r="S316" s="8"/>
      <c r="T316" s="8"/>
      <c r="U316" s="8"/>
      <c r="AH316" s="8"/>
      <c r="AI316" s="8"/>
      <c r="AJ316" s="8"/>
      <c r="AK316" s="8"/>
      <c r="AL316" s="8"/>
      <c r="AM316" s="8"/>
      <c r="AN316" s="8"/>
      <c r="AO316" s="8"/>
    </row>
    <row r="317" spans="14:41" s="11" customFormat="1" ht="18.45">
      <c r="N317" s="8"/>
      <c r="O317" s="8"/>
      <c r="P317" s="8"/>
      <c r="Q317" s="8"/>
      <c r="R317" s="8"/>
      <c r="S317" s="8"/>
      <c r="T317" s="8"/>
      <c r="U317" s="8"/>
      <c r="AH317" s="8"/>
      <c r="AI317" s="8"/>
      <c r="AJ317" s="8"/>
      <c r="AK317" s="8"/>
      <c r="AL317" s="8"/>
      <c r="AM317" s="8"/>
      <c r="AN317" s="8"/>
      <c r="AO317" s="8"/>
    </row>
    <row r="318" spans="14:41" s="11" customFormat="1" ht="18.45">
      <c r="N318" s="8"/>
      <c r="O318" s="8"/>
      <c r="P318" s="8"/>
      <c r="Q318" s="8"/>
      <c r="R318" s="8"/>
      <c r="S318" s="8"/>
      <c r="T318" s="8"/>
      <c r="U318" s="8"/>
      <c r="AH318" s="8"/>
      <c r="AI318" s="8"/>
      <c r="AJ318" s="8"/>
      <c r="AK318" s="8"/>
      <c r="AL318" s="8"/>
      <c r="AM318" s="8"/>
      <c r="AN318" s="8"/>
      <c r="AO318" s="8"/>
    </row>
    <row r="319" spans="14:41" s="11" customFormat="1" ht="18.45">
      <c r="N319" s="8"/>
      <c r="O319" s="8"/>
      <c r="P319" s="8"/>
      <c r="Q319" s="8"/>
      <c r="R319" s="8"/>
      <c r="S319" s="8"/>
      <c r="T319" s="8"/>
      <c r="U319" s="8"/>
      <c r="AH319" s="8"/>
      <c r="AI319" s="8"/>
      <c r="AJ319" s="8"/>
      <c r="AK319" s="8"/>
      <c r="AL319" s="8"/>
      <c r="AM319" s="8"/>
      <c r="AN319" s="8"/>
      <c r="AO319" s="8"/>
    </row>
    <row r="320" spans="14:41" s="11" customFormat="1" ht="18.45">
      <c r="N320" s="8"/>
      <c r="O320" s="8"/>
      <c r="P320" s="8"/>
      <c r="Q320" s="8"/>
      <c r="R320" s="8"/>
      <c r="S320" s="8"/>
      <c r="T320" s="8"/>
      <c r="U320" s="8"/>
      <c r="AH320" s="8"/>
      <c r="AI320" s="8"/>
      <c r="AJ320" s="8"/>
      <c r="AK320" s="8"/>
      <c r="AL320" s="8"/>
      <c r="AM320" s="8"/>
      <c r="AN320" s="8"/>
      <c r="AO320" s="8"/>
    </row>
    <row r="321" spans="14:41" s="11" customFormat="1" ht="18.45">
      <c r="N321" s="8"/>
      <c r="O321" s="8"/>
      <c r="P321" s="8"/>
      <c r="Q321" s="8"/>
      <c r="R321" s="8"/>
      <c r="S321" s="8"/>
      <c r="T321" s="8"/>
      <c r="U321" s="8"/>
      <c r="AH321" s="8"/>
      <c r="AI321" s="8"/>
      <c r="AJ321" s="8"/>
      <c r="AK321" s="8"/>
      <c r="AL321" s="8"/>
      <c r="AM321" s="8"/>
      <c r="AN321" s="8"/>
      <c r="AO321" s="8"/>
    </row>
    <row r="322" spans="14:41" s="11" customFormat="1" ht="18.45">
      <c r="N322" s="8"/>
      <c r="O322" s="8"/>
      <c r="P322" s="8"/>
      <c r="Q322" s="8"/>
      <c r="R322" s="8"/>
      <c r="S322" s="8"/>
      <c r="T322" s="8"/>
      <c r="U322" s="8"/>
      <c r="AH322" s="8"/>
      <c r="AI322" s="8"/>
      <c r="AJ322" s="8"/>
      <c r="AK322" s="8"/>
      <c r="AL322" s="8"/>
      <c r="AM322" s="8"/>
      <c r="AN322" s="8"/>
      <c r="AO322" s="8"/>
    </row>
    <row r="323" spans="14:41" s="11" customFormat="1" ht="18.45">
      <c r="N323" s="8"/>
      <c r="O323" s="8"/>
      <c r="P323" s="8"/>
      <c r="Q323" s="8"/>
      <c r="R323" s="8"/>
      <c r="S323" s="8"/>
      <c r="T323" s="8"/>
      <c r="U323" s="8"/>
      <c r="AH323" s="8"/>
      <c r="AI323" s="8"/>
      <c r="AJ323" s="8"/>
      <c r="AK323" s="8"/>
      <c r="AL323" s="8"/>
      <c r="AM323" s="8"/>
      <c r="AN323" s="8"/>
      <c r="AO323" s="8"/>
    </row>
    <row r="324" spans="14:41" s="11" customFormat="1" ht="18.45">
      <c r="N324" s="8"/>
      <c r="O324" s="8"/>
      <c r="P324" s="8"/>
      <c r="Q324" s="8"/>
      <c r="R324" s="8"/>
      <c r="S324" s="8"/>
      <c r="T324" s="8"/>
      <c r="U324" s="8"/>
      <c r="AH324" s="8"/>
      <c r="AI324" s="8"/>
      <c r="AJ324" s="8"/>
      <c r="AK324" s="8"/>
      <c r="AL324" s="8"/>
      <c r="AM324" s="8"/>
      <c r="AN324" s="8"/>
      <c r="AO324" s="8"/>
    </row>
    <row r="325" spans="14:41" s="11" customFormat="1" ht="18.45">
      <c r="N325" s="8"/>
      <c r="O325" s="8"/>
      <c r="P325" s="8"/>
      <c r="Q325" s="8"/>
      <c r="R325" s="8"/>
      <c r="S325" s="8"/>
      <c r="T325" s="8"/>
      <c r="U325" s="8"/>
      <c r="AH325" s="8"/>
      <c r="AI325" s="8"/>
      <c r="AJ325" s="8"/>
      <c r="AK325" s="8"/>
      <c r="AL325" s="8"/>
      <c r="AM325" s="8"/>
      <c r="AN325" s="8"/>
      <c r="AO325" s="8"/>
    </row>
    <row r="326" spans="14:41" s="11" customFormat="1" ht="18.45">
      <c r="N326" s="8"/>
      <c r="O326" s="8"/>
      <c r="P326" s="8"/>
      <c r="Q326" s="8"/>
      <c r="R326" s="8"/>
      <c r="S326" s="8"/>
      <c r="T326" s="8"/>
      <c r="U326" s="8"/>
      <c r="AH326" s="8"/>
      <c r="AI326" s="8"/>
      <c r="AJ326" s="8"/>
      <c r="AK326" s="8"/>
      <c r="AL326" s="8"/>
      <c r="AM326" s="8"/>
      <c r="AN326" s="8"/>
      <c r="AO326" s="8"/>
    </row>
    <row r="327" spans="14:41" s="11" customFormat="1" ht="18.45">
      <c r="N327" s="8"/>
      <c r="O327" s="8"/>
      <c r="P327" s="8"/>
      <c r="Q327" s="8"/>
      <c r="R327" s="8"/>
      <c r="S327" s="8"/>
      <c r="T327" s="8"/>
      <c r="U327" s="8"/>
      <c r="AH327" s="8"/>
      <c r="AI327" s="8"/>
      <c r="AJ327" s="8"/>
      <c r="AK327" s="8"/>
      <c r="AL327" s="8"/>
      <c r="AM327" s="8"/>
      <c r="AN327" s="8"/>
      <c r="AO327" s="8"/>
    </row>
    <row r="328" spans="14:41" s="11" customFormat="1" ht="18.45">
      <c r="N328" s="8"/>
      <c r="O328" s="8"/>
      <c r="P328" s="8"/>
      <c r="Q328" s="8"/>
      <c r="R328" s="8"/>
      <c r="S328" s="8"/>
      <c r="T328" s="8"/>
      <c r="U328" s="8"/>
      <c r="AH328" s="8"/>
      <c r="AI328" s="8"/>
      <c r="AJ328" s="8"/>
      <c r="AK328" s="8"/>
      <c r="AL328" s="8"/>
      <c r="AM328" s="8"/>
      <c r="AN328" s="8"/>
      <c r="AO328" s="8"/>
    </row>
    <row r="329" spans="14:41" s="11" customFormat="1" ht="18.45">
      <c r="N329" s="8"/>
      <c r="O329" s="8"/>
      <c r="P329" s="8"/>
      <c r="Q329" s="8"/>
      <c r="R329" s="8"/>
      <c r="S329" s="8"/>
      <c r="T329" s="8"/>
      <c r="U329" s="8"/>
      <c r="AH329" s="8"/>
      <c r="AI329" s="8"/>
      <c r="AJ329" s="8"/>
      <c r="AK329" s="8"/>
      <c r="AL329" s="8"/>
      <c r="AM329" s="8"/>
      <c r="AN329" s="8"/>
      <c r="AO329" s="8"/>
    </row>
    <row r="330" spans="14:41" s="11" customFormat="1" ht="18.45">
      <c r="N330" s="8"/>
      <c r="O330" s="8"/>
      <c r="P330" s="8"/>
      <c r="Q330" s="8"/>
      <c r="R330" s="8"/>
      <c r="S330" s="8"/>
      <c r="T330" s="8"/>
      <c r="U330" s="8"/>
      <c r="AH330" s="8"/>
      <c r="AI330" s="8"/>
      <c r="AJ330" s="8"/>
      <c r="AK330" s="8"/>
      <c r="AL330" s="8"/>
      <c r="AM330" s="8"/>
      <c r="AN330" s="8"/>
      <c r="AO330" s="8"/>
    </row>
    <row r="331" spans="14:41" s="11" customFormat="1" ht="18.45">
      <c r="N331" s="8"/>
      <c r="O331" s="8"/>
      <c r="P331" s="8"/>
      <c r="Q331" s="8"/>
      <c r="R331" s="8"/>
      <c r="S331" s="8"/>
      <c r="T331" s="8"/>
      <c r="U331" s="8"/>
      <c r="AH331" s="8"/>
      <c r="AI331" s="8"/>
      <c r="AJ331" s="8"/>
      <c r="AK331" s="8"/>
      <c r="AL331" s="8"/>
      <c r="AM331" s="8"/>
      <c r="AN331" s="8"/>
      <c r="AO331" s="8"/>
    </row>
    <row r="332" spans="14:41" s="11" customFormat="1" ht="18.45">
      <c r="N332" s="8"/>
      <c r="O332" s="8"/>
      <c r="P332" s="8"/>
      <c r="Q332" s="8"/>
      <c r="R332" s="8"/>
      <c r="S332" s="8"/>
      <c r="T332" s="8"/>
      <c r="U332" s="8"/>
      <c r="AH332" s="8"/>
      <c r="AI332" s="8"/>
      <c r="AJ332" s="8"/>
      <c r="AK332" s="8"/>
      <c r="AL332" s="8"/>
      <c r="AM332" s="8"/>
      <c r="AN332" s="8"/>
      <c r="AO332" s="8"/>
    </row>
    <row r="333" spans="14:41" s="11" customFormat="1" ht="18.45">
      <c r="N333" s="8"/>
      <c r="O333" s="8"/>
      <c r="P333" s="8"/>
      <c r="Q333" s="8"/>
      <c r="R333" s="8"/>
      <c r="S333" s="8"/>
      <c r="T333" s="8"/>
      <c r="U333" s="8"/>
      <c r="AH333" s="8"/>
      <c r="AI333" s="8"/>
      <c r="AJ333" s="8"/>
      <c r="AK333" s="8"/>
      <c r="AL333" s="8"/>
      <c r="AM333" s="8"/>
      <c r="AN333" s="8"/>
      <c r="AO333" s="8"/>
    </row>
    <row r="334" spans="14:41" s="11" customFormat="1" ht="18.45">
      <c r="N334" s="8"/>
      <c r="O334" s="8"/>
      <c r="P334" s="8"/>
      <c r="Q334" s="8"/>
      <c r="R334" s="8"/>
      <c r="S334" s="8"/>
      <c r="T334" s="8"/>
      <c r="U334" s="8"/>
      <c r="AH334" s="8"/>
      <c r="AI334" s="8"/>
      <c r="AJ334" s="8"/>
      <c r="AK334" s="8"/>
      <c r="AL334" s="8"/>
      <c r="AM334" s="8"/>
      <c r="AN334" s="8"/>
      <c r="AO334" s="8"/>
    </row>
    <row r="335" spans="14:41" s="11" customFormat="1" ht="18.45">
      <c r="N335" s="8"/>
      <c r="O335" s="8"/>
      <c r="P335" s="8"/>
      <c r="Q335" s="8"/>
      <c r="R335" s="8"/>
      <c r="S335" s="8"/>
      <c r="T335" s="8"/>
      <c r="U335" s="8"/>
      <c r="AH335" s="8"/>
      <c r="AI335" s="8"/>
      <c r="AJ335" s="8"/>
      <c r="AK335" s="8"/>
      <c r="AL335" s="8"/>
      <c r="AM335" s="8"/>
      <c r="AN335" s="8"/>
      <c r="AO335" s="8"/>
    </row>
    <row r="336" spans="14:41" s="11" customFormat="1" ht="18.45">
      <c r="N336" s="8"/>
      <c r="O336" s="8"/>
      <c r="P336" s="8"/>
      <c r="Q336" s="8"/>
      <c r="R336" s="8"/>
      <c r="S336" s="8"/>
      <c r="T336" s="8"/>
      <c r="U336" s="8"/>
      <c r="AH336" s="8"/>
      <c r="AI336" s="8"/>
      <c r="AJ336" s="8"/>
      <c r="AK336" s="8"/>
      <c r="AL336" s="8"/>
      <c r="AM336" s="8"/>
      <c r="AN336" s="8"/>
      <c r="AO336" s="8"/>
    </row>
    <row r="337" spans="14:41" s="11" customFormat="1" ht="18.45">
      <c r="N337" s="8"/>
      <c r="O337" s="8"/>
      <c r="P337" s="8"/>
      <c r="Q337" s="8"/>
      <c r="R337" s="8"/>
      <c r="S337" s="8"/>
      <c r="T337" s="8"/>
      <c r="U337" s="8"/>
      <c r="AH337" s="8"/>
      <c r="AI337" s="8"/>
      <c r="AJ337" s="8"/>
      <c r="AK337" s="8"/>
      <c r="AL337" s="8"/>
      <c r="AM337" s="8"/>
      <c r="AN337" s="8"/>
      <c r="AO337" s="8"/>
    </row>
    <row r="338" spans="14:41" s="11" customFormat="1" ht="18.45">
      <c r="N338" s="8"/>
      <c r="O338" s="8"/>
      <c r="P338" s="8"/>
      <c r="Q338" s="8"/>
      <c r="R338" s="8"/>
      <c r="S338" s="8"/>
      <c r="T338" s="8"/>
      <c r="U338" s="8"/>
      <c r="AH338" s="8"/>
      <c r="AI338" s="8"/>
      <c r="AJ338" s="8"/>
      <c r="AK338" s="8"/>
      <c r="AL338" s="8"/>
      <c r="AM338" s="8"/>
      <c r="AN338" s="8"/>
      <c r="AO338" s="8"/>
    </row>
    <row r="339" spans="14:41" s="11" customFormat="1" ht="18.45">
      <c r="N339" s="8"/>
      <c r="O339" s="8"/>
      <c r="P339" s="8"/>
      <c r="Q339" s="8"/>
      <c r="R339" s="8"/>
      <c r="S339" s="8"/>
      <c r="T339" s="8"/>
      <c r="U339" s="8"/>
      <c r="AH339" s="8"/>
      <c r="AI339" s="8"/>
      <c r="AJ339" s="8"/>
      <c r="AK339" s="8"/>
      <c r="AL339" s="8"/>
      <c r="AM339" s="8"/>
      <c r="AN339" s="8"/>
      <c r="AO339" s="8"/>
    </row>
    <row r="340" spans="14:41" s="11" customFormat="1" ht="18.45">
      <c r="N340" s="8"/>
      <c r="O340" s="8"/>
      <c r="P340" s="8"/>
      <c r="Q340" s="8"/>
      <c r="R340" s="8"/>
      <c r="S340" s="8"/>
      <c r="T340" s="8"/>
      <c r="U340" s="8"/>
      <c r="AH340" s="8"/>
      <c r="AI340" s="8"/>
      <c r="AJ340" s="8"/>
      <c r="AK340" s="8"/>
      <c r="AL340" s="8"/>
      <c r="AM340" s="8"/>
      <c r="AN340" s="8"/>
      <c r="AO340" s="8"/>
    </row>
    <row r="341" spans="14:41" s="11" customFormat="1" ht="18.45">
      <c r="N341" s="8"/>
      <c r="O341" s="8"/>
      <c r="P341" s="8"/>
      <c r="Q341" s="8"/>
      <c r="R341" s="8"/>
      <c r="S341" s="8"/>
      <c r="T341" s="8"/>
      <c r="U341" s="8"/>
      <c r="AH341" s="8"/>
      <c r="AI341" s="8"/>
      <c r="AJ341" s="8"/>
      <c r="AK341" s="8"/>
      <c r="AL341" s="8"/>
      <c r="AM341" s="8"/>
      <c r="AN341" s="8"/>
      <c r="AO341" s="8"/>
    </row>
    <row r="342" spans="14:41" s="11" customFormat="1" ht="18.45">
      <c r="N342" s="8"/>
      <c r="O342" s="8"/>
      <c r="P342" s="8"/>
      <c r="Q342" s="8"/>
      <c r="R342" s="8"/>
      <c r="S342" s="8"/>
      <c r="T342" s="8"/>
      <c r="U342" s="8"/>
      <c r="AH342" s="8"/>
      <c r="AI342" s="8"/>
      <c r="AJ342" s="8"/>
      <c r="AK342" s="8"/>
      <c r="AL342" s="8"/>
      <c r="AM342" s="8"/>
      <c r="AN342" s="8"/>
      <c r="AO342" s="8"/>
    </row>
    <row r="343" spans="14:41" s="11" customFormat="1" ht="18.45">
      <c r="N343" s="8"/>
      <c r="O343" s="8"/>
      <c r="P343" s="8"/>
      <c r="Q343" s="8"/>
      <c r="R343" s="8"/>
      <c r="S343" s="8"/>
      <c r="T343" s="8"/>
      <c r="U343" s="8"/>
      <c r="AH343" s="8"/>
      <c r="AI343" s="8"/>
      <c r="AJ343" s="8"/>
      <c r="AK343" s="8"/>
      <c r="AL343" s="8"/>
      <c r="AM343" s="8"/>
      <c r="AN343" s="8"/>
      <c r="AO343" s="8"/>
    </row>
    <row r="344" spans="14:41" s="11" customFormat="1" ht="18.45">
      <c r="N344" s="8"/>
      <c r="O344" s="8"/>
      <c r="P344" s="8"/>
      <c r="Q344" s="8"/>
      <c r="R344" s="8"/>
      <c r="S344" s="8"/>
      <c r="T344" s="8"/>
      <c r="U344" s="8"/>
      <c r="AH344" s="8"/>
      <c r="AI344" s="8"/>
      <c r="AJ344" s="8"/>
      <c r="AK344" s="8"/>
      <c r="AL344" s="8"/>
      <c r="AM344" s="8"/>
      <c r="AN344" s="8"/>
      <c r="AO344" s="8"/>
    </row>
    <row r="345" spans="14:41" s="11" customFormat="1" ht="18.45">
      <c r="N345" s="8"/>
      <c r="O345" s="8"/>
      <c r="P345" s="8"/>
      <c r="Q345" s="8"/>
      <c r="R345" s="8"/>
      <c r="S345" s="8"/>
      <c r="T345" s="8"/>
      <c r="U345" s="8"/>
      <c r="AH345" s="8"/>
      <c r="AI345" s="8"/>
      <c r="AJ345" s="8"/>
      <c r="AK345" s="8"/>
      <c r="AL345" s="8"/>
      <c r="AM345" s="8"/>
      <c r="AN345" s="8"/>
      <c r="AO345" s="8"/>
    </row>
    <row r="346" spans="14:41" s="11" customFormat="1" ht="18.45">
      <c r="N346" s="8"/>
      <c r="O346" s="8"/>
      <c r="P346" s="8"/>
      <c r="Q346" s="8"/>
      <c r="R346" s="8"/>
      <c r="S346" s="8"/>
      <c r="T346" s="8"/>
      <c r="U346" s="8"/>
      <c r="AH346" s="8"/>
      <c r="AI346" s="8"/>
      <c r="AJ346" s="8"/>
      <c r="AK346" s="8"/>
      <c r="AL346" s="8"/>
      <c r="AM346" s="8"/>
      <c r="AN346" s="8"/>
      <c r="AO346" s="8"/>
    </row>
    <row r="347" spans="14:41" s="11" customFormat="1" ht="18.45">
      <c r="N347" s="8"/>
      <c r="O347" s="8"/>
      <c r="P347" s="8"/>
      <c r="Q347" s="8"/>
      <c r="R347" s="8"/>
      <c r="S347" s="8"/>
      <c r="T347" s="8"/>
      <c r="U347" s="8"/>
      <c r="AH347" s="8"/>
      <c r="AI347" s="8"/>
      <c r="AJ347" s="8"/>
      <c r="AK347" s="8"/>
      <c r="AL347" s="8"/>
      <c r="AM347" s="8"/>
      <c r="AN347" s="8"/>
      <c r="AO347" s="8"/>
    </row>
    <row r="348" spans="14:41" s="11" customFormat="1" ht="18.45">
      <c r="N348" s="8"/>
      <c r="O348" s="8"/>
      <c r="P348" s="8"/>
      <c r="Q348" s="8"/>
      <c r="R348" s="8"/>
      <c r="S348" s="8"/>
      <c r="T348" s="8"/>
      <c r="U348" s="8"/>
      <c r="AH348" s="8"/>
      <c r="AI348" s="8"/>
      <c r="AJ348" s="8"/>
      <c r="AK348" s="8"/>
      <c r="AL348" s="8"/>
      <c r="AM348" s="8"/>
      <c r="AN348" s="8"/>
      <c r="AO348" s="8"/>
    </row>
    <row r="349" spans="14:41" s="11" customFormat="1" ht="18.45">
      <c r="N349" s="8"/>
      <c r="O349" s="8"/>
      <c r="P349" s="8"/>
      <c r="Q349" s="8"/>
      <c r="R349" s="8"/>
      <c r="S349" s="8"/>
      <c r="T349" s="8"/>
      <c r="U349" s="8"/>
      <c r="AH349" s="8"/>
      <c r="AI349" s="8"/>
      <c r="AJ349" s="8"/>
      <c r="AK349" s="8"/>
      <c r="AL349" s="8"/>
      <c r="AM349" s="8"/>
      <c r="AN349" s="8"/>
      <c r="AO349" s="8"/>
    </row>
    <row r="350" spans="14:41" s="11" customFormat="1" ht="18.45">
      <c r="N350" s="8"/>
      <c r="O350" s="8"/>
      <c r="P350" s="8"/>
      <c r="Q350" s="8"/>
      <c r="R350" s="8"/>
      <c r="S350" s="8"/>
      <c r="T350" s="8"/>
      <c r="U350" s="8"/>
      <c r="AH350" s="8"/>
      <c r="AI350" s="8"/>
      <c r="AJ350" s="8"/>
      <c r="AK350" s="8"/>
      <c r="AL350" s="8"/>
      <c r="AM350" s="8"/>
      <c r="AN350" s="8"/>
      <c r="AO350" s="8"/>
    </row>
    <row r="351" spans="14:41" s="11" customFormat="1" ht="18.45">
      <c r="N351" s="8"/>
      <c r="O351" s="8"/>
      <c r="P351" s="8"/>
      <c r="Q351" s="8"/>
      <c r="R351" s="8"/>
      <c r="S351" s="8"/>
      <c r="T351" s="8"/>
      <c r="U351" s="8"/>
      <c r="AH351" s="8"/>
      <c r="AI351" s="8"/>
      <c r="AJ351" s="8"/>
      <c r="AK351" s="8"/>
      <c r="AL351" s="8"/>
      <c r="AM351" s="8"/>
      <c r="AN351" s="8"/>
      <c r="AO351" s="8"/>
    </row>
    <row r="352" spans="14:41" s="11" customFormat="1" ht="18.45">
      <c r="N352" s="8"/>
      <c r="O352" s="8"/>
      <c r="P352" s="8"/>
      <c r="Q352" s="8"/>
      <c r="R352" s="8"/>
      <c r="S352" s="8"/>
      <c r="T352" s="8"/>
      <c r="U352" s="8"/>
      <c r="AH352" s="8"/>
      <c r="AI352" s="8"/>
      <c r="AJ352" s="8"/>
      <c r="AK352" s="8"/>
      <c r="AL352" s="8"/>
      <c r="AM352" s="8"/>
      <c r="AN352" s="8"/>
      <c r="AO352" s="8"/>
    </row>
    <row r="353" spans="14:41" s="11" customFormat="1" ht="18.45">
      <c r="N353" s="8"/>
      <c r="O353" s="8"/>
      <c r="P353" s="8"/>
      <c r="Q353" s="8"/>
      <c r="R353" s="8"/>
      <c r="S353" s="8"/>
      <c r="T353" s="8"/>
      <c r="U353" s="8"/>
      <c r="AH353" s="8"/>
      <c r="AI353" s="8"/>
      <c r="AJ353" s="8"/>
      <c r="AK353" s="8"/>
      <c r="AL353" s="8"/>
      <c r="AM353" s="8"/>
      <c r="AN353" s="8"/>
      <c r="AO353" s="8"/>
    </row>
    <row r="354" spans="14:41" s="11" customFormat="1" ht="18.45">
      <c r="N354" s="8"/>
      <c r="O354" s="8"/>
      <c r="P354" s="8"/>
      <c r="Q354" s="8"/>
      <c r="R354" s="8"/>
      <c r="S354" s="8"/>
      <c r="T354" s="8"/>
      <c r="U354" s="8"/>
      <c r="AH354" s="8"/>
      <c r="AI354" s="8"/>
      <c r="AJ354" s="8"/>
      <c r="AK354" s="8"/>
      <c r="AL354" s="8"/>
      <c r="AM354" s="8"/>
      <c r="AN354" s="8"/>
      <c r="AO354" s="8"/>
    </row>
    <row r="355" spans="14:41" s="11" customFormat="1" ht="18.45">
      <c r="N355" s="8"/>
      <c r="O355" s="8"/>
      <c r="P355" s="8"/>
      <c r="Q355" s="8"/>
      <c r="R355" s="8"/>
      <c r="S355" s="8"/>
      <c r="T355" s="8"/>
      <c r="U355" s="8"/>
      <c r="AH355" s="8"/>
      <c r="AI355" s="8"/>
      <c r="AJ355" s="8"/>
      <c r="AK355" s="8"/>
      <c r="AL355" s="8"/>
      <c r="AM355" s="8"/>
      <c r="AN355" s="8"/>
      <c r="AO355" s="8"/>
    </row>
    <row r="356" spans="14:41" s="11" customFormat="1" ht="18.45">
      <c r="N356" s="8"/>
      <c r="O356" s="8"/>
      <c r="P356" s="8"/>
      <c r="Q356" s="8"/>
      <c r="R356" s="8"/>
      <c r="S356" s="8"/>
      <c r="T356" s="8"/>
      <c r="U356" s="8"/>
      <c r="AH356" s="8"/>
      <c r="AI356" s="8"/>
      <c r="AJ356" s="8"/>
      <c r="AK356" s="8"/>
      <c r="AL356" s="8"/>
      <c r="AM356" s="8"/>
      <c r="AN356" s="8"/>
      <c r="AO356" s="8"/>
    </row>
    <row r="357" spans="14:41" s="11" customFormat="1" ht="18.45">
      <c r="N357" s="8"/>
      <c r="O357" s="8"/>
      <c r="P357" s="8"/>
      <c r="Q357" s="8"/>
      <c r="R357" s="8"/>
      <c r="S357" s="8"/>
      <c r="T357" s="8"/>
      <c r="U357" s="8"/>
      <c r="AH357" s="8"/>
      <c r="AI357" s="8"/>
      <c r="AJ357" s="8"/>
      <c r="AK357" s="8"/>
      <c r="AL357" s="8"/>
      <c r="AM357" s="8"/>
      <c r="AN357" s="8"/>
      <c r="AO357" s="8"/>
    </row>
    <row r="358" spans="14:41" s="11" customFormat="1" ht="18.45">
      <c r="N358" s="8"/>
      <c r="O358" s="8"/>
      <c r="P358" s="8"/>
      <c r="Q358" s="8"/>
      <c r="R358" s="8"/>
      <c r="S358" s="8"/>
      <c r="T358" s="8"/>
      <c r="U358" s="8"/>
      <c r="AH358" s="8"/>
      <c r="AI358" s="8"/>
      <c r="AJ358" s="8"/>
      <c r="AK358" s="8"/>
      <c r="AL358" s="8"/>
      <c r="AM358" s="8"/>
      <c r="AN358" s="8"/>
      <c r="AO358" s="8"/>
    </row>
    <row r="359" spans="14:41" s="11" customFormat="1" ht="18.45">
      <c r="N359" s="8"/>
      <c r="O359" s="8"/>
      <c r="P359" s="8"/>
      <c r="Q359" s="8"/>
      <c r="R359" s="8"/>
      <c r="S359" s="8"/>
      <c r="T359" s="8"/>
      <c r="U359" s="8"/>
      <c r="AH359" s="8"/>
      <c r="AI359" s="8"/>
      <c r="AJ359" s="8"/>
      <c r="AK359" s="8"/>
      <c r="AL359" s="8"/>
      <c r="AM359" s="8"/>
      <c r="AN359" s="8"/>
      <c r="AO359" s="8"/>
    </row>
    <row r="360" spans="14:41" s="11" customFormat="1" ht="18.45">
      <c r="N360" s="8"/>
      <c r="O360" s="8"/>
      <c r="P360" s="8"/>
      <c r="Q360" s="8"/>
      <c r="R360" s="8"/>
      <c r="S360" s="8"/>
      <c r="T360" s="8"/>
      <c r="U360" s="8"/>
      <c r="AH360" s="8"/>
      <c r="AI360" s="8"/>
      <c r="AJ360" s="8"/>
      <c r="AK360" s="8"/>
      <c r="AL360" s="8"/>
      <c r="AM360" s="8"/>
      <c r="AN360" s="8"/>
      <c r="AO360" s="8"/>
    </row>
    <row r="361" spans="14:41" s="11" customFormat="1" ht="18.45">
      <c r="N361" s="8"/>
      <c r="O361" s="8"/>
      <c r="P361" s="8"/>
      <c r="Q361" s="8"/>
      <c r="R361" s="8"/>
      <c r="S361" s="8"/>
      <c r="T361" s="8"/>
      <c r="U361" s="8"/>
      <c r="AH361" s="8"/>
      <c r="AI361" s="8"/>
      <c r="AJ361" s="8"/>
      <c r="AK361" s="8"/>
      <c r="AL361" s="8"/>
      <c r="AM361" s="8"/>
      <c r="AN361" s="8"/>
      <c r="AO361" s="8"/>
    </row>
    <row r="362" spans="14:41" s="11" customFormat="1" ht="18.45">
      <c r="N362" s="8"/>
      <c r="O362" s="8"/>
      <c r="P362" s="8"/>
      <c r="Q362" s="8"/>
      <c r="R362" s="8"/>
      <c r="S362" s="8"/>
      <c r="T362" s="8"/>
      <c r="U362" s="8"/>
      <c r="AH362" s="8"/>
      <c r="AI362" s="8"/>
      <c r="AJ362" s="8"/>
      <c r="AK362" s="8"/>
      <c r="AL362" s="8"/>
      <c r="AM362" s="8"/>
      <c r="AN362" s="8"/>
      <c r="AO362" s="8"/>
    </row>
    <row r="363" spans="14:41" s="11" customFormat="1" ht="18.45">
      <c r="N363" s="8"/>
      <c r="O363" s="8"/>
      <c r="P363" s="8"/>
      <c r="Q363" s="8"/>
      <c r="R363" s="8"/>
      <c r="S363" s="8"/>
      <c r="T363" s="8"/>
      <c r="U363" s="8"/>
      <c r="AH363" s="8"/>
      <c r="AI363" s="8"/>
      <c r="AJ363" s="8"/>
      <c r="AK363" s="8"/>
      <c r="AL363" s="8"/>
      <c r="AM363" s="8"/>
      <c r="AN363" s="8"/>
      <c r="AO363" s="8"/>
    </row>
    <row r="364" spans="14:41" s="11" customFormat="1" ht="18.45">
      <c r="N364" s="8"/>
      <c r="O364" s="8"/>
      <c r="P364" s="8"/>
      <c r="Q364" s="8"/>
      <c r="R364" s="8"/>
      <c r="S364" s="8"/>
      <c r="T364" s="8"/>
      <c r="U364" s="8"/>
      <c r="AH364" s="8"/>
      <c r="AI364" s="8"/>
      <c r="AJ364" s="8"/>
      <c r="AK364" s="8"/>
      <c r="AL364" s="8"/>
      <c r="AM364" s="8"/>
      <c r="AN364" s="8"/>
      <c r="AO364" s="8"/>
    </row>
    <row r="365" spans="14:41" s="11" customFormat="1" ht="18.45">
      <c r="N365" s="8"/>
      <c r="O365" s="8"/>
      <c r="P365" s="8"/>
      <c r="Q365" s="8"/>
      <c r="R365" s="8"/>
      <c r="S365" s="8"/>
      <c r="T365" s="8"/>
      <c r="U365" s="8"/>
      <c r="AH365" s="8"/>
      <c r="AI365" s="8"/>
      <c r="AJ365" s="8"/>
      <c r="AK365" s="8"/>
      <c r="AL365" s="8"/>
      <c r="AM365" s="8"/>
      <c r="AN365" s="8"/>
      <c r="AO365" s="8"/>
    </row>
    <row r="366" spans="14:41" s="11" customFormat="1" ht="18.45">
      <c r="N366" s="8"/>
      <c r="O366" s="8"/>
      <c r="P366" s="8"/>
      <c r="Q366" s="8"/>
      <c r="R366" s="8"/>
      <c r="S366" s="8"/>
      <c r="T366" s="8"/>
      <c r="U366" s="8"/>
      <c r="AH366" s="8"/>
      <c r="AI366" s="8"/>
      <c r="AJ366" s="8"/>
      <c r="AK366" s="8"/>
      <c r="AL366" s="8"/>
      <c r="AM366" s="8"/>
      <c r="AN366" s="8"/>
      <c r="AO366" s="8"/>
    </row>
    <row r="367" spans="14:41" s="11" customFormat="1" ht="18.45">
      <c r="N367" s="8"/>
      <c r="O367" s="8"/>
      <c r="P367" s="8"/>
      <c r="Q367" s="8"/>
      <c r="R367" s="8"/>
      <c r="S367" s="8"/>
      <c r="T367" s="8"/>
      <c r="U367" s="8"/>
      <c r="AH367" s="8"/>
      <c r="AI367" s="8"/>
      <c r="AJ367" s="8"/>
      <c r="AK367" s="8"/>
      <c r="AL367" s="8"/>
      <c r="AM367" s="8"/>
      <c r="AN367" s="8"/>
      <c r="AO367" s="8"/>
    </row>
    <row r="368" spans="14:41" s="11" customFormat="1" ht="18.45">
      <c r="N368" s="8"/>
      <c r="O368" s="8"/>
      <c r="P368" s="8"/>
      <c r="Q368" s="8"/>
      <c r="R368" s="8"/>
      <c r="S368" s="8"/>
      <c r="T368" s="8"/>
      <c r="U368" s="8"/>
      <c r="AH368" s="8"/>
      <c r="AI368" s="8"/>
      <c r="AJ368" s="8"/>
      <c r="AK368" s="8"/>
      <c r="AL368" s="8"/>
      <c r="AM368" s="8"/>
      <c r="AN368" s="8"/>
      <c r="AO368" s="8"/>
    </row>
    <row r="369" spans="14:41" s="11" customFormat="1" ht="18.45">
      <c r="N369" s="8"/>
      <c r="O369" s="8"/>
      <c r="P369" s="8"/>
      <c r="Q369" s="8"/>
      <c r="R369" s="8"/>
      <c r="S369" s="8"/>
      <c r="T369" s="8"/>
      <c r="U369" s="8"/>
      <c r="AH369" s="8"/>
      <c r="AI369" s="8"/>
      <c r="AJ369" s="8"/>
      <c r="AK369" s="8"/>
      <c r="AL369" s="8"/>
      <c r="AM369" s="8"/>
      <c r="AN369" s="8"/>
      <c r="AO369" s="8"/>
    </row>
    <row r="370" spans="14:41" s="11" customFormat="1" ht="18.45">
      <c r="N370" s="8"/>
      <c r="O370" s="8"/>
      <c r="P370" s="8"/>
      <c r="Q370" s="8"/>
      <c r="R370" s="8"/>
      <c r="S370" s="8"/>
      <c r="T370" s="8"/>
      <c r="U370" s="8"/>
      <c r="AH370" s="8"/>
      <c r="AI370" s="8"/>
      <c r="AJ370" s="8"/>
      <c r="AK370" s="8"/>
      <c r="AL370" s="8"/>
      <c r="AM370" s="8"/>
      <c r="AN370" s="8"/>
      <c r="AO370" s="8"/>
    </row>
    <row r="371" spans="14:41" s="11" customFormat="1" ht="18.45">
      <c r="N371" s="8"/>
      <c r="O371" s="8"/>
      <c r="P371" s="8"/>
      <c r="Q371" s="8"/>
      <c r="R371" s="8"/>
      <c r="S371" s="8"/>
      <c r="T371" s="8"/>
      <c r="U371" s="8"/>
      <c r="AH371" s="8"/>
      <c r="AI371" s="8"/>
      <c r="AJ371" s="8"/>
      <c r="AK371" s="8"/>
      <c r="AL371" s="8"/>
      <c r="AM371" s="8"/>
      <c r="AN371" s="8"/>
      <c r="AO371" s="8"/>
    </row>
    <row r="372" spans="14:41" s="11" customFormat="1" ht="18.45">
      <c r="N372" s="8"/>
      <c r="O372" s="8"/>
      <c r="P372" s="8"/>
      <c r="Q372" s="8"/>
      <c r="R372" s="8"/>
      <c r="S372" s="8"/>
      <c r="T372" s="8"/>
      <c r="U372" s="8"/>
      <c r="AH372" s="8"/>
      <c r="AI372" s="8"/>
      <c r="AJ372" s="8"/>
      <c r="AK372" s="8"/>
      <c r="AL372" s="8"/>
      <c r="AM372" s="8"/>
      <c r="AN372" s="8"/>
      <c r="AO372" s="8"/>
    </row>
    <row r="373" spans="14:41" s="11" customFormat="1" ht="18.45">
      <c r="N373" s="8"/>
      <c r="O373" s="8"/>
      <c r="P373" s="8"/>
      <c r="Q373" s="8"/>
      <c r="R373" s="8"/>
      <c r="S373" s="8"/>
      <c r="T373" s="8"/>
      <c r="U373" s="8"/>
      <c r="AH373" s="8"/>
      <c r="AI373" s="8"/>
      <c r="AJ373" s="8"/>
      <c r="AK373" s="8"/>
      <c r="AL373" s="8"/>
      <c r="AM373" s="8"/>
      <c r="AN373" s="8"/>
      <c r="AO373" s="8"/>
    </row>
    <row r="374" spans="14:41" s="11" customFormat="1" ht="18.45">
      <c r="N374" s="8"/>
      <c r="O374" s="8"/>
      <c r="P374" s="8"/>
      <c r="Q374" s="8"/>
      <c r="R374" s="8"/>
      <c r="S374" s="8"/>
      <c r="T374" s="8"/>
      <c r="U374" s="8"/>
      <c r="AH374" s="8"/>
      <c r="AI374" s="8"/>
      <c r="AJ374" s="8"/>
      <c r="AK374" s="8"/>
      <c r="AL374" s="8"/>
      <c r="AM374" s="8"/>
      <c r="AN374" s="8"/>
      <c r="AO374" s="8"/>
    </row>
    <row r="375" spans="14:41" s="11" customFormat="1" ht="18.45">
      <c r="N375" s="8"/>
      <c r="O375" s="8"/>
      <c r="P375" s="8"/>
      <c r="Q375" s="8"/>
      <c r="R375" s="8"/>
      <c r="S375" s="8"/>
      <c r="T375" s="8"/>
      <c r="U375" s="8"/>
      <c r="AH375" s="8"/>
      <c r="AI375" s="8"/>
      <c r="AJ375" s="8"/>
      <c r="AK375" s="8"/>
      <c r="AL375" s="8"/>
      <c r="AM375" s="8"/>
      <c r="AN375" s="8"/>
      <c r="AO375" s="8"/>
    </row>
    <row r="376" spans="14:41" s="11" customFormat="1" ht="18.45">
      <c r="N376" s="8"/>
      <c r="O376" s="8"/>
      <c r="P376" s="8"/>
      <c r="Q376" s="8"/>
      <c r="R376" s="8"/>
      <c r="S376" s="8"/>
      <c r="T376" s="8"/>
      <c r="U376" s="8"/>
      <c r="AH376" s="8"/>
      <c r="AI376" s="8"/>
      <c r="AJ376" s="8"/>
      <c r="AK376" s="8"/>
      <c r="AL376" s="8"/>
      <c r="AM376" s="8"/>
      <c r="AN376" s="8"/>
      <c r="AO376" s="8"/>
    </row>
    <row r="377" spans="14:41" s="11" customFormat="1" ht="18.45">
      <c r="N377" s="8"/>
      <c r="O377" s="8"/>
      <c r="P377" s="8"/>
      <c r="Q377" s="8"/>
      <c r="R377" s="8"/>
      <c r="S377" s="8"/>
      <c r="T377" s="8"/>
      <c r="U377" s="8"/>
      <c r="AH377" s="8"/>
      <c r="AI377" s="8"/>
      <c r="AJ377" s="8"/>
      <c r="AK377" s="8"/>
      <c r="AL377" s="8"/>
      <c r="AM377" s="8"/>
      <c r="AN377" s="8"/>
      <c r="AO377" s="8"/>
    </row>
    <row r="378" spans="14:41" s="11" customFormat="1" ht="18.45">
      <c r="N378" s="8"/>
      <c r="O378" s="8"/>
      <c r="P378" s="8"/>
      <c r="Q378" s="8"/>
      <c r="R378" s="8"/>
      <c r="S378" s="8"/>
      <c r="T378" s="8"/>
      <c r="U378" s="8"/>
      <c r="AH378" s="8"/>
      <c r="AI378" s="8"/>
      <c r="AJ378" s="8"/>
      <c r="AK378" s="8"/>
      <c r="AL378" s="8"/>
      <c r="AM378" s="8"/>
      <c r="AN378" s="8"/>
      <c r="AO378" s="8"/>
    </row>
    <row r="379" spans="14:41" s="11" customFormat="1" ht="18.45">
      <c r="N379" s="8"/>
      <c r="O379" s="8"/>
      <c r="P379" s="8"/>
      <c r="Q379" s="8"/>
      <c r="R379" s="8"/>
      <c r="S379" s="8"/>
      <c r="T379" s="8"/>
      <c r="U379" s="8"/>
      <c r="AH379" s="8"/>
      <c r="AI379" s="8"/>
      <c r="AJ379" s="8"/>
      <c r="AK379" s="8"/>
      <c r="AL379" s="8"/>
      <c r="AM379" s="8"/>
      <c r="AN379" s="8"/>
      <c r="AO379" s="8"/>
    </row>
    <row r="380" spans="14:41" s="11" customFormat="1" ht="18.45">
      <c r="N380" s="8"/>
      <c r="O380" s="8"/>
      <c r="P380" s="8"/>
      <c r="Q380" s="8"/>
      <c r="R380" s="8"/>
      <c r="S380" s="8"/>
      <c r="T380" s="8"/>
      <c r="U380" s="8"/>
      <c r="AH380" s="8"/>
      <c r="AI380" s="8"/>
      <c r="AJ380" s="8"/>
      <c r="AK380" s="8"/>
      <c r="AL380" s="8"/>
      <c r="AM380" s="8"/>
      <c r="AN380" s="8"/>
      <c r="AO380" s="8"/>
    </row>
    <row r="381" spans="14:41" s="11" customFormat="1" ht="18.45">
      <c r="N381" s="8"/>
      <c r="O381" s="8"/>
      <c r="P381" s="8"/>
      <c r="Q381" s="8"/>
      <c r="R381" s="8"/>
      <c r="S381" s="8"/>
      <c r="T381" s="8"/>
      <c r="U381" s="8"/>
      <c r="AH381" s="8"/>
      <c r="AI381" s="8"/>
      <c r="AJ381" s="8"/>
      <c r="AK381" s="8"/>
      <c r="AL381" s="8"/>
      <c r="AM381" s="8"/>
      <c r="AN381" s="8"/>
      <c r="AO381" s="8"/>
    </row>
    <row r="382" spans="14:41" s="11" customFormat="1" ht="18.45">
      <c r="N382" s="8"/>
      <c r="O382" s="8"/>
      <c r="P382" s="8"/>
      <c r="Q382" s="8"/>
      <c r="R382" s="8"/>
      <c r="S382" s="8"/>
      <c r="T382" s="8"/>
      <c r="U382" s="8"/>
      <c r="AH382" s="8"/>
      <c r="AI382" s="8"/>
      <c r="AJ382" s="8"/>
      <c r="AK382" s="8"/>
      <c r="AL382" s="8"/>
      <c r="AM382" s="8"/>
      <c r="AN382" s="8"/>
      <c r="AO382" s="8"/>
    </row>
    <row r="383" spans="14:41" s="11" customFormat="1" ht="18.45">
      <c r="N383" s="8"/>
      <c r="O383" s="8"/>
      <c r="P383" s="8"/>
      <c r="Q383" s="8"/>
      <c r="R383" s="8"/>
      <c r="S383" s="8"/>
      <c r="T383" s="8"/>
      <c r="U383" s="8"/>
      <c r="AH383" s="8"/>
      <c r="AI383" s="8"/>
      <c r="AJ383" s="8"/>
      <c r="AK383" s="8"/>
      <c r="AL383" s="8"/>
      <c r="AM383" s="8"/>
      <c r="AN383" s="8"/>
      <c r="AO383" s="8"/>
    </row>
    <row r="384" spans="14:41" s="11" customFormat="1" ht="18.45">
      <c r="N384" s="8"/>
      <c r="O384" s="8"/>
      <c r="P384" s="8"/>
      <c r="Q384" s="8"/>
      <c r="R384" s="8"/>
      <c r="S384" s="8"/>
      <c r="T384" s="8"/>
      <c r="U384" s="8"/>
      <c r="AH384" s="8"/>
      <c r="AI384" s="8"/>
      <c r="AJ384" s="8"/>
      <c r="AK384" s="8"/>
      <c r="AL384" s="8"/>
      <c r="AM384" s="8"/>
      <c r="AN384" s="8"/>
      <c r="AO384" s="8"/>
    </row>
    <row r="385" spans="14:41" s="11" customFormat="1" ht="18.45">
      <c r="N385" s="8"/>
      <c r="O385" s="8"/>
      <c r="P385" s="8"/>
      <c r="Q385" s="8"/>
      <c r="R385" s="8"/>
      <c r="S385" s="8"/>
      <c r="T385" s="8"/>
      <c r="U385" s="8"/>
      <c r="AH385" s="8"/>
      <c r="AI385" s="8"/>
      <c r="AJ385" s="8"/>
      <c r="AK385" s="8"/>
      <c r="AL385" s="8"/>
      <c r="AM385" s="8"/>
      <c r="AN385" s="8"/>
      <c r="AO385" s="8"/>
    </row>
    <row r="386" spans="14:41" s="11" customFormat="1" ht="18.45">
      <c r="N386" s="8"/>
      <c r="O386" s="8"/>
      <c r="P386" s="8"/>
      <c r="Q386" s="8"/>
      <c r="R386" s="8"/>
      <c r="S386" s="8"/>
      <c r="T386" s="8"/>
      <c r="U386" s="8"/>
      <c r="AH386" s="8"/>
      <c r="AI386" s="8"/>
      <c r="AJ386" s="8"/>
      <c r="AK386" s="8"/>
      <c r="AL386" s="8"/>
      <c r="AM386" s="8"/>
      <c r="AN386" s="8"/>
      <c r="AO386" s="8"/>
    </row>
    <row r="387" spans="14:41" s="11" customFormat="1" ht="18.45">
      <c r="N387" s="8"/>
      <c r="O387" s="8"/>
      <c r="P387" s="8"/>
      <c r="Q387" s="8"/>
      <c r="R387" s="8"/>
      <c r="S387" s="8"/>
      <c r="T387" s="8"/>
      <c r="U387" s="8"/>
      <c r="AH387" s="8"/>
      <c r="AI387" s="8"/>
      <c r="AJ387" s="8"/>
      <c r="AK387" s="8"/>
      <c r="AL387" s="8"/>
      <c r="AM387" s="8"/>
      <c r="AN387" s="8"/>
      <c r="AO387" s="8"/>
    </row>
    <row r="388" spans="14:41" s="11" customFormat="1" ht="18.45">
      <c r="N388" s="8"/>
      <c r="O388" s="8"/>
      <c r="P388" s="8"/>
      <c r="Q388" s="8"/>
      <c r="R388" s="8"/>
      <c r="S388" s="8"/>
      <c r="T388" s="8"/>
      <c r="U388" s="8"/>
      <c r="AH388" s="8"/>
      <c r="AI388" s="8"/>
      <c r="AJ388" s="8"/>
      <c r="AK388" s="8"/>
      <c r="AL388" s="8"/>
      <c r="AM388" s="8"/>
      <c r="AN388" s="8"/>
      <c r="AO388" s="8"/>
    </row>
    <row r="389" spans="14:41" s="11" customFormat="1" ht="18.45">
      <c r="N389" s="8"/>
      <c r="O389" s="8"/>
      <c r="P389" s="8"/>
      <c r="Q389" s="8"/>
      <c r="R389" s="8"/>
      <c r="S389" s="8"/>
      <c r="T389" s="8"/>
      <c r="U389" s="8"/>
      <c r="AH389" s="8"/>
      <c r="AI389" s="8"/>
      <c r="AJ389" s="8"/>
      <c r="AK389" s="8"/>
      <c r="AL389" s="8"/>
      <c r="AM389" s="8"/>
      <c r="AN389" s="8"/>
      <c r="AO389" s="8"/>
    </row>
    <row r="390" spans="14:41" s="11" customFormat="1" ht="18.45">
      <c r="N390" s="8"/>
      <c r="O390" s="8"/>
      <c r="P390" s="8"/>
      <c r="Q390" s="8"/>
      <c r="R390" s="8"/>
      <c r="S390" s="8"/>
      <c r="T390" s="8"/>
      <c r="U390" s="8"/>
      <c r="AH390" s="8"/>
      <c r="AI390" s="8"/>
      <c r="AJ390" s="8"/>
      <c r="AK390" s="8"/>
      <c r="AL390" s="8"/>
      <c r="AM390" s="8"/>
      <c r="AN390" s="8"/>
      <c r="AO390" s="8"/>
    </row>
    <row r="391" spans="14:41" s="11" customFormat="1" ht="18.45">
      <c r="N391" s="8"/>
      <c r="O391" s="8"/>
      <c r="P391" s="8"/>
      <c r="Q391" s="8"/>
      <c r="R391" s="8"/>
      <c r="S391" s="8"/>
      <c r="T391" s="8"/>
      <c r="U391" s="8"/>
      <c r="AH391" s="8"/>
      <c r="AI391" s="8"/>
      <c r="AJ391" s="8"/>
      <c r="AK391" s="8"/>
      <c r="AL391" s="8"/>
      <c r="AM391" s="8"/>
      <c r="AN391" s="8"/>
      <c r="AO391" s="8"/>
    </row>
    <row r="392" spans="14:41" s="11" customFormat="1" ht="18.45">
      <c r="N392" s="8"/>
      <c r="O392" s="8"/>
      <c r="P392" s="8"/>
      <c r="Q392" s="8"/>
      <c r="R392" s="8"/>
      <c r="S392" s="8"/>
      <c r="T392" s="8"/>
      <c r="U392" s="8"/>
      <c r="AH392" s="8"/>
      <c r="AI392" s="8"/>
      <c r="AJ392" s="8"/>
      <c r="AK392" s="8"/>
      <c r="AL392" s="8"/>
      <c r="AM392" s="8"/>
      <c r="AN392" s="8"/>
      <c r="AO392" s="8"/>
    </row>
    <row r="393" spans="14:41" s="11" customFormat="1" ht="18.45">
      <c r="N393" s="8"/>
      <c r="O393" s="8"/>
      <c r="P393" s="8"/>
      <c r="Q393" s="8"/>
      <c r="R393" s="8"/>
      <c r="S393" s="8"/>
      <c r="T393" s="8"/>
      <c r="U393" s="8"/>
      <c r="AH393" s="8"/>
      <c r="AI393" s="8"/>
      <c r="AJ393" s="8"/>
      <c r="AK393" s="8"/>
      <c r="AL393" s="8"/>
      <c r="AM393" s="8"/>
      <c r="AN393" s="8"/>
      <c r="AO393" s="8"/>
    </row>
    <row r="394" spans="14:41" s="11" customFormat="1" ht="18.45">
      <c r="N394" s="8"/>
      <c r="O394" s="8"/>
      <c r="P394" s="8"/>
      <c r="Q394" s="8"/>
      <c r="R394" s="8"/>
      <c r="S394" s="8"/>
      <c r="T394" s="8"/>
      <c r="U394" s="8"/>
      <c r="AH394" s="8"/>
      <c r="AI394" s="8"/>
      <c r="AJ394" s="8"/>
      <c r="AK394" s="8"/>
      <c r="AL394" s="8"/>
      <c r="AM394" s="8"/>
      <c r="AN394" s="8"/>
      <c r="AO394" s="8"/>
    </row>
    <row r="395" spans="14:41" s="11" customFormat="1" ht="18.45">
      <c r="N395" s="8"/>
      <c r="O395" s="8"/>
      <c r="P395" s="8"/>
      <c r="Q395" s="8"/>
      <c r="R395" s="8"/>
      <c r="S395" s="8"/>
      <c r="T395" s="8"/>
      <c r="U395" s="8"/>
      <c r="AH395" s="8"/>
      <c r="AI395" s="8"/>
      <c r="AJ395" s="8"/>
      <c r="AK395" s="8"/>
      <c r="AL395" s="8"/>
      <c r="AM395" s="8"/>
      <c r="AN395" s="8"/>
      <c r="AO395" s="8"/>
    </row>
    <row r="396" spans="14:41" s="11" customFormat="1" ht="18.45">
      <c r="N396" s="8"/>
      <c r="O396" s="8"/>
      <c r="P396" s="8"/>
      <c r="Q396" s="8"/>
      <c r="R396" s="8"/>
      <c r="S396" s="8"/>
      <c r="T396" s="8"/>
      <c r="U396" s="8"/>
      <c r="AH396" s="8"/>
      <c r="AI396" s="8"/>
      <c r="AJ396" s="8"/>
      <c r="AK396" s="8"/>
      <c r="AL396" s="8"/>
      <c r="AM396" s="8"/>
      <c r="AN396" s="8"/>
      <c r="AO396" s="8"/>
    </row>
    <row r="397" spans="14:41" s="11" customFormat="1" ht="18.45">
      <c r="N397" s="8"/>
      <c r="O397" s="8"/>
      <c r="P397" s="8"/>
      <c r="Q397" s="8"/>
      <c r="R397" s="8"/>
      <c r="S397" s="8"/>
      <c r="T397" s="8"/>
      <c r="U397" s="8"/>
      <c r="AH397" s="8"/>
      <c r="AI397" s="8"/>
      <c r="AJ397" s="8"/>
      <c r="AK397" s="8"/>
      <c r="AL397" s="8"/>
      <c r="AM397" s="8"/>
      <c r="AN397" s="8"/>
      <c r="AO397" s="8"/>
    </row>
    <row r="398" spans="14:41" s="11" customFormat="1" ht="18.45">
      <c r="N398" s="8"/>
      <c r="O398" s="8"/>
      <c r="P398" s="8"/>
      <c r="Q398" s="8"/>
      <c r="R398" s="8"/>
      <c r="S398" s="8"/>
      <c r="T398" s="8"/>
      <c r="U398" s="8"/>
      <c r="AH398" s="8"/>
      <c r="AI398" s="8"/>
      <c r="AJ398" s="8"/>
      <c r="AK398" s="8"/>
      <c r="AL398" s="8"/>
      <c r="AM398" s="8"/>
      <c r="AN398" s="8"/>
      <c r="AO398" s="8"/>
    </row>
    <row r="399" spans="14:41" s="11" customFormat="1" ht="18.45">
      <c r="N399" s="8"/>
      <c r="O399" s="8"/>
      <c r="P399" s="8"/>
      <c r="Q399" s="8"/>
      <c r="R399" s="8"/>
      <c r="S399" s="8"/>
      <c r="T399" s="8"/>
      <c r="U399" s="8"/>
      <c r="AH399" s="8"/>
      <c r="AI399" s="8"/>
      <c r="AJ399" s="8"/>
      <c r="AK399" s="8"/>
      <c r="AL399" s="8"/>
      <c r="AM399" s="8"/>
      <c r="AN399" s="8"/>
      <c r="AO399" s="8"/>
    </row>
    <row r="400" spans="14:41" s="11" customFormat="1" ht="18.45">
      <c r="N400" s="8"/>
      <c r="O400" s="8"/>
      <c r="P400" s="8"/>
      <c r="Q400" s="8"/>
      <c r="R400" s="8"/>
      <c r="S400" s="8"/>
      <c r="T400" s="8"/>
      <c r="U400" s="8"/>
      <c r="AH400" s="8"/>
      <c r="AI400" s="8"/>
      <c r="AJ400" s="8"/>
      <c r="AK400" s="8"/>
      <c r="AL400" s="8"/>
      <c r="AM400" s="8"/>
      <c r="AN400" s="8"/>
      <c r="AO400" s="8"/>
    </row>
    <row r="401" spans="14:41" s="11" customFormat="1" ht="18.45">
      <c r="N401" s="8"/>
      <c r="O401" s="8"/>
      <c r="P401" s="8"/>
      <c r="Q401" s="8"/>
      <c r="R401" s="8"/>
      <c r="S401" s="8"/>
      <c r="T401" s="8"/>
      <c r="U401" s="8"/>
      <c r="AH401" s="8"/>
      <c r="AI401" s="8"/>
      <c r="AJ401" s="8"/>
      <c r="AK401" s="8"/>
      <c r="AL401" s="8"/>
      <c r="AM401" s="8"/>
      <c r="AN401" s="8"/>
      <c r="AO401" s="8"/>
    </row>
    <row r="402" spans="14:41" s="11" customFormat="1" ht="18.45">
      <c r="N402" s="8"/>
      <c r="O402" s="8"/>
      <c r="P402" s="8"/>
      <c r="Q402" s="8"/>
      <c r="R402" s="8"/>
      <c r="S402" s="8"/>
      <c r="T402" s="8"/>
      <c r="U402" s="8"/>
      <c r="AH402" s="8"/>
      <c r="AI402" s="8"/>
      <c r="AJ402" s="8"/>
      <c r="AK402" s="8"/>
      <c r="AL402" s="8"/>
      <c r="AM402" s="8"/>
      <c r="AN402" s="8"/>
      <c r="AO402" s="8"/>
    </row>
    <row r="403" spans="14:41" s="11" customFormat="1" ht="18.45">
      <c r="N403" s="8"/>
      <c r="O403" s="8"/>
      <c r="P403" s="8"/>
      <c r="Q403" s="8"/>
      <c r="R403" s="8"/>
      <c r="S403" s="8"/>
      <c r="T403" s="8"/>
      <c r="U403" s="8"/>
      <c r="AH403" s="8"/>
      <c r="AI403" s="8"/>
      <c r="AJ403" s="8"/>
      <c r="AK403" s="8"/>
      <c r="AL403" s="8"/>
      <c r="AM403" s="8"/>
      <c r="AN403" s="8"/>
      <c r="AO403" s="8"/>
    </row>
    <row r="404" spans="14:41" s="11" customFormat="1" ht="18.45">
      <c r="N404" s="8"/>
      <c r="O404" s="8"/>
      <c r="P404" s="8"/>
      <c r="Q404" s="8"/>
      <c r="R404" s="8"/>
      <c r="S404" s="8"/>
      <c r="T404" s="8"/>
      <c r="U404" s="8"/>
      <c r="AH404" s="8"/>
      <c r="AI404" s="8"/>
      <c r="AJ404" s="8"/>
      <c r="AK404" s="8"/>
      <c r="AL404" s="8"/>
      <c r="AM404" s="8"/>
      <c r="AN404" s="8"/>
      <c r="AO404" s="8"/>
    </row>
    <row r="405" spans="14:41" s="11" customFormat="1" ht="18.45">
      <c r="N405" s="8"/>
      <c r="O405" s="8"/>
      <c r="P405" s="8"/>
      <c r="Q405" s="8"/>
      <c r="R405" s="8"/>
      <c r="S405" s="8"/>
      <c r="T405" s="8"/>
      <c r="U405" s="8"/>
      <c r="AH405" s="8"/>
      <c r="AI405" s="8"/>
      <c r="AJ405" s="8"/>
      <c r="AK405" s="8"/>
      <c r="AL405" s="8"/>
      <c r="AM405" s="8"/>
      <c r="AN405" s="8"/>
      <c r="AO405" s="8"/>
    </row>
    <row r="406" spans="14:41" s="11" customFormat="1" ht="18.45">
      <c r="N406" s="8"/>
      <c r="O406" s="8"/>
      <c r="P406" s="8"/>
      <c r="Q406" s="8"/>
      <c r="R406" s="8"/>
      <c r="S406" s="8"/>
      <c r="T406" s="8"/>
      <c r="U406" s="8"/>
      <c r="AH406" s="8"/>
      <c r="AI406" s="8"/>
      <c r="AJ406" s="8"/>
      <c r="AK406" s="8"/>
      <c r="AL406" s="8"/>
      <c r="AM406" s="8"/>
      <c r="AN406" s="8"/>
      <c r="AO406" s="8"/>
    </row>
    <row r="407" spans="14:41" s="11" customFormat="1" ht="18.45">
      <c r="N407" s="8"/>
      <c r="O407" s="8"/>
      <c r="P407" s="8"/>
      <c r="Q407" s="8"/>
      <c r="R407" s="8"/>
      <c r="S407" s="8"/>
      <c r="T407" s="8"/>
      <c r="U407" s="8"/>
      <c r="AH407" s="8"/>
      <c r="AI407" s="8"/>
      <c r="AJ407" s="8"/>
      <c r="AK407" s="8"/>
      <c r="AL407" s="8"/>
      <c r="AM407" s="8"/>
      <c r="AN407" s="8"/>
      <c r="AO407" s="8"/>
    </row>
    <row r="408" spans="14:41" s="11" customFormat="1" ht="18.45">
      <c r="N408" s="8"/>
      <c r="O408" s="8"/>
      <c r="P408" s="8"/>
      <c r="Q408" s="8"/>
      <c r="R408" s="8"/>
      <c r="S408" s="8"/>
      <c r="T408" s="8"/>
      <c r="U408" s="8"/>
      <c r="AH408" s="8"/>
      <c r="AI408" s="8"/>
      <c r="AJ408" s="8"/>
      <c r="AK408" s="8"/>
      <c r="AL408" s="8"/>
      <c r="AM408" s="8"/>
      <c r="AN408" s="8"/>
      <c r="AO408" s="8"/>
    </row>
    <row r="409" spans="14:41" s="11" customFormat="1" ht="18.45">
      <c r="N409" s="8"/>
      <c r="O409" s="8"/>
      <c r="P409" s="8"/>
      <c r="Q409" s="8"/>
      <c r="R409" s="8"/>
      <c r="S409" s="8"/>
      <c r="T409" s="8"/>
      <c r="U409" s="8"/>
      <c r="AH409" s="8"/>
      <c r="AI409" s="8"/>
      <c r="AJ409" s="8"/>
      <c r="AK409" s="8"/>
      <c r="AL409" s="8"/>
      <c r="AM409" s="8"/>
      <c r="AN409" s="8"/>
      <c r="AO409" s="8"/>
    </row>
    <row r="410" spans="14:41" s="11" customFormat="1" ht="18.45">
      <c r="N410" s="8"/>
      <c r="O410" s="8"/>
      <c r="P410" s="8"/>
      <c r="Q410" s="8"/>
      <c r="R410" s="8"/>
      <c r="S410" s="8"/>
      <c r="T410" s="8"/>
      <c r="U410" s="8"/>
      <c r="AH410" s="8"/>
      <c r="AI410" s="8"/>
      <c r="AJ410" s="8"/>
      <c r="AK410" s="8"/>
      <c r="AL410" s="8"/>
      <c r="AM410" s="8"/>
      <c r="AN410" s="8"/>
      <c r="AO410" s="8"/>
    </row>
    <row r="411" spans="14:41" s="11" customFormat="1" ht="18.45">
      <c r="N411" s="8"/>
      <c r="O411" s="8"/>
      <c r="P411" s="8"/>
      <c r="Q411" s="8"/>
      <c r="R411" s="8"/>
      <c r="S411" s="8"/>
      <c r="T411" s="8"/>
      <c r="U411" s="8"/>
      <c r="AH411" s="8"/>
      <c r="AI411" s="8"/>
      <c r="AJ411" s="8"/>
      <c r="AK411" s="8"/>
      <c r="AL411" s="8"/>
      <c r="AM411" s="8"/>
      <c r="AN411" s="8"/>
      <c r="AO411" s="8"/>
    </row>
    <row r="412" spans="14:41" s="11" customFormat="1" ht="18.45">
      <c r="N412" s="8"/>
      <c r="O412" s="8"/>
      <c r="P412" s="8"/>
      <c r="Q412" s="8"/>
      <c r="R412" s="8"/>
      <c r="S412" s="8"/>
      <c r="T412" s="8"/>
      <c r="U412" s="8"/>
      <c r="AH412" s="8"/>
      <c r="AI412" s="8"/>
      <c r="AJ412" s="8"/>
      <c r="AK412" s="8"/>
      <c r="AL412" s="8"/>
      <c r="AM412" s="8"/>
      <c r="AN412" s="8"/>
      <c r="AO412" s="8"/>
    </row>
    <row r="413" spans="14:41" s="11" customFormat="1" ht="18.45">
      <c r="N413" s="8"/>
      <c r="O413" s="8"/>
      <c r="P413" s="8"/>
      <c r="Q413" s="8"/>
      <c r="R413" s="8"/>
      <c r="S413" s="8"/>
      <c r="T413" s="8"/>
      <c r="U413" s="8"/>
      <c r="AH413" s="8"/>
      <c r="AI413" s="8"/>
      <c r="AJ413" s="8"/>
      <c r="AK413" s="8"/>
      <c r="AL413" s="8"/>
      <c r="AM413" s="8"/>
      <c r="AN413" s="8"/>
      <c r="AO413" s="8"/>
    </row>
    <row r="414" spans="14:41" s="11" customFormat="1" ht="18.45">
      <c r="N414" s="8"/>
      <c r="O414" s="8"/>
      <c r="P414" s="8"/>
      <c r="Q414" s="8"/>
      <c r="R414" s="8"/>
      <c r="S414" s="8"/>
      <c r="T414" s="8"/>
      <c r="U414" s="8"/>
      <c r="AH414" s="8"/>
      <c r="AI414" s="8"/>
      <c r="AJ414" s="8"/>
      <c r="AK414" s="8"/>
      <c r="AL414" s="8"/>
      <c r="AM414" s="8"/>
      <c r="AN414" s="8"/>
      <c r="AO414" s="8"/>
    </row>
    <row r="415" spans="14:41" s="11" customFormat="1" ht="18.45">
      <c r="N415" s="8"/>
      <c r="O415" s="8"/>
      <c r="P415" s="8"/>
      <c r="Q415" s="8"/>
      <c r="R415" s="8"/>
      <c r="S415" s="8"/>
      <c r="T415" s="8"/>
      <c r="U415" s="8"/>
      <c r="AH415" s="8"/>
      <c r="AI415" s="8"/>
      <c r="AJ415" s="8"/>
      <c r="AK415" s="8"/>
      <c r="AL415" s="8"/>
      <c r="AM415" s="8"/>
      <c r="AN415" s="8"/>
      <c r="AO415" s="8"/>
    </row>
    <row r="416" spans="14:41" s="11" customFormat="1" ht="18.45">
      <c r="N416" s="8"/>
      <c r="O416" s="8"/>
      <c r="P416" s="8"/>
      <c r="Q416" s="8"/>
      <c r="R416" s="8"/>
      <c r="S416" s="8"/>
      <c r="T416" s="8"/>
      <c r="U416" s="8"/>
      <c r="AH416" s="8"/>
      <c r="AI416" s="8"/>
      <c r="AJ416" s="8"/>
      <c r="AK416" s="8"/>
      <c r="AL416" s="8"/>
      <c r="AM416" s="8"/>
      <c r="AN416" s="8"/>
      <c r="AO416" s="8"/>
    </row>
    <row r="417" spans="14:41" s="11" customFormat="1" ht="18.45">
      <c r="N417" s="8"/>
      <c r="O417" s="8"/>
      <c r="P417" s="8"/>
      <c r="Q417" s="8"/>
      <c r="R417" s="8"/>
      <c r="S417" s="8"/>
      <c r="T417" s="8"/>
      <c r="U417" s="8"/>
      <c r="AH417" s="8"/>
      <c r="AI417" s="8"/>
      <c r="AJ417" s="8"/>
      <c r="AK417" s="8"/>
      <c r="AL417" s="8"/>
      <c r="AM417" s="8"/>
      <c r="AN417" s="8"/>
      <c r="AO417" s="8"/>
    </row>
    <row r="418" spans="14:41" s="11" customFormat="1" ht="18.45">
      <c r="N418" s="8"/>
      <c r="O418" s="8"/>
      <c r="P418" s="8"/>
      <c r="Q418" s="8"/>
      <c r="R418" s="8"/>
      <c r="S418" s="8"/>
      <c r="T418" s="8"/>
      <c r="U418" s="8"/>
      <c r="AH418" s="8"/>
      <c r="AI418" s="8"/>
      <c r="AJ418" s="8"/>
      <c r="AK418" s="8"/>
      <c r="AL418" s="8"/>
      <c r="AM418" s="8"/>
      <c r="AN418" s="8"/>
      <c r="AO418" s="8"/>
    </row>
    <row r="419" spans="14:41" s="11" customFormat="1" ht="18.45">
      <c r="N419" s="8"/>
      <c r="O419" s="8"/>
      <c r="P419" s="8"/>
      <c r="Q419" s="8"/>
      <c r="R419" s="8"/>
      <c r="S419" s="8"/>
      <c r="T419" s="8"/>
      <c r="U419" s="8"/>
      <c r="AH419" s="8"/>
      <c r="AI419" s="8"/>
      <c r="AJ419" s="8"/>
      <c r="AK419" s="8"/>
      <c r="AL419" s="8"/>
      <c r="AM419" s="8"/>
      <c r="AN419" s="8"/>
      <c r="AO419" s="8"/>
    </row>
    <row r="420" spans="14:41" s="11" customFormat="1" ht="18.45">
      <c r="N420" s="8"/>
      <c r="O420" s="8"/>
      <c r="P420" s="8"/>
      <c r="Q420" s="8"/>
      <c r="R420" s="8"/>
      <c r="S420" s="8"/>
      <c r="T420" s="8"/>
      <c r="U420" s="8"/>
      <c r="AH420" s="8"/>
      <c r="AI420" s="8"/>
      <c r="AJ420" s="8"/>
      <c r="AK420" s="8"/>
      <c r="AL420" s="8"/>
      <c r="AM420" s="8"/>
      <c r="AN420" s="8"/>
      <c r="AO420" s="8"/>
    </row>
    <row r="421" spans="14:41" s="11" customFormat="1" ht="18.45">
      <c r="N421" s="8"/>
      <c r="O421" s="8"/>
      <c r="P421" s="8"/>
      <c r="Q421" s="8"/>
      <c r="R421" s="8"/>
      <c r="S421" s="8"/>
      <c r="T421" s="8"/>
      <c r="U421" s="8"/>
      <c r="AH421" s="8"/>
      <c r="AI421" s="8"/>
      <c r="AJ421" s="8"/>
      <c r="AK421" s="8"/>
      <c r="AL421" s="8"/>
      <c r="AM421" s="8"/>
      <c r="AN421" s="8"/>
      <c r="AO421" s="8"/>
    </row>
    <row r="422" spans="14:41" s="11" customFormat="1" ht="18.45">
      <c r="N422" s="8"/>
      <c r="O422" s="8"/>
      <c r="P422" s="8"/>
      <c r="Q422" s="8"/>
      <c r="R422" s="8"/>
      <c r="S422" s="8"/>
      <c r="T422" s="8"/>
      <c r="U422" s="8"/>
      <c r="AH422" s="8"/>
      <c r="AI422" s="8"/>
      <c r="AJ422" s="8"/>
      <c r="AK422" s="8"/>
      <c r="AL422" s="8"/>
      <c r="AM422" s="8"/>
      <c r="AN422" s="8"/>
      <c r="AO422" s="8"/>
    </row>
    <row r="423" spans="14:41" s="11" customFormat="1" ht="18.45">
      <c r="N423" s="8"/>
      <c r="O423" s="8"/>
      <c r="P423" s="8"/>
      <c r="Q423" s="8"/>
      <c r="R423" s="8"/>
      <c r="S423" s="8"/>
      <c r="T423" s="8"/>
      <c r="U423" s="8"/>
      <c r="AH423" s="8"/>
      <c r="AI423" s="8"/>
      <c r="AJ423" s="8"/>
      <c r="AK423" s="8"/>
      <c r="AL423" s="8"/>
      <c r="AM423" s="8"/>
      <c r="AN423" s="8"/>
      <c r="AO423" s="8"/>
    </row>
    <row r="424" spans="14:41" s="11" customFormat="1" ht="18.45">
      <c r="N424" s="8"/>
      <c r="O424" s="8"/>
      <c r="P424" s="8"/>
      <c r="Q424" s="8"/>
      <c r="R424" s="8"/>
      <c r="S424" s="8"/>
      <c r="T424" s="8"/>
      <c r="U424" s="8"/>
      <c r="AH424" s="8"/>
      <c r="AI424" s="8"/>
      <c r="AJ424" s="8"/>
      <c r="AK424" s="8"/>
      <c r="AL424" s="8"/>
      <c r="AM424" s="8"/>
      <c r="AN424" s="8"/>
      <c r="AO424" s="8"/>
    </row>
    <row r="425" spans="14:41" s="11" customFormat="1" ht="18.45">
      <c r="N425" s="8"/>
      <c r="O425" s="8"/>
      <c r="P425" s="8"/>
      <c r="Q425" s="8"/>
      <c r="R425" s="8"/>
      <c r="S425" s="8"/>
      <c r="T425" s="8"/>
      <c r="U425" s="8"/>
      <c r="AH425" s="8"/>
      <c r="AI425" s="8"/>
      <c r="AJ425" s="8"/>
      <c r="AK425" s="8"/>
      <c r="AL425" s="8"/>
      <c r="AM425" s="8"/>
      <c r="AN425" s="8"/>
      <c r="AO425" s="8"/>
    </row>
    <row r="426" spans="14:41" s="11" customFormat="1" ht="18.45">
      <c r="N426" s="8"/>
      <c r="O426" s="8"/>
      <c r="P426" s="8"/>
      <c r="Q426" s="8"/>
      <c r="R426" s="8"/>
      <c r="S426" s="8"/>
      <c r="T426" s="8"/>
      <c r="U426" s="8"/>
      <c r="AH426" s="8"/>
      <c r="AI426" s="8"/>
      <c r="AJ426" s="8"/>
      <c r="AK426" s="8"/>
      <c r="AL426" s="8"/>
      <c r="AM426" s="8"/>
      <c r="AN426" s="8"/>
      <c r="AO426" s="8"/>
    </row>
    <row r="427" spans="14:41" s="11" customFormat="1" ht="18.45">
      <c r="N427" s="8"/>
      <c r="O427" s="8"/>
      <c r="P427" s="8"/>
      <c r="Q427" s="8"/>
      <c r="R427" s="8"/>
      <c r="S427" s="8"/>
      <c r="T427" s="8"/>
      <c r="U427" s="8"/>
      <c r="AH427" s="8"/>
      <c r="AI427" s="8"/>
      <c r="AJ427" s="8"/>
      <c r="AK427" s="8"/>
      <c r="AL427" s="8"/>
      <c r="AM427" s="8"/>
      <c r="AN427" s="8"/>
      <c r="AO427" s="8"/>
    </row>
    <row r="428" spans="14:41" s="11" customFormat="1" ht="18.45">
      <c r="N428" s="8"/>
      <c r="O428" s="8"/>
      <c r="P428" s="8"/>
      <c r="Q428" s="8"/>
      <c r="R428" s="8"/>
      <c r="S428" s="8"/>
      <c r="T428" s="8"/>
      <c r="U428" s="8"/>
      <c r="AH428" s="8"/>
      <c r="AI428" s="8"/>
      <c r="AJ428" s="8"/>
      <c r="AK428" s="8"/>
      <c r="AL428" s="8"/>
      <c r="AM428" s="8"/>
      <c r="AN428" s="8"/>
      <c r="AO428" s="8"/>
    </row>
    <row r="429" spans="14:41" s="11" customFormat="1" ht="18.45">
      <c r="N429" s="8"/>
      <c r="O429" s="8"/>
      <c r="P429" s="8"/>
      <c r="Q429" s="8"/>
      <c r="R429" s="8"/>
      <c r="S429" s="8"/>
      <c r="T429" s="8"/>
      <c r="U429" s="8"/>
      <c r="AH429" s="8"/>
      <c r="AI429" s="8"/>
      <c r="AJ429" s="8"/>
      <c r="AK429" s="8"/>
      <c r="AL429" s="8"/>
      <c r="AM429" s="8"/>
      <c r="AN429" s="8"/>
      <c r="AO429" s="8"/>
    </row>
    <row r="430" spans="14:41" s="11" customFormat="1" ht="18.45">
      <c r="N430" s="8"/>
      <c r="O430" s="8"/>
      <c r="P430" s="8"/>
      <c r="Q430" s="8"/>
      <c r="R430" s="8"/>
      <c r="S430" s="8"/>
      <c r="T430" s="8"/>
      <c r="U430" s="8"/>
      <c r="AH430" s="8"/>
      <c r="AI430" s="8"/>
      <c r="AJ430" s="8"/>
      <c r="AK430" s="8"/>
      <c r="AL430" s="8"/>
      <c r="AM430" s="8"/>
      <c r="AN430" s="8"/>
      <c r="AO430" s="8"/>
    </row>
    <row r="431" spans="14:41" s="11" customFormat="1" ht="18.45">
      <c r="N431" s="8"/>
      <c r="O431" s="8"/>
      <c r="P431" s="8"/>
      <c r="Q431" s="8"/>
      <c r="R431" s="8"/>
      <c r="S431" s="8"/>
      <c r="T431" s="8"/>
      <c r="U431" s="8"/>
      <c r="AH431" s="8"/>
      <c r="AI431" s="8"/>
      <c r="AJ431" s="8"/>
      <c r="AK431" s="8"/>
      <c r="AL431" s="8"/>
      <c r="AM431" s="8"/>
      <c r="AN431" s="8"/>
      <c r="AO431" s="8"/>
    </row>
    <row r="432" spans="14:41" s="11" customFormat="1" ht="18.45">
      <c r="N432" s="8"/>
      <c r="O432" s="8"/>
      <c r="P432" s="8"/>
      <c r="Q432" s="8"/>
      <c r="R432" s="8"/>
      <c r="S432" s="8"/>
      <c r="T432" s="8"/>
      <c r="U432" s="8"/>
      <c r="AH432" s="8"/>
      <c r="AI432" s="8"/>
      <c r="AJ432" s="8"/>
      <c r="AK432" s="8"/>
      <c r="AL432" s="8"/>
      <c r="AM432" s="8"/>
      <c r="AN432" s="8"/>
      <c r="AO432" s="8"/>
    </row>
    <row r="433" spans="14:41" s="11" customFormat="1" ht="18.45">
      <c r="N433" s="8"/>
      <c r="O433" s="8"/>
      <c r="P433" s="8"/>
      <c r="Q433" s="8"/>
      <c r="R433" s="8"/>
      <c r="S433" s="8"/>
      <c r="T433" s="8"/>
      <c r="U433" s="8"/>
      <c r="AH433" s="8"/>
      <c r="AI433" s="8"/>
      <c r="AJ433" s="8"/>
      <c r="AK433" s="8"/>
      <c r="AL433" s="8"/>
      <c r="AM433" s="8"/>
      <c r="AN433" s="8"/>
      <c r="AO433" s="8"/>
    </row>
    <row r="434" spans="14:41" s="11" customFormat="1" ht="18.45">
      <c r="N434" s="8"/>
      <c r="O434" s="8"/>
      <c r="P434" s="8"/>
      <c r="Q434" s="8"/>
      <c r="R434" s="8"/>
      <c r="S434" s="8"/>
      <c r="T434" s="8"/>
      <c r="U434" s="8"/>
      <c r="AH434" s="8"/>
      <c r="AI434" s="8"/>
      <c r="AJ434" s="8"/>
      <c r="AK434" s="8"/>
      <c r="AL434" s="8"/>
      <c r="AM434" s="8"/>
      <c r="AN434" s="8"/>
      <c r="AO434" s="8"/>
    </row>
    <row r="435" spans="14:41" s="11" customFormat="1" ht="18.45">
      <c r="N435" s="8"/>
      <c r="O435" s="8"/>
      <c r="P435" s="8"/>
      <c r="Q435" s="8"/>
      <c r="R435" s="8"/>
      <c r="S435" s="8"/>
      <c r="T435" s="8"/>
      <c r="U435" s="8"/>
      <c r="AH435" s="8"/>
      <c r="AI435" s="8"/>
      <c r="AJ435" s="8"/>
      <c r="AK435" s="8"/>
      <c r="AL435" s="8"/>
      <c r="AM435" s="8"/>
      <c r="AN435" s="8"/>
      <c r="AO435" s="8"/>
    </row>
    <row r="436" spans="14:41" s="11" customFormat="1" ht="18.45">
      <c r="N436" s="8"/>
      <c r="O436" s="8"/>
      <c r="P436" s="8"/>
      <c r="Q436" s="8"/>
      <c r="R436" s="8"/>
      <c r="S436" s="8"/>
      <c r="T436" s="8"/>
      <c r="U436" s="8"/>
      <c r="AH436" s="8"/>
      <c r="AI436" s="8"/>
      <c r="AJ436" s="8"/>
      <c r="AK436" s="8"/>
      <c r="AL436" s="8"/>
      <c r="AM436" s="8"/>
      <c r="AN436" s="8"/>
      <c r="AO436" s="8"/>
    </row>
    <row r="437" spans="14:41" s="11" customFormat="1" ht="18.45">
      <c r="N437" s="8"/>
      <c r="O437" s="8"/>
      <c r="P437" s="8"/>
      <c r="Q437" s="8"/>
      <c r="R437" s="8"/>
      <c r="S437" s="8"/>
      <c r="T437" s="8"/>
      <c r="U437" s="8"/>
      <c r="AH437" s="8"/>
      <c r="AI437" s="8"/>
      <c r="AJ437" s="8"/>
      <c r="AK437" s="8"/>
      <c r="AL437" s="8"/>
      <c r="AM437" s="8"/>
      <c r="AN437" s="8"/>
      <c r="AO437" s="8"/>
    </row>
    <row r="438" spans="14:41" s="11" customFormat="1" ht="18.45">
      <c r="N438" s="8"/>
      <c r="O438" s="8"/>
      <c r="P438" s="8"/>
      <c r="Q438" s="8"/>
      <c r="R438" s="8"/>
      <c r="S438" s="8"/>
      <c r="T438" s="8"/>
      <c r="U438" s="8"/>
      <c r="AH438" s="8"/>
      <c r="AI438" s="8"/>
      <c r="AJ438" s="8"/>
      <c r="AK438" s="8"/>
      <c r="AL438" s="8"/>
      <c r="AM438" s="8"/>
      <c r="AN438" s="8"/>
      <c r="AO438" s="8"/>
    </row>
    <row r="439" spans="14:41" s="11" customFormat="1" ht="18.45">
      <c r="N439" s="8"/>
      <c r="O439" s="8"/>
      <c r="P439" s="8"/>
      <c r="Q439" s="8"/>
      <c r="R439" s="8"/>
      <c r="S439" s="8"/>
      <c r="T439" s="8"/>
      <c r="U439" s="8"/>
      <c r="AH439" s="8"/>
      <c r="AI439" s="8"/>
      <c r="AJ439" s="8"/>
      <c r="AK439" s="8"/>
      <c r="AL439" s="8"/>
      <c r="AM439" s="8"/>
      <c r="AN439" s="8"/>
      <c r="AO439" s="8"/>
    </row>
    <row r="440" spans="14:41" s="11" customFormat="1" ht="18.45">
      <c r="N440" s="8"/>
      <c r="O440" s="8"/>
      <c r="P440" s="8"/>
      <c r="Q440" s="8"/>
      <c r="R440" s="8"/>
      <c r="S440" s="8"/>
      <c r="T440" s="8"/>
      <c r="U440" s="8"/>
      <c r="AH440" s="8"/>
      <c r="AI440" s="8"/>
      <c r="AJ440" s="8"/>
      <c r="AK440" s="8"/>
      <c r="AL440" s="8"/>
      <c r="AM440" s="8"/>
      <c r="AN440" s="8"/>
      <c r="AO440" s="8"/>
    </row>
    <row r="441" spans="14:41" s="11" customFormat="1" ht="18.45">
      <c r="N441" s="8"/>
      <c r="O441" s="8"/>
      <c r="P441" s="8"/>
      <c r="Q441" s="8"/>
      <c r="R441" s="8"/>
      <c r="S441" s="8"/>
      <c r="T441" s="8"/>
      <c r="U441" s="8"/>
      <c r="AH441" s="8"/>
      <c r="AI441" s="8"/>
      <c r="AJ441" s="8"/>
      <c r="AK441" s="8"/>
      <c r="AL441" s="8"/>
      <c r="AM441" s="8"/>
      <c r="AN441" s="8"/>
      <c r="AO441" s="8"/>
    </row>
    <row r="442" spans="14:41" s="11" customFormat="1" ht="18.45">
      <c r="N442" s="8"/>
      <c r="O442" s="8"/>
      <c r="P442" s="8"/>
      <c r="Q442" s="8"/>
      <c r="R442" s="8"/>
      <c r="S442" s="8"/>
      <c r="T442" s="8"/>
      <c r="U442" s="8"/>
      <c r="AH442" s="8"/>
      <c r="AI442" s="8"/>
      <c r="AJ442" s="8"/>
      <c r="AK442" s="8"/>
      <c r="AL442" s="8"/>
      <c r="AM442" s="8"/>
      <c r="AN442" s="8"/>
      <c r="AO442" s="8"/>
    </row>
    <row r="443" spans="14:41" s="11" customFormat="1" ht="18.45">
      <c r="N443" s="8"/>
      <c r="O443" s="8"/>
      <c r="P443" s="8"/>
      <c r="Q443" s="8"/>
      <c r="R443" s="8"/>
      <c r="S443" s="8"/>
      <c r="T443" s="8"/>
      <c r="U443" s="8"/>
      <c r="AH443" s="8"/>
      <c r="AI443" s="8"/>
      <c r="AJ443" s="8"/>
      <c r="AK443" s="8"/>
      <c r="AL443" s="8"/>
      <c r="AM443" s="8"/>
      <c r="AN443" s="8"/>
      <c r="AO443" s="8"/>
    </row>
    <row r="444" spans="14:41" s="11" customFormat="1" ht="18.45">
      <c r="N444" s="8"/>
      <c r="O444" s="8"/>
      <c r="P444" s="8"/>
      <c r="Q444" s="8"/>
      <c r="R444" s="8"/>
      <c r="S444" s="8"/>
      <c r="T444" s="8"/>
      <c r="U444" s="8"/>
      <c r="AH444" s="8"/>
      <c r="AI444" s="8"/>
      <c r="AJ444" s="8"/>
      <c r="AK444" s="8"/>
      <c r="AL444" s="8"/>
      <c r="AM444" s="8"/>
      <c r="AN444" s="8"/>
      <c r="AO444" s="8"/>
    </row>
    <row r="445" spans="14:41" s="11" customFormat="1" ht="18.45">
      <c r="N445" s="8"/>
      <c r="O445" s="8"/>
      <c r="P445" s="8"/>
      <c r="Q445" s="8"/>
      <c r="R445" s="8"/>
      <c r="S445" s="8"/>
      <c r="T445" s="8"/>
      <c r="U445" s="8"/>
      <c r="AH445" s="8"/>
      <c r="AI445" s="8"/>
      <c r="AJ445" s="8"/>
      <c r="AK445" s="8"/>
      <c r="AL445" s="8"/>
      <c r="AM445" s="8"/>
      <c r="AN445" s="8"/>
      <c r="AO445" s="8"/>
    </row>
    <row r="446" spans="14:41" s="11" customFormat="1" ht="18.45">
      <c r="N446" s="8"/>
      <c r="O446" s="8"/>
      <c r="P446" s="8"/>
      <c r="Q446" s="8"/>
      <c r="R446" s="8"/>
      <c r="S446" s="8"/>
      <c r="T446" s="8"/>
      <c r="U446" s="8"/>
      <c r="AH446" s="8"/>
      <c r="AI446" s="8"/>
      <c r="AJ446" s="8"/>
      <c r="AK446" s="8"/>
      <c r="AL446" s="8"/>
      <c r="AM446" s="8"/>
      <c r="AN446" s="8"/>
      <c r="AO446" s="8"/>
    </row>
    <row r="447" spans="14:41" s="11" customFormat="1" ht="18.45">
      <c r="N447" s="8"/>
      <c r="O447" s="8"/>
      <c r="P447" s="8"/>
      <c r="Q447" s="8"/>
      <c r="R447" s="8"/>
      <c r="S447" s="8"/>
      <c r="T447" s="8"/>
      <c r="U447" s="8"/>
      <c r="AH447" s="8"/>
      <c r="AI447" s="8"/>
      <c r="AJ447" s="8"/>
      <c r="AK447" s="8"/>
      <c r="AL447" s="8"/>
      <c r="AM447" s="8"/>
      <c r="AN447" s="8"/>
      <c r="AO447" s="8"/>
    </row>
    <row r="448" spans="14:41" s="11" customFormat="1" ht="18.45">
      <c r="N448" s="8"/>
      <c r="O448" s="8"/>
      <c r="P448" s="8"/>
      <c r="Q448" s="8"/>
      <c r="R448" s="8"/>
      <c r="S448" s="8"/>
      <c r="T448" s="8"/>
      <c r="U448" s="8"/>
      <c r="AH448" s="8"/>
      <c r="AI448" s="8"/>
      <c r="AJ448" s="8"/>
      <c r="AK448" s="8"/>
      <c r="AL448" s="8"/>
      <c r="AM448" s="8"/>
      <c r="AN448" s="8"/>
      <c r="AO448" s="8"/>
    </row>
    <row r="449" spans="14:41" s="11" customFormat="1" ht="18.45">
      <c r="N449" s="8"/>
      <c r="O449" s="8"/>
      <c r="P449" s="8"/>
      <c r="Q449" s="8"/>
      <c r="R449" s="8"/>
      <c r="S449" s="8"/>
      <c r="T449" s="8"/>
      <c r="U449" s="8"/>
      <c r="AH449" s="8"/>
      <c r="AI449" s="8"/>
      <c r="AJ449" s="8"/>
      <c r="AK449" s="8"/>
      <c r="AL449" s="8"/>
      <c r="AM449" s="8"/>
      <c r="AN449" s="8"/>
      <c r="AO449" s="8"/>
    </row>
    <row r="450" spans="14:41" s="11" customFormat="1" ht="18.45">
      <c r="N450" s="8"/>
      <c r="O450" s="8"/>
      <c r="P450" s="8"/>
      <c r="Q450" s="8"/>
      <c r="R450" s="8"/>
      <c r="S450" s="8"/>
      <c r="T450" s="8"/>
      <c r="U450" s="8"/>
      <c r="AH450" s="8"/>
      <c r="AI450" s="8"/>
      <c r="AJ450" s="8"/>
      <c r="AK450" s="8"/>
      <c r="AL450" s="8"/>
      <c r="AM450" s="8"/>
      <c r="AN450" s="8"/>
      <c r="AO450" s="8"/>
    </row>
    <row r="451" spans="14:41" s="11" customFormat="1" ht="18.45">
      <c r="N451" s="8"/>
      <c r="O451" s="8"/>
      <c r="P451" s="8"/>
      <c r="Q451" s="8"/>
      <c r="R451" s="8"/>
      <c r="S451" s="8"/>
      <c r="T451" s="8"/>
      <c r="U451" s="8"/>
      <c r="AH451" s="8"/>
      <c r="AI451" s="8"/>
      <c r="AJ451" s="8"/>
      <c r="AK451" s="8"/>
      <c r="AL451" s="8"/>
      <c r="AM451" s="8"/>
      <c r="AN451" s="8"/>
      <c r="AO451" s="8"/>
    </row>
    <row r="452" spans="14:41" s="11" customFormat="1" ht="18.45">
      <c r="N452" s="8"/>
      <c r="O452" s="8"/>
      <c r="P452" s="8"/>
      <c r="Q452" s="8"/>
      <c r="R452" s="8"/>
      <c r="S452" s="8"/>
      <c r="T452" s="8"/>
      <c r="U452" s="8"/>
      <c r="AH452" s="8"/>
      <c r="AI452" s="8"/>
      <c r="AJ452" s="8"/>
      <c r="AK452" s="8"/>
      <c r="AL452" s="8"/>
      <c r="AM452" s="8"/>
      <c r="AN452" s="8"/>
      <c r="AO452" s="8"/>
    </row>
    <row r="453" spans="14:41" s="11" customFormat="1" ht="18.45">
      <c r="N453" s="8"/>
      <c r="O453" s="8"/>
      <c r="P453" s="8"/>
      <c r="Q453" s="8"/>
      <c r="R453" s="8"/>
      <c r="S453" s="8"/>
      <c r="T453" s="8"/>
      <c r="U453" s="8"/>
      <c r="AH453" s="8"/>
      <c r="AI453" s="8"/>
      <c r="AJ453" s="8"/>
      <c r="AK453" s="8"/>
      <c r="AL453" s="8"/>
      <c r="AM453" s="8"/>
      <c r="AN453" s="8"/>
      <c r="AO453" s="8"/>
    </row>
    <row r="454" spans="14:41" s="11" customFormat="1" ht="18.45">
      <c r="N454" s="8"/>
      <c r="O454" s="8"/>
      <c r="P454" s="8"/>
      <c r="Q454" s="8"/>
      <c r="R454" s="8"/>
      <c r="S454" s="8"/>
      <c r="T454" s="8"/>
      <c r="U454" s="8"/>
      <c r="AH454" s="8"/>
      <c r="AI454" s="8"/>
      <c r="AJ454" s="8"/>
      <c r="AK454" s="8"/>
      <c r="AL454" s="8"/>
      <c r="AM454" s="8"/>
      <c r="AN454" s="8"/>
      <c r="AO454" s="8"/>
    </row>
    <row r="455" spans="14:41" s="11" customFormat="1" ht="18.45">
      <c r="N455" s="8"/>
      <c r="O455" s="8"/>
      <c r="P455" s="8"/>
      <c r="Q455" s="8"/>
      <c r="R455" s="8"/>
      <c r="S455" s="8"/>
      <c r="T455" s="8"/>
      <c r="U455" s="8"/>
      <c r="AH455" s="8"/>
      <c r="AI455" s="8"/>
      <c r="AJ455" s="8"/>
      <c r="AK455" s="8"/>
      <c r="AL455" s="8"/>
      <c r="AM455" s="8"/>
      <c r="AN455" s="8"/>
      <c r="AO455" s="8"/>
    </row>
    <row r="456" spans="14:41" s="11" customFormat="1" ht="18.45">
      <c r="N456" s="8"/>
      <c r="O456" s="8"/>
      <c r="P456" s="8"/>
      <c r="Q456" s="8"/>
      <c r="R456" s="8"/>
      <c r="S456" s="8"/>
      <c r="T456" s="8"/>
      <c r="U456" s="8"/>
      <c r="AH456" s="8"/>
      <c r="AI456" s="8"/>
      <c r="AJ456" s="8"/>
      <c r="AK456" s="8"/>
      <c r="AL456" s="8"/>
      <c r="AM456" s="8"/>
      <c r="AN456" s="8"/>
      <c r="AO456" s="8"/>
    </row>
    <row r="457" spans="14:41" s="11" customFormat="1" ht="18.45">
      <c r="N457" s="8"/>
      <c r="O457" s="8"/>
      <c r="P457" s="8"/>
      <c r="Q457" s="8"/>
      <c r="R457" s="8"/>
      <c r="S457" s="8"/>
      <c r="T457" s="8"/>
      <c r="U457" s="8"/>
      <c r="AH457" s="8"/>
      <c r="AI457" s="8"/>
      <c r="AJ457" s="8"/>
      <c r="AK457" s="8"/>
      <c r="AL457" s="8"/>
      <c r="AM457" s="8"/>
      <c r="AN457" s="8"/>
      <c r="AO457" s="8"/>
    </row>
    <row r="458" spans="14:41" s="11" customFormat="1" ht="18.45">
      <c r="N458" s="8"/>
      <c r="O458" s="8"/>
      <c r="P458" s="8"/>
      <c r="Q458" s="8"/>
      <c r="R458" s="8"/>
      <c r="S458" s="8"/>
      <c r="T458" s="8"/>
      <c r="U458" s="8"/>
      <c r="AH458" s="8"/>
      <c r="AI458" s="8"/>
      <c r="AJ458" s="8"/>
      <c r="AK458" s="8"/>
      <c r="AL458" s="8"/>
      <c r="AM458" s="8"/>
      <c r="AN458" s="8"/>
      <c r="AO458" s="8"/>
    </row>
    <row r="459" spans="14:41" s="11" customFormat="1" ht="18.45">
      <c r="N459" s="8"/>
      <c r="O459" s="8"/>
      <c r="P459" s="8"/>
      <c r="Q459" s="8"/>
      <c r="R459" s="8"/>
      <c r="S459" s="8"/>
      <c r="T459" s="8"/>
      <c r="U459" s="8"/>
      <c r="AH459" s="8"/>
      <c r="AI459" s="8"/>
      <c r="AJ459" s="8"/>
      <c r="AK459" s="8"/>
      <c r="AL459" s="8"/>
      <c r="AM459" s="8"/>
      <c r="AN459" s="8"/>
      <c r="AO459" s="8"/>
    </row>
    <row r="460" spans="14:41" s="11" customFormat="1" ht="18.45">
      <c r="N460" s="8"/>
      <c r="O460" s="8"/>
      <c r="P460" s="8"/>
      <c r="Q460" s="8"/>
      <c r="R460" s="8"/>
      <c r="S460" s="8"/>
      <c r="T460" s="8"/>
      <c r="U460" s="8"/>
      <c r="AH460" s="8"/>
      <c r="AI460" s="8"/>
      <c r="AJ460" s="8"/>
      <c r="AK460" s="8"/>
      <c r="AL460" s="8"/>
      <c r="AM460" s="8"/>
      <c r="AN460" s="8"/>
      <c r="AO460" s="8"/>
    </row>
    <row r="461" spans="14:41" s="11" customFormat="1" ht="18.45">
      <c r="N461" s="8"/>
      <c r="O461" s="8"/>
      <c r="P461" s="8"/>
      <c r="Q461" s="8"/>
      <c r="R461" s="8"/>
      <c r="S461" s="8"/>
      <c r="T461" s="8"/>
      <c r="U461" s="8"/>
      <c r="AH461" s="8"/>
      <c r="AI461" s="8"/>
      <c r="AJ461" s="8"/>
      <c r="AK461" s="8"/>
      <c r="AL461" s="8"/>
      <c r="AM461" s="8"/>
      <c r="AN461" s="8"/>
      <c r="AO461" s="8"/>
    </row>
    <row r="462" spans="14:41" s="11" customFormat="1" ht="18.45">
      <c r="N462" s="8"/>
      <c r="O462" s="8"/>
      <c r="P462" s="8"/>
      <c r="Q462" s="8"/>
      <c r="R462" s="8"/>
      <c r="S462" s="8"/>
      <c r="T462" s="8"/>
      <c r="U462" s="8"/>
      <c r="AH462" s="8"/>
      <c r="AI462" s="8"/>
      <c r="AJ462" s="8"/>
      <c r="AK462" s="8"/>
      <c r="AL462" s="8"/>
      <c r="AM462" s="8"/>
      <c r="AN462" s="8"/>
      <c r="AO462" s="8"/>
    </row>
    <row r="463" spans="14:41" s="11" customFormat="1" ht="18.45">
      <c r="N463" s="8"/>
      <c r="O463" s="8"/>
      <c r="P463" s="8"/>
      <c r="Q463" s="8"/>
      <c r="R463" s="8"/>
      <c r="S463" s="8"/>
      <c r="T463" s="8"/>
      <c r="U463" s="8"/>
      <c r="AH463" s="8"/>
      <c r="AI463" s="8"/>
      <c r="AJ463" s="8"/>
      <c r="AK463" s="8"/>
      <c r="AL463" s="8"/>
      <c r="AM463" s="8"/>
      <c r="AN463" s="8"/>
      <c r="AO463" s="8"/>
    </row>
    <row r="464" spans="14:41" s="11" customFormat="1" ht="18.45">
      <c r="N464" s="8"/>
      <c r="O464" s="8"/>
      <c r="P464" s="8"/>
      <c r="Q464" s="8"/>
      <c r="R464" s="8"/>
      <c r="S464" s="8"/>
      <c r="T464" s="8"/>
      <c r="U464" s="8"/>
      <c r="AH464" s="8"/>
      <c r="AI464" s="8"/>
      <c r="AJ464" s="8"/>
      <c r="AK464" s="8"/>
      <c r="AL464" s="8"/>
      <c r="AM464" s="8"/>
      <c r="AN464" s="8"/>
      <c r="AO464" s="8"/>
    </row>
    <row r="465" spans="14:41" s="11" customFormat="1" ht="18.45">
      <c r="N465" s="8"/>
      <c r="O465" s="8"/>
      <c r="P465" s="8"/>
      <c r="Q465" s="8"/>
      <c r="R465" s="8"/>
      <c r="S465" s="8"/>
      <c r="T465" s="8"/>
      <c r="U465" s="8"/>
      <c r="AH465" s="8"/>
      <c r="AI465" s="8"/>
      <c r="AJ465" s="8"/>
      <c r="AK465" s="8"/>
      <c r="AL465" s="8"/>
      <c r="AM465" s="8"/>
      <c r="AN465" s="8"/>
      <c r="AO465" s="8"/>
    </row>
    <row r="466" spans="14:41" s="11" customFormat="1" ht="18.45">
      <c r="N466" s="8"/>
      <c r="O466" s="8"/>
      <c r="P466" s="8"/>
      <c r="Q466" s="8"/>
      <c r="R466" s="8"/>
      <c r="S466" s="8"/>
      <c r="T466" s="8"/>
      <c r="U466" s="8"/>
      <c r="AH466" s="8"/>
      <c r="AI466" s="8"/>
      <c r="AJ466" s="8"/>
      <c r="AK466" s="8"/>
      <c r="AL466" s="8"/>
      <c r="AM466" s="8"/>
      <c r="AN466" s="8"/>
      <c r="AO466" s="8"/>
    </row>
    <row r="467" spans="14:41" s="11" customFormat="1" ht="18.45">
      <c r="N467" s="8"/>
      <c r="O467" s="8"/>
      <c r="P467" s="8"/>
      <c r="Q467" s="8"/>
      <c r="R467" s="8"/>
      <c r="S467" s="8"/>
      <c r="T467" s="8"/>
      <c r="U467" s="8"/>
      <c r="AH467" s="8"/>
      <c r="AI467" s="8"/>
      <c r="AJ467" s="8"/>
      <c r="AK467" s="8"/>
      <c r="AL467" s="8"/>
      <c r="AM467" s="8"/>
      <c r="AN467" s="8"/>
      <c r="AO467" s="8"/>
    </row>
    <row r="468" spans="14:41" s="11" customFormat="1" ht="18.45">
      <c r="N468" s="8"/>
      <c r="O468" s="8"/>
      <c r="P468" s="8"/>
      <c r="Q468" s="8"/>
      <c r="R468" s="8"/>
      <c r="S468" s="8"/>
      <c r="T468" s="8"/>
      <c r="U468" s="8"/>
      <c r="AH468" s="8"/>
      <c r="AI468" s="8"/>
      <c r="AJ468" s="8"/>
      <c r="AK468" s="8"/>
      <c r="AL468" s="8"/>
      <c r="AM468" s="8"/>
      <c r="AN468" s="8"/>
      <c r="AO468" s="8"/>
    </row>
    <row r="469" spans="14:41" s="11" customFormat="1" ht="18.45">
      <c r="N469" s="8"/>
      <c r="O469" s="8"/>
      <c r="P469" s="8"/>
      <c r="Q469" s="8"/>
      <c r="R469" s="8"/>
      <c r="S469" s="8"/>
      <c r="T469" s="8"/>
      <c r="U469" s="8"/>
      <c r="AH469" s="8"/>
      <c r="AI469" s="8"/>
      <c r="AJ469" s="8"/>
      <c r="AK469" s="8"/>
      <c r="AL469" s="8"/>
      <c r="AM469" s="8"/>
      <c r="AN469" s="8"/>
      <c r="AO469" s="8"/>
    </row>
    <row r="470" spans="14:41" s="11" customFormat="1" ht="18.45">
      <c r="N470" s="8"/>
      <c r="O470" s="8"/>
      <c r="P470" s="8"/>
      <c r="Q470" s="8"/>
      <c r="R470" s="8"/>
      <c r="S470" s="8"/>
      <c r="T470" s="8"/>
      <c r="U470" s="8"/>
      <c r="AH470" s="8"/>
      <c r="AI470" s="8"/>
      <c r="AJ470" s="8"/>
      <c r="AK470" s="8"/>
      <c r="AL470" s="8"/>
      <c r="AM470" s="8"/>
      <c r="AN470" s="8"/>
      <c r="AO470" s="8"/>
    </row>
    <row r="471" spans="14:41" s="11" customFormat="1" ht="18.45">
      <c r="N471" s="8"/>
      <c r="O471" s="8"/>
      <c r="P471" s="8"/>
      <c r="Q471" s="8"/>
      <c r="R471" s="8"/>
      <c r="S471" s="8"/>
      <c r="T471" s="8"/>
      <c r="U471" s="8"/>
      <c r="AH471" s="8"/>
      <c r="AI471" s="8"/>
      <c r="AJ471" s="8"/>
      <c r="AK471" s="8"/>
      <c r="AL471" s="8"/>
      <c r="AM471" s="8"/>
      <c r="AN471" s="8"/>
      <c r="AO471" s="8"/>
    </row>
    <row r="472" spans="14:41" s="11" customFormat="1" ht="18.45">
      <c r="N472" s="8"/>
      <c r="O472" s="8"/>
      <c r="P472" s="8"/>
      <c r="Q472" s="8"/>
      <c r="R472" s="8"/>
      <c r="S472" s="8"/>
      <c r="T472" s="8"/>
      <c r="U472" s="8"/>
      <c r="AH472" s="8"/>
      <c r="AI472" s="8"/>
      <c r="AJ472" s="8"/>
      <c r="AK472" s="8"/>
      <c r="AL472" s="8"/>
      <c r="AM472" s="8"/>
      <c r="AN472" s="8"/>
      <c r="AO472" s="8"/>
    </row>
    <row r="473" spans="14:41" s="11" customFormat="1" ht="18.45">
      <c r="N473" s="8"/>
      <c r="O473" s="8"/>
      <c r="P473" s="8"/>
      <c r="Q473" s="8"/>
      <c r="R473" s="8"/>
      <c r="S473" s="8"/>
      <c r="T473" s="8"/>
      <c r="U473" s="8"/>
      <c r="AH473" s="8"/>
      <c r="AI473" s="8"/>
      <c r="AJ473" s="8"/>
      <c r="AK473" s="8"/>
      <c r="AL473" s="8"/>
      <c r="AM473" s="8"/>
      <c r="AN473" s="8"/>
      <c r="AO473" s="8"/>
    </row>
    <row r="474" spans="14:41" s="11" customFormat="1" ht="18.45">
      <c r="N474" s="8"/>
      <c r="O474" s="8"/>
      <c r="P474" s="8"/>
      <c r="Q474" s="8"/>
      <c r="R474" s="8"/>
      <c r="S474" s="8"/>
      <c r="T474" s="8"/>
      <c r="U474" s="8"/>
      <c r="AH474" s="8"/>
      <c r="AI474" s="8"/>
      <c r="AJ474" s="8"/>
      <c r="AK474" s="8"/>
      <c r="AL474" s="8"/>
      <c r="AM474" s="8"/>
      <c r="AN474" s="8"/>
      <c r="AO474" s="8"/>
    </row>
    <row r="475" spans="14:41" s="11" customFormat="1" ht="18.45">
      <c r="N475" s="8"/>
      <c r="O475" s="8"/>
      <c r="P475" s="8"/>
      <c r="Q475" s="8"/>
      <c r="R475" s="8"/>
      <c r="S475" s="8"/>
      <c r="T475" s="8"/>
      <c r="U475" s="8"/>
      <c r="AH475" s="8"/>
      <c r="AI475" s="8"/>
      <c r="AJ475" s="8"/>
      <c r="AK475" s="8"/>
      <c r="AL475" s="8"/>
      <c r="AM475" s="8"/>
      <c r="AN475" s="8"/>
      <c r="AO475" s="8"/>
    </row>
    <row r="476" spans="14:41" s="11" customFormat="1" ht="18.45">
      <c r="N476" s="8"/>
      <c r="O476" s="8"/>
      <c r="P476" s="8"/>
      <c r="Q476" s="8"/>
      <c r="R476" s="8"/>
      <c r="S476" s="8"/>
      <c r="T476" s="8"/>
      <c r="U476" s="8"/>
      <c r="AH476" s="8"/>
      <c r="AI476" s="8"/>
      <c r="AJ476" s="8"/>
      <c r="AK476" s="8"/>
      <c r="AL476" s="8"/>
      <c r="AM476" s="8"/>
      <c r="AN476" s="8"/>
      <c r="AO476" s="8"/>
    </row>
    <row r="477" spans="14:41" s="11" customFormat="1" ht="18.45">
      <c r="N477" s="8"/>
      <c r="O477" s="8"/>
      <c r="P477" s="8"/>
      <c r="Q477" s="8"/>
      <c r="R477" s="8"/>
      <c r="S477" s="8"/>
      <c r="T477" s="8"/>
      <c r="U477" s="8"/>
      <c r="AH477" s="8"/>
      <c r="AI477" s="8"/>
      <c r="AJ477" s="8"/>
      <c r="AK477" s="8"/>
      <c r="AL477" s="8"/>
      <c r="AM477" s="8"/>
      <c r="AN477" s="8"/>
      <c r="AO477" s="8"/>
    </row>
    <row r="478" spans="14:41" s="11" customFormat="1" ht="18.45">
      <c r="N478" s="8"/>
      <c r="O478" s="8"/>
      <c r="P478" s="8"/>
      <c r="Q478" s="8"/>
      <c r="R478" s="8"/>
      <c r="S478" s="8"/>
      <c r="T478" s="8"/>
      <c r="U478" s="8"/>
      <c r="AH478" s="8"/>
      <c r="AI478" s="8"/>
      <c r="AJ478" s="8"/>
      <c r="AK478" s="8"/>
      <c r="AL478" s="8"/>
      <c r="AM478" s="8"/>
      <c r="AN478" s="8"/>
      <c r="AO478" s="8"/>
    </row>
    <row r="479" spans="14:41" s="11" customFormat="1" ht="18.45">
      <c r="N479" s="8"/>
      <c r="O479" s="8"/>
      <c r="P479" s="8"/>
      <c r="Q479" s="8"/>
      <c r="R479" s="8"/>
      <c r="S479" s="8"/>
      <c r="T479" s="8"/>
      <c r="U479" s="8"/>
      <c r="AH479" s="8"/>
      <c r="AI479" s="8"/>
      <c r="AJ479" s="8"/>
      <c r="AK479" s="8"/>
      <c r="AL479" s="8"/>
      <c r="AM479" s="8"/>
      <c r="AN479" s="8"/>
      <c r="AO479" s="8"/>
    </row>
    <row r="480" spans="14:41" s="11" customFormat="1" ht="18.45">
      <c r="N480" s="8"/>
      <c r="O480" s="8"/>
      <c r="P480" s="8"/>
      <c r="Q480" s="8"/>
      <c r="R480" s="8"/>
      <c r="S480" s="8"/>
      <c r="T480" s="8"/>
      <c r="U480" s="8"/>
      <c r="AH480" s="8"/>
      <c r="AI480" s="8"/>
      <c r="AJ480" s="8"/>
      <c r="AK480" s="8"/>
      <c r="AL480" s="8"/>
      <c r="AM480" s="8"/>
      <c r="AN480" s="8"/>
      <c r="AO480" s="8"/>
    </row>
    <row r="481" spans="14:41" s="11" customFormat="1" ht="18.45">
      <c r="N481" s="8"/>
      <c r="O481" s="8"/>
      <c r="P481" s="8"/>
      <c r="Q481" s="8"/>
      <c r="R481" s="8"/>
      <c r="S481" s="8"/>
      <c r="T481" s="8"/>
      <c r="U481" s="8"/>
      <c r="AH481" s="8"/>
      <c r="AI481" s="8"/>
      <c r="AJ481" s="8"/>
      <c r="AK481" s="8"/>
      <c r="AL481" s="8"/>
      <c r="AM481" s="8"/>
      <c r="AN481" s="8"/>
      <c r="AO481" s="8"/>
    </row>
    <row r="482" spans="14:41" s="11" customFormat="1" ht="18.45">
      <c r="N482" s="8"/>
      <c r="O482" s="8"/>
      <c r="P482" s="8"/>
      <c r="Q482" s="8"/>
      <c r="R482" s="8"/>
      <c r="S482" s="8"/>
      <c r="T482" s="8"/>
      <c r="U482" s="8"/>
      <c r="AH482" s="8"/>
      <c r="AI482" s="8"/>
      <c r="AJ482" s="8"/>
      <c r="AK482" s="8"/>
      <c r="AL482" s="8"/>
      <c r="AM482" s="8"/>
      <c r="AN482" s="8"/>
      <c r="AO482" s="8"/>
    </row>
    <row r="483" spans="14:41" s="11" customFormat="1" ht="18.45">
      <c r="N483" s="8"/>
      <c r="O483" s="8"/>
      <c r="P483" s="8"/>
      <c r="Q483" s="8"/>
      <c r="R483" s="8"/>
      <c r="S483" s="8"/>
      <c r="T483" s="8"/>
      <c r="U483" s="8"/>
      <c r="AH483" s="8"/>
      <c r="AI483" s="8"/>
      <c r="AJ483" s="8"/>
      <c r="AK483" s="8"/>
      <c r="AL483" s="8"/>
      <c r="AM483" s="8"/>
      <c r="AN483" s="8"/>
      <c r="AO483" s="8"/>
    </row>
    <row r="484" spans="14:41" s="11" customFormat="1" ht="18.45">
      <c r="N484" s="8"/>
      <c r="O484" s="8"/>
      <c r="P484" s="8"/>
      <c r="Q484" s="8"/>
      <c r="R484" s="8"/>
      <c r="S484" s="8"/>
      <c r="T484" s="8"/>
      <c r="U484" s="8"/>
      <c r="AH484" s="8"/>
      <c r="AI484" s="8"/>
      <c r="AJ484" s="8"/>
      <c r="AK484" s="8"/>
      <c r="AL484" s="8"/>
      <c r="AM484" s="8"/>
      <c r="AN484" s="8"/>
      <c r="AO484" s="8"/>
    </row>
    <row r="485" spans="14:41" s="11" customFormat="1" ht="18.45">
      <c r="N485" s="8"/>
      <c r="O485" s="8"/>
      <c r="P485" s="8"/>
      <c r="Q485" s="8"/>
      <c r="R485" s="8"/>
      <c r="S485" s="8"/>
      <c r="T485" s="8"/>
      <c r="U485" s="8"/>
      <c r="AH485" s="8"/>
      <c r="AI485" s="8"/>
      <c r="AJ485" s="8"/>
      <c r="AK485" s="8"/>
      <c r="AL485" s="8"/>
      <c r="AM485" s="8"/>
      <c r="AN485" s="8"/>
      <c r="AO485" s="8"/>
    </row>
    <row r="486" spans="14:41" s="11" customFormat="1" ht="18.45">
      <c r="N486" s="8"/>
      <c r="O486" s="8"/>
      <c r="P486" s="8"/>
      <c r="Q486" s="8"/>
      <c r="R486" s="8"/>
      <c r="S486" s="8"/>
      <c r="T486" s="8"/>
      <c r="U486" s="8"/>
      <c r="AH486" s="8"/>
      <c r="AI486" s="8"/>
      <c r="AJ486" s="8"/>
      <c r="AK486" s="8"/>
      <c r="AL486" s="8"/>
      <c r="AM486" s="8"/>
      <c r="AN486" s="8"/>
      <c r="AO486" s="8"/>
    </row>
    <row r="487" spans="14:41" s="11" customFormat="1" ht="18.45">
      <c r="N487" s="8"/>
      <c r="O487" s="8"/>
      <c r="P487" s="8"/>
      <c r="Q487" s="8"/>
      <c r="R487" s="8"/>
      <c r="S487" s="8"/>
      <c r="T487" s="8"/>
      <c r="U487" s="8"/>
      <c r="AH487" s="8"/>
      <c r="AI487" s="8"/>
      <c r="AJ487" s="8"/>
      <c r="AK487" s="8"/>
      <c r="AL487" s="8"/>
      <c r="AM487" s="8"/>
      <c r="AN487" s="8"/>
      <c r="AO487" s="8"/>
    </row>
    <row r="488" spans="14:41" s="11" customFormat="1" ht="18.45">
      <c r="N488" s="8"/>
      <c r="O488" s="8"/>
      <c r="P488" s="8"/>
      <c r="Q488" s="8"/>
      <c r="R488" s="8"/>
      <c r="S488" s="8"/>
      <c r="T488" s="8"/>
      <c r="U488" s="8"/>
      <c r="AH488" s="8"/>
      <c r="AI488" s="8"/>
      <c r="AJ488" s="8"/>
      <c r="AK488" s="8"/>
      <c r="AL488" s="8"/>
      <c r="AM488" s="8"/>
      <c r="AN488" s="8"/>
      <c r="AO488" s="8"/>
    </row>
    <row r="489" spans="14:41" s="11" customFormat="1" ht="18.45">
      <c r="N489" s="8"/>
      <c r="O489" s="8"/>
      <c r="P489" s="8"/>
      <c r="Q489" s="8"/>
      <c r="R489" s="8"/>
      <c r="S489" s="8"/>
      <c r="T489" s="8"/>
      <c r="U489" s="8"/>
      <c r="AH489" s="8"/>
      <c r="AI489" s="8"/>
      <c r="AJ489" s="8"/>
      <c r="AK489" s="8"/>
      <c r="AL489" s="8"/>
      <c r="AM489" s="8"/>
      <c r="AN489" s="8"/>
      <c r="AO489" s="8"/>
    </row>
    <row r="490" spans="14:41" s="11" customFormat="1" ht="18.45">
      <c r="N490" s="8"/>
      <c r="O490" s="8"/>
      <c r="P490" s="8"/>
      <c r="Q490" s="8"/>
      <c r="R490" s="8"/>
      <c r="S490" s="8"/>
      <c r="T490" s="8"/>
      <c r="U490" s="8"/>
      <c r="AH490" s="8"/>
      <c r="AI490" s="8"/>
      <c r="AJ490" s="8"/>
      <c r="AK490" s="8"/>
      <c r="AL490" s="8"/>
      <c r="AM490" s="8"/>
      <c r="AN490" s="8"/>
      <c r="AO490" s="8"/>
    </row>
    <row r="491" spans="14:41" s="11" customFormat="1" ht="18.45">
      <c r="N491" s="8"/>
      <c r="O491" s="8"/>
      <c r="P491" s="8"/>
      <c r="Q491" s="8"/>
      <c r="R491" s="8"/>
      <c r="S491" s="8"/>
      <c r="T491" s="8"/>
      <c r="U491" s="8"/>
      <c r="AH491" s="8"/>
      <c r="AI491" s="8"/>
      <c r="AJ491" s="8"/>
      <c r="AK491" s="8"/>
      <c r="AL491" s="8"/>
      <c r="AM491" s="8"/>
      <c r="AN491" s="8"/>
      <c r="AO491" s="8"/>
    </row>
    <row r="492" spans="14:41" s="11" customFormat="1" ht="18.45">
      <c r="N492" s="8"/>
      <c r="O492" s="8"/>
      <c r="P492" s="8"/>
      <c r="Q492" s="8"/>
      <c r="R492" s="8"/>
      <c r="S492" s="8"/>
      <c r="T492" s="8"/>
      <c r="U492" s="8"/>
      <c r="AH492" s="8"/>
      <c r="AI492" s="8"/>
      <c r="AJ492" s="8"/>
      <c r="AK492" s="8"/>
      <c r="AL492" s="8"/>
      <c r="AM492" s="8"/>
      <c r="AN492" s="8"/>
      <c r="AO492" s="8"/>
    </row>
    <row r="493" spans="14:41" s="11" customFormat="1" ht="18.45">
      <c r="N493" s="8"/>
      <c r="O493" s="8"/>
      <c r="P493" s="8"/>
      <c r="Q493" s="8"/>
      <c r="R493" s="8"/>
      <c r="S493" s="8"/>
      <c r="T493" s="8"/>
      <c r="U493" s="8"/>
      <c r="AH493" s="8"/>
      <c r="AI493" s="8"/>
      <c r="AJ493" s="8"/>
      <c r="AK493" s="8"/>
      <c r="AL493" s="8"/>
      <c r="AM493" s="8"/>
      <c r="AN493" s="8"/>
      <c r="AO493" s="8"/>
    </row>
    <row r="494" spans="14:41" s="11" customFormat="1" ht="18.45">
      <c r="N494" s="8"/>
      <c r="O494" s="8"/>
      <c r="P494" s="8"/>
      <c r="Q494" s="8"/>
      <c r="R494" s="8"/>
      <c r="S494" s="8"/>
      <c r="T494" s="8"/>
      <c r="U494" s="8"/>
      <c r="AH494" s="8"/>
      <c r="AI494" s="8"/>
      <c r="AJ494" s="8"/>
      <c r="AK494" s="8"/>
      <c r="AL494" s="8"/>
      <c r="AM494" s="8"/>
      <c r="AN494" s="8"/>
      <c r="AO494" s="8"/>
    </row>
    <row r="495" spans="14:41" s="11" customFormat="1" ht="18.45">
      <c r="N495" s="8"/>
      <c r="O495" s="8"/>
      <c r="P495" s="8"/>
      <c r="Q495" s="8"/>
      <c r="R495" s="8"/>
      <c r="S495" s="8"/>
      <c r="T495" s="8"/>
      <c r="U495" s="8"/>
      <c r="AH495" s="8"/>
      <c r="AI495" s="8"/>
      <c r="AJ495" s="8"/>
      <c r="AK495" s="8"/>
      <c r="AL495" s="8"/>
      <c r="AM495" s="8"/>
      <c r="AN495" s="8"/>
      <c r="AO495" s="8"/>
    </row>
    <row r="496" spans="14:41" s="11" customFormat="1" ht="18.45">
      <c r="N496" s="8"/>
      <c r="O496" s="8"/>
      <c r="P496" s="8"/>
      <c r="Q496" s="8"/>
      <c r="R496" s="8"/>
      <c r="S496" s="8"/>
      <c r="T496" s="8"/>
      <c r="U496" s="8"/>
      <c r="AH496" s="8"/>
      <c r="AI496" s="8"/>
      <c r="AJ496" s="8"/>
      <c r="AK496" s="8"/>
      <c r="AL496" s="8"/>
      <c r="AM496" s="8"/>
      <c r="AN496" s="8"/>
      <c r="AO496" s="8"/>
    </row>
    <row r="497" spans="14:41" s="11" customFormat="1" ht="18.45">
      <c r="N497" s="8"/>
      <c r="O497" s="8"/>
      <c r="P497" s="8"/>
      <c r="Q497" s="8"/>
      <c r="R497" s="8"/>
      <c r="S497" s="8"/>
      <c r="T497" s="8"/>
      <c r="U497" s="8"/>
      <c r="AH497" s="8"/>
      <c r="AI497" s="8"/>
      <c r="AJ497" s="8"/>
      <c r="AK497" s="8"/>
      <c r="AL497" s="8"/>
      <c r="AM497" s="8"/>
      <c r="AN497" s="8"/>
      <c r="AO497" s="8"/>
    </row>
    <row r="498" spans="14:41" s="11" customFormat="1" ht="18.45">
      <c r="N498" s="8"/>
      <c r="O498" s="8"/>
      <c r="P498" s="8"/>
      <c r="Q498" s="8"/>
      <c r="R498" s="8"/>
      <c r="S498" s="8"/>
      <c r="T498" s="8"/>
      <c r="U498" s="8"/>
      <c r="AH498" s="8"/>
      <c r="AI498" s="8"/>
      <c r="AJ498" s="8"/>
      <c r="AK498" s="8"/>
      <c r="AL498" s="8"/>
      <c r="AM498" s="8"/>
      <c r="AN498" s="8"/>
      <c r="AO498" s="8"/>
    </row>
    <row r="499" spans="14:41" s="11" customFormat="1" ht="18.45">
      <c r="N499" s="8"/>
      <c r="O499" s="8"/>
      <c r="P499" s="8"/>
      <c r="Q499" s="8"/>
      <c r="R499" s="8"/>
      <c r="S499" s="8"/>
      <c r="T499" s="8"/>
      <c r="U499" s="8"/>
      <c r="AH499" s="8"/>
      <c r="AI499" s="8"/>
      <c r="AJ499" s="8"/>
      <c r="AK499" s="8"/>
      <c r="AL499" s="8"/>
      <c r="AM499" s="8"/>
      <c r="AN499" s="8"/>
      <c r="AO499" s="8"/>
    </row>
    <row r="500" spans="14:41" s="11" customFormat="1" ht="18.45">
      <c r="N500" s="8"/>
      <c r="O500" s="8"/>
      <c r="P500" s="8"/>
      <c r="Q500" s="8"/>
      <c r="R500" s="8"/>
      <c r="S500" s="8"/>
      <c r="T500" s="8"/>
      <c r="U500" s="8"/>
      <c r="AH500" s="8"/>
      <c r="AI500" s="8"/>
      <c r="AJ500" s="8"/>
      <c r="AK500" s="8"/>
      <c r="AL500" s="8"/>
      <c r="AM500" s="8"/>
      <c r="AN500" s="8"/>
      <c r="AO500" s="8"/>
    </row>
    <row r="501" spans="14:41" s="11" customFormat="1" ht="18.45">
      <c r="N501" s="8"/>
      <c r="O501" s="8"/>
      <c r="P501" s="8"/>
      <c r="Q501" s="8"/>
      <c r="R501" s="8"/>
      <c r="S501" s="8"/>
      <c r="T501" s="8"/>
      <c r="U501" s="8"/>
      <c r="AH501" s="8"/>
      <c r="AI501" s="8"/>
      <c r="AJ501" s="8"/>
      <c r="AK501" s="8"/>
      <c r="AL501" s="8"/>
      <c r="AM501" s="8"/>
      <c r="AN501" s="8"/>
      <c r="AO501" s="8"/>
    </row>
    <row r="502" spans="14:41" s="11" customFormat="1" ht="18.45">
      <c r="N502" s="8"/>
      <c r="O502" s="8"/>
      <c r="P502" s="8"/>
      <c r="Q502" s="8"/>
      <c r="R502" s="8"/>
      <c r="S502" s="8"/>
      <c r="T502" s="8"/>
      <c r="U502" s="8"/>
      <c r="AH502" s="8"/>
      <c r="AI502" s="8"/>
      <c r="AJ502" s="8"/>
      <c r="AK502" s="8"/>
      <c r="AL502" s="8"/>
      <c r="AM502" s="8"/>
      <c r="AN502" s="8"/>
      <c r="AO502" s="8"/>
    </row>
    <row r="503" spans="14:41" s="11" customFormat="1" ht="18.45">
      <c r="N503" s="8"/>
      <c r="O503" s="8"/>
      <c r="P503" s="8"/>
      <c r="Q503" s="8"/>
      <c r="R503" s="8"/>
      <c r="S503" s="8"/>
      <c r="T503" s="8"/>
      <c r="U503" s="8"/>
      <c r="AH503" s="8"/>
      <c r="AI503" s="8"/>
      <c r="AJ503" s="8"/>
      <c r="AK503" s="8"/>
      <c r="AL503" s="8"/>
      <c r="AM503" s="8"/>
      <c r="AN503" s="8"/>
      <c r="AO503" s="8"/>
    </row>
    <row r="504" spans="14:41" s="11" customFormat="1" ht="18.45">
      <c r="N504" s="8"/>
      <c r="O504" s="8"/>
      <c r="P504" s="8"/>
      <c r="Q504" s="8"/>
      <c r="R504" s="8"/>
      <c r="S504" s="8"/>
      <c r="T504" s="8"/>
      <c r="U504" s="8"/>
      <c r="AH504" s="8"/>
      <c r="AI504" s="8"/>
      <c r="AJ504" s="8"/>
      <c r="AK504" s="8"/>
      <c r="AL504" s="8"/>
      <c r="AM504" s="8"/>
      <c r="AN504" s="8"/>
      <c r="AO504" s="8"/>
    </row>
    <row r="505" spans="14:41" s="11" customFormat="1" ht="18.45">
      <c r="N505" s="8"/>
      <c r="O505" s="8"/>
      <c r="P505" s="8"/>
      <c r="Q505" s="8"/>
      <c r="R505" s="8"/>
      <c r="S505" s="8"/>
      <c r="T505" s="8"/>
      <c r="U505" s="8"/>
      <c r="AH505" s="8"/>
      <c r="AI505" s="8"/>
      <c r="AJ505" s="8"/>
      <c r="AK505" s="8"/>
      <c r="AL505" s="8"/>
      <c r="AM505" s="8"/>
      <c r="AN505" s="8"/>
      <c r="AO505" s="8"/>
    </row>
    <row r="506" spans="14:41" s="11" customFormat="1" ht="18.45">
      <c r="N506" s="8"/>
      <c r="O506" s="8"/>
      <c r="P506" s="8"/>
      <c r="Q506" s="8"/>
      <c r="R506" s="8"/>
      <c r="S506" s="8"/>
      <c r="T506" s="8"/>
      <c r="U506" s="8"/>
      <c r="AH506" s="8"/>
      <c r="AI506" s="8"/>
      <c r="AJ506" s="8"/>
      <c r="AK506" s="8"/>
      <c r="AL506" s="8"/>
      <c r="AM506" s="8"/>
      <c r="AN506" s="8"/>
      <c r="AO506" s="8"/>
    </row>
    <row r="507" spans="14:41" s="11" customFormat="1" ht="18.45">
      <c r="N507" s="8"/>
      <c r="O507" s="8"/>
      <c r="P507" s="8"/>
      <c r="Q507" s="8"/>
      <c r="R507" s="8"/>
      <c r="S507" s="8"/>
      <c r="T507" s="8"/>
      <c r="U507" s="8"/>
      <c r="AH507" s="8"/>
      <c r="AI507" s="8"/>
      <c r="AJ507" s="8"/>
      <c r="AK507" s="8"/>
      <c r="AL507" s="8"/>
      <c r="AM507" s="8"/>
      <c r="AN507" s="8"/>
      <c r="AO507" s="8"/>
    </row>
    <row r="508" spans="14:41" s="11" customFormat="1" ht="18.45">
      <c r="N508" s="8"/>
      <c r="O508" s="8"/>
      <c r="P508" s="8"/>
      <c r="Q508" s="8"/>
      <c r="R508" s="8"/>
      <c r="S508" s="8"/>
      <c r="T508" s="8"/>
      <c r="U508" s="8"/>
      <c r="AH508" s="8"/>
      <c r="AI508" s="8"/>
      <c r="AJ508" s="8"/>
      <c r="AK508" s="8"/>
      <c r="AL508" s="8"/>
      <c r="AM508" s="8"/>
      <c r="AN508" s="8"/>
      <c r="AO508" s="8"/>
    </row>
    <row r="509" spans="14:41" s="11" customFormat="1" ht="18.45">
      <c r="N509" s="8"/>
      <c r="O509" s="8"/>
      <c r="P509" s="8"/>
      <c r="Q509" s="8"/>
      <c r="R509" s="8"/>
      <c r="S509" s="8"/>
      <c r="T509" s="8"/>
      <c r="U509" s="8"/>
      <c r="AH509" s="8"/>
      <c r="AI509" s="8"/>
      <c r="AJ509" s="8"/>
      <c r="AK509" s="8"/>
      <c r="AL509" s="8"/>
      <c r="AM509" s="8"/>
      <c r="AN509" s="8"/>
      <c r="AO509" s="8"/>
    </row>
    <row r="510" spans="14:41" s="11" customFormat="1" ht="18.45">
      <c r="N510" s="8"/>
      <c r="O510" s="8"/>
      <c r="P510" s="8"/>
      <c r="Q510" s="8"/>
      <c r="R510" s="8"/>
      <c r="S510" s="8"/>
      <c r="T510" s="8"/>
      <c r="U510" s="8"/>
      <c r="AH510" s="8"/>
      <c r="AI510" s="8"/>
      <c r="AJ510" s="8"/>
      <c r="AK510" s="8"/>
      <c r="AL510" s="8"/>
      <c r="AM510" s="8"/>
      <c r="AN510" s="8"/>
      <c r="AO510" s="8"/>
    </row>
    <row r="511" spans="14:41" s="11" customFormat="1" ht="18.45">
      <c r="N511" s="8"/>
      <c r="O511" s="8"/>
      <c r="P511" s="8"/>
      <c r="Q511" s="8"/>
      <c r="R511" s="8"/>
      <c r="S511" s="8"/>
      <c r="T511" s="8"/>
      <c r="U511" s="8"/>
      <c r="AH511" s="8"/>
      <c r="AI511" s="8"/>
      <c r="AJ511" s="8"/>
      <c r="AK511" s="8"/>
      <c r="AL511" s="8"/>
      <c r="AM511" s="8"/>
      <c r="AN511" s="8"/>
      <c r="AO511" s="8"/>
    </row>
    <row r="512" spans="14:41" s="11" customFormat="1" ht="18.45">
      <c r="N512" s="8"/>
      <c r="O512" s="8"/>
      <c r="P512" s="8"/>
      <c r="Q512" s="8"/>
      <c r="R512" s="8"/>
      <c r="S512" s="8"/>
      <c r="T512" s="8"/>
      <c r="U512" s="8"/>
      <c r="AH512" s="8"/>
      <c r="AI512" s="8"/>
      <c r="AJ512" s="8"/>
      <c r="AK512" s="8"/>
      <c r="AL512" s="8"/>
      <c r="AM512" s="8"/>
      <c r="AN512" s="8"/>
      <c r="AO512" s="8"/>
    </row>
    <row r="513" spans="14:41" s="11" customFormat="1" ht="18.45">
      <c r="N513" s="8"/>
      <c r="O513" s="8"/>
      <c r="P513" s="8"/>
      <c r="Q513" s="8"/>
      <c r="R513" s="8"/>
      <c r="S513" s="8"/>
      <c r="T513" s="8"/>
      <c r="U513" s="8"/>
      <c r="AH513" s="8"/>
      <c r="AI513" s="8"/>
      <c r="AJ513" s="8"/>
      <c r="AK513" s="8"/>
      <c r="AL513" s="8"/>
      <c r="AM513" s="8"/>
      <c r="AN513" s="8"/>
      <c r="AO513" s="8"/>
    </row>
    <row r="514" spans="14:41" s="11" customFormat="1" ht="18.45">
      <c r="N514" s="8"/>
      <c r="O514" s="8"/>
      <c r="P514" s="8"/>
      <c r="Q514" s="8"/>
      <c r="R514" s="8"/>
      <c r="S514" s="8"/>
      <c r="T514" s="8"/>
      <c r="U514" s="8"/>
      <c r="AH514" s="8"/>
      <c r="AI514" s="8"/>
      <c r="AJ514" s="8"/>
      <c r="AK514" s="8"/>
      <c r="AL514" s="8"/>
      <c r="AM514" s="8"/>
      <c r="AN514" s="8"/>
      <c r="AO514" s="8"/>
    </row>
    <row r="515" spans="14:41" s="11" customFormat="1" ht="18.45">
      <c r="N515" s="8"/>
      <c r="O515" s="8"/>
      <c r="P515" s="8"/>
      <c r="Q515" s="8"/>
      <c r="R515" s="8"/>
      <c r="S515" s="8"/>
      <c r="T515" s="8"/>
      <c r="U515" s="8"/>
      <c r="AH515" s="8"/>
      <c r="AI515" s="8"/>
      <c r="AJ515" s="8"/>
      <c r="AK515" s="8"/>
      <c r="AL515" s="8"/>
      <c r="AM515" s="8"/>
      <c r="AN515" s="8"/>
      <c r="AO515" s="8"/>
    </row>
    <row r="516" spans="14:41" s="11" customFormat="1" ht="18.45">
      <c r="N516" s="8"/>
      <c r="O516" s="8"/>
      <c r="P516" s="8"/>
      <c r="Q516" s="8"/>
      <c r="R516" s="8"/>
      <c r="S516" s="8"/>
      <c r="T516" s="8"/>
      <c r="U516" s="8"/>
      <c r="AH516" s="8"/>
      <c r="AI516" s="8"/>
      <c r="AJ516" s="8"/>
      <c r="AK516" s="8"/>
      <c r="AL516" s="8"/>
      <c r="AM516" s="8"/>
      <c r="AN516" s="8"/>
      <c r="AO516" s="8"/>
    </row>
    <row r="517" spans="14:41" s="11" customFormat="1" ht="18.45">
      <c r="N517" s="8"/>
      <c r="O517" s="8"/>
      <c r="P517" s="8"/>
      <c r="Q517" s="8"/>
      <c r="R517" s="8"/>
      <c r="S517" s="8"/>
      <c r="T517" s="8"/>
      <c r="U517" s="8"/>
      <c r="AH517" s="8"/>
      <c r="AI517" s="8"/>
      <c r="AJ517" s="8"/>
      <c r="AK517" s="8"/>
      <c r="AL517" s="8"/>
      <c r="AM517" s="8"/>
      <c r="AN517" s="8"/>
      <c r="AO517" s="8"/>
    </row>
    <row r="518" spans="14:41" s="11" customFormat="1" ht="18.45">
      <c r="N518" s="8"/>
      <c r="O518" s="8"/>
      <c r="P518" s="8"/>
      <c r="Q518" s="8"/>
      <c r="R518" s="8"/>
      <c r="S518" s="8"/>
      <c r="T518" s="8"/>
      <c r="U518" s="8"/>
      <c r="AH518" s="8"/>
      <c r="AI518" s="8"/>
      <c r="AJ518" s="8"/>
      <c r="AK518" s="8"/>
      <c r="AL518" s="8"/>
      <c r="AM518" s="8"/>
      <c r="AN518" s="8"/>
      <c r="AO518" s="8"/>
    </row>
    <row r="519" spans="14:41" s="11" customFormat="1" ht="18.45">
      <c r="N519" s="8"/>
      <c r="O519" s="8"/>
      <c r="P519" s="8"/>
      <c r="Q519" s="8"/>
      <c r="R519" s="8"/>
      <c r="S519" s="8"/>
      <c r="T519" s="8"/>
      <c r="U519" s="8"/>
      <c r="AH519" s="8"/>
      <c r="AI519" s="8"/>
      <c r="AJ519" s="8"/>
      <c r="AK519" s="8"/>
      <c r="AL519" s="8"/>
      <c r="AM519" s="8"/>
      <c r="AN519" s="8"/>
      <c r="AO519" s="8"/>
    </row>
    <row r="520" spans="14:41" s="11" customFormat="1" ht="18.45">
      <c r="N520" s="8"/>
      <c r="O520" s="8"/>
      <c r="P520" s="8"/>
      <c r="Q520" s="8"/>
      <c r="R520" s="8"/>
      <c r="S520" s="8"/>
      <c r="T520" s="8"/>
      <c r="U520" s="8"/>
      <c r="AH520" s="8"/>
      <c r="AI520" s="8"/>
      <c r="AJ520" s="8"/>
      <c r="AK520" s="8"/>
      <c r="AL520" s="8"/>
      <c r="AM520" s="8"/>
      <c r="AN520" s="8"/>
      <c r="AO520" s="8"/>
    </row>
    <row r="521" spans="14:41" s="11" customFormat="1" ht="18.45">
      <c r="N521" s="8"/>
      <c r="O521" s="8"/>
      <c r="P521" s="8"/>
      <c r="Q521" s="8"/>
      <c r="R521" s="8"/>
      <c r="S521" s="8"/>
      <c r="T521" s="8"/>
      <c r="U521" s="8"/>
      <c r="AH521" s="8"/>
      <c r="AI521" s="8"/>
      <c r="AJ521" s="8"/>
      <c r="AK521" s="8"/>
      <c r="AL521" s="8"/>
      <c r="AM521" s="8"/>
      <c r="AN521" s="8"/>
      <c r="AO521" s="8"/>
    </row>
    <row r="522" spans="14:41" s="11" customFormat="1" ht="18.45">
      <c r="N522" s="8"/>
      <c r="O522" s="8"/>
      <c r="P522" s="8"/>
      <c r="Q522" s="8"/>
      <c r="R522" s="8"/>
      <c r="S522" s="8"/>
      <c r="T522" s="8"/>
      <c r="U522" s="8"/>
      <c r="AH522" s="8"/>
      <c r="AI522" s="8"/>
      <c r="AJ522" s="8"/>
      <c r="AK522" s="8"/>
      <c r="AL522" s="8"/>
      <c r="AM522" s="8"/>
      <c r="AN522" s="8"/>
      <c r="AO522" s="8"/>
    </row>
    <row r="523" spans="14:41" s="11" customFormat="1" ht="18.45">
      <c r="N523" s="8"/>
      <c r="O523" s="8"/>
      <c r="P523" s="8"/>
      <c r="Q523" s="8"/>
      <c r="R523" s="8"/>
      <c r="S523" s="8"/>
      <c r="T523" s="8"/>
      <c r="U523" s="8"/>
      <c r="AH523" s="8"/>
      <c r="AI523" s="8"/>
      <c r="AJ523" s="8"/>
      <c r="AK523" s="8"/>
      <c r="AL523" s="8"/>
      <c r="AM523" s="8"/>
      <c r="AN523" s="8"/>
      <c r="AO523" s="8"/>
    </row>
    <row r="524" spans="14:41" s="11" customFormat="1" ht="18.45">
      <c r="N524" s="8"/>
      <c r="O524" s="8"/>
      <c r="P524" s="8"/>
      <c r="Q524" s="8"/>
      <c r="R524" s="8"/>
      <c r="S524" s="8"/>
      <c r="T524" s="8"/>
      <c r="U524" s="8"/>
      <c r="AH524" s="8"/>
      <c r="AI524" s="8"/>
      <c r="AJ524" s="8"/>
      <c r="AK524" s="8"/>
      <c r="AL524" s="8"/>
      <c r="AM524" s="8"/>
      <c r="AN524" s="8"/>
      <c r="AO524" s="8"/>
    </row>
    <row r="525" spans="14:41" s="11" customFormat="1" ht="18.45">
      <c r="N525" s="8"/>
      <c r="O525" s="8"/>
      <c r="P525" s="8"/>
      <c r="Q525" s="8"/>
      <c r="R525" s="8"/>
      <c r="S525" s="8"/>
      <c r="T525" s="8"/>
      <c r="U525" s="8"/>
      <c r="AH525" s="8"/>
      <c r="AI525" s="8"/>
      <c r="AJ525" s="8"/>
      <c r="AK525" s="8"/>
      <c r="AL525" s="8"/>
      <c r="AM525" s="8"/>
      <c r="AN525" s="8"/>
      <c r="AO525" s="8"/>
    </row>
    <row r="526" spans="14:41" s="11" customFormat="1" ht="18.45">
      <c r="N526" s="8"/>
      <c r="O526" s="8"/>
      <c r="P526" s="8"/>
      <c r="Q526" s="8"/>
      <c r="R526" s="8"/>
      <c r="S526" s="8"/>
      <c r="T526" s="8"/>
      <c r="U526" s="8"/>
      <c r="AH526" s="8"/>
      <c r="AI526" s="8"/>
      <c r="AJ526" s="8"/>
      <c r="AK526" s="8"/>
      <c r="AL526" s="8"/>
      <c r="AM526" s="8"/>
      <c r="AN526" s="8"/>
      <c r="AO526" s="8"/>
    </row>
    <row r="527" spans="14:41" s="11" customFormat="1" ht="18.45">
      <c r="N527" s="8"/>
      <c r="O527" s="8"/>
      <c r="P527" s="8"/>
      <c r="Q527" s="8"/>
      <c r="R527" s="8"/>
      <c r="S527" s="8"/>
      <c r="T527" s="8"/>
      <c r="U527" s="8"/>
      <c r="AH527" s="8"/>
      <c r="AI527" s="8"/>
      <c r="AJ527" s="8"/>
      <c r="AK527" s="8"/>
      <c r="AL527" s="8"/>
      <c r="AM527" s="8"/>
      <c r="AN527" s="8"/>
      <c r="AO527" s="8"/>
    </row>
    <row r="528" spans="14:41" s="11" customFormat="1" ht="18.45">
      <c r="N528" s="8"/>
      <c r="O528" s="8"/>
      <c r="P528" s="8"/>
      <c r="Q528" s="8"/>
      <c r="R528" s="8"/>
      <c r="S528" s="8"/>
      <c r="T528" s="8"/>
      <c r="U528" s="8"/>
      <c r="AH528" s="8"/>
      <c r="AI528" s="8"/>
      <c r="AJ528" s="8"/>
      <c r="AK528" s="8"/>
      <c r="AL528" s="8"/>
      <c r="AM528" s="8"/>
      <c r="AN528" s="8"/>
      <c r="AO528" s="8"/>
    </row>
    <row r="529" spans="14:41" s="11" customFormat="1" ht="18.45">
      <c r="N529" s="8"/>
      <c r="O529" s="8"/>
      <c r="P529" s="8"/>
      <c r="Q529" s="8"/>
      <c r="R529" s="8"/>
      <c r="S529" s="8"/>
      <c r="T529" s="8"/>
      <c r="U529" s="8"/>
      <c r="AH529" s="8"/>
      <c r="AI529" s="8"/>
      <c r="AJ529" s="8"/>
      <c r="AK529" s="8"/>
      <c r="AL529" s="8"/>
      <c r="AM529" s="8"/>
      <c r="AN529" s="8"/>
      <c r="AO529" s="8"/>
    </row>
    <row r="530" spans="14:41" s="11" customFormat="1" ht="18.45">
      <c r="N530" s="8"/>
      <c r="O530" s="8"/>
      <c r="P530" s="8"/>
      <c r="Q530" s="8"/>
      <c r="R530" s="8"/>
      <c r="S530" s="8"/>
      <c r="T530" s="8"/>
      <c r="U530" s="8"/>
      <c r="AH530" s="8"/>
      <c r="AI530" s="8"/>
      <c r="AJ530" s="8"/>
      <c r="AK530" s="8"/>
      <c r="AL530" s="8"/>
      <c r="AM530" s="8"/>
      <c r="AN530" s="8"/>
      <c r="AO530" s="8"/>
    </row>
    <row r="531" spans="14:41" s="11" customFormat="1" ht="18.45">
      <c r="N531" s="8"/>
      <c r="O531" s="8"/>
      <c r="P531" s="8"/>
      <c r="Q531" s="8"/>
      <c r="R531" s="8"/>
      <c r="S531" s="8"/>
      <c r="T531" s="8"/>
      <c r="U531" s="8"/>
      <c r="AH531" s="8"/>
      <c r="AI531" s="8"/>
      <c r="AJ531" s="8"/>
      <c r="AK531" s="8"/>
      <c r="AL531" s="8"/>
      <c r="AM531" s="8"/>
      <c r="AN531" s="8"/>
      <c r="AO531" s="8"/>
    </row>
    <row r="532" spans="14:41" s="11" customFormat="1" ht="18.45">
      <c r="N532" s="8"/>
      <c r="O532" s="8"/>
      <c r="P532" s="8"/>
      <c r="Q532" s="8"/>
      <c r="R532" s="8"/>
      <c r="S532" s="8"/>
      <c r="T532" s="8"/>
      <c r="U532" s="8"/>
      <c r="AH532" s="8"/>
      <c r="AI532" s="8"/>
      <c r="AJ532" s="8"/>
      <c r="AK532" s="8"/>
      <c r="AL532" s="8"/>
      <c r="AM532" s="8"/>
      <c r="AN532" s="8"/>
      <c r="AO532" s="8"/>
    </row>
    <row r="533" spans="14:41" s="11" customFormat="1" ht="18.45">
      <c r="N533" s="8"/>
      <c r="O533" s="8"/>
      <c r="P533" s="8"/>
      <c r="Q533" s="8"/>
      <c r="R533" s="8"/>
      <c r="S533" s="8"/>
      <c r="T533" s="8"/>
      <c r="U533" s="8"/>
      <c r="AH533" s="8"/>
      <c r="AI533" s="8"/>
      <c r="AJ533" s="8"/>
      <c r="AK533" s="8"/>
      <c r="AL533" s="8"/>
      <c r="AM533" s="8"/>
      <c r="AN533" s="8"/>
      <c r="AO533" s="8"/>
    </row>
    <row r="534" spans="14:41" s="11" customFormat="1" ht="18.45">
      <c r="N534" s="8"/>
      <c r="O534" s="8"/>
      <c r="P534" s="8"/>
      <c r="Q534" s="8"/>
      <c r="R534" s="8"/>
      <c r="S534" s="8"/>
      <c r="T534" s="8"/>
      <c r="U534" s="8"/>
      <c r="AH534" s="8"/>
      <c r="AI534" s="8"/>
      <c r="AJ534" s="8"/>
      <c r="AK534" s="8"/>
      <c r="AL534" s="8"/>
      <c r="AM534" s="8"/>
      <c r="AN534" s="8"/>
      <c r="AO534" s="8"/>
    </row>
    <row r="535" spans="14:41" s="11" customFormat="1" ht="18.45">
      <c r="N535" s="8"/>
      <c r="O535" s="8"/>
      <c r="P535" s="8"/>
      <c r="Q535" s="8"/>
      <c r="R535" s="8"/>
      <c r="S535" s="8"/>
      <c r="T535" s="8"/>
      <c r="U535" s="8"/>
      <c r="AH535" s="8"/>
      <c r="AI535" s="8"/>
      <c r="AJ535" s="8"/>
      <c r="AK535" s="8"/>
      <c r="AL535" s="8"/>
      <c r="AM535" s="8"/>
      <c r="AN535" s="8"/>
      <c r="AO535" s="8"/>
    </row>
    <row r="536" spans="14:41" s="11" customFormat="1" ht="18.45">
      <c r="N536" s="8"/>
      <c r="O536" s="8"/>
      <c r="P536" s="8"/>
      <c r="Q536" s="8"/>
      <c r="R536" s="8"/>
      <c r="S536" s="8"/>
      <c r="T536" s="8"/>
      <c r="U536" s="8"/>
      <c r="AH536" s="8"/>
      <c r="AI536" s="8"/>
      <c r="AJ536" s="8"/>
      <c r="AK536" s="8"/>
      <c r="AL536" s="8"/>
      <c r="AM536" s="8"/>
      <c r="AN536" s="8"/>
      <c r="AO536" s="8"/>
    </row>
    <row r="537" spans="14:41" s="11" customFormat="1" ht="18.45">
      <c r="N537" s="8"/>
      <c r="O537" s="8"/>
      <c r="P537" s="8"/>
      <c r="Q537" s="8"/>
      <c r="R537" s="8"/>
      <c r="S537" s="8"/>
      <c r="T537" s="8"/>
      <c r="U537" s="8"/>
      <c r="AH537" s="8"/>
      <c r="AI537" s="8"/>
      <c r="AJ537" s="8"/>
      <c r="AK537" s="8"/>
      <c r="AL537" s="8"/>
      <c r="AM537" s="8"/>
      <c r="AN537" s="8"/>
      <c r="AO537" s="8"/>
    </row>
    <row r="538" spans="14:41" s="11" customFormat="1" ht="18.45">
      <c r="N538" s="8"/>
      <c r="O538" s="8"/>
      <c r="P538" s="8"/>
      <c r="Q538" s="8"/>
      <c r="R538" s="8"/>
      <c r="S538" s="8"/>
      <c r="T538" s="8"/>
      <c r="U538" s="8"/>
      <c r="AH538" s="8"/>
      <c r="AI538" s="8"/>
      <c r="AJ538" s="8"/>
      <c r="AK538" s="8"/>
      <c r="AL538" s="8"/>
      <c r="AM538" s="8"/>
      <c r="AN538" s="8"/>
      <c r="AO538" s="8"/>
    </row>
    <row r="539" spans="14:41" s="11" customFormat="1" ht="18.45">
      <c r="N539" s="8"/>
      <c r="O539" s="8"/>
      <c r="P539" s="8"/>
      <c r="Q539" s="8"/>
      <c r="R539" s="8"/>
      <c r="S539" s="8"/>
      <c r="T539" s="8"/>
      <c r="U539" s="8"/>
      <c r="AH539" s="8"/>
      <c r="AI539" s="8"/>
      <c r="AJ539" s="8"/>
      <c r="AK539" s="8"/>
      <c r="AL539" s="8"/>
      <c r="AM539" s="8"/>
      <c r="AN539" s="8"/>
      <c r="AO539" s="8"/>
    </row>
    <row r="540" spans="14:41" s="11" customFormat="1" ht="18.45">
      <c r="N540" s="8"/>
      <c r="O540" s="8"/>
      <c r="P540" s="8"/>
      <c r="Q540" s="8"/>
      <c r="R540" s="8"/>
      <c r="S540" s="8"/>
      <c r="T540" s="8"/>
      <c r="U540" s="8"/>
      <c r="AH540" s="8"/>
      <c r="AI540" s="8"/>
      <c r="AJ540" s="8"/>
      <c r="AK540" s="8"/>
      <c r="AL540" s="8"/>
      <c r="AM540" s="8"/>
      <c r="AN540" s="8"/>
      <c r="AO540" s="8"/>
    </row>
    <row r="541" spans="14:41" s="11" customFormat="1" ht="18.45">
      <c r="N541" s="8"/>
      <c r="O541" s="8"/>
      <c r="P541" s="8"/>
      <c r="Q541" s="8"/>
      <c r="R541" s="8"/>
      <c r="S541" s="8"/>
      <c r="T541" s="8"/>
      <c r="U541" s="8"/>
      <c r="AH541" s="8"/>
      <c r="AI541" s="8"/>
      <c r="AJ541" s="8"/>
      <c r="AK541" s="8"/>
      <c r="AL541" s="8"/>
      <c r="AM541" s="8"/>
      <c r="AN541" s="8"/>
      <c r="AO541" s="8"/>
    </row>
    <row r="542" spans="14:41" s="11" customFormat="1" ht="18.45">
      <c r="N542" s="8"/>
      <c r="O542" s="8"/>
      <c r="P542" s="8"/>
      <c r="Q542" s="8"/>
      <c r="R542" s="8"/>
      <c r="S542" s="8"/>
      <c r="T542" s="8"/>
      <c r="U542" s="8"/>
      <c r="AH542" s="8"/>
      <c r="AI542" s="8"/>
      <c r="AJ542" s="8"/>
      <c r="AK542" s="8"/>
      <c r="AL542" s="8"/>
      <c r="AM542" s="8"/>
      <c r="AN542" s="8"/>
      <c r="AO542" s="8"/>
    </row>
    <row r="543" spans="14:41" s="11" customFormat="1" ht="18.45">
      <c r="N543" s="8"/>
      <c r="O543" s="8"/>
      <c r="P543" s="8"/>
      <c r="Q543" s="8"/>
      <c r="R543" s="8"/>
      <c r="S543" s="8"/>
      <c r="T543" s="8"/>
      <c r="U543" s="8"/>
      <c r="AH543" s="8"/>
      <c r="AI543" s="8"/>
      <c r="AJ543" s="8"/>
      <c r="AK543" s="8"/>
      <c r="AL543" s="8"/>
      <c r="AM543" s="8"/>
      <c r="AN543" s="8"/>
      <c r="AO543" s="8"/>
    </row>
    <row r="544" spans="14:41" s="11" customFormat="1" ht="18.45">
      <c r="N544" s="8"/>
      <c r="O544" s="8"/>
      <c r="P544" s="8"/>
      <c r="Q544" s="8"/>
      <c r="R544" s="8"/>
      <c r="S544" s="8"/>
      <c r="T544" s="8"/>
      <c r="U544" s="8"/>
      <c r="AH544" s="8"/>
      <c r="AI544" s="8"/>
      <c r="AJ544" s="8"/>
      <c r="AK544" s="8"/>
      <c r="AL544" s="8"/>
      <c r="AM544" s="8"/>
      <c r="AN544" s="8"/>
      <c r="AO544" s="8"/>
    </row>
    <row r="545" spans="14:41" s="11" customFormat="1" ht="18.45">
      <c r="N545" s="8"/>
      <c r="O545" s="8"/>
      <c r="P545" s="8"/>
      <c r="Q545" s="8"/>
      <c r="R545" s="8"/>
      <c r="S545" s="8"/>
      <c r="T545" s="8"/>
      <c r="U545" s="8"/>
      <c r="AH545" s="8"/>
      <c r="AI545" s="8"/>
      <c r="AJ545" s="8"/>
      <c r="AK545" s="8"/>
      <c r="AL545" s="8"/>
      <c r="AM545" s="8"/>
      <c r="AN545" s="8"/>
      <c r="AO545" s="8"/>
    </row>
    <row r="546" spans="14:41" s="11" customFormat="1" ht="18.45">
      <c r="N546" s="8"/>
      <c r="O546" s="8"/>
      <c r="P546" s="8"/>
      <c r="Q546" s="8"/>
      <c r="R546" s="8"/>
      <c r="S546" s="8"/>
      <c r="T546" s="8"/>
      <c r="U546" s="8"/>
      <c r="AH546" s="8"/>
      <c r="AI546" s="8"/>
      <c r="AJ546" s="8"/>
      <c r="AK546" s="8"/>
      <c r="AL546" s="8"/>
      <c r="AM546" s="8"/>
      <c r="AN546" s="8"/>
      <c r="AO546" s="8"/>
    </row>
    <row r="547" spans="14:41" s="11" customFormat="1" ht="18.45">
      <c r="N547" s="8"/>
      <c r="O547" s="8"/>
      <c r="P547" s="8"/>
      <c r="Q547" s="8"/>
      <c r="R547" s="8"/>
      <c r="S547" s="8"/>
      <c r="T547" s="8"/>
      <c r="U547" s="8"/>
      <c r="AH547" s="8"/>
      <c r="AI547" s="8"/>
      <c r="AJ547" s="8"/>
      <c r="AK547" s="8"/>
      <c r="AL547" s="8"/>
      <c r="AM547" s="8"/>
      <c r="AN547" s="8"/>
      <c r="AO547" s="8"/>
    </row>
    <row r="548" spans="14:41" s="11" customFormat="1" ht="18.45">
      <c r="N548" s="8"/>
      <c r="O548" s="8"/>
      <c r="P548" s="8"/>
      <c r="Q548" s="8"/>
      <c r="R548" s="8"/>
      <c r="S548" s="8"/>
      <c r="T548" s="8"/>
      <c r="U548" s="8"/>
      <c r="AH548" s="8"/>
      <c r="AI548" s="8"/>
      <c r="AJ548" s="8"/>
      <c r="AK548" s="8"/>
      <c r="AL548" s="8"/>
      <c r="AM548" s="8"/>
      <c r="AN548" s="8"/>
      <c r="AO548" s="8"/>
    </row>
    <row r="549" spans="14:41" s="11" customFormat="1" ht="18.45">
      <c r="N549" s="8"/>
      <c r="O549" s="8"/>
      <c r="P549" s="8"/>
      <c r="Q549" s="8"/>
      <c r="R549" s="8"/>
      <c r="S549" s="8"/>
      <c r="T549" s="8"/>
      <c r="U549" s="8"/>
      <c r="AH549" s="8"/>
      <c r="AI549" s="8"/>
      <c r="AJ549" s="8"/>
      <c r="AK549" s="8"/>
      <c r="AL549" s="8"/>
      <c r="AM549" s="8"/>
      <c r="AN549" s="8"/>
      <c r="AO549" s="8"/>
    </row>
    <row r="550" spans="14:41" s="11" customFormat="1" ht="18.45">
      <c r="N550" s="8"/>
      <c r="O550" s="8"/>
      <c r="P550" s="8"/>
      <c r="Q550" s="8"/>
      <c r="R550" s="8"/>
      <c r="S550" s="8"/>
      <c r="T550" s="8"/>
      <c r="U550" s="8"/>
      <c r="AH550" s="8"/>
      <c r="AI550" s="8"/>
      <c r="AJ550" s="8"/>
      <c r="AK550" s="8"/>
      <c r="AL550" s="8"/>
      <c r="AM550" s="8"/>
      <c r="AN550" s="8"/>
      <c r="AO550" s="8"/>
    </row>
    <row r="551" spans="14:41" s="11" customFormat="1" ht="18.45">
      <c r="N551" s="8"/>
      <c r="O551" s="8"/>
      <c r="P551" s="8"/>
      <c r="Q551" s="8"/>
      <c r="R551" s="8"/>
      <c r="S551" s="8"/>
      <c r="T551" s="8"/>
      <c r="U551" s="8"/>
      <c r="AH551" s="8"/>
      <c r="AI551" s="8"/>
      <c r="AJ551" s="8"/>
      <c r="AK551" s="8"/>
      <c r="AL551" s="8"/>
      <c r="AM551" s="8"/>
      <c r="AN551" s="8"/>
      <c r="AO551" s="8"/>
    </row>
    <row r="552" spans="14:41" s="11" customFormat="1" ht="18.45">
      <c r="N552" s="8"/>
      <c r="O552" s="8"/>
      <c r="P552" s="8"/>
      <c r="Q552" s="8"/>
      <c r="R552" s="8"/>
      <c r="S552" s="8"/>
      <c r="T552" s="8"/>
      <c r="U552" s="8"/>
      <c r="AH552" s="8"/>
      <c r="AI552" s="8"/>
      <c r="AJ552" s="8"/>
      <c r="AK552" s="8"/>
      <c r="AL552" s="8"/>
      <c r="AM552" s="8"/>
      <c r="AN552" s="8"/>
      <c r="AO552" s="8"/>
    </row>
    <row r="553" spans="14:41" s="11" customFormat="1" ht="18.45">
      <c r="N553" s="8"/>
      <c r="O553" s="8"/>
      <c r="P553" s="8"/>
      <c r="Q553" s="8"/>
      <c r="R553" s="8"/>
      <c r="S553" s="8"/>
      <c r="T553" s="8"/>
      <c r="U553" s="8"/>
      <c r="AH553" s="8"/>
      <c r="AI553" s="8"/>
      <c r="AJ553" s="8"/>
      <c r="AK553" s="8"/>
      <c r="AL553" s="8"/>
      <c r="AM553" s="8"/>
      <c r="AN553" s="8"/>
      <c r="AO553" s="8"/>
    </row>
    <row r="554" spans="14:41" s="11" customFormat="1" ht="18.45">
      <c r="N554" s="8"/>
      <c r="O554" s="8"/>
      <c r="P554" s="8"/>
      <c r="Q554" s="8"/>
      <c r="R554" s="8"/>
      <c r="S554" s="8"/>
      <c r="T554" s="8"/>
      <c r="U554" s="8"/>
      <c r="AH554" s="8"/>
      <c r="AI554" s="8"/>
      <c r="AJ554" s="8"/>
      <c r="AK554" s="8"/>
      <c r="AL554" s="8"/>
      <c r="AM554" s="8"/>
      <c r="AN554" s="8"/>
      <c r="AO554" s="8"/>
    </row>
    <row r="555" spans="14:41" s="11" customFormat="1" ht="18.45">
      <c r="N555" s="8"/>
      <c r="O555" s="8"/>
      <c r="P555" s="8"/>
      <c r="Q555" s="8"/>
      <c r="R555" s="8"/>
      <c r="S555" s="8"/>
      <c r="T555" s="8"/>
      <c r="U555" s="8"/>
      <c r="AH555" s="8"/>
      <c r="AI555" s="8"/>
      <c r="AJ555" s="8"/>
      <c r="AK555" s="8"/>
      <c r="AL555" s="8"/>
      <c r="AM555" s="8"/>
      <c r="AN555" s="8"/>
      <c r="AO555" s="8"/>
    </row>
    <row r="556" spans="14:41" s="11" customFormat="1" ht="18.45">
      <c r="N556" s="8"/>
      <c r="O556" s="8"/>
      <c r="P556" s="8"/>
      <c r="Q556" s="8"/>
      <c r="R556" s="8"/>
      <c r="S556" s="8"/>
      <c r="T556" s="8"/>
      <c r="U556" s="8"/>
      <c r="AH556" s="8"/>
      <c r="AI556" s="8"/>
      <c r="AJ556" s="8"/>
      <c r="AK556" s="8"/>
      <c r="AL556" s="8"/>
      <c r="AM556" s="8"/>
      <c r="AN556" s="8"/>
      <c r="AO556" s="8"/>
    </row>
    <row r="557" spans="14:41" s="11" customFormat="1" ht="18.45">
      <c r="N557" s="8"/>
      <c r="O557" s="8"/>
      <c r="P557" s="8"/>
      <c r="Q557" s="8"/>
      <c r="R557" s="8"/>
      <c r="S557" s="8"/>
      <c r="T557" s="8"/>
      <c r="U557" s="8"/>
      <c r="AH557" s="8"/>
      <c r="AI557" s="8"/>
      <c r="AJ557" s="8"/>
      <c r="AK557" s="8"/>
      <c r="AL557" s="8"/>
      <c r="AM557" s="8"/>
      <c r="AN557" s="8"/>
      <c r="AO557" s="8"/>
    </row>
    <row r="558" spans="14:41" s="11" customFormat="1" ht="18.45">
      <c r="N558" s="8"/>
      <c r="O558" s="8"/>
      <c r="P558" s="8"/>
      <c r="Q558" s="8"/>
      <c r="R558" s="8"/>
      <c r="S558" s="8"/>
      <c r="T558" s="8"/>
      <c r="U558" s="8"/>
      <c r="AH558" s="8"/>
      <c r="AI558" s="8"/>
      <c r="AJ558" s="8"/>
      <c r="AK558" s="8"/>
      <c r="AL558" s="8"/>
      <c r="AM558" s="8"/>
      <c r="AN558" s="8"/>
      <c r="AO558" s="8"/>
    </row>
    <row r="559" spans="14:41" s="11" customFormat="1" ht="18.45">
      <c r="N559" s="8"/>
      <c r="O559" s="8"/>
      <c r="P559" s="8"/>
      <c r="Q559" s="8"/>
      <c r="R559" s="8"/>
      <c r="S559" s="8"/>
      <c r="T559" s="8"/>
      <c r="U559" s="8"/>
      <c r="AH559" s="8"/>
      <c r="AI559" s="8"/>
      <c r="AJ559" s="8"/>
      <c r="AK559" s="8"/>
      <c r="AL559" s="8"/>
      <c r="AM559" s="8"/>
      <c r="AN559" s="8"/>
      <c r="AO559" s="8"/>
    </row>
    <row r="560" spans="14:41" s="11" customFormat="1" ht="18.45">
      <c r="N560" s="8"/>
      <c r="O560" s="8"/>
      <c r="P560" s="8"/>
      <c r="Q560" s="8"/>
      <c r="R560" s="8"/>
      <c r="S560" s="8"/>
      <c r="T560" s="8"/>
      <c r="U560" s="8"/>
      <c r="AH560" s="8"/>
      <c r="AI560" s="8"/>
      <c r="AJ560" s="8"/>
      <c r="AK560" s="8"/>
      <c r="AL560" s="8"/>
      <c r="AM560" s="8"/>
      <c r="AN560" s="8"/>
      <c r="AO560" s="8"/>
    </row>
    <row r="561" spans="14:41" s="11" customFormat="1" ht="18.45">
      <c r="N561" s="8"/>
      <c r="O561" s="8"/>
      <c r="P561" s="8"/>
      <c r="Q561" s="8"/>
      <c r="R561" s="8"/>
      <c r="S561" s="8"/>
      <c r="T561" s="8"/>
      <c r="U561" s="8"/>
      <c r="AH561" s="8"/>
      <c r="AI561" s="8"/>
      <c r="AJ561" s="8"/>
      <c r="AK561" s="8"/>
      <c r="AL561" s="8"/>
      <c r="AM561" s="8"/>
      <c r="AN561" s="8"/>
      <c r="AO561" s="8"/>
    </row>
    <row r="562" spans="14:41" s="11" customFormat="1" ht="18.45">
      <c r="N562" s="8"/>
      <c r="O562" s="8"/>
      <c r="P562" s="8"/>
      <c r="Q562" s="8"/>
      <c r="R562" s="8"/>
      <c r="S562" s="8"/>
      <c r="T562" s="8"/>
      <c r="U562" s="8"/>
      <c r="AH562" s="8"/>
      <c r="AI562" s="8"/>
      <c r="AJ562" s="8"/>
      <c r="AK562" s="8"/>
      <c r="AL562" s="8"/>
      <c r="AM562" s="8"/>
      <c r="AN562" s="8"/>
      <c r="AO562" s="8"/>
    </row>
    <row r="563" spans="14:41" s="11" customFormat="1" ht="18.45">
      <c r="N563" s="8"/>
      <c r="O563" s="8"/>
      <c r="P563" s="8"/>
      <c r="Q563" s="8"/>
      <c r="R563" s="8"/>
      <c r="S563" s="8"/>
      <c r="T563" s="8"/>
      <c r="U563" s="8"/>
      <c r="AH563" s="8"/>
      <c r="AI563" s="8"/>
      <c r="AJ563" s="8"/>
      <c r="AK563" s="8"/>
      <c r="AL563" s="8"/>
      <c r="AM563" s="8"/>
      <c r="AN563" s="8"/>
      <c r="AO563" s="8"/>
    </row>
    <row r="564" spans="14:41" s="11" customFormat="1" ht="18.45">
      <c r="N564" s="8"/>
      <c r="O564" s="8"/>
      <c r="P564" s="8"/>
      <c r="Q564" s="8"/>
      <c r="R564" s="8"/>
      <c r="S564" s="8"/>
      <c r="T564" s="8"/>
      <c r="U564" s="8"/>
      <c r="AH564" s="8"/>
      <c r="AI564" s="8"/>
      <c r="AJ564" s="8"/>
      <c r="AK564" s="8"/>
      <c r="AL564" s="8"/>
      <c r="AM564" s="8"/>
      <c r="AN564" s="8"/>
      <c r="AO564" s="8"/>
    </row>
    <row r="565" spans="14:41" s="19" customFormat="1" ht="18.45">
      <c r="N565" s="20"/>
      <c r="O565" s="20"/>
      <c r="P565" s="20"/>
      <c r="Q565" s="20"/>
      <c r="R565" s="20"/>
      <c r="S565" s="20"/>
      <c r="T565" s="20"/>
      <c r="U565" s="20"/>
      <c r="AH565" s="20"/>
      <c r="AI565" s="20"/>
      <c r="AJ565" s="20"/>
      <c r="AK565" s="20"/>
      <c r="AL565" s="20"/>
      <c r="AM565" s="20"/>
      <c r="AN565" s="20"/>
      <c r="AO565" s="20"/>
    </row>
    <row r="566" spans="14:41" s="19" customFormat="1" ht="18.45">
      <c r="N566" s="20"/>
      <c r="O566" s="20"/>
      <c r="P566" s="20"/>
      <c r="Q566" s="20"/>
      <c r="R566" s="20"/>
      <c r="S566" s="20"/>
      <c r="T566" s="20"/>
      <c r="U566" s="20"/>
      <c r="AH566" s="20"/>
      <c r="AI566" s="20"/>
      <c r="AJ566" s="20"/>
      <c r="AK566" s="20"/>
      <c r="AL566" s="20"/>
      <c r="AM566" s="20"/>
      <c r="AN566" s="20"/>
      <c r="AO566" s="20"/>
    </row>
    <row r="567" spans="14:41" s="19" customFormat="1" ht="18.45">
      <c r="N567" s="20"/>
      <c r="O567" s="20"/>
      <c r="P567" s="20"/>
      <c r="Q567" s="20"/>
      <c r="R567" s="20"/>
      <c r="S567" s="20"/>
      <c r="T567" s="20"/>
      <c r="U567" s="20"/>
      <c r="AH567" s="20"/>
      <c r="AI567" s="20"/>
      <c r="AJ567" s="20"/>
      <c r="AK567" s="20"/>
      <c r="AL567" s="20"/>
      <c r="AM567" s="20"/>
      <c r="AN567" s="20"/>
      <c r="AO567" s="20"/>
    </row>
    <row r="568" spans="14:41" s="19" customFormat="1" ht="18.45">
      <c r="N568" s="20"/>
      <c r="O568" s="20"/>
      <c r="P568" s="20"/>
      <c r="Q568" s="20"/>
      <c r="R568" s="20"/>
      <c r="S568" s="20"/>
      <c r="T568" s="20"/>
      <c r="U568" s="20"/>
      <c r="AH568" s="20"/>
      <c r="AI568" s="20"/>
      <c r="AJ568" s="20"/>
      <c r="AK568" s="20"/>
      <c r="AL568" s="20"/>
      <c r="AM568" s="20"/>
      <c r="AN568" s="20"/>
      <c r="AO568" s="20"/>
    </row>
    <row r="569" spans="14:41" s="19" customFormat="1" ht="18.45">
      <c r="N569" s="20"/>
      <c r="O569" s="20"/>
      <c r="P569" s="20"/>
      <c r="Q569" s="20"/>
      <c r="R569" s="20"/>
      <c r="S569" s="20"/>
      <c r="T569" s="20"/>
      <c r="U569" s="20"/>
      <c r="AH569" s="20"/>
      <c r="AI569" s="20"/>
      <c r="AJ569" s="20"/>
      <c r="AK569" s="20"/>
      <c r="AL569" s="20"/>
      <c r="AM569" s="20"/>
      <c r="AN569" s="20"/>
      <c r="AO569" s="20"/>
    </row>
    <row r="570" spans="14:41" s="19" customFormat="1" ht="18.45">
      <c r="N570" s="20"/>
      <c r="O570" s="20"/>
      <c r="P570" s="20"/>
      <c r="Q570" s="20"/>
      <c r="R570" s="20"/>
      <c r="S570" s="20"/>
      <c r="T570" s="20"/>
      <c r="U570" s="20"/>
      <c r="AH570" s="20"/>
      <c r="AI570" s="20"/>
      <c r="AJ570" s="20"/>
      <c r="AK570" s="20"/>
      <c r="AL570" s="20"/>
      <c r="AM570" s="20"/>
      <c r="AN570" s="20"/>
      <c r="AO570" s="20"/>
    </row>
    <row r="571" spans="14:41" s="19" customFormat="1" ht="18.45">
      <c r="N571" s="20"/>
      <c r="O571" s="20"/>
      <c r="P571" s="20"/>
      <c r="Q571" s="20"/>
      <c r="R571" s="20"/>
      <c r="S571" s="20"/>
      <c r="T571" s="20"/>
      <c r="U571" s="20"/>
      <c r="AH571" s="20"/>
      <c r="AI571" s="20"/>
      <c r="AJ571" s="20"/>
      <c r="AK571" s="20"/>
      <c r="AL571" s="20"/>
      <c r="AM571" s="20"/>
      <c r="AN571" s="20"/>
      <c r="AO571" s="20"/>
    </row>
    <row r="572" spans="14:41" s="19" customFormat="1" ht="18.45">
      <c r="N572" s="20"/>
      <c r="O572" s="20"/>
      <c r="P572" s="20"/>
      <c r="Q572" s="20"/>
      <c r="R572" s="20"/>
      <c r="S572" s="20"/>
      <c r="T572" s="20"/>
      <c r="U572" s="20"/>
      <c r="AH572" s="20"/>
      <c r="AI572" s="20"/>
      <c r="AJ572" s="20"/>
      <c r="AK572" s="20"/>
      <c r="AL572" s="20"/>
      <c r="AM572" s="20"/>
      <c r="AN572" s="20"/>
      <c r="AO572" s="20"/>
    </row>
    <row r="573" spans="14:41" s="19" customFormat="1" ht="18.45">
      <c r="N573" s="20"/>
      <c r="O573" s="20"/>
      <c r="P573" s="20"/>
      <c r="Q573" s="20"/>
      <c r="R573" s="20"/>
      <c r="S573" s="20"/>
      <c r="T573" s="20"/>
      <c r="U573" s="20"/>
      <c r="AH573" s="20"/>
      <c r="AI573" s="20"/>
      <c r="AJ573" s="20"/>
      <c r="AK573" s="20"/>
      <c r="AL573" s="20"/>
      <c r="AM573" s="20"/>
      <c r="AN573" s="20"/>
      <c r="AO573" s="20"/>
    </row>
    <row r="574" spans="14:41" s="19" customFormat="1" ht="18.45">
      <c r="N574" s="20"/>
      <c r="O574" s="20"/>
      <c r="P574" s="20"/>
      <c r="Q574" s="20"/>
      <c r="R574" s="20"/>
      <c r="S574" s="20"/>
      <c r="T574" s="20"/>
      <c r="U574" s="20"/>
      <c r="AH574" s="20"/>
      <c r="AI574" s="20"/>
      <c r="AJ574" s="20"/>
      <c r="AK574" s="20"/>
      <c r="AL574" s="20"/>
      <c r="AM574" s="20"/>
      <c r="AN574" s="20"/>
      <c r="AO574" s="20"/>
    </row>
    <row r="575" spans="14:41" s="19" customFormat="1" ht="18.45">
      <c r="N575" s="20"/>
      <c r="O575" s="20"/>
      <c r="P575" s="20"/>
      <c r="Q575" s="20"/>
      <c r="R575" s="20"/>
      <c r="S575" s="20"/>
      <c r="T575" s="20"/>
      <c r="U575" s="20"/>
      <c r="AH575" s="20"/>
      <c r="AI575" s="20"/>
      <c r="AJ575" s="20"/>
      <c r="AK575" s="20"/>
      <c r="AL575" s="20"/>
      <c r="AM575" s="20"/>
      <c r="AN575" s="20"/>
      <c r="AO575" s="20"/>
    </row>
    <row r="576" spans="14:41" s="19" customFormat="1" ht="18.45">
      <c r="N576" s="20"/>
      <c r="O576" s="20"/>
      <c r="P576" s="20"/>
      <c r="Q576" s="20"/>
      <c r="R576" s="20"/>
      <c r="S576" s="20"/>
      <c r="T576" s="20"/>
      <c r="U576" s="20"/>
      <c r="AH576" s="20"/>
      <c r="AI576" s="20"/>
      <c r="AJ576" s="20"/>
      <c r="AK576" s="20"/>
      <c r="AL576" s="20"/>
      <c r="AM576" s="20"/>
      <c r="AN576" s="20"/>
      <c r="AO576" s="20"/>
    </row>
    <row r="577" spans="14:41" s="19" customFormat="1" ht="18.45">
      <c r="N577" s="20"/>
      <c r="O577" s="20"/>
      <c r="P577" s="20"/>
      <c r="Q577" s="20"/>
      <c r="R577" s="20"/>
      <c r="S577" s="20"/>
      <c r="T577" s="20"/>
      <c r="U577" s="20"/>
      <c r="AH577" s="20"/>
      <c r="AI577" s="20"/>
      <c r="AJ577" s="20"/>
      <c r="AK577" s="20"/>
      <c r="AL577" s="20"/>
      <c r="AM577" s="20"/>
      <c r="AN577" s="20"/>
      <c r="AO577" s="20"/>
    </row>
    <row r="578" spans="14:41" s="19" customFormat="1" ht="18.45">
      <c r="N578" s="20"/>
      <c r="O578" s="20"/>
      <c r="P578" s="20"/>
      <c r="Q578" s="20"/>
      <c r="R578" s="20"/>
      <c r="S578" s="20"/>
      <c r="T578" s="20"/>
      <c r="U578" s="20"/>
      <c r="AH578" s="20"/>
      <c r="AI578" s="20"/>
      <c r="AJ578" s="20"/>
      <c r="AK578" s="20"/>
      <c r="AL578" s="20"/>
      <c r="AM578" s="20"/>
      <c r="AN578" s="20"/>
      <c r="AO578" s="20"/>
    </row>
    <row r="579" spans="14:41" s="19" customFormat="1" ht="18.45">
      <c r="N579" s="20"/>
      <c r="O579" s="20"/>
      <c r="P579" s="20"/>
      <c r="Q579" s="20"/>
      <c r="R579" s="20"/>
      <c r="S579" s="20"/>
      <c r="T579" s="20"/>
      <c r="U579" s="20"/>
      <c r="AH579" s="20"/>
      <c r="AI579" s="20"/>
      <c r="AJ579" s="20"/>
      <c r="AK579" s="20"/>
      <c r="AL579" s="20"/>
      <c r="AM579" s="20"/>
      <c r="AN579" s="20"/>
      <c r="AO579" s="20"/>
    </row>
    <row r="580" spans="14:41" s="19" customFormat="1" ht="18.45">
      <c r="N580" s="20"/>
      <c r="O580" s="20"/>
      <c r="P580" s="20"/>
      <c r="Q580" s="20"/>
      <c r="R580" s="20"/>
      <c r="S580" s="20"/>
      <c r="T580" s="20"/>
      <c r="U580" s="20"/>
      <c r="AH580" s="20"/>
      <c r="AI580" s="20"/>
      <c r="AJ580" s="20"/>
      <c r="AK580" s="20"/>
      <c r="AL580" s="20"/>
      <c r="AM580" s="20"/>
      <c r="AN580" s="20"/>
      <c r="AO580" s="20"/>
    </row>
    <row r="581" spans="14:41" s="19" customFormat="1" ht="18.45">
      <c r="N581" s="20"/>
      <c r="O581" s="20"/>
      <c r="P581" s="20"/>
      <c r="Q581" s="20"/>
      <c r="R581" s="20"/>
      <c r="S581" s="20"/>
      <c r="T581" s="20"/>
      <c r="U581" s="20"/>
      <c r="AH581" s="20"/>
      <c r="AI581" s="20"/>
      <c r="AJ581" s="20"/>
      <c r="AK581" s="20"/>
      <c r="AL581" s="20"/>
      <c r="AM581" s="20"/>
      <c r="AN581" s="20"/>
      <c r="AO581" s="20"/>
    </row>
    <row r="582" spans="14:41" s="19" customFormat="1" ht="18.45">
      <c r="N582" s="20"/>
      <c r="O582" s="20"/>
      <c r="P582" s="20"/>
      <c r="Q582" s="20"/>
      <c r="R582" s="20"/>
      <c r="S582" s="20"/>
      <c r="T582" s="20"/>
      <c r="U582" s="20"/>
      <c r="AH582" s="20"/>
      <c r="AI582" s="20"/>
      <c r="AJ582" s="20"/>
      <c r="AK582" s="20"/>
      <c r="AL582" s="20"/>
      <c r="AM582" s="20"/>
      <c r="AN582" s="20"/>
      <c r="AO582" s="20"/>
    </row>
    <row r="583" spans="14:41" s="19" customFormat="1" ht="18.45">
      <c r="N583" s="20"/>
      <c r="O583" s="20"/>
      <c r="P583" s="20"/>
      <c r="Q583" s="20"/>
      <c r="R583" s="20"/>
      <c r="S583" s="20"/>
      <c r="T583" s="20"/>
      <c r="U583" s="20"/>
      <c r="AH583" s="20"/>
      <c r="AI583" s="20"/>
      <c r="AJ583" s="20"/>
      <c r="AK583" s="20"/>
      <c r="AL583" s="20"/>
      <c r="AM583" s="20"/>
      <c r="AN583" s="20"/>
      <c r="AO583" s="20"/>
    </row>
    <row r="584" spans="14:41" s="19" customFormat="1" ht="18.45">
      <c r="N584" s="20"/>
      <c r="O584" s="20"/>
      <c r="P584" s="20"/>
      <c r="Q584" s="20"/>
      <c r="R584" s="20"/>
      <c r="S584" s="20"/>
      <c r="T584" s="20"/>
      <c r="U584" s="20"/>
      <c r="AH584" s="20"/>
      <c r="AI584" s="20"/>
      <c r="AJ584" s="20"/>
      <c r="AK584" s="20"/>
      <c r="AL584" s="20"/>
      <c r="AM584" s="20"/>
      <c r="AN584" s="20"/>
      <c r="AO584" s="20"/>
    </row>
    <row r="585" spans="14:41" s="19" customFormat="1" ht="18.45">
      <c r="N585" s="20"/>
      <c r="O585" s="20"/>
      <c r="P585" s="20"/>
      <c r="Q585" s="20"/>
      <c r="R585" s="20"/>
      <c r="S585" s="20"/>
      <c r="T585" s="20"/>
      <c r="U585" s="20"/>
      <c r="AH585" s="20"/>
      <c r="AI585" s="20"/>
      <c r="AJ585" s="20"/>
      <c r="AK585" s="20"/>
      <c r="AL585" s="20"/>
      <c r="AM585" s="20"/>
      <c r="AN585" s="20"/>
      <c r="AO585" s="20"/>
    </row>
    <row r="586" spans="14:41" s="19" customFormat="1" ht="18.45">
      <c r="N586" s="20"/>
      <c r="O586" s="20"/>
      <c r="P586" s="20"/>
      <c r="Q586" s="20"/>
      <c r="R586" s="20"/>
      <c r="S586" s="20"/>
      <c r="T586" s="20"/>
      <c r="U586" s="20"/>
      <c r="AH586" s="20"/>
      <c r="AI586" s="20"/>
      <c r="AJ586" s="20"/>
      <c r="AK586" s="20"/>
      <c r="AL586" s="20"/>
      <c r="AM586" s="20"/>
      <c r="AN586" s="20"/>
      <c r="AO586" s="20"/>
    </row>
    <row r="587" spans="14:41" s="19" customFormat="1" ht="18.45">
      <c r="N587" s="20"/>
      <c r="O587" s="20"/>
      <c r="P587" s="20"/>
      <c r="Q587" s="20"/>
      <c r="R587" s="20"/>
      <c r="S587" s="20"/>
      <c r="T587" s="20"/>
      <c r="U587" s="20"/>
      <c r="AH587" s="20"/>
      <c r="AI587" s="20"/>
      <c r="AJ587" s="20"/>
      <c r="AK587" s="20"/>
      <c r="AL587" s="20"/>
      <c r="AM587" s="20"/>
      <c r="AN587" s="20"/>
      <c r="AO587" s="20"/>
    </row>
    <row r="588" spans="14:41" s="19" customFormat="1" ht="18.45">
      <c r="N588" s="20"/>
      <c r="O588" s="20"/>
      <c r="P588" s="20"/>
      <c r="Q588" s="20"/>
      <c r="R588" s="20"/>
      <c r="S588" s="20"/>
      <c r="T588" s="20"/>
      <c r="U588" s="20"/>
      <c r="AH588" s="20"/>
      <c r="AI588" s="20"/>
      <c r="AJ588" s="20"/>
      <c r="AK588" s="20"/>
      <c r="AL588" s="20"/>
      <c r="AM588" s="20"/>
      <c r="AN588" s="20"/>
      <c r="AO588" s="20"/>
    </row>
    <row r="589" spans="14:41" s="19" customFormat="1" ht="18.45">
      <c r="N589" s="20"/>
      <c r="O589" s="20"/>
      <c r="P589" s="20"/>
      <c r="Q589" s="20"/>
      <c r="R589" s="20"/>
      <c r="S589" s="20"/>
      <c r="T589" s="20"/>
      <c r="U589" s="20"/>
      <c r="AH589" s="20"/>
      <c r="AI589" s="20"/>
      <c r="AJ589" s="20"/>
      <c r="AK589" s="20"/>
      <c r="AL589" s="20"/>
      <c r="AM589" s="20"/>
      <c r="AN589" s="20"/>
      <c r="AO589" s="20"/>
    </row>
    <row r="590" spans="14:41" s="19" customFormat="1" ht="18.45">
      <c r="N590" s="20"/>
      <c r="O590" s="20"/>
      <c r="P590" s="20"/>
      <c r="Q590" s="20"/>
      <c r="R590" s="20"/>
      <c r="S590" s="20"/>
      <c r="T590" s="20"/>
      <c r="U590" s="20"/>
      <c r="AH590" s="20"/>
      <c r="AI590" s="20"/>
      <c r="AJ590" s="20"/>
      <c r="AK590" s="20"/>
      <c r="AL590" s="20"/>
      <c r="AM590" s="20"/>
      <c r="AN590" s="20"/>
      <c r="AO590" s="20"/>
    </row>
    <row r="591" spans="14:41" s="19" customFormat="1" ht="18.45">
      <c r="N591" s="20"/>
      <c r="O591" s="20"/>
      <c r="P591" s="20"/>
      <c r="Q591" s="20"/>
      <c r="R591" s="20"/>
      <c r="S591" s="20"/>
      <c r="T591" s="20"/>
      <c r="U591" s="20"/>
      <c r="AH591" s="20"/>
      <c r="AI591" s="20"/>
      <c r="AJ591" s="20"/>
      <c r="AK591" s="20"/>
      <c r="AL591" s="20"/>
      <c r="AM591" s="20"/>
      <c r="AN591" s="20"/>
      <c r="AO591" s="20"/>
    </row>
    <row r="592" spans="14:41" s="19" customFormat="1" ht="18.45">
      <c r="N592" s="20"/>
      <c r="O592" s="20"/>
      <c r="P592" s="20"/>
      <c r="Q592" s="20"/>
      <c r="R592" s="20"/>
      <c r="S592" s="20"/>
      <c r="T592" s="20"/>
      <c r="U592" s="20"/>
      <c r="AH592" s="20"/>
      <c r="AI592" s="20"/>
      <c r="AJ592" s="20"/>
      <c r="AK592" s="20"/>
      <c r="AL592" s="20"/>
      <c r="AM592" s="20"/>
      <c r="AN592" s="20"/>
      <c r="AO592" s="20"/>
    </row>
    <row r="593" spans="14:41" s="19" customFormat="1" ht="18.45">
      <c r="N593" s="20"/>
      <c r="O593" s="20"/>
      <c r="P593" s="20"/>
      <c r="Q593" s="20"/>
      <c r="R593" s="20"/>
      <c r="S593" s="20"/>
      <c r="T593" s="20"/>
      <c r="U593" s="20"/>
      <c r="AH593" s="20"/>
      <c r="AI593" s="20"/>
      <c r="AJ593" s="20"/>
      <c r="AK593" s="20"/>
      <c r="AL593" s="20"/>
      <c r="AM593" s="20"/>
      <c r="AN593" s="20"/>
      <c r="AO593" s="20"/>
    </row>
    <row r="594" spans="14:41" s="19" customFormat="1" ht="18.45">
      <c r="N594" s="20"/>
      <c r="O594" s="20"/>
      <c r="P594" s="20"/>
      <c r="Q594" s="20"/>
      <c r="R594" s="20"/>
      <c r="S594" s="20"/>
      <c r="T594" s="20"/>
      <c r="U594" s="20"/>
      <c r="AH594" s="20"/>
      <c r="AI594" s="20"/>
      <c r="AJ594" s="20"/>
      <c r="AK594" s="20"/>
      <c r="AL594" s="20"/>
      <c r="AM594" s="20"/>
      <c r="AN594" s="20"/>
      <c r="AO594" s="20"/>
    </row>
    <row r="595" spans="14:41" s="19" customFormat="1" ht="18.45">
      <c r="N595" s="20"/>
      <c r="O595" s="20"/>
      <c r="P595" s="20"/>
      <c r="Q595" s="20"/>
      <c r="R595" s="20"/>
      <c r="S595" s="20"/>
      <c r="T595" s="20"/>
      <c r="U595" s="20"/>
      <c r="AH595" s="20"/>
      <c r="AI595" s="20"/>
      <c r="AJ595" s="20"/>
      <c r="AK595" s="20"/>
      <c r="AL595" s="20"/>
      <c r="AM595" s="20"/>
      <c r="AN595" s="20"/>
      <c r="AO595" s="20"/>
    </row>
    <row r="596" spans="14:41" s="19" customFormat="1" ht="18.45">
      <c r="N596" s="20"/>
      <c r="O596" s="20"/>
      <c r="P596" s="20"/>
      <c r="Q596" s="20"/>
      <c r="R596" s="20"/>
      <c r="S596" s="20"/>
      <c r="T596" s="20"/>
      <c r="U596" s="20"/>
      <c r="AH596" s="20"/>
      <c r="AI596" s="20"/>
      <c r="AJ596" s="20"/>
      <c r="AK596" s="20"/>
      <c r="AL596" s="20"/>
      <c r="AM596" s="20"/>
      <c r="AN596" s="20"/>
      <c r="AO596" s="20"/>
    </row>
    <row r="597" spans="14:41" s="19" customFormat="1" ht="18.45">
      <c r="N597" s="20"/>
      <c r="O597" s="20"/>
      <c r="P597" s="20"/>
      <c r="Q597" s="20"/>
      <c r="R597" s="20"/>
      <c r="S597" s="20"/>
      <c r="T597" s="20"/>
      <c r="U597" s="20"/>
      <c r="AH597" s="20"/>
      <c r="AI597" s="20"/>
      <c r="AJ597" s="20"/>
      <c r="AK597" s="20"/>
      <c r="AL597" s="20"/>
      <c r="AM597" s="20"/>
      <c r="AN597" s="20"/>
      <c r="AO597" s="20"/>
    </row>
    <row r="598" spans="14:41" s="19" customFormat="1" ht="18.45">
      <c r="N598" s="20"/>
      <c r="O598" s="20"/>
      <c r="P598" s="20"/>
      <c r="Q598" s="20"/>
      <c r="R598" s="20"/>
      <c r="S598" s="20"/>
      <c r="T598" s="20"/>
      <c r="U598" s="20"/>
      <c r="AH598" s="20"/>
      <c r="AI598" s="20"/>
      <c r="AJ598" s="20"/>
      <c r="AK598" s="20"/>
      <c r="AL598" s="20"/>
      <c r="AM598" s="20"/>
      <c r="AN598" s="20"/>
      <c r="AO598" s="20"/>
    </row>
    <row r="599" spans="14:41" s="19" customFormat="1" ht="18.45">
      <c r="N599" s="20"/>
      <c r="O599" s="20"/>
      <c r="P599" s="20"/>
      <c r="Q599" s="20"/>
      <c r="R599" s="20"/>
      <c r="S599" s="20"/>
      <c r="T599" s="20"/>
      <c r="U599" s="20"/>
      <c r="AH599" s="20"/>
      <c r="AI599" s="20"/>
      <c r="AJ599" s="20"/>
      <c r="AK599" s="20"/>
      <c r="AL599" s="20"/>
      <c r="AM599" s="20"/>
      <c r="AN599" s="20"/>
      <c r="AO599" s="20"/>
    </row>
    <row r="600" spans="14:41" s="19" customFormat="1" ht="18.45">
      <c r="N600" s="20"/>
      <c r="O600" s="20"/>
      <c r="P600" s="20"/>
      <c r="Q600" s="20"/>
      <c r="R600" s="20"/>
      <c r="S600" s="20"/>
      <c r="T600" s="20"/>
      <c r="U600" s="20"/>
      <c r="AH600" s="20"/>
      <c r="AI600" s="20"/>
      <c r="AJ600" s="20"/>
      <c r="AK600" s="20"/>
      <c r="AL600" s="20"/>
      <c r="AM600" s="20"/>
      <c r="AN600" s="20"/>
      <c r="AO600" s="20"/>
    </row>
    <row r="601" spans="14:41" s="19" customFormat="1" ht="18.45">
      <c r="N601" s="20"/>
      <c r="O601" s="20"/>
      <c r="P601" s="20"/>
      <c r="Q601" s="20"/>
      <c r="R601" s="20"/>
      <c r="S601" s="20"/>
      <c r="T601" s="20"/>
      <c r="U601" s="20"/>
      <c r="AH601" s="20"/>
      <c r="AI601" s="20"/>
      <c r="AJ601" s="20"/>
      <c r="AK601" s="20"/>
      <c r="AL601" s="20"/>
      <c r="AM601" s="20"/>
      <c r="AN601" s="20"/>
      <c r="AO601" s="20"/>
    </row>
    <row r="602" spans="14:41" s="19" customFormat="1" ht="18.45">
      <c r="N602" s="20"/>
      <c r="O602" s="20"/>
      <c r="P602" s="20"/>
      <c r="Q602" s="20"/>
      <c r="R602" s="20"/>
      <c r="S602" s="20"/>
      <c r="T602" s="20"/>
      <c r="U602" s="20"/>
      <c r="AH602" s="20"/>
      <c r="AI602" s="20"/>
      <c r="AJ602" s="20"/>
      <c r="AK602" s="20"/>
      <c r="AL602" s="20"/>
      <c r="AM602" s="20"/>
      <c r="AN602" s="20"/>
      <c r="AO602" s="20"/>
    </row>
    <row r="603" spans="14:41" s="19" customFormat="1" ht="18.45">
      <c r="N603" s="20"/>
      <c r="O603" s="20"/>
      <c r="P603" s="20"/>
      <c r="Q603" s="20"/>
      <c r="R603" s="20"/>
      <c r="S603" s="20"/>
      <c r="T603" s="20"/>
      <c r="U603" s="20"/>
      <c r="AH603" s="20"/>
      <c r="AI603" s="20"/>
      <c r="AJ603" s="20"/>
      <c r="AK603" s="20"/>
      <c r="AL603" s="20"/>
      <c r="AM603" s="20"/>
      <c r="AN603" s="20"/>
      <c r="AO603" s="20"/>
    </row>
    <row r="604" spans="14:41" s="19" customFormat="1" ht="18.45">
      <c r="N604" s="20"/>
      <c r="O604" s="20"/>
      <c r="P604" s="20"/>
      <c r="Q604" s="20"/>
      <c r="R604" s="20"/>
      <c r="S604" s="20"/>
      <c r="T604" s="20"/>
      <c r="U604" s="20"/>
      <c r="AH604" s="20"/>
      <c r="AI604" s="20"/>
      <c r="AJ604" s="20"/>
      <c r="AK604" s="20"/>
      <c r="AL604" s="20"/>
      <c r="AM604" s="20"/>
      <c r="AN604" s="20"/>
      <c r="AO604" s="20"/>
    </row>
    <row r="605" spans="14:41" s="19" customFormat="1" ht="18.45">
      <c r="N605" s="20"/>
      <c r="O605" s="20"/>
      <c r="P605" s="20"/>
      <c r="Q605" s="20"/>
      <c r="R605" s="20"/>
      <c r="S605" s="20"/>
      <c r="T605" s="20"/>
      <c r="U605" s="20"/>
      <c r="AH605" s="20"/>
      <c r="AI605" s="20"/>
      <c r="AJ605" s="20"/>
      <c r="AK605" s="20"/>
      <c r="AL605" s="20"/>
      <c r="AM605" s="20"/>
      <c r="AN605" s="20"/>
      <c r="AO605" s="20"/>
    </row>
    <row r="606" spans="14:41" s="19" customFormat="1" ht="18.45">
      <c r="N606" s="20"/>
      <c r="O606" s="20"/>
      <c r="P606" s="20"/>
      <c r="Q606" s="20"/>
      <c r="R606" s="20"/>
      <c r="S606" s="20"/>
      <c r="T606" s="20"/>
      <c r="U606" s="20"/>
      <c r="AH606" s="20"/>
      <c r="AI606" s="20"/>
      <c r="AJ606" s="20"/>
      <c r="AK606" s="20"/>
      <c r="AL606" s="20"/>
      <c r="AM606" s="20"/>
      <c r="AN606" s="20"/>
      <c r="AO606" s="20"/>
    </row>
    <row r="607" spans="14:41" s="19" customFormat="1" ht="18.45">
      <c r="N607" s="20"/>
      <c r="O607" s="20"/>
      <c r="P607" s="20"/>
      <c r="Q607" s="20"/>
      <c r="R607" s="20"/>
      <c r="S607" s="20"/>
      <c r="T607" s="20"/>
      <c r="U607" s="20"/>
      <c r="AH607" s="20"/>
      <c r="AI607" s="20"/>
      <c r="AJ607" s="20"/>
      <c r="AK607" s="20"/>
      <c r="AL607" s="20"/>
      <c r="AM607" s="20"/>
      <c r="AN607" s="20"/>
      <c r="AO607" s="20"/>
    </row>
    <row r="608" spans="14:41" s="19" customFormat="1" ht="18.45">
      <c r="N608" s="20"/>
      <c r="O608" s="20"/>
      <c r="P608" s="20"/>
      <c r="Q608" s="20"/>
      <c r="R608" s="20"/>
      <c r="S608" s="20"/>
      <c r="T608" s="20"/>
      <c r="U608" s="20"/>
      <c r="AH608" s="20"/>
      <c r="AI608" s="20"/>
      <c r="AJ608" s="20"/>
      <c r="AK608" s="20"/>
      <c r="AL608" s="20"/>
      <c r="AM608" s="20"/>
      <c r="AN608" s="20"/>
      <c r="AO608" s="20"/>
    </row>
    <row r="609" spans="14:41" s="19" customFormat="1" ht="18.45">
      <c r="N609" s="20"/>
      <c r="O609" s="20"/>
      <c r="P609" s="20"/>
      <c r="Q609" s="20"/>
      <c r="R609" s="20"/>
      <c r="S609" s="20"/>
      <c r="T609" s="20"/>
      <c r="U609" s="20"/>
      <c r="AH609" s="20"/>
      <c r="AI609" s="20"/>
      <c r="AJ609" s="20"/>
      <c r="AK609" s="20"/>
      <c r="AL609" s="20"/>
      <c r="AM609" s="20"/>
      <c r="AN609" s="20"/>
      <c r="AO609" s="20"/>
    </row>
    <row r="610" spans="14:41" s="19" customFormat="1" ht="18.45">
      <c r="N610" s="20"/>
      <c r="O610" s="20"/>
      <c r="P610" s="20"/>
      <c r="Q610" s="20"/>
      <c r="R610" s="20"/>
      <c r="S610" s="20"/>
      <c r="T610" s="20"/>
      <c r="U610" s="20"/>
      <c r="AH610" s="20"/>
      <c r="AI610" s="20"/>
      <c r="AJ610" s="20"/>
      <c r="AK610" s="20"/>
      <c r="AL610" s="20"/>
      <c r="AM610" s="20"/>
      <c r="AN610" s="20"/>
      <c r="AO610" s="20"/>
    </row>
    <row r="611" spans="14:41" s="19" customFormat="1" ht="18.45">
      <c r="N611" s="20"/>
      <c r="O611" s="20"/>
      <c r="P611" s="20"/>
      <c r="Q611" s="20"/>
      <c r="R611" s="20"/>
      <c r="S611" s="20"/>
      <c r="T611" s="20"/>
      <c r="U611" s="20"/>
      <c r="AH611" s="20"/>
      <c r="AI611" s="20"/>
      <c r="AJ611" s="20"/>
      <c r="AK611" s="20"/>
      <c r="AL611" s="20"/>
      <c r="AM611" s="20"/>
      <c r="AN611" s="20"/>
      <c r="AO611" s="20"/>
    </row>
    <row r="612" spans="14:41" s="19" customFormat="1" ht="18.45">
      <c r="N612" s="20"/>
      <c r="O612" s="20"/>
      <c r="P612" s="20"/>
      <c r="Q612" s="20"/>
      <c r="R612" s="20"/>
      <c r="S612" s="20"/>
      <c r="T612" s="20"/>
      <c r="U612" s="20"/>
      <c r="AH612" s="20"/>
      <c r="AI612" s="20"/>
      <c r="AJ612" s="20"/>
      <c r="AK612" s="20"/>
      <c r="AL612" s="20"/>
      <c r="AM612" s="20"/>
      <c r="AN612" s="20"/>
      <c r="AO612" s="20"/>
    </row>
    <row r="613" spans="14:41" s="19" customFormat="1" ht="18.45">
      <c r="N613" s="20"/>
      <c r="O613" s="20"/>
      <c r="P613" s="20"/>
      <c r="Q613" s="20"/>
      <c r="R613" s="20"/>
      <c r="S613" s="20"/>
      <c r="T613" s="20"/>
      <c r="U613" s="20"/>
      <c r="AH613" s="20"/>
      <c r="AI613" s="20"/>
      <c r="AJ613" s="20"/>
      <c r="AK613" s="20"/>
      <c r="AL613" s="20"/>
      <c r="AM613" s="20"/>
      <c r="AN613" s="20"/>
      <c r="AO613" s="20"/>
    </row>
    <row r="614" spans="14:41" s="19" customFormat="1" ht="18.45">
      <c r="N614" s="20"/>
      <c r="O614" s="20"/>
      <c r="P614" s="20"/>
      <c r="Q614" s="20"/>
      <c r="R614" s="20"/>
      <c r="S614" s="20"/>
      <c r="T614" s="20"/>
      <c r="U614" s="20"/>
      <c r="AH614" s="20"/>
      <c r="AI614" s="20"/>
      <c r="AJ614" s="20"/>
      <c r="AK614" s="20"/>
      <c r="AL614" s="20"/>
      <c r="AM614" s="20"/>
      <c r="AN614" s="20"/>
      <c r="AO614" s="20"/>
    </row>
    <row r="615" spans="14:41" s="19" customFormat="1" ht="18.45">
      <c r="N615" s="20"/>
      <c r="O615" s="20"/>
      <c r="P615" s="20"/>
      <c r="Q615" s="20"/>
      <c r="R615" s="20"/>
      <c r="S615" s="20"/>
      <c r="T615" s="20"/>
      <c r="U615" s="20"/>
      <c r="AH615" s="20"/>
      <c r="AI615" s="20"/>
      <c r="AJ615" s="20"/>
      <c r="AK615" s="20"/>
      <c r="AL615" s="20"/>
      <c r="AM615" s="20"/>
      <c r="AN615" s="20"/>
      <c r="AO615" s="20"/>
    </row>
    <row r="616" spans="14:41" s="19" customFormat="1" ht="18.45">
      <c r="N616" s="20"/>
      <c r="O616" s="20"/>
      <c r="P616" s="20"/>
      <c r="Q616" s="20"/>
      <c r="R616" s="20"/>
      <c r="S616" s="20"/>
      <c r="T616" s="20"/>
      <c r="U616" s="20"/>
      <c r="AH616" s="20"/>
      <c r="AI616" s="20"/>
      <c r="AJ616" s="20"/>
      <c r="AK616" s="20"/>
      <c r="AL616" s="20"/>
      <c r="AM616" s="20"/>
      <c r="AN616" s="20"/>
      <c r="AO616" s="20"/>
    </row>
    <row r="617" spans="14:41" s="19" customFormat="1" ht="18.45">
      <c r="N617" s="20"/>
      <c r="O617" s="20"/>
      <c r="P617" s="20"/>
      <c r="Q617" s="20"/>
      <c r="R617" s="20"/>
      <c r="S617" s="20"/>
      <c r="T617" s="20"/>
      <c r="U617" s="20"/>
      <c r="AH617" s="20"/>
      <c r="AI617" s="20"/>
      <c r="AJ617" s="20"/>
      <c r="AK617" s="20"/>
      <c r="AL617" s="20"/>
      <c r="AM617" s="20"/>
      <c r="AN617" s="20"/>
      <c r="AO617" s="20"/>
    </row>
    <row r="618" spans="14:41" s="19" customFormat="1" ht="18.45">
      <c r="N618" s="20"/>
      <c r="O618" s="20"/>
      <c r="P618" s="20"/>
      <c r="Q618" s="20"/>
      <c r="R618" s="20"/>
      <c r="S618" s="20"/>
      <c r="T618" s="20"/>
      <c r="U618" s="20"/>
      <c r="AH618" s="20"/>
      <c r="AI618" s="20"/>
      <c r="AJ618" s="20"/>
      <c r="AK618" s="20"/>
      <c r="AL618" s="20"/>
      <c r="AM618" s="20"/>
      <c r="AN618" s="20"/>
      <c r="AO618" s="20"/>
    </row>
    <row r="619" spans="14:41" s="19" customFormat="1" ht="18.45">
      <c r="N619" s="20"/>
      <c r="O619" s="20"/>
      <c r="P619" s="20"/>
      <c r="Q619" s="20"/>
      <c r="R619" s="20"/>
      <c r="S619" s="20"/>
      <c r="T619" s="20"/>
      <c r="U619" s="20"/>
      <c r="AH619" s="20"/>
      <c r="AI619" s="20"/>
      <c r="AJ619" s="20"/>
      <c r="AK619" s="20"/>
      <c r="AL619" s="20"/>
      <c r="AM619" s="20"/>
      <c r="AN619" s="20"/>
      <c r="AO619" s="20"/>
    </row>
    <row r="620" spans="14:41" s="19" customFormat="1" ht="18.45">
      <c r="N620" s="20"/>
      <c r="O620" s="20"/>
      <c r="P620" s="20"/>
      <c r="Q620" s="20"/>
      <c r="R620" s="20"/>
      <c r="S620" s="20"/>
      <c r="T620" s="20"/>
      <c r="U620" s="20"/>
      <c r="AH620" s="20"/>
      <c r="AI620" s="20"/>
      <c r="AJ620" s="20"/>
      <c r="AK620" s="20"/>
      <c r="AL620" s="20"/>
      <c r="AM620" s="20"/>
      <c r="AN620" s="20"/>
      <c r="AO620" s="20"/>
    </row>
    <row r="621" spans="14:41" s="19" customFormat="1" ht="18.45">
      <c r="N621" s="20"/>
      <c r="O621" s="20"/>
      <c r="P621" s="20"/>
      <c r="Q621" s="20"/>
      <c r="R621" s="20"/>
      <c r="S621" s="20"/>
      <c r="T621" s="20"/>
      <c r="U621" s="20"/>
      <c r="AH621" s="20"/>
      <c r="AI621" s="20"/>
      <c r="AJ621" s="20"/>
      <c r="AK621" s="20"/>
      <c r="AL621" s="20"/>
      <c r="AM621" s="20"/>
      <c r="AN621" s="20"/>
      <c r="AO621" s="20"/>
    </row>
    <row r="622" spans="14:41" s="19" customFormat="1" ht="18.45">
      <c r="N622" s="20"/>
      <c r="O622" s="20"/>
      <c r="P622" s="20"/>
      <c r="Q622" s="20"/>
      <c r="R622" s="20"/>
      <c r="S622" s="20"/>
      <c r="T622" s="20"/>
      <c r="U622" s="20"/>
      <c r="AH622" s="20"/>
      <c r="AI622" s="20"/>
      <c r="AJ622" s="20"/>
      <c r="AK622" s="20"/>
      <c r="AL622" s="20"/>
      <c r="AM622" s="20"/>
      <c r="AN622" s="20"/>
      <c r="AO622" s="20"/>
    </row>
    <row r="623" spans="14:41" s="19" customFormat="1" ht="18.45">
      <c r="N623" s="20"/>
      <c r="O623" s="20"/>
      <c r="P623" s="20"/>
      <c r="Q623" s="20"/>
      <c r="R623" s="20"/>
      <c r="S623" s="20"/>
      <c r="T623" s="20"/>
      <c r="U623" s="20"/>
      <c r="AH623" s="20"/>
      <c r="AI623" s="20"/>
      <c r="AJ623" s="20"/>
      <c r="AK623" s="20"/>
      <c r="AL623" s="20"/>
      <c r="AM623" s="20"/>
      <c r="AN623" s="20"/>
      <c r="AO623" s="20"/>
    </row>
    <row r="624" spans="14:41" s="19" customFormat="1" ht="18.45">
      <c r="N624" s="20"/>
      <c r="O624" s="20"/>
      <c r="P624" s="20"/>
      <c r="Q624" s="20"/>
      <c r="R624" s="20"/>
      <c r="S624" s="20"/>
      <c r="T624" s="20"/>
      <c r="U624" s="20"/>
      <c r="AH624" s="20"/>
      <c r="AI624" s="20"/>
      <c r="AJ624" s="20"/>
      <c r="AK624" s="20"/>
      <c r="AL624" s="20"/>
      <c r="AM624" s="20"/>
      <c r="AN624" s="20"/>
      <c r="AO624" s="20"/>
    </row>
    <row r="625" spans="14:41" s="19" customFormat="1" ht="18.45">
      <c r="N625" s="20"/>
      <c r="O625" s="20"/>
      <c r="P625" s="20"/>
      <c r="Q625" s="20"/>
      <c r="R625" s="20"/>
      <c r="S625" s="20"/>
      <c r="T625" s="20"/>
      <c r="U625" s="20"/>
      <c r="AH625" s="20"/>
      <c r="AI625" s="20"/>
      <c r="AJ625" s="20"/>
      <c r="AK625" s="20"/>
      <c r="AL625" s="20"/>
      <c r="AM625" s="20"/>
      <c r="AN625" s="20"/>
      <c r="AO625" s="20"/>
    </row>
    <row r="626" spans="14:41" s="19" customFormat="1" ht="18.45">
      <c r="N626" s="20"/>
      <c r="O626" s="20"/>
      <c r="P626" s="20"/>
      <c r="Q626" s="20"/>
      <c r="R626" s="20"/>
      <c r="S626" s="20"/>
      <c r="T626" s="20"/>
      <c r="U626" s="20"/>
      <c r="AH626" s="20"/>
      <c r="AI626" s="20"/>
      <c r="AJ626" s="20"/>
      <c r="AK626" s="20"/>
      <c r="AL626" s="20"/>
      <c r="AM626" s="20"/>
      <c r="AN626" s="20"/>
      <c r="AO626" s="20"/>
    </row>
    <row r="627" spans="14:41" s="19" customFormat="1" ht="18.45">
      <c r="N627" s="20"/>
      <c r="O627" s="20"/>
      <c r="P627" s="20"/>
      <c r="Q627" s="20"/>
      <c r="R627" s="20"/>
      <c r="S627" s="20"/>
      <c r="T627" s="20"/>
      <c r="U627" s="20"/>
      <c r="AH627" s="20"/>
      <c r="AI627" s="20"/>
      <c r="AJ627" s="20"/>
      <c r="AK627" s="20"/>
      <c r="AL627" s="20"/>
      <c r="AM627" s="20"/>
      <c r="AN627" s="20"/>
      <c r="AO627" s="20"/>
    </row>
    <row r="628" spans="14:41" s="19" customFormat="1" ht="18.45">
      <c r="N628" s="20"/>
      <c r="O628" s="20"/>
      <c r="P628" s="20"/>
      <c r="Q628" s="20"/>
      <c r="R628" s="20"/>
      <c r="S628" s="20"/>
      <c r="T628" s="20"/>
      <c r="U628" s="20"/>
      <c r="AH628" s="20"/>
      <c r="AI628" s="20"/>
      <c r="AJ628" s="20"/>
      <c r="AK628" s="20"/>
      <c r="AL628" s="20"/>
      <c r="AM628" s="20"/>
      <c r="AN628" s="20"/>
      <c r="AO628" s="20"/>
    </row>
    <row r="629" spans="14:41" s="19" customFormat="1" ht="18.45">
      <c r="N629" s="20"/>
      <c r="O629" s="20"/>
      <c r="P629" s="20"/>
      <c r="Q629" s="20"/>
      <c r="R629" s="20"/>
      <c r="S629" s="20"/>
      <c r="T629" s="20"/>
      <c r="U629" s="20"/>
      <c r="AH629" s="20"/>
      <c r="AI629" s="20"/>
      <c r="AJ629" s="20"/>
      <c r="AK629" s="20"/>
      <c r="AL629" s="20"/>
      <c r="AM629" s="20"/>
      <c r="AN629" s="20"/>
      <c r="AO629" s="20"/>
    </row>
    <row r="630" spans="14:41" s="19" customFormat="1" ht="18.45">
      <c r="N630" s="20"/>
      <c r="O630" s="20"/>
      <c r="P630" s="20"/>
      <c r="Q630" s="20"/>
      <c r="R630" s="20"/>
      <c r="S630" s="20"/>
      <c r="T630" s="20"/>
      <c r="U630" s="20"/>
      <c r="AH630" s="20"/>
      <c r="AI630" s="20"/>
      <c r="AJ630" s="20"/>
      <c r="AK630" s="20"/>
      <c r="AL630" s="20"/>
      <c r="AM630" s="20"/>
      <c r="AN630" s="20"/>
      <c r="AO630" s="20"/>
    </row>
    <row r="631" spans="14:41" s="19" customFormat="1" ht="18.45">
      <c r="N631" s="20"/>
      <c r="O631" s="20"/>
      <c r="P631" s="20"/>
      <c r="Q631" s="20"/>
      <c r="R631" s="20"/>
      <c r="S631" s="20"/>
      <c r="T631" s="20"/>
      <c r="U631" s="20"/>
      <c r="AH631" s="20"/>
      <c r="AI631" s="20"/>
      <c r="AJ631" s="20"/>
      <c r="AK631" s="20"/>
      <c r="AL631" s="20"/>
      <c r="AM631" s="20"/>
      <c r="AN631" s="20"/>
      <c r="AO631" s="20"/>
    </row>
    <row r="632" spans="14:41" s="19" customFormat="1" ht="18.45">
      <c r="N632" s="20"/>
      <c r="O632" s="20"/>
      <c r="P632" s="20"/>
      <c r="Q632" s="20"/>
      <c r="R632" s="20"/>
      <c r="S632" s="20"/>
      <c r="T632" s="20"/>
      <c r="U632" s="20"/>
      <c r="AH632" s="20"/>
      <c r="AI632" s="20"/>
      <c r="AJ632" s="20"/>
      <c r="AK632" s="20"/>
      <c r="AL632" s="20"/>
      <c r="AM632" s="20"/>
      <c r="AN632" s="20"/>
      <c r="AO632" s="20"/>
    </row>
    <row r="633" spans="14:41" s="19" customFormat="1" ht="18.45">
      <c r="N633" s="20"/>
      <c r="O633" s="20"/>
      <c r="P633" s="20"/>
      <c r="Q633" s="20"/>
      <c r="R633" s="20"/>
      <c r="S633" s="20"/>
      <c r="T633" s="20"/>
      <c r="U633" s="20"/>
      <c r="AH633" s="20"/>
      <c r="AI633" s="20"/>
      <c r="AJ633" s="20"/>
      <c r="AK633" s="20"/>
      <c r="AL633" s="20"/>
      <c r="AM633" s="20"/>
      <c r="AN633" s="20"/>
      <c r="AO633" s="20"/>
    </row>
    <row r="634" spans="14:41" s="19" customFormat="1" ht="18.45">
      <c r="N634" s="20"/>
      <c r="O634" s="20"/>
      <c r="P634" s="20"/>
      <c r="Q634" s="20"/>
      <c r="R634" s="20"/>
      <c r="S634" s="20"/>
      <c r="T634" s="20"/>
      <c r="U634" s="20"/>
      <c r="AH634" s="20"/>
      <c r="AI634" s="20"/>
      <c r="AJ634" s="20"/>
      <c r="AK634" s="20"/>
      <c r="AL634" s="20"/>
      <c r="AM634" s="20"/>
      <c r="AN634" s="20"/>
      <c r="AO634" s="20"/>
    </row>
    <row r="635" spans="14:41" s="19" customFormat="1" ht="18.45">
      <c r="N635" s="20"/>
      <c r="O635" s="20"/>
      <c r="P635" s="20"/>
      <c r="Q635" s="20"/>
      <c r="R635" s="20"/>
      <c r="S635" s="20"/>
      <c r="T635" s="20"/>
      <c r="U635" s="20"/>
      <c r="AH635" s="20"/>
      <c r="AI635" s="20"/>
      <c r="AJ635" s="20"/>
      <c r="AK635" s="20"/>
      <c r="AL635" s="20"/>
      <c r="AM635" s="20"/>
      <c r="AN635" s="20"/>
      <c r="AO635" s="20"/>
    </row>
    <row r="636" spans="14:41" s="19" customFormat="1" ht="18.45">
      <c r="N636" s="20"/>
      <c r="O636" s="20"/>
      <c r="P636" s="20"/>
      <c r="Q636" s="20"/>
      <c r="R636" s="20"/>
      <c r="S636" s="20"/>
      <c r="T636" s="20"/>
      <c r="U636" s="20"/>
      <c r="AH636" s="20"/>
      <c r="AI636" s="20"/>
      <c r="AJ636" s="20"/>
      <c r="AK636" s="20"/>
      <c r="AL636" s="20"/>
      <c r="AM636" s="20"/>
      <c r="AN636" s="20"/>
      <c r="AO636" s="20"/>
    </row>
    <row r="637" spans="14:41" s="19" customFormat="1" ht="18.45">
      <c r="N637" s="20"/>
      <c r="O637" s="20"/>
      <c r="P637" s="20"/>
      <c r="Q637" s="20"/>
      <c r="R637" s="20"/>
      <c r="S637" s="20"/>
      <c r="T637" s="20"/>
      <c r="U637" s="20"/>
      <c r="AH637" s="20"/>
      <c r="AI637" s="20"/>
      <c r="AJ637" s="20"/>
      <c r="AK637" s="20"/>
      <c r="AL637" s="20"/>
      <c r="AM637" s="20"/>
      <c r="AN637" s="20"/>
      <c r="AO637" s="20"/>
    </row>
    <row r="638" spans="14:41" s="19" customFormat="1" ht="18.45">
      <c r="N638" s="20"/>
      <c r="O638" s="20"/>
      <c r="P638" s="20"/>
      <c r="Q638" s="20"/>
      <c r="R638" s="20"/>
      <c r="S638" s="20"/>
      <c r="T638" s="20"/>
      <c r="U638" s="20"/>
      <c r="AH638" s="20"/>
      <c r="AI638" s="20"/>
      <c r="AJ638" s="20"/>
      <c r="AK638" s="20"/>
      <c r="AL638" s="20"/>
      <c r="AM638" s="20"/>
      <c r="AN638" s="20"/>
      <c r="AO638" s="20"/>
    </row>
    <row r="639" spans="14:41" s="19" customFormat="1" ht="18.45">
      <c r="N639" s="20"/>
      <c r="O639" s="20"/>
      <c r="P639" s="20"/>
      <c r="Q639" s="20"/>
      <c r="R639" s="20"/>
      <c r="S639" s="20"/>
      <c r="T639" s="20"/>
      <c r="U639" s="20"/>
      <c r="AH639" s="20"/>
      <c r="AI639" s="20"/>
      <c r="AJ639" s="20"/>
      <c r="AK639" s="20"/>
      <c r="AL639" s="20"/>
      <c r="AM639" s="20"/>
      <c r="AN639" s="20"/>
      <c r="AO639" s="20"/>
    </row>
    <row r="640" spans="14:41" s="19" customFormat="1" ht="18.45">
      <c r="N640" s="20"/>
      <c r="O640" s="20"/>
      <c r="P640" s="20"/>
      <c r="Q640" s="20"/>
      <c r="R640" s="20"/>
      <c r="S640" s="20"/>
      <c r="T640" s="20"/>
      <c r="U640" s="20"/>
      <c r="AH640" s="20"/>
      <c r="AI640" s="20"/>
      <c r="AJ640" s="20"/>
      <c r="AK640" s="20"/>
      <c r="AL640" s="20"/>
      <c r="AM640" s="20"/>
      <c r="AN640" s="20"/>
      <c r="AO640" s="20"/>
    </row>
    <row r="641" spans="14:41" s="19" customFormat="1" ht="18.45">
      <c r="N641" s="20"/>
      <c r="O641" s="20"/>
      <c r="P641" s="20"/>
      <c r="Q641" s="20"/>
      <c r="R641" s="20"/>
      <c r="S641" s="20"/>
      <c r="T641" s="20"/>
      <c r="U641" s="20"/>
      <c r="AH641" s="20"/>
      <c r="AI641" s="20"/>
      <c r="AJ641" s="20"/>
      <c r="AK641" s="20"/>
      <c r="AL641" s="20"/>
      <c r="AM641" s="20"/>
      <c r="AN641" s="20"/>
      <c r="AO641" s="20"/>
    </row>
    <row r="642" spans="14:41" s="19" customFormat="1" ht="18.45">
      <c r="N642" s="20"/>
      <c r="O642" s="20"/>
      <c r="P642" s="20"/>
      <c r="Q642" s="20"/>
      <c r="R642" s="20"/>
      <c r="S642" s="20"/>
      <c r="T642" s="20"/>
      <c r="U642" s="20"/>
      <c r="AH642" s="20"/>
      <c r="AI642" s="20"/>
      <c r="AJ642" s="20"/>
      <c r="AK642" s="20"/>
      <c r="AL642" s="20"/>
      <c r="AM642" s="20"/>
      <c r="AN642" s="20"/>
      <c r="AO642" s="20"/>
    </row>
    <row r="643" spans="14:41" s="19" customFormat="1" ht="18.45">
      <c r="N643" s="20"/>
      <c r="O643" s="20"/>
      <c r="P643" s="20"/>
      <c r="Q643" s="20"/>
      <c r="R643" s="20"/>
      <c r="S643" s="20"/>
      <c r="T643" s="20"/>
      <c r="U643" s="20"/>
      <c r="AH643" s="20"/>
      <c r="AI643" s="20"/>
      <c r="AJ643" s="20"/>
      <c r="AK643" s="20"/>
      <c r="AL643" s="20"/>
      <c r="AM643" s="20"/>
      <c r="AN643" s="20"/>
      <c r="AO643" s="20"/>
    </row>
    <row r="644" spans="14:41" s="19" customFormat="1" ht="18.45">
      <c r="N644" s="20"/>
      <c r="O644" s="20"/>
      <c r="P644" s="20"/>
      <c r="Q644" s="20"/>
      <c r="R644" s="20"/>
      <c r="S644" s="20"/>
      <c r="T644" s="20"/>
      <c r="U644" s="20"/>
      <c r="AH644" s="20"/>
      <c r="AI644" s="20"/>
      <c r="AJ644" s="20"/>
      <c r="AK644" s="20"/>
      <c r="AL644" s="20"/>
      <c r="AM644" s="20"/>
      <c r="AN644" s="20"/>
      <c r="AO644" s="20"/>
    </row>
    <row r="645" spans="14:41" s="19" customFormat="1" ht="18.45">
      <c r="N645" s="20"/>
      <c r="O645" s="20"/>
      <c r="P645" s="20"/>
      <c r="Q645" s="20"/>
      <c r="R645" s="20"/>
      <c r="S645" s="20"/>
      <c r="T645" s="20"/>
      <c r="U645" s="20"/>
      <c r="AH645" s="20"/>
      <c r="AI645" s="20"/>
      <c r="AJ645" s="20"/>
      <c r="AK645" s="20"/>
      <c r="AL645" s="20"/>
      <c r="AM645" s="20"/>
      <c r="AN645" s="20"/>
      <c r="AO645" s="20"/>
    </row>
    <row r="646" spans="14:41" s="19" customFormat="1" ht="18.45">
      <c r="N646" s="20"/>
      <c r="O646" s="20"/>
      <c r="P646" s="20"/>
      <c r="Q646" s="20"/>
      <c r="R646" s="20"/>
      <c r="S646" s="20"/>
      <c r="T646" s="20"/>
      <c r="U646" s="20"/>
      <c r="AH646" s="20"/>
      <c r="AI646" s="20"/>
      <c r="AJ646" s="20"/>
      <c r="AK646" s="20"/>
      <c r="AL646" s="20"/>
      <c r="AM646" s="20"/>
      <c r="AN646" s="20"/>
      <c r="AO646" s="20"/>
    </row>
    <row r="647" spans="14:41" s="19" customFormat="1" ht="18.45">
      <c r="N647" s="20"/>
      <c r="O647" s="20"/>
      <c r="P647" s="20"/>
      <c r="Q647" s="20"/>
      <c r="R647" s="20"/>
      <c r="S647" s="20"/>
      <c r="T647" s="20"/>
      <c r="U647" s="20"/>
      <c r="AH647" s="20"/>
      <c r="AI647" s="20"/>
      <c r="AJ647" s="20"/>
      <c r="AK647" s="20"/>
      <c r="AL647" s="20"/>
      <c r="AM647" s="20"/>
      <c r="AN647" s="20"/>
      <c r="AO647" s="20"/>
    </row>
    <row r="648" spans="14:41" s="19" customFormat="1" ht="18.45">
      <c r="N648" s="20"/>
      <c r="O648" s="20"/>
      <c r="P648" s="20"/>
      <c r="Q648" s="20"/>
      <c r="R648" s="20"/>
      <c r="S648" s="20"/>
      <c r="T648" s="20"/>
      <c r="U648" s="20"/>
      <c r="AH648" s="20"/>
      <c r="AI648" s="20"/>
      <c r="AJ648" s="20"/>
      <c r="AK648" s="20"/>
      <c r="AL648" s="20"/>
      <c r="AM648" s="20"/>
      <c r="AN648" s="20"/>
      <c r="AO648" s="20"/>
    </row>
    <row r="649" spans="14:41" s="19" customFormat="1" ht="18.45">
      <c r="N649" s="20"/>
      <c r="O649" s="20"/>
      <c r="P649" s="20"/>
      <c r="Q649" s="20"/>
      <c r="R649" s="20"/>
      <c r="S649" s="20"/>
      <c r="T649" s="20"/>
      <c r="U649" s="20"/>
      <c r="AH649" s="20"/>
      <c r="AI649" s="20"/>
      <c r="AJ649" s="20"/>
      <c r="AK649" s="20"/>
      <c r="AL649" s="20"/>
      <c r="AM649" s="20"/>
      <c r="AN649" s="20"/>
      <c r="AO649" s="20"/>
    </row>
    <row r="650" spans="14:41" s="19" customFormat="1" ht="18.45">
      <c r="N650" s="20"/>
      <c r="O650" s="20"/>
      <c r="P650" s="20"/>
      <c r="Q650" s="20"/>
      <c r="R650" s="20"/>
      <c r="S650" s="20"/>
      <c r="T650" s="20"/>
      <c r="U650" s="20"/>
      <c r="AH650" s="20"/>
      <c r="AI650" s="20"/>
      <c r="AJ650" s="20"/>
      <c r="AK650" s="20"/>
      <c r="AL650" s="20"/>
      <c r="AM650" s="20"/>
      <c r="AN650" s="20"/>
      <c r="AO650" s="20"/>
    </row>
    <row r="651" spans="14:41" s="19" customFormat="1" ht="18.45">
      <c r="N651" s="20"/>
      <c r="O651" s="20"/>
      <c r="P651" s="20"/>
      <c r="Q651" s="20"/>
      <c r="R651" s="20"/>
      <c r="S651" s="20"/>
      <c r="T651" s="20"/>
      <c r="U651" s="20"/>
      <c r="AH651" s="20"/>
      <c r="AI651" s="20"/>
      <c r="AJ651" s="20"/>
      <c r="AK651" s="20"/>
      <c r="AL651" s="20"/>
      <c r="AM651" s="20"/>
      <c r="AN651" s="20"/>
      <c r="AO651" s="20"/>
    </row>
    <row r="652" spans="14:41" s="19" customFormat="1" ht="18.45">
      <c r="N652" s="20"/>
      <c r="O652" s="20"/>
      <c r="P652" s="20"/>
      <c r="Q652" s="20"/>
      <c r="R652" s="20"/>
      <c r="S652" s="20"/>
      <c r="T652" s="20"/>
      <c r="U652" s="20"/>
      <c r="AH652" s="20"/>
      <c r="AI652" s="20"/>
      <c r="AJ652" s="20"/>
      <c r="AK652" s="20"/>
      <c r="AL652" s="20"/>
      <c r="AM652" s="20"/>
      <c r="AN652" s="20"/>
      <c r="AO652" s="20"/>
    </row>
    <row r="653" spans="14:41" s="19" customFormat="1" ht="18.45">
      <c r="N653" s="20"/>
      <c r="O653" s="20"/>
      <c r="P653" s="20"/>
      <c r="Q653" s="20"/>
      <c r="R653" s="20"/>
      <c r="S653" s="20"/>
      <c r="T653" s="20"/>
      <c r="U653" s="20"/>
      <c r="AH653" s="20"/>
      <c r="AI653" s="20"/>
      <c r="AJ653" s="20"/>
      <c r="AK653" s="20"/>
      <c r="AL653" s="20"/>
      <c r="AM653" s="20"/>
      <c r="AN653" s="20"/>
      <c r="AO653" s="20"/>
    </row>
    <row r="654" spans="14:41" s="19" customFormat="1" ht="18.45">
      <c r="N654" s="20"/>
      <c r="O654" s="20"/>
      <c r="P654" s="20"/>
      <c r="Q654" s="20"/>
      <c r="R654" s="20"/>
      <c r="S654" s="20"/>
      <c r="T654" s="20"/>
      <c r="U654" s="20"/>
      <c r="AH654" s="20"/>
      <c r="AI654" s="20"/>
      <c r="AJ654" s="20"/>
      <c r="AK654" s="20"/>
      <c r="AL654" s="20"/>
      <c r="AM654" s="20"/>
      <c r="AN654" s="20"/>
      <c r="AO654" s="20"/>
    </row>
    <row r="655" spans="14:41" s="19" customFormat="1" ht="18.45">
      <c r="N655" s="20"/>
      <c r="O655" s="20"/>
      <c r="P655" s="20"/>
      <c r="Q655" s="20"/>
      <c r="R655" s="20"/>
      <c r="S655" s="20"/>
      <c r="T655" s="20"/>
      <c r="U655" s="20"/>
      <c r="AH655" s="20"/>
      <c r="AI655" s="20"/>
      <c r="AJ655" s="20"/>
      <c r="AK655" s="20"/>
      <c r="AL655" s="20"/>
      <c r="AM655" s="20"/>
      <c r="AN655" s="20"/>
      <c r="AO655" s="20"/>
    </row>
    <row r="656" spans="14:41" s="19" customFormat="1" ht="18.45">
      <c r="N656" s="20"/>
      <c r="O656" s="20"/>
      <c r="P656" s="20"/>
      <c r="Q656" s="20"/>
      <c r="R656" s="20"/>
      <c r="S656" s="20"/>
      <c r="T656" s="20"/>
      <c r="U656" s="20"/>
      <c r="AH656" s="20"/>
      <c r="AI656" s="20"/>
      <c r="AJ656" s="20"/>
      <c r="AK656" s="20"/>
      <c r="AL656" s="20"/>
      <c r="AM656" s="20"/>
      <c r="AN656" s="20"/>
      <c r="AO656" s="20"/>
    </row>
    <row r="657" spans="14:41" s="19" customFormat="1" ht="18.45">
      <c r="N657" s="20"/>
      <c r="O657" s="20"/>
      <c r="P657" s="20"/>
      <c r="Q657" s="20"/>
      <c r="R657" s="20"/>
      <c r="S657" s="20"/>
      <c r="T657" s="20"/>
      <c r="U657" s="20"/>
      <c r="AH657" s="20"/>
      <c r="AI657" s="20"/>
      <c r="AJ657" s="20"/>
      <c r="AK657" s="20"/>
      <c r="AL657" s="20"/>
      <c r="AM657" s="20"/>
      <c r="AN657" s="20"/>
      <c r="AO657" s="20"/>
    </row>
    <row r="658" spans="14:41" s="19" customFormat="1" ht="18.45">
      <c r="N658" s="20"/>
      <c r="O658" s="20"/>
      <c r="P658" s="20"/>
      <c r="Q658" s="20"/>
      <c r="R658" s="20"/>
      <c r="S658" s="20"/>
      <c r="T658" s="20"/>
      <c r="U658" s="20"/>
      <c r="AH658" s="20"/>
      <c r="AI658" s="20"/>
      <c r="AJ658" s="20"/>
      <c r="AK658" s="20"/>
      <c r="AL658" s="20"/>
      <c r="AM658" s="20"/>
      <c r="AN658" s="20"/>
      <c r="AO658" s="20"/>
    </row>
    <row r="659" spans="14:41" s="19" customFormat="1" ht="18.45">
      <c r="N659" s="20"/>
      <c r="O659" s="20"/>
      <c r="P659" s="20"/>
      <c r="Q659" s="20"/>
      <c r="R659" s="20"/>
      <c r="S659" s="20"/>
      <c r="T659" s="20"/>
      <c r="U659" s="20"/>
      <c r="AH659" s="20"/>
      <c r="AI659" s="20"/>
      <c r="AJ659" s="20"/>
      <c r="AK659" s="20"/>
      <c r="AL659" s="20"/>
      <c r="AM659" s="20"/>
      <c r="AN659" s="20"/>
      <c r="AO659" s="20"/>
    </row>
    <row r="660" spans="14:41" s="19" customFormat="1" ht="18.45">
      <c r="N660" s="20"/>
      <c r="O660" s="20"/>
      <c r="P660" s="20"/>
      <c r="Q660" s="20"/>
      <c r="R660" s="20"/>
      <c r="S660" s="20"/>
      <c r="T660" s="20"/>
      <c r="U660" s="20"/>
      <c r="AH660" s="20"/>
      <c r="AI660" s="20"/>
      <c r="AJ660" s="20"/>
      <c r="AK660" s="20"/>
      <c r="AL660" s="20"/>
      <c r="AM660" s="20"/>
      <c r="AN660" s="20"/>
      <c r="AO660" s="20"/>
    </row>
    <row r="661" spans="14:41" s="19" customFormat="1" ht="18.45">
      <c r="N661" s="20"/>
      <c r="O661" s="20"/>
      <c r="P661" s="20"/>
      <c r="Q661" s="20"/>
      <c r="R661" s="20"/>
      <c r="S661" s="20"/>
      <c r="T661" s="20"/>
      <c r="U661" s="20"/>
      <c r="AH661" s="20"/>
      <c r="AI661" s="20"/>
      <c r="AJ661" s="20"/>
      <c r="AK661" s="20"/>
      <c r="AL661" s="20"/>
      <c r="AM661" s="20"/>
      <c r="AN661" s="20"/>
      <c r="AO661" s="20"/>
    </row>
    <row r="662" spans="14:41" s="19" customFormat="1" ht="18.45">
      <c r="N662" s="20"/>
      <c r="O662" s="20"/>
      <c r="P662" s="20"/>
      <c r="Q662" s="20"/>
      <c r="R662" s="20"/>
      <c r="S662" s="20"/>
      <c r="T662" s="20"/>
      <c r="U662" s="20"/>
      <c r="AH662" s="20"/>
      <c r="AI662" s="20"/>
      <c r="AJ662" s="20"/>
      <c r="AK662" s="20"/>
      <c r="AL662" s="20"/>
      <c r="AM662" s="20"/>
      <c r="AN662" s="20"/>
      <c r="AO662" s="20"/>
    </row>
    <row r="663" spans="14:41" s="19" customFormat="1" ht="18.45">
      <c r="N663" s="20"/>
      <c r="O663" s="20"/>
      <c r="P663" s="20"/>
      <c r="Q663" s="20"/>
      <c r="R663" s="20"/>
      <c r="S663" s="20"/>
      <c r="T663" s="20"/>
      <c r="U663" s="20"/>
      <c r="AH663" s="20"/>
      <c r="AI663" s="20"/>
      <c r="AJ663" s="20"/>
      <c r="AK663" s="20"/>
      <c r="AL663" s="20"/>
      <c r="AM663" s="20"/>
      <c r="AN663" s="20"/>
      <c r="AO663" s="20"/>
    </row>
    <row r="664" spans="14:41" s="19" customFormat="1" ht="18.45">
      <c r="N664" s="20"/>
      <c r="O664" s="20"/>
      <c r="P664" s="20"/>
      <c r="Q664" s="20"/>
      <c r="R664" s="20"/>
      <c r="S664" s="20"/>
      <c r="T664" s="20"/>
      <c r="U664" s="20"/>
      <c r="AH664" s="20"/>
      <c r="AI664" s="20"/>
      <c r="AJ664" s="20"/>
      <c r="AK664" s="20"/>
      <c r="AL664" s="20"/>
      <c r="AM664" s="20"/>
      <c r="AN664" s="20"/>
      <c r="AO664" s="20"/>
    </row>
    <row r="665" spans="14:41" s="19" customFormat="1" ht="18.45">
      <c r="N665" s="20"/>
      <c r="O665" s="20"/>
      <c r="P665" s="20"/>
      <c r="Q665" s="20"/>
      <c r="R665" s="20"/>
      <c r="S665" s="20"/>
      <c r="T665" s="20"/>
      <c r="U665" s="20"/>
      <c r="AH665" s="20"/>
      <c r="AI665" s="20"/>
      <c r="AJ665" s="20"/>
      <c r="AK665" s="20"/>
      <c r="AL665" s="20"/>
      <c r="AM665" s="20"/>
      <c r="AN665" s="20"/>
      <c r="AO665" s="20"/>
    </row>
    <row r="666" spans="14:41" s="19" customFormat="1" ht="18.45">
      <c r="N666" s="20"/>
      <c r="O666" s="20"/>
      <c r="P666" s="20"/>
      <c r="Q666" s="20"/>
      <c r="R666" s="20"/>
      <c r="S666" s="20"/>
      <c r="T666" s="20"/>
      <c r="U666" s="20"/>
      <c r="AH666" s="20"/>
      <c r="AI666" s="20"/>
      <c r="AJ666" s="20"/>
      <c r="AK666" s="20"/>
      <c r="AL666" s="20"/>
      <c r="AM666" s="20"/>
      <c r="AN666" s="20"/>
      <c r="AO666" s="20"/>
    </row>
    <row r="667" spans="14:41" s="19" customFormat="1" ht="18.45">
      <c r="N667" s="20"/>
      <c r="O667" s="20"/>
      <c r="P667" s="20"/>
      <c r="Q667" s="20"/>
      <c r="R667" s="20"/>
      <c r="S667" s="20"/>
      <c r="T667" s="20"/>
      <c r="U667" s="20"/>
      <c r="AH667" s="20"/>
      <c r="AI667" s="20"/>
      <c r="AJ667" s="20"/>
      <c r="AK667" s="20"/>
      <c r="AL667" s="20"/>
      <c r="AM667" s="20"/>
      <c r="AN667" s="20"/>
      <c r="AO667" s="20"/>
    </row>
    <row r="668" spans="14:41" s="19" customFormat="1" ht="18.45">
      <c r="N668" s="20"/>
      <c r="O668" s="20"/>
      <c r="P668" s="20"/>
      <c r="Q668" s="20"/>
      <c r="R668" s="20"/>
      <c r="S668" s="20"/>
      <c r="T668" s="20"/>
      <c r="U668" s="20"/>
      <c r="AH668" s="20"/>
      <c r="AI668" s="20"/>
      <c r="AJ668" s="20"/>
      <c r="AK668" s="20"/>
      <c r="AL668" s="20"/>
      <c r="AM668" s="20"/>
      <c r="AN668" s="20"/>
      <c r="AO668" s="20"/>
    </row>
    <row r="669" spans="14:41" s="19" customFormat="1" ht="18.45">
      <c r="N669" s="20"/>
      <c r="O669" s="20"/>
      <c r="P669" s="20"/>
      <c r="Q669" s="20"/>
      <c r="R669" s="20"/>
      <c r="S669" s="20"/>
      <c r="T669" s="20"/>
      <c r="U669" s="20"/>
      <c r="AH669" s="20"/>
      <c r="AI669" s="20"/>
      <c r="AJ669" s="20"/>
      <c r="AK669" s="20"/>
      <c r="AL669" s="20"/>
      <c r="AM669" s="20"/>
      <c r="AN669" s="20"/>
      <c r="AO669" s="20"/>
    </row>
    <row r="670" spans="14:41" s="19" customFormat="1" ht="18.45">
      <c r="N670" s="20"/>
      <c r="O670" s="20"/>
      <c r="P670" s="20"/>
      <c r="Q670" s="20"/>
      <c r="R670" s="20"/>
      <c r="S670" s="20"/>
      <c r="T670" s="20"/>
      <c r="U670" s="20"/>
      <c r="AH670" s="20"/>
      <c r="AI670" s="20"/>
      <c r="AJ670" s="20"/>
      <c r="AK670" s="20"/>
      <c r="AL670" s="20"/>
      <c r="AM670" s="20"/>
      <c r="AN670" s="20"/>
      <c r="AO670" s="20"/>
    </row>
    <row r="671" spans="14:41" s="19" customFormat="1" ht="18.45">
      <c r="N671" s="20"/>
      <c r="O671" s="20"/>
      <c r="P671" s="20"/>
      <c r="Q671" s="20"/>
      <c r="R671" s="20"/>
      <c r="S671" s="20"/>
      <c r="T671" s="20"/>
      <c r="U671" s="20"/>
      <c r="AH671" s="20"/>
      <c r="AI671" s="20"/>
      <c r="AJ671" s="20"/>
      <c r="AK671" s="20"/>
      <c r="AL671" s="20"/>
      <c r="AM671" s="20"/>
      <c r="AN671" s="20"/>
      <c r="AO671" s="20"/>
    </row>
    <row r="672" spans="14:41" s="19" customFormat="1" ht="18.45">
      <c r="N672" s="20"/>
      <c r="O672" s="20"/>
      <c r="P672" s="20"/>
      <c r="Q672" s="20"/>
      <c r="R672" s="20"/>
      <c r="S672" s="20"/>
      <c r="T672" s="20"/>
      <c r="U672" s="20"/>
      <c r="AH672" s="20"/>
      <c r="AI672" s="20"/>
      <c r="AJ672" s="20"/>
      <c r="AK672" s="20"/>
      <c r="AL672" s="20"/>
      <c r="AM672" s="20"/>
      <c r="AN672" s="20"/>
      <c r="AO672" s="20"/>
    </row>
    <row r="673" spans="14:41" s="19" customFormat="1" ht="18.45">
      <c r="N673" s="20"/>
      <c r="O673" s="20"/>
      <c r="P673" s="20"/>
      <c r="Q673" s="20"/>
      <c r="R673" s="20"/>
      <c r="S673" s="20"/>
      <c r="T673" s="20"/>
      <c r="U673" s="20"/>
      <c r="AH673" s="20"/>
      <c r="AI673" s="20"/>
      <c r="AJ673" s="20"/>
      <c r="AK673" s="20"/>
      <c r="AL673" s="20"/>
      <c r="AM673" s="20"/>
      <c r="AN673" s="20"/>
      <c r="AO673" s="20"/>
    </row>
    <row r="674" spans="14:41" s="19" customFormat="1" ht="18.45">
      <c r="N674" s="20"/>
      <c r="O674" s="20"/>
      <c r="P674" s="20"/>
      <c r="Q674" s="20"/>
      <c r="R674" s="20"/>
      <c r="S674" s="20"/>
      <c r="T674" s="20"/>
      <c r="U674" s="20"/>
      <c r="AH674" s="20"/>
      <c r="AI674" s="20"/>
      <c r="AJ674" s="20"/>
      <c r="AK674" s="20"/>
      <c r="AL674" s="20"/>
      <c r="AM674" s="20"/>
      <c r="AN674" s="20"/>
      <c r="AO674" s="20"/>
    </row>
    <row r="675" spans="14:41" s="19" customFormat="1" ht="18.45">
      <c r="N675" s="20"/>
      <c r="O675" s="20"/>
      <c r="P675" s="20"/>
      <c r="Q675" s="20"/>
      <c r="R675" s="20"/>
      <c r="S675" s="20"/>
      <c r="T675" s="20"/>
      <c r="U675" s="20"/>
      <c r="AH675" s="20"/>
      <c r="AI675" s="20"/>
      <c r="AJ675" s="20"/>
      <c r="AK675" s="20"/>
      <c r="AL675" s="20"/>
      <c r="AM675" s="20"/>
      <c r="AN675" s="20"/>
      <c r="AO675" s="20"/>
    </row>
    <row r="676" spans="14:41" s="19" customFormat="1" ht="18.45">
      <c r="N676" s="20"/>
      <c r="O676" s="20"/>
      <c r="P676" s="20"/>
      <c r="Q676" s="20"/>
      <c r="R676" s="20"/>
      <c r="S676" s="20"/>
      <c r="T676" s="20"/>
      <c r="U676" s="20"/>
      <c r="AH676" s="20"/>
      <c r="AI676" s="20"/>
      <c r="AJ676" s="20"/>
      <c r="AK676" s="20"/>
      <c r="AL676" s="20"/>
      <c r="AM676" s="20"/>
      <c r="AN676" s="20"/>
      <c r="AO676" s="20"/>
    </row>
    <row r="677" spans="14:41" s="19" customFormat="1" ht="18.45">
      <c r="N677" s="20"/>
      <c r="O677" s="20"/>
      <c r="P677" s="20"/>
      <c r="Q677" s="20"/>
      <c r="R677" s="20"/>
      <c r="S677" s="20"/>
      <c r="T677" s="20"/>
      <c r="U677" s="20"/>
      <c r="AH677" s="20"/>
      <c r="AI677" s="20"/>
      <c r="AJ677" s="20"/>
      <c r="AK677" s="20"/>
      <c r="AL677" s="20"/>
      <c r="AM677" s="20"/>
      <c r="AN677" s="20"/>
      <c r="AO677" s="20"/>
    </row>
    <row r="678" spans="14:41" s="19" customFormat="1" ht="18.45">
      <c r="N678" s="20"/>
      <c r="O678" s="20"/>
      <c r="P678" s="20"/>
      <c r="Q678" s="20"/>
      <c r="R678" s="20"/>
      <c r="S678" s="20"/>
      <c r="T678" s="20"/>
      <c r="U678" s="20"/>
      <c r="AH678" s="20"/>
      <c r="AI678" s="20"/>
      <c r="AJ678" s="20"/>
      <c r="AK678" s="20"/>
      <c r="AL678" s="20"/>
      <c r="AM678" s="20"/>
      <c r="AN678" s="20"/>
      <c r="AO678" s="20"/>
    </row>
    <row r="679" spans="14:41" s="19" customFormat="1" ht="18.45">
      <c r="N679" s="20"/>
      <c r="O679" s="20"/>
      <c r="P679" s="20"/>
      <c r="Q679" s="20"/>
      <c r="R679" s="20"/>
      <c r="S679" s="20"/>
      <c r="T679" s="20"/>
      <c r="U679" s="20"/>
      <c r="AH679" s="20"/>
      <c r="AI679" s="20"/>
      <c r="AJ679" s="20"/>
      <c r="AK679" s="20"/>
      <c r="AL679" s="20"/>
      <c r="AM679" s="20"/>
      <c r="AN679" s="20"/>
      <c r="AO679" s="20"/>
    </row>
    <row r="680" spans="14:41" s="19" customFormat="1" ht="18.45">
      <c r="N680" s="20"/>
      <c r="O680" s="20"/>
      <c r="P680" s="20"/>
      <c r="Q680" s="20"/>
      <c r="R680" s="20"/>
      <c r="S680" s="20"/>
      <c r="T680" s="20"/>
      <c r="U680" s="20"/>
      <c r="AH680" s="20"/>
      <c r="AI680" s="20"/>
      <c r="AJ680" s="20"/>
      <c r="AK680" s="20"/>
      <c r="AL680" s="20"/>
      <c r="AM680" s="20"/>
      <c r="AN680" s="20"/>
      <c r="AO680" s="20"/>
    </row>
    <row r="681" spans="14:41" s="19" customFormat="1" ht="18.45">
      <c r="N681" s="20"/>
      <c r="O681" s="20"/>
      <c r="P681" s="20"/>
      <c r="Q681" s="20"/>
      <c r="R681" s="20"/>
      <c r="S681" s="20"/>
      <c r="T681" s="20"/>
      <c r="U681" s="20"/>
      <c r="AH681" s="20"/>
      <c r="AI681" s="20"/>
      <c r="AJ681" s="20"/>
      <c r="AK681" s="20"/>
      <c r="AL681" s="20"/>
      <c r="AM681" s="20"/>
      <c r="AN681" s="20"/>
      <c r="AO681" s="20"/>
    </row>
    <row r="682" spans="14:41" s="19" customFormat="1" ht="18.45">
      <c r="N682" s="20"/>
      <c r="O682" s="20"/>
      <c r="P682" s="20"/>
      <c r="Q682" s="20"/>
      <c r="R682" s="20"/>
      <c r="S682" s="20"/>
      <c r="T682" s="20"/>
      <c r="U682" s="20"/>
      <c r="AH682" s="20"/>
      <c r="AI682" s="20"/>
      <c r="AJ682" s="20"/>
      <c r="AK682" s="20"/>
      <c r="AL682" s="20"/>
      <c r="AM682" s="20"/>
      <c r="AN682" s="20"/>
      <c r="AO682" s="20"/>
    </row>
    <row r="683" spans="14:41" s="19" customFormat="1" ht="18.45">
      <c r="N683" s="20"/>
      <c r="O683" s="20"/>
      <c r="P683" s="20"/>
      <c r="Q683" s="20"/>
      <c r="R683" s="20"/>
      <c r="S683" s="20"/>
      <c r="T683" s="20"/>
      <c r="U683" s="20"/>
      <c r="AH683" s="20"/>
      <c r="AI683" s="20"/>
      <c r="AJ683" s="20"/>
      <c r="AK683" s="20"/>
      <c r="AL683" s="20"/>
      <c r="AM683" s="20"/>
      <c r="AN683" s="20"/>
      <c r="AO683" s="20"/>
    </row>
    <row r="684" spans="14:41" s="19" customFormat="1" ht="18.45">
      <c r="N684" s="20"/>
      <c r="O684" s="20"/>
      <c r="P684" s="20"/>
      <c r="Q684" s="20"/>
      <c r="R684" s="20"/>
      <c r="S684" s="20"/>
      <c r="T684" s="20"/>
      <c r="U684" s="20"/>
      <c r="AH684" s="20"/>
      <c r="AI684" s="20"/>
      <c r="AJ684" s="20"/>
      <c r="AK684" s="20"/>
      <c r="AL684" s="20"/>
      <c r="AM684" s="20"/>
      <c r="AN684" s="20"/>
      <c r="AO684" s="20"/>
    </row>
    <row r="685" spans="14:41" s="19" customFormat="1" ht="18.45">
      <c r="N685" s="20"/>
      <c r="O685" s="20"/>
      <c r="P685" s="20"/>
      <c r="Q685" s="20"/>
      <c r="R685" s="20"/>
      <c r="S685" s="20"/>
      <c r="T685" s="20"/>
      <c r="U685" s="20"/>
      <c r="AH685" s="20"/>
      <c r="AI685" s="20"/>
      <c r="AJ685" s="20"/>
      <c r="AK685" s="20"/>
      <c r="AL685" s="20"/>
      <c r="AM685" s="20"/>
      <c r="AN685" s="20"/>
      <c r="AO685" s="20"/>
    </row>
    <row r="686" spans="14:41" s="19" customFormat="1" ht="18.45">
      <c r="N686" s="20"/>
      <c r="O686" s="20"/>
      <c r="P686" s="20"/>
      <c r="Q686" s="20"/>
      <c r="R686" s="20"/>
      <c r="S686" s="20"/>
      <c r="T686" s="20"/>
      <c r="U686" s="20"/>
      <c r="AH686" s="20"/>
      <c r="AI686" s="20"/>
      <c r="AJ686" s="20"/>
      <c r="AK686" s="20"/>
      <c r="AL686" s="20"/>
      <c r="AM686" s="20"/>
      <c r="AN686" s="20"/>
      <c r="AO686" s="20"/>
    </row>
    <row r="687" spans="14:41" s="19" customFormat="1" ht="18.45">
      <c r="N687" s="20"/>
      <c r="O687" s="20"/>
      <c r="P687" s="20"/>
      <c r="Q687" s="20"/>
      <c r="R687" s="20"/>
      <c r="S687" s="20"/>
      <c r="T687" s="20"/>
      <c r="U687" s="20"/>
      <c r="AH687" s="20"/>
      <c r="AI687" s="20"/>
      <c r="AJ687" s="20"/>
      <c r="AK687" s="20"/>
      <c r="AL687" s="20"/>
      <c r="AM687" s="20"/>
      <c r="AN687" s="20"/>
      <c r="AO687" s="20"/>
    </row>
    <row r="688" spans="14:41" s="19" customFormat="1" ht="18.45">
      <c r="N688" s="20"/>
      <c r="O688" s="20"/>
      <c r="P688" s="20"/>
      <c r="Q688" s="20"/>
      <c r="R688" s="20"/>
      <c r="S688" s="20"/>
      <c r="T688" s="20"/>
      <c r="U688" s="20"/>
      <c r="AH688" s="20"/>
      <c r="AI688" s="20"/>
      <c r="AJ688" s="20"/>
      <c r="AK688" s="20"/>
      <c r="AL688" s="20"/>
      <c r="AM688" s="20"/>
      <c r="AN688" s="20"/>
      <c r="AO688" s="20"/>
    </row>
    <row r="689" spans="14:41" s="19" customFormat="1" ht="18.45">
      <c r="N689" s="20"/>
      <c r="O689" s="20"/>
      <c r="P689" s="20"/>
      <c r="Q689" s="20"/>
      <c r="R689" s="20"/>
      <c r="S689" s="20"/>
      <c r="T689" s="20"/>
      <c r="U689" s="20"/>
      <c r="AH689" s="20"/>
      <c r="AI689" s="20"/>
      <c r="AJ689" s="20"/>
      <c r="AK689" s="20"/>
      <c r="AL689" s="20"/>
      <c r="AM689" s="20"/>
      <c r="AN689" s="20"/>
      <c r="AO689" s="20"/>
    </row>
    <row r="690" spans="14:41" s="19" customFormat="1" ht="18.45">
      <c r="N690" s="20"/>
      <c r="O690" s="20"/>
      <c r="P690" s="20"/>
      <c r="Q690" s="20"/>
      <c r="R690" s="20"/>
      <c r="S690" s="20"/>
      <c r="T690" s="20"/>
      <c r="U690" s="20"/>
      <c r="AH690" s="20"/>
      <c r="AI690" s="20"/>
      <c r="AJ690" s="20"/>
      <c r="AK690" s="20"/>
      <c r="AL690" s="20"/>
      <c r="AM690" s="20"/>
      <c r="AN690" s="20"/>
      <c r="AO690" s="20"/>
    </row>
    <row r="691" spans="14:41" s="19" customFormat="1" ht="18.45">
      <c r="N691" s="20"/>
      <c r="O691" s="20"/>
      <c r="P691" s="20"/>
      <c r="Q691" s="20"/>
      <c r="R691" s="20"/>
      <c r="S691" s="20"/>
      <c r="T691" s="20"/>
      <c r="U691" s="20"/>
      <c r="AH691" s="20"/>
      <c r="AI691" s="20"/>
      <c r="AJ691" s="20"/>
      <c r="AK691" s="20"/>
      <c r="AL691" s="20"/>
      <c r="AM691" s="20"/>
      <c r="AN691" s="20"/>
      <c r="AO691" s="20"/>
    </row>
    <row r="692" spans="14:41" s="19" customFormat="1" ht="18.45">
      <c r="N692" s="20"/>
      <c r="O692" s="20"/>
      <c r="P692" s="20"/>
      <c r="Q692" s="20"/>
      <c r="R692" s="20"/>
      <c r="S692" s="20"/>
      <c r="T692" s="20"/>
      <c r="U692" s="20"/>
      <c r="AH692" s="20"/>
      <c r="AI692" s="20"/>
      <c r="AJ692" s="20"/>
      <c r="AK692" s="20"/>
      <c r="AL692" s="20"/>
      <c r="AM692" s="20"/>
      <c r="AN692" s="20"/>
      <c r="AO692" s="20"/>
    </row>
    <row r="693" spans="14:41" s="19" customFormat="1" ht="18.45">
      <c r="N693" s="20"/>
      <c r="O693" s="20"/>
      <c r="P693" s="20"/>
      <c r="Q693" s="20"/>
      <c r="R693" s="20"/>
      <c r="S693" s="20"/>
      <c r="T693" s="20"/>
      <c r="U693" s="20"/>
      <c r="AH693" s="20"/>
      <c r="AI693" s="20"/>
      <c r="AJ693" s="20"/>
      <c r="AK693" s="20"/>
      <c r="AL693" s="20"/>
      <c r="AM693" s="20"/>
      <c r="AN693" s="20"/>
      <c r="AO693" s="20"/>
    </row>
    <row r="694" spans="14:41" s="19" customFormat="1" ht="18.45">
      <c r="N694" s="20"/>
      <c r="O694" s="20"/>
      <c r="P694" s="20"/>
      <c r="Q694" s="20"/>
      <c r="R694" s="20"/>
      <c r="S694" s="20"/>
      <c r="T694" s="20"/>
      <c r="U694" s="20"/>
      <c r="AH694" s="20"/>
      <c r="AI694" s="20"/>
      <c r="AJ694" s="20"/>
      <c r="AK694" s="20"/>
      <c r="AL694" s="20"/>
      <c r="AM694" s="20"/>
      <c r="AN694" s="20"/>
      <c r="AO694" s="20"/>
    </row>
    <row r="695" spans="14:41" s="19" customFormat="1" ht="18.45">
      <c r="N695" s="20"/>
      <c r="O695" s="20"/>
      <c r="P695" s="20"/>
      <c r="Q695" s="20"/>
      <c r="R695" s="20"/>
      <c r="S695" s="20"/>
      <c r="T695" s="20"/>
      <c r="U695" s="20"/>
      <c r="AH695" s="20"/>
      <c r="AI695" s="20"/>
      <c r="AJ695" s="20"/>
      <c r="AK695" s="20"/>
      <c r="AL695" s="20"/>
      <c r="AM695" s="20"/>
      <c r="AN695" s="20"/>
      <c r="AO695" s="20"/>
    </row>
    <row r="696" spans="14:41" s="19" customFormat="1" ht="18.45">
      <c r="N696" s="20"/>
      <c r="O696" s="20"/>
      <c r="P696" s="20"/>
      <c r="Q696" s="20"/>
      <c r="R696" s="20"/>
      <c r="S696" s="20"/>
      <c r="T696" s="20"/>
      <c r="U696" s="20"/>
      <c r="AH696" s="20"/>
      <c r="AI696" s="20"/>
      <c r="AJ696" s="20"/>
      <c r="AK696" s="20"/>
      <c r="AL696" s="20"/>
      <c r="AM696" s="20"/>
      <c r="AN696" s="20"/>
      <c r="AO696" s="20"/>
    </row>
    <row r="697" spans="14:41" s="19" customFormat="1" ht="18.45">
      <c r="N697" s="20"/>
      <c r="O697" s="20"/>
      <c r="P697" s="20"/>
      <c r="Q697" s="20"/>
      <c r="R697" s="20"/>
      <c r="S697" s="20"/>
      <c r="T697" s="20"/>
      <c r="U697" s="20"/>
      <c r="AH697" s="20"/>
      <c r="AI697" s="20"/>
      <c r="AJ697" s="20"/>
      <c r="AK697" s="20"/>
      <c r="AL697" s="20"/>
      <c r="AM697" s="20"/>
      <c r="AN697" s="20"/>
      <c r="AO697" s="20"/>
    </row>
    <row r="698" spans="14:41" s="19" customFormat="1" ht="18.45"/>
    <row r="699" spans="14:41" s="19" customFormat="1" ht="18.45"/>
    <row r="700" spans="14:41" s="19" customFormat="1" ht="18.45"/>
    <row r="701" spans="14:41" s="19" customFormat="1" ht="18.45"/>
    <row r="702" spans="14:41" s="19" customFormat="1" ht="18.45"/>
    <row r="703" spans="14:41" s="19" customFormat="1" ht="18.45"/>
    <row r="704" spans="14:41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="19" customFormat="1" ht="18.45"/>
    <row r="738" s="19" customFormat="1" ht="18.45"/>
    <row r="739" s="19" customFormat="1" ht="18.45"/>
    <row r="740" s="19" customFormat="1" ht="18.45"/>
    <row r="741" s="19" customFormat="1" ht="18.45"/>
    <row r="742" s="19" customFormat="1" ht="18.45"/>
    <row r="743" s="19" customFormat="1" ht="18.45"/>
    <row r="744" s="19" customFormat="1" ht="18.45"/>
    <row r="745" s="19" customFormat="1" ht="18.45"/>
    <row r="746" s="19" customFormat="1" ht="18.45"/>
    <row r="747" s="19" customFormat="1" ht="18.45"/>
    <row r="748" s="19" customFormat="1" ht="18.45"/>
    <row r="749" s="19" customFormat="1" ht="18.45"/>
    <row r="750" s="19" customFormat="1" ht="18.45"/>
    <row r="751" s="19" customFormat="1" ht="18.45"/>
    <row r="752" s="19" customFormat="1" ht="18.45"/>
    <row r="753" s="19" customFormat="1" ht="18.45"/>
    <row r="754" s="19" customFormat="1" ht="18.45"/>
    <row r="755" s="19" customFormat="1" ht="18.45"/>
    <row r="756" s="19" customFormat="1" ht="18.45"/>
    <row r="757" s="19" customFormat="1" ht="18.45"/>
    <row r="758" s="19" customFormat="1" ht="18.45"/>
    <row r="759" s="19" customFormat="1" ht="18.45"/>
    <row r="760" s="19" customFormat="1" ht="18.45"/>
    <row r="761" s="19" customFormat="1" ht="18.45"/>
    <row r="762" s="19" customFormat="1" ht="18.45"/>
    <row r="763" s="19" customFormat="1" ht="18.45"/>
    <row r="764" s="19" customFormat="1" ht="18.45"/>
    <row r="765" s="19" customFormat="1" ht="18.45"/>
    <row r="766" s="19" customFormat="1" ht="18.45"/>
    <row r="767" s="19" customFormat="1" ht="18.45"/>
    <row r="768" s="19" customFormat="1" ht="18.45"/>
    <row r="769" s="19" customFormat="1" ht="18.45"/>
    <row r="770" s="19" customFormat="1" ht="18.45"/>
    <row r="771" s="19" customFormat="1" ht="18.45"/>
    <row r="772" s="19" customFormat="1" ht="18.45"/>
    <row r="773" s="19" customFormat="1" ht="18.45"/>
    <row r="774" s="19" customFormat="1" ht="18.45"/>
    <row r="775" s="19" customFormat="1" ht="18.45"/>
    <row r="776" s="19" customFormat="1" ht="18.45"/>
    <row r="777" s="19" customFormat="1" ht="18.45"/>
    <row r="778" s="19" customFormat="1" ht="18.45"/>
    <row r="779" s="19" customFormat="1" ht="18.45"/>
    <row r="780" s="19" customFormat="1" ht="18.45"/>
    <row r="781" s="19" customFormat="1" ht="18.45"/>
    <row r="782" s="19" customFormat="1" ht="18.45"/>
    <row r="783" s="19" customFormat="1" ht="18.45"/>
    <row r="784" s="19" customFormat="1" ht="18.45"/>
    <row r="785" s="19" customFormat="1" ht="18.45"/>
    <row r="786" s="19" customFormat="1" ht="18.45"/>
    <row r="787" s="19" customFormat="1" ht="18.45"/>
    <row r="788" s="19" customFormat="1" ht="18.45"/>
    <row r="789" s="19" customFormat="1" ht="18.45"/>
    <row r="790" s="19" customFormat="1" ht="18.45"/>
    <row r="791" s="19" customFormat="1" ht="18.45"/>
    <row r="792" s="19" customFormat="1" ht="18.45"/>
    <row r="793" s="19" customFormat="1" ht="18.45"/>
    <row r="794" s="19" customFormat="1" ht="18.45"/>
    <row r="795" s="19" customFormat="1" ht="18.45"/>
    <row r="796" s="19" customFormat="1" ht="18.45"/>
    <row r="797" s="19" customFormat="1" ht="18.45"/>
    <row r="798" s="19" customFormat="1" ht="18.45"/>
    <row r="799" s="19" customFormat="1" ht="18.45"/>
    <row r="800" s="19" customFormat="1" ht="18.45"/>
    <row r="801" s="19" customFormat="1" ht="18.45"/>
    <row r="802" s="19" customFormat="1" ht="18.45"/>
    <row r="803" s="19" customFormat="1" ht="18.45"/>
    <row r="804" s="19" customFormat="1" ht="18.45"/>
    <row r="805" s="19" customFormat="1" ht="18.45"/>
    <row r="806" s="19" customFormat="1" ht="18.45"/>
    <row r="807" s="19" customFormat="1" ht="18.45"/>
  </sheetData>
  <mergeCells count="43">
    <mergeCell ref="A1:A5"/>
    <mergeCell ref="B1:U1"/>
    <mergeCell ref="V1:AO1"/>
    <mergeCell ref="AP1:BI1"/>
    <mergeCell ref="B2:B5"/>
    <mergeCell ref="C2:M2"/>
    <mergeCell ref="N2:U2"/>
    <mergeCell ref="W3:W5"/>
    <mergeCell ref="X3:AG3"/>
    <mergeCell ref="Q3:U3"/>
    <mergeCell ref="BB2:BI2"/>
    <mergeCell ref="V2:V5"/>
    <mergeCell ref="W2:AG2"/>
    <mergeCell ref="AH2:AO2"/>
    <mergeCell ref="C3:C5"/>
    <mergeCell ref="AC4:AG4"/>
    <mergeCell ref="BB3:BB5"/>
    <mergeCell ref="BC3:BC5"/>
    <mergeCell ref="BD3:BD5"/>
    <mergeCell ref="BE3:BI3"/>
    <mergeCell ref="AW4:BA4"/>
    <mergeCell ref="BE4:BH4"/>
    <mergeCell ref="BI4:BI5"/>
    <mergeCell ref="Q4:T4"/>
    <mergeCell ref="U4:U5"/>
    <mergeCell ref="X4:AB4"/>
    <mergeCell ref="AR4:AV4"/>
    <mergeCell ref="AQ3:AQ5"/>
    <mergeCell ref="AR3:BA3"/>
    <mergeCell ref="AP2:AP5"/>
    <mergeCell ref="AQ2:BA2"/>
    <mergeCell ref="AK4:AN4"/>
    <mergeCell ref="AO4:AO5"/>
    <mergeCell ref="AH3:AH5"/>
    <mergeCell ref="AI3:AI5"/>
    <mergeCell ref="AJ3:AJ5"/>
    <mergeCell ref="AK3:AO3"/>
    <mergeCell ref="D3:M3"/>
    <mergeCell ref="N3:N5"/>
    <mergeCell ref="O3:O5"/>
    <mergeCell ref="P3:P5"/>
    <mergeCell ref="D4:H4"/>
    <mergeCell ref="I4:M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EEC-875A-4814-ABE3-DA26D0B826FE}">
  <dimension ref="A1:AC592"/>
  <sheetViews>
    <sheetView topLeftCell="D19" zoomScale="55" zoomScaleNormal="55" workbookViewId="0">
      <selection activeCell="AB5" sqref="AB5:AB57"/>
    </sheetView>
  </sheetViews>
  <sheetFormatPr defaultColWidth="8.640625" defaultRowHeight="14.6"/>
  <cols>
    <col min="1" max="1" width="25.35546875" style="34" customWidth="1"/>
    <col min="2" max="5" width="15.85546875" style="34" customWidth="1"/>
    <col min="6" max="6" width="14.85546875" style="34" customWidth="1"/>
    <col min="7" max="7" width="13.640625" style="34" customWidth="1"/>
    <col min="8" max="8" width="21.140625" style="34" customWidth="1"/>
    <col min="9" max="9" width="14.640625" style="34" customWidth="1"/>
    <col min="10" max="10" width="8.35546875" style="34" customWidth="1"/>
    <col min="11" max="11" width="8.140625" style="34" customWidth="1"/>
    <col min="12" max="12" width="7.85546875" style="34" customWidth="1"/>
    <col min="13" max="13" width="7.35546875" style="34" customWidth="1"/>
    <col min="14" max="14" width="7.85546875" style="34" customWidth="1"/>
    <col min="15" max="15" width="7.640625" style="34" customWidth="1"/>
    <col min="16" max="16" width="7.140625" style="34" customWidth="1"/>
    <col min="17" max="17" width="6.85546875" style="34" customWidth="1"/>
    <col min="18" max="19" width="7.35546875" style="34" customWidth="1"/>
    <col min="20" max="20" width="7.640625" style="34" customWidth="1"/>
    <col min="21" max="21" width="6.85546875" style="34" customWidth="1"/>
    <col min="22" max="22" width="9.35546875" style="34" customWidth="1"/>
    <col min="23" max="23" width="13.35546875" style="34" customWidth="1"/>
    <col min="24" max="24" width="12.85546875" style="34" customWidth="1"/>
    <col min="25" max="25" width="13.85546875" style="34" customWidth="1"/>
    <col min="26" max="26" width="29.2109375" style="34" customWidth="1"/>
    <col min="27" max="27" width="20.35546875" style="34" customWidth="1"/>
    <col min="28" max="28" width="16.35546875" style="34" customWidth="1"/>
    <col min="29" max="29" width="13.7109375" style="34" customWidth="1"/>
    <col min="30" max="16384" width="8.640625" style="34"/>
  </cols>
  <sheetData>
    <row r="1" spans="1:29" s="36" customFormat="1" ht="18.649999999999999" customHeight="1">
      <c r="A1" s="51" t="s">
        <v>91</v>
      </c>
      <c r="B1" s="77" t="s">
        <v>85</v>
      </c>
      <c r="C1" s="78"/>
      <c r="D1" s="78"/>
      <c r="E1" s="79"/>
      <c r="F1" s="68" t="s">
        <v>86</v>
      </c>
      <c r="G1" s="83"/>
      <c r="H1" s="84"/>
      <c r="I1" s="85"/>
      <c r="J1" s="72" t="s">
        <v>87</v>
      </c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4"/>
      <c r="AA1" s="75" t="s">
        <v>147</v>
      </c>
      <c r="AB1" s="75" t="s">
        <v>148</v>
      </c>
      <c r="AC1" s="65" t="s">
        <v>88</v>
      </c>
    </row>
    <row r="2" spans="1:29" s="36" customFormat="1" ht="15" customHeight="1">
      <c r="A2" s="51"/>
      <c r="B2" s="80"/>
      <c r="C2" s="81"/>
      <c r="D2" s="81"/>
      <c r="E2" s="82"/>
      <c r="F2" s="68" t="s">
        <v>149</v>
      </c>
      <c r="G2" s="56" t="s">
        <v>140</v>
      </c>
      <c r="H2" s="69" t="s">
        <v>89</v>
      </c>
      <c r="I2" s="65" t="s">
        <v>90</v>
      </c>
      <c r="J2" s="72" t="s">
        <v>150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  <c r="V2" s="57" t="s">
        <v>143</v>
      </c>
      <c r="W2" s="57"/>
      <c r="X2" s="57" t="s">
        <v>144</v>
      </c>
      <c r="Y2" s="57" t="s">
        <v>145</v>
      </c>
      <c r="Z2" s="57" t="s">
        <v>146</v>
      </c>
      <c r="AA2" s="75"/>
      <c r="AB2" s="75"/>
      <c r="AC2" s="66"/>
    </row>
    <row r="3" spans="1:29" s="36" customFormat="1" ht="19" customHeight="1">
      <c r="A3" s="51"/>
      <c r="B3" s="53" t="s">
        <v>115</v>
      </c>
      <c r="C3" s="53" t="s">
        <v>138</v>
      </c>
      <c r="D3" s="53" t="s">
        <v>137</v>
      </c>
      <c r="E3" s="86" t="s">
        <v>139</v>
      </c>
      <c r="F3" s="68"/>
      <c r="G3" s="56"/>
      <c r="H3" s="70"/>
      <c r="I3" s="66"/>
      <c r="J3" s="57" t="s">
        <v>115</v>
      </c>
      <c r="K3" s="57"/>
      <c r="L3" s="57"/>
      <c r="M3" s="57"/>
      <c r="N3" s="57" t="s">
        <v>138</v>
      </c>
      <c r="O3" s="57"/>
      <c r="P3" s="57"/>
      <c r="Q3" s="57"/>
      <c r="R3" s="57" t="s">
        <v>137</v>
      </c>
      <c r="S3" s="57"/>
      <c r="T3" s="57"/>
      <c r="U3" s="57"/>
      <c r="V3" s="76" t="s">
        <v>151</v>
      </c>
      <c r="W3" s="76" t="s">
        <v>152</v>
      </c>
      <c r="X3" s="57"/>
      <c r="Y3" s="57"/>
      <c r="Z3" s="57"/>
      <c r="AA3" s="75"/>
      <c r="AB3" s="75"/>
      <c r="AC3" s="66"/>
    </row>
    <row r="4" spans="1:29" ht="15" customHeight="1">
      <c r="A4" s="51"/>
      <c r="B4" s="53"/>
      <c r="C4" s="53"/>
      <c r="D4" s="53"/>
      <c r="E4" s="87"/>
      <c r="F4" s="68"/>
      <c r="G4" s="56"/>
      <c r="H4" s="71"/>
      <c r="I4" s="67"/>
      <c r="J4" s="37" t="s">
        <v>141</v>
      </c>
      <c r="K4" s="37" t="s">
        <v>134</v>
      </c>
      <c r="L4" s="37" t="s">
        <v>142</v>
      </c>
      <c r="M4" s="37" t="s">
        <v>135</v>
      </c>
      <c r="N4" s="37" t="s">
        <v>141</v>
      </c>
      <c r="O4" s="37" t="s">
        <v>134</v>
      </c>
      <c r="P4" s="37" t="s">
        <v>142</v>
      </c>
      <c r="Q4" s="37" t="s">
        <v>135</v>
      </c>
      <c r="R4" s="37" t="s">
        <v>141</v>
      </c>
      <c r="S4" s="37" t="s">
        <v>134</v>
      </c>
      <c r="T4" s="37" t="s">
        <v>142</v>
      </c>
      <c r="U4" s="37" t="s">
        <v>135</v>
      </c>
      <c r="V4" s="76"/>
      <c r="W4" s="76"/>
      <c r="X4" s="57"/>
      <c r="Y4" s="57"/>
      <c r="Z4" s="57"/>
      <c r="AA4" s="75"/>
      <c r="AB4" s="75"/>
      <c r="AC4" s="67"/>
    </row>
    <row r="5" spans="1:29" s="11" customFormat="1" ht="18.45">
      <c r="A5" s="1" t="s">
        <v>0</v>
      </c>
      <c r="B5" s="4">
        <v>0.48271753358396963</v>
      </c>
      <c r="C5" s="15"/>
      <c r="D5" s="15"/>
      <c r="E5" s="1">
        <f>AVERAGE(B5:D5)</f>
        <v>0.48271753358396963</v>
      </c>
      <c r="F5" s="15">
        <v>2.5</v>
      </c>
      <c r="G5" s="11">
        <f t="shared" ref="G5:G35" si="0">F5/16</f>
        <v>0.15625</v>
      </c>
      <c r="H5" s="15">
        <v>5</v>
      </c>
      <c r="I5" s="15">
        <f>F5/H5</f>
        <v>0.5</v>
      </c>
      <c r="J5" s="4">
        <v>28</v>
      </c>
      <c r="K5" s="15">
        <v>27</v>
      </c>
      <c r="L5" s="15">
        <v>30</v>
      </c>
      <c r="M5" s="21">
        <f>AVERAGE(J5,L5,K5)</f>
        <v>28.333333333333332</v>
      </c>
      <c r="N5" s="15"/>
      <c r="O5" s="15"/>
      <c r="P5" s="15"/>
      <c r="Q5" s="15"/>
      <c r="R5" s="15"/>
      <c r="S5" s="15"/>
      <c r="T5" s="15"/>
      <c r="U5" s="15"/>
      <c r="V5" s="15">
        <v>6.49</v>
      </c>
      <c r="W5" s="15">
        <f>V5*PI()*2500</f>
        <v>50972.340804494394</v>
      </c>
      <c r="X5" s="22">
        <v>10106.747799999999</v>
      </c>
      <c r="Y5" s="5">
        <f>X5/(X5+W5)</f>
        <v>0.16546985279109605</v>
      </c>
      <c r="Z5" s="11">
        <v>0.17</v>
      </c>
      <c r="AA5" s="2">
        <f>[1]刃缘特征!U6+[1]刃缘特征!AW6+[1]刃缘特征!BY6</f>
        <v>58.009999999999991</v>
      </c>
      <c r="AB5" s="5">
        <f>AA5/[1]基础指标!F3</f>
        <v>0.29240385100055444</v>
      </c>
      <c r="AC5" s="23">
        <f t="shared" ref="AC5:AC35" si="1">POWER(E5,2)</f>
        <v>0.23301621722939084</v>
      </c>
    </row>
    <row r="6" spans="1:29" s="11" customFormat="1" ht="18.45">
      <c r="A6" s="6" t="s">
        <v>3</v>
      </c>
      <c r="B6" s="9">
        <v>0.71808640032166682</v>
      </c>
      <c r="E6" s="6">
        <f t="shared" ref="E6:E57" si="2">AVERAGE(B6:D6)</f>
        <v>0.71808640032166682</v>
      </c>
      <c r="F6" s="11">
        <v>4.5</v>
      </c>
      <c r="G6" s="11">
        <f t="shared" si="0"/>
        <v>0.28125</v>
      </c>
      <c r="H6" s="11">
        <v>5</v>
      </c>
      <c r="I6" s="11">
        <f>F6/H6</f>
        <v>0.9</v>
      </c>
      <c r="J6" s="9">
        <v>31</v>
      </c>
      <c r="K6" s="11">
        <v>29</v>
      </c>
      <c r="L6" s="11">
        <v>25</v>
      </c>
      <c r="M6" s="24">
        <f t="shared" ref="M6:M32" si="3">AVERAGE(J6,L6,K6)</f>
        <v>28.333333333333332</v>
      </c>
      <c r="V6" s="11">
        <v>3.37</v>
      </c>
      <c r="W6" s="11">
        <f t="shared" ref="W6:W35" si="4">V6*PI()*2500</f>
        <v>26467.918106494009</v>
      </c>
      <c r="X6" s="25">
        <v>16649.1643</v>
      </c>
      <c r="Y6" s="10">
        <f t="shared" ref="Y6:Y34" si="5">X6/(X6+W6)</f>
        <v>0.38613847159316173</v>
      </c>
      <c r="Z6" s="11">
        <v>0.39</v>
      </c>
      <c r="AA6" s="7">
        <f>[1]刃缘特征!U7+[1]刃缘特征!AW7+[1]刃缘特征!BY7</f>
        <v>73.05</v>
      </c>
      <c r="AB6" s="10">
        <f>AA6/[1]基础指标!F4</f>
        <v>0.45673377516568714</v>
      </c>
      <c r="AC6" s="26">
        <f t="shared" si="1"/>
        <v>0.51564807832692916</v>
      </c>
    </row>
    <row r="7" spans="1:29" s="11" customFormat="1" ht="18.45">
      <c r="A7" s="6" t="s">
        <v>5</v>
      </c>
      <c r="B7" s="9">
        <v>0.63815992017033785</v>
      </c>
      <c r="C7" s="11">
        <v>0.529814651512868</v>
      </c>
      <c r="E7" s="6">
        <f t="shared" si="2"/>
        <v>0.58398728584160287</v>
      </c>
      <c r="F7" s="11">
        <v>4</v>
      </c>
      <c r="G7" s="11">
        <f t="shared" si="0"/>
        <v>0.25</v>
      </c>
      <c r="H7" s="11">
        <v>6</v>
      </c>
      <c r="I7" s="11">
        <f t="shared" ref="I7:I35" si="6">F7/H7</f>
        <v>0.66666666666666663</v>
      </c>
      <c r="J7" s="9">
        <v>15</v>
      </c>
      <c r="K7" s="11">
        <v>25</v>
      </c>
      <c r="L7" s="11">
        <v>25</v>
      </c>
      <c r="M7" s="24">
        <f t="shared" si="3"/>
        <v>21.666666666666668</v>
      </c>
      <c r="N7" s="11">
        <v>53</v>
      </c>
      <c r="O7" s="11">
        <v>50</v>
      </c>
      <c r="P7" s="11">
        <v>48</v>
      </c>
      <c r="Q7" s="11">
        <v>50</v>
      </c>
      <c r="V7" s="11">
        <v>4.09</v>
      </c>
      <c r="W7" s="11">
        <f t="shared" si="4"/>
        <v>32122.784882955635</v>
      </c>
      <c r="X7" s="25">
        <f>16662.3081+2655.0307</f>
        <v>19317.338799999998</v>
      </c>
      <c r="Y7" s="10">
        <f t="shared" si="5"/>
        <v>0.37553056674318769</v>
      </c>
      <c r="Z7" s="11">
        <v>0.38</v>
      </c>
      <c r="AA7" s="7">
        <f>[1]刃缘特征!U8+[1]刃缘特征!AW8+[1]刃缘特征!BY8</f>
        <v>77.639999999999986</v>
      </c>
      <c r="AB7" s="10">
        <f>AA7/[1]基础指标!F5</f>
        <v>0.5192616372391653</v>
      </c>
      <c r="AC7" s="26">
        <f t="shared" si="1"/>
        <v>0.34104115002464197</v>
      </c>
    </row>
    <row r="8" spans="1:29" s="11" customFormat="1" ht="18.45">
      <c r="A8" s="6" t="s">
        <v>8</v>
      </c>
      <c r="B8" s="9">
        <v>0.98531014205772094</v>
      </c>
      <c r="C8" s="11">
        <v>0.85995245813768184</v>
      </c>
      <c r="E8" s="6">
        <f t="shared" si="2"/>
        <v>0.92263130009770133</v>
      </c>
      <c r="F8" s="11">
        <v>8</v>
      </c>
      <c r="G8" s="11">
        <f t="shared" si="0"/>
        <v>0.5</v>
      </c>
      <c r="H8" s="11">
        <v>8</v>
      </c>
      <c r="I8" s="11">
        <f t="shared" si="6"/>
        <v>1</v>
      </c>
      <c r="J8" s="9"/>
      <c r="M8" s="24"/>
      <c r="N8" s="11">
        <v>17</v>
      </c>
      <c r="O8" s="11">
        <v>17</v>
      </c>
      <c r="P8" s="11">
        <v>17</v>
      </c>
      <c r="Q8" s="24">
        <f>AVERAGE(N8,P8,O8)</f>
        <v>17</v>
      </c>
      <c r="V8" s="11">
        <v>4.96</v>
      </c>
      <c r="W8" s="11">
        <f t="shared" si="4"/>
        <v>38955.748904513435</v>
      </c>
      <c r="X8" s="25"/>
      <c r="Y8" s="10"/>
      <c r="Z8" s="27">
        <v>0.57999999999999996</v>
      </c>
      <c r="AA8" s="7">
        <f>[1]刃缘特征!U11+[1]刃缘特征!AW11+[1]刃缘特征!BY11</f>
        <v>144.9</v>
      </c>
      <c r="AB8" s="10">
        <f>AA8/[1]基础指标!F8</f>
        <v>0.8092711533091318</v>
      </c>
      <c r="AC8" s="26">
        <f t="shared" si="1"/>
        <v>0.85124851591997464</v>
      </c>
    </row>
    <row r="9" spans="1:29" s="11" customFormat="1" ht="18.45">
      <c r="A9" s="6" t="s">
        <v>11</v>
      </c>
      <c r="B9" s="9">
        <v>0.82337667531046055</v>
      </c>
      <c r="C9" s="11">
        <v>0.99484516737423057</v>
      </c>
      <c r="E9" s="6">
        <f t="shared" si="2"/>
        <v>0.90911092134234561</v>
      </c>
      <c r="F9" s="11">
        <v>5</v>
      </c>
      <c r="G9" s="11">
        <f t="shared" si="0"/>
        <v>0.3125</v>
      </c>
      <c r="H9" s="11">
        <v>7</v>
      </c>
      <c r="I9" s="11">
        <f t="shared" si="6"/>
        <v>0.7142857142857143</v>
      </c>
      <c r="J9" s="9">
        <v>7</v>
      </c>
      <c r="K9" s="11">
        <v>26</v>
      </c>
      <c r="L9" s="11">
        <v>26</v>
      </c>
      <c r="M9" s="24">
        <f t="shared" si="3"/>
        <v>19.666666666666668</v>
      </c>
      <c r="Q9" s="24"/>
      <c r="V9" s="11">
        <v>3.08</v>
      </c>
      <c r="W9" s="11">
        <f t="shared" si="4"/>
        <v>24190.263432641408</v>
      </c>
      <c r="X9" s="25"/>
      <c r="Y9" s="10"/>
      <c r="Z9" s="27">
        <v>0.76</v>
      </c>
      <c r="AA9" s="7">
        <f>[1]刃缘特征!U12+[1]刃缘特征!AW12+[1]刃缘特征!BY12</f>
        <v>81.41</v>
      </c>
      <c r="AB9" s="10">
        <f>AA9/[1]基础指标!F9</f>
        <v>0.5338360655737705</v>
      </c>
      <c r="AC9" s="26">
        <f t="shared" si="1"/>
        <v>0.8264826673039285</v>
      </c>
    </row>
    <row r="10" spans="1:29" s="11" customFormat="1" ht="18.45">
      <c r="A10" s="6" t="s">
        <v>13</v>
      </c>
      <c r="B10" s="9">
        <v>0.37089972652956893</v>
      </c>
      <c r="E10" s="6">
        <f t="shared" si="2"/>
        <v>0.37089972652956893</v>
      </c>
      <c r="F10" s="11">
        <v>2.5</v>
      </c>
      <c r="G10" s="11">
        <f t="shared" si="0"/>
        <v>0.15625</v>
      </c>
      <c r="H10" s="11">
        <v>5</v>
      </c>
      <c r="I10" s="11">
        <f t="shared" si="6"/>
        <v>0.5</v>
      </c>
      <c r="J10" s="9">
        <v>42</v>
      </c>
      <c r="K10" s="11">
        <v>35</v>
      </c>
      <c r="L10" s="11">
        <v>51</v>
      </c>
      <c r="M10" s="24">
        <f t="shared" si="3"/>
        <v>42.666666666666664</v>
      </c>
      <c r="Q10" s="24"/>
      <c r="V10" s="11">
        <v>2.4900000000000002</v>
      </c>
      <c r="W10" s="11">
        <f t="shared" si="4"/>
        <v>19556.414268596465</v>
      </c>
      <c r="X10" s="25">
        <v>810.44140000000004</v>
      </c>
      <c r="Y10" s="10">
        <f t="shared" si="5"/>
        <v>3.9792170828294074E-2</v>
      </c>
      <c r="Z10" s="11">
        <v>0.04</v>
      </c>
      <c r="AA10" s="7">
        <f>[1]刃缘特征!U13+[1]刃缘特征!AW13+[1]刃缘特征!BY13</f>
        <v>37.950000000000003</v>
      </c>
      <c r="AB10" s="10">
        <f>AA10/[1]基础指标!F10</f>
        <v>0.24084533857967885</v>
      </c>
      <c r="AC10" s="26">
        <f t="shared" si="1"/>
        <v>0.13756660713970903</v>
      </c>
    </row>
    <row r="11" spans="1:29" s="11" customFormat="1" ht="18.45">
      <c r="A11" s="6" t="s">
        <v>14</v>
      </c>
      <c r="B11" s="9">
        <v>0.86202172375553821</v>
      </c>
      <c r="E11" s="6">
        <f t="shared" si="2"/>
        <v>0.86202172375553821</v>
      </c>
      <c r="F11" s="11">
        <v>3</v>
      </c>
      <c r="G11" s="11">
        <f t="shared" si="0"/>
        <v>0.1875</v>
      </c>
      <c r="H11" s="11">
        <v>3</v>
      </c>
      <c r="I11" s="11">
        <f t="shared" si="6"/>
        <v>1</v>
      </c>
      <c r="J11" s="9">
        <v>21</v>
      </c>
      <c r="K11" s="11">
        <v>18</v>
      </c>
      <c r="L11" s="11">
        <v>18</v>
      </c>
      <c r="M11" s="24">
        <f t="shared" si="3"/>
        <v>19</v>
      </c>
      <c r="Q11" s="24"/>
      <c r="V11" s="11">
        <v>2</v>
      </c>
      <c r="W11" s="11">
        <f t="shared" si="4"/>
        <v>15707.963267948966</v>
      </c>
      <c r="X11" s="25">
        <v>14130.574699999999</v>
      </c>
      <c r="Y11" s="10">
        <f t="shared" si="5"/>
        <v>0.47356793135033431</v>
      </c>
      <c r="Z11" s="11">
        <v>0.47</v>
      </c>
      <c r="AA11" s="7">
        <f>[1]刃缘特征!U14+[1]刃缘特征!AW14+[1]刃缘特征!BY14</f>
        <v>38.799999999999997</v>
      </c>
      <c r="AB11" s="10">
        <f>AA11/[1]基础指标!F11</f>
        <v>0.26549883673190089</v>
      </c>
      <c r="AC11" s="26">
        <f t="shared" si="1"/>
        <v>0.74308145222646937</v>
      </c>
    </row>
    <row r="12" spans="1:29" s="11" customFormat="1" ht="18.45">
      <c r="A12" s="6" t="s">
        <v>15</v>
      </c>
      <c r="B12" s="9">
        <v>0.9952194345306361</v>
      </c>
      <c r="C12" s="11">
        <v>0.99106422003500583</v>
      </c>
      <c r="E12" s="6">
        <f t="shared" si="2"/>
        <v>0.99314182728282097</v>
      </c>
      <c r="F12" s="11">
        <v>3</v>
      </c>
      <c r="G12" s="11">
        <f t="shared" si="0"/>
        <v>0.1875</v>
      </c>
      <c r="H12" s="11">
        <v>4</v>
      </c>
      <c r="I12" s="11">
        <f t="shared" si="6"/>
        <v>0.75</v>
      </c>
      <c r="J12" s="9"/>
      <c r="M12" s="24"/>
      <c r="Q12" s="24"/>
      <c r="V12" s="11">
        <v>2.5499999999999998</v>
      </c>
      <c r="W12" s="11">
        <f t="shared" si="4"/>
        <v>20027.653166634929</v>
      </c>
      <c r="X12" s="25"/>
      <c r="Y12" s="10"/>
      <c r="Z12" s="27">
        <v>0.72</v>
      </c>
      <c r="AA12" s="7">
        <f>[1]刃缘特征!U15+[1]刃缘特征!AW15+[1]刃缘特征!BY15</f>
        <v>89.449999999999989</v>
      </c>
      <c r="AB12" s="10">
        <f>AA12/[1]基础指标!F12</f>
        <v>0.60995567678145224</v>
      </c>
      <c r="AC12" s="26">
        <f t="shared" si="1"/>
        <v>0.98633068909866062</v>
      </c>
    </row>
    <row r="13" spans="1:29" s="11" customFormat="1" ht="18.45">
      <c r="A13" s="6" t="s">
        <v>17</v>
      </c>
      <c r="B13" s="9">
        <v>0.72291408631761334</v>
      </c>
      <c r="E13" s="6">
        <f t="shared" si="2"/>
        <v>0.72291408631761334</v>
      </c>
      <c r="F13" s="11">
        <v>2.5</v>
      </c>
      <c r="G13" s="11">
        <f t="shared" si="0"/>
        <v>0.15625</v>
      </c>
      <c r="H13" s="11">
        <v>5</v>
      </c>
      <c r="I13" s="11">
        <f t="shared" si="6"/>
        <v>0.5</v>
      </c>
      <c r="J13" s="9">
        <v>44</v>
      </c>
      <c r="K13" s="11">
        <v>41</v>
      </c>
      <c r="L13" s="11">
        <v>44</v>
      </c>
      <c r="M13" s="24">
        <f t="shared" si="3"/>
        <v>43</v>
      </c>
      <c r="Q13" s="24"/>
      <c r="V13" s="11">
        <v>7.9</v>
      </c>
      <c r="W13" s="11">
        <f t="shared" si="4"/>
        <v>62046.454908398417</v>
      </c>
      <c r="X13" s="25">
        <v>18148.393199999999</v>
      </c>
      <c r="Y13" s="10">
        <f t="shared" si="5"/>
        <v>0.22630372933020629</v>
      </c>
      <c r="Z13" s="11">
        <v>0.23</v>
      </c>
      <c r="AA13" s="7">
        <f>[1]刃缘特征!U17+[1]刃缘特征!AW17+[1]刃缘特征!BY17</f>
        <v>63.6</v>
      </c>
      <c r="AB13" s="10">
        <f>AA13/[1]基础指标!F14</f>
        <v>0.29444444444444445</v>
      </c>
      <c r="AC13" s="26">
        <f t="shared" si="1"/>
        <v>0.52260477619642975</v>
      </c>
    </row>
    <row r="14" spans="1:29" s="11" customFormat="1" ht="18.45">
      <c r="A14" s="6" t="s">
        <v>18</v>
      </c>
      <c r="B14" s="9">
        <v>0.81254690940076024</v>
      </c>
      <c r="E14" s="6">
        <f t="shared" si="2"/>
        <v>0.81254690940076024</v>
      </c>
      <c r="F14" s="11">
        <v>2.5</v>
      </c>
      <c r="G14" s="11">
        <f t="shared" si="0"/>
        <v>0.15625</v>
      </c>
      <c r="H14" s="11">
        <v>5</v>
      </c>
      <c r="I14" s="11">
        <f t="shared" si="6"/>
        <v>0.5</v>
      </c>
      <c r="J14" s="9">
        <v>23</v>
      </c>
      <c r="K14" s="11">
        <v>45</v>
      </c>
      <c r="L14" s="11">
        <v>29</v>
      </c>
      <c r="M14" s="24">
        <f t="shared" si="3"/>
        <v>32.333333333333336</v>
      </c>
      <c r="Q14" s="24"/>
      <c r="V14" s="11">
        <v>1.27</v>
      </c>
      <c r="W14" s="11">
        <f t="shared" si="4"/>
        <v>9974.5566751475926</v>
      </c>
      <c r="X14" s="25">
        <v>7232.9481999999998</v>
      </c>
      <c r="Y14" s="10">
        <f t="shared" si="5"/>
        <v>0.42033683863407661</v>
      </c>
      <c r="Z14" s="11">
        <v>0.42</v>
      </c>
      <c r="AA14" s="7">
        <f>[1]刃缘特征!U18+[1]刃缘特征!AW18+[1]刃缘特征!BY18</f>
        <v>25.86</v>
      </c>
      <c r="AB14" s="10">
        <f>AA14/[1]基础指标!F15</f>
        <v>0.2559889130865175</v>
      </c>
      <c r="AC14" s="26">
        <f t="shared" si="1"/>
        <v>0.66023247997672729</v>
      </c>
    </row>
    <row r="15" spans="1:29" s="11" customFormat="1" ht="18.45">
      <c r="A15" s="6" t="s">
        <v>19</v>
      </c>
      <c r="B15" s="9">
        <v>0.99100844043344216</v>
      </c>
      <c r="E15" s="6">
        <f t="shared" si="2"/>
        <v>0.99100844043344216</v>
      </c>
      <c r="F15" s="11">
        <v>2.5</v>
      </c>
      <c r="G15" s="11">
        <f t="shared" si="0"/>
        <v>0.15625</v>
      </c>
      <c r="H15" s="11">
        <v>5</v>
      </c>
      <c r="I15" s="11">
        <f t="shared" si="6"/>
        <v>0.5</v>
      </c>
      <c r="J15" s="9"/>
      <c r="M15" s="24"/>
      <c r="Q15" s="24"/>
      <c r="V15" s="11">
        <v>9.1999999999999993</v>
      </c>
      <c r="W15" s="11">
        <f t="shared" si="4"/>
        <v>72256.63103256523</v>
      </c>
      <c r="X15" s="25"/>
      <c r="Y15" s="10"/>
      <c r="Z15" s="27">
        <v>0.41</v>
      </c>
      <c r="AA15" s="7">
        <f>[1]刃缘特征!U19+[1]刃缘特征!AW19+[1]刃缘特征!BY19</f>
        <v>48.24</v>
      </c>
      <c r="AB15" s="10">
        <f>AA15/[1]基础指标!F16</f>
        <v>0.29202736243113991</v>
      </c>
      <c r="AC15" s="26">
        <f t="shared" si="1"/>
        <v>0.98209772901032333</v>
      </c>
    </row>
    <row r="16" spans="1:29" s="11" customFormat="1" ht="18.45">
      <c r="A16" s="6" t="s">
        <v>20</v>
      </c>
      <c r="B16" s="9">
        <v>0.93413196416317934</v>
      </c>
      <c r="E16" s="6">
        <f t="shared" si="2"/>
        <v>0.93413196416317934</v>
      </c>
      <c r="F16" s="11">
        <v>4.5</v>
      </c>
      <c r="G16" s="11">
        <f t="shared" si="0"/>
        <v>0.28125</v>
      </c>
      <c r="H16" s="11">
        <v>5</v>
      </c>
      <c r="I16" s="11">
        <f t="shared" si="6"/>
        <v>0.9</v>
      </c>
      <c r="J16" s="9">
        <v>11</v>
      </c>
      <c r="K16" s="11">
        <v>10</v>
      </c>
      <c r="L16" s="11">
        <v>8</v>
      </c>
      <c r="M16" s="24">
        <f t="shared" si="3"/>
        <v>9.6666666666666661</v>
      </c>
      <c r="Q16" s="24"/>
      <c r="V16" s="11">
        <v>0.56000000000000005</v>
      </c>
      <c r="W16" s="11">
        <f t="shared" si="4"/>
        <v>4398.2297150257109</v>
      </c>
      <c r="X16" s="25">
        <v>32836.515700000004</v>
      </c>
      <c r="Y16" s="10">
        <f t="shared" si="5"/>
        <v>0.8818783459910311</v>
      </c>
      <c r="Z16" s="11">
        <v>0.88</v>
      </c>
      <c r="AA16" s="7">
        <f>[1]刃缘特征!U20+[1]刃缘特征!AW20+[1]刃缘特征!BY20</f>
        <v>33.57</v>
      </c>
      <c r="AB16" s="10">
        <f>AA16/[1]基础指标!F17</f>
        <v>0.33657509524764395</v>
      </c>
      <c r="AC16" s="26">
        <f t="shared" si="1"/>
        <v>0.87260252647135939</v>
      </c>
    </row>
    <row r="17" spans="1:29" s="11" customFormat="1" ht="18.45">
      <c r="A17" s="6" t="s">
        <v>21</v>
      </c>
      <c r="B17" s="9">
        <v>0.67791339568883069</v>
      </c>
      <c r="E17" s="6">
        <f t="shared" si="2"/>
        <v>0.67791339568883069</v>
      </c>
      <c r="F17" s="11">
        <v>3</v>
      </c>
      <c r="G17" s="11">
        <f t="shared" si="0"/>
        <v>0.1875</v>
      </c>
      <c r="H17" s="11">
        <v>5</v>
      </c>
      <c r="I17" s="11">
        <f t="shared" si="6"/>
        <v>0.6</v>
      </c>
      <c r="J17" s="9">
        <v>12</v>
      </c>
      <c r="K17" s="11">
        <v>21</v>
      </c>
      <c r="L17" s="11">
        <v>19</v>
      </c>
      <c r="M17" s="24">
        <f t="shared" si="3"/>
        <v>17.333333333333332</v>
      </c>
      <c r="Q17" s="24"/>
      <c r="V17" s="11">
        <v>1.71</v>
      </c>
      <c r="W17" s="11">
        <f t="shared" si="4"/>
        <v>13430.308594096365</v>
      </c>
      <c r="X17" s="25">
        <v>21175.3701</v>
      </c>
      <c r="Y17" s="10">
        <f t="shared" si="5"/>
        <v>0.61190448790742724</v>
      </c>
      <c r="Z17" s="11">
        <v>0.61</v>
      </c>
      <c r="AA17" s="7">
        <f>[1]刃缘特征!U21+[1]刃缘特征!AW21+[1]刃缘特征!BY21</f>
        <v>54.400000000000006</v>
      </c>
      <c r="AB17" s="10">
        <f>AA17/[1]基础指标!F18</f>
        <v>0.33345592742429819</v>
      </c>
      <c r="AC17" s="26">
        <f t="shared" si="1"/>
        <v>0.45956657205436113</v>
      </c>
    </row>
    <row r="18" spans="1:29" s="11" customFormat="1" ht="18.45">
      <c r="A18" s="6" t="s">
        <v>22</v>
      </c>
      <c r="B18" s="9">
        <v>1</v>
      </c>
      <c r="C18" s="11">
        <v>0.6348879491008993</v>
      </c>
      <c r="E18" s="6">
        <f t="shared" si="2"/>
        <v>0.81744397455044959</v>
      </c>
      <c r="F18" s="11">
        <v>6.5</v>
      </c>
      <c r="G18" s="11">
        <f t="shared" si="0"/>
        <v>0.40625</v>
      </c>
      <c r="H18" s="11">
        <v>7</v>
      </c>
      <c r="I18" s="11">
        <f t="shared" si="6"/>
        <v>0.9285714285714286</v>
      </c>
      <c r="J18" s="9"/>
      <c r="M18" s="24"/>
      <c r="N18" s="11">
        <v>19</v>
      </c>
      <c r="O18" s="11">
        <v>28</v>
      </c>
      <c r="P18" s="11">
        <v>31</v>
      </c>
      <c r="Q18" s="24">
        <f t="shared" ref="Q18:Q20" si="7">AVERAGE(N18,P18,O18)</f>
        <v>26</v>
      </c>
      <c r="V18" s="11">
        <v>1.33</v>
      </c>
      <c r="W18" s="11">
        <f t="shared" si="4"/>
        <v>10445.795573186064</v>
      </c>
      <c r="X18" s="25"/>
      <c r="Y18" s="10"/>
      <c r="Z18" s="27">
        <v>0.71</v>
      </c>
      <c r="AA18" s="7">
        <f>[1]刃缘特征!U23+[1]刃缘特征!AW23+[1]刃缘特征!BY23</f>
        <v>76.5</v>
      </c>
      <c r="AB18" s="10">
        <f>AA18/[1]基础指标!F20</f>
        <v>0.67371202113606343</v>
      </c>
      <c r="AC18" s="26">
        <f t="shared" si="1"/>
        <v>0.66821465152883608</v>
      </c>
    </row>
    <row r="19" spans="1:29" s="11" customFormat="1" ht="18.45">
      <c r="A19" s="6" t="s">
        <v>23</v>
      </c>
      <c r="B19" s="9">
        <v>0.99029569767632419</v>
      </c>
      <c r="E19" s="6">
        <f t="shared" si="2"/>
        <v>0.99029569767632419</v>
      </c>
      <c r="F19" s="11">
        <v>2.5</v>
      </c>
      <c r="G19" s="11">
        <f t="shared" si="0"/>
        <v>0.15625</v>
      </c>
      <c r="H19" s="11">
        <v>5</v>
      </c>
      <c r="I19" s="11">
        <f t="shared" si="6"/>
        <v>0.5</v>
      </c>
      <c r="J19" s="9"/>
      <c r="M19" s="24"/>
      <c r="Q19" s="24"/>
      <c r="V19" s="11">
        <v>1.62</v>
      </c>
      <c r="W19" s="11">
        <f t="shared" si="4"/>
        <v>12723.450247038663</v>
      </c>
      <c r="X19" s="25"/>
      <c r="Y19" s="10"/>
      <c r="Z19" s="27">
        <v>0.39</v>
      </c>
      <c r="AA19" s="7">
        <f>[1]刃缘特征!U24+[1]刃缘特征!AW24+[1]刃缘特征!BY24</f>
        <v>33.299999999999997</v>
      </c>
      <c r="AB19" s="10">
        <f>AA19/[1]基础指标!F21</f>
        <v>0.26559259850055827</v>
      </c>
      <c r="AC19" s="26">
        <f t="shared" si="1"/>
        <v>0.9806855688362377</v>
      </c>
    </row>
    <row r="20" spans="1:29" s="11" customFormat="1" ht="18.45">
      <c r="A20" s="6" t="s">
        <v>25</v>
      </c>
      <c r="B20" s="9">
        <v>0.99362656936520255</v>
      </c>
      <c r="C20" s="11">
        <v>0.42139813555053962</v>
      </c>
      <c r="E20" s="6">
        <f t="shared" si="2"/>
        <v>0.70751235245787103</v>
      </c>
      <c r="F20" s="11">
        <v>6</v>
      </c>
      <c r="G20" s="11">
        <f t="shared" si="0"/>
        <v>0.375</v>
      </c>
      <c r="H20" s="11">
        <v>8</v>
      </c>
      <c r="I20" s="11">
        <f t="shared" si="6"/>
        <v>0.75</v>
      </c>
      <c r="J20" s="9"/>
      <c r="M20" s="24"/>
      <c r="N20" s="11">
        <v>35</v>
      </c>
      <c r="O20" s="11">
        <v>26</v>
      </c>
      <c r="P20" s="11">
        <v>30</v>
      </c>
      <c r="Q20" s="24">
        <f t="shared" si="7"/>
        <v>30.333333333333332</v>
      </c>
      <c r="V20" s="11">
        <v>2.08</v>
      </c>
      <c r="W20" s="11">
        <f t="shared" si="4"/>
        <v>16336.281798666925</v>
      </c>
      <c r="X20" s="25"/>
      <c r="Y20" s="10"/>
      <c r="Z20" s="27">
        <v>0.28000000000000003</v>
      </c>
      <c r="AA20" s="7">
        <f>[1]刃缘特征!U25+[1]刃缘特征!AW25+[1]刃缘特征!BY25</f>
        <v>79.52000000000001</v>
      </c>
      <c r="AB20" s="10">
        <f>AA20/[1]基础指标!F22</f>
        <v>0.58350454945700037</v>
      </c>
      <c r="AC20" s="26">
        <f t="shared" si="1"/>
        <v>0.50057372888047069</v>
      </c>
    </row>
    <row r="21" spans="1:29" s="11" customFormat="1" ht="18.45">
      <c r="A21" s="6" t="s">
        <v>44</v>
      </c>
      <c r="B21" s="9">
        <v>0.97029572627599636</v>
      </c>
      <c r="E21" s="6">
        <f t="shared" si="2"/>
        <v>0.97029572627599636</v>
      </c>
      <c r="F21" s="11">
        <v>4</v>
      </c>
      <c r="G21" s="11">
        <f t="shared" si="0"/>
        <v>0.25</v>
      </c>
      <c r="H21" s="11">
        <v>5</v>
      </c>
      <c r="I21" s="11">
        <f t="shared" si="6"/>
        <v>0.8</v>
      </c>
      <c r="J21" s="9"/>
      <c r="M21" s="24"/>
      <c r="V21" s="11">
        <v>6.55</v>
      </c>
      <c r="W21" s="11">
        <f t="shared" si="4"/>
        <v>51443.579702532857</v>
      </c>
      <c r="X21" s="25"/>
      <c r="Y21" s="10"/>
      <c r="Z21" s="27">
        <v>0.45</v>
      </c>
      <c r="AA21" s="7">
        <f>[1]刃缘特征!U26+[1]刃缘特征!AW26+[1]刃缘特征!BY26</f>
        <v>65.31</v>
      </c>
      <c r="AB21" s="10">
        <f>AA21/[1]基础指标!F23</f>
        <v>0.3364240457425437</v>
      </c>
      <c r="AC21" s="26">
        <f t="shared" si="1"/>
        <v>0.94147379642946327</v>
      </c>
    </row>
    <row r="22" spans="1:29" s="11" customFormat="1" ht="18.45">
      <c r="A22" s="6" t="s">
        <v>27</v>
      </c>
      <c r="B22" s="9">
        <v>0.59634044092979066</v>
      </c>
      <c r="E22" s="6">
        <f t="shared" si="2"/>
        <v>0.59634044092979066</v>
      </c>
      <c r="F22" s="11">
        <v>2</v>
      </c>
      <c r="G22" s="11">
        <f t="shared" si="0"/>
        <v>0.125</v>
      </c>
      <c r="H22" s="11">
        <v>4</v>
      </c>
      <c r="I22" s="11">
        <f t="shared" si="6"/>
        <v>0.5</v>
      </c>
      <c r="J22" s="9">
        <v>45</v>
      </c>
      <c r="K22" s="11">
        <v>58</v>
      </c>
      <c r="L22" s="11">
        <v>47</v>
      </c>
      <c r="M22" s="24">
        <f t="shared" si="3"/>
        <v>50</v>
      </c>
      <c r="V22" s="11">
        <v>2.63</v>
      </c>
      <c r="W22" s="11">
        <f t="shared" si="4"/>
        <v>20655.971697352888</v>
      </c>
      <c r="X22" s="25">
        <v>1582.2955999999999</v>
      </c>
      <c r="Y22" s="10">
        <f t="shared" si="5"/>
        <v>7.1151928288421415E-2</v>
      </c>
      <c r="Z22" s="11">
        <v>7.0000000000000007E-2</v>
      </c>
      <c r="AA22" s="7">
        <f>[1]刃缘特征!U27+[1]刃缘特征!AW27+[1]刃缘特征!BY27</f>
        <v>34.619999999999997</v>
      </c>
      <c r="AB22" s="10">
        <f>AA22/[1]基础指标!F24</f>
        <v>0.2898769153479025</v>
      </c>
      <c r="AC22" s="26">
        <f t="shared" si="1"/>
        <v>0.35562192148833716</v>
      </c>
    </row>
    <row r="23" spans="1:29" s="11" customFormat="1" ht="18.45">
      <c r="A23" s="6" t="s">
        <v>28</v>
      </c>
      <c r="B23" s="9">
        <v>0.2905713928184343</v>
      </c>
      <c r="E23" s="6">
        <f t="shared" si="2"/>
        <v>0.2905713928184343</v>
      </c>
      <c r="F23" s="11">
        <v>2.5</v>
      </c>
      <c r="G23" s="11">
        <f t="shared" si="0"/>
        <v>0.15625</v>
      </c>
      <c r="H23" s="11">
        <v>5</v>
      </c>
      <c r="I23" s="11">
        <f t="shared" si="6"/>
        <v>0.5</v>
      </c>
      <c r="J23" s="9">
        <v>38</v>
      </c>
      <c r="K23" s="11">
        <v>36</v>
      </c>
      <c r="L23" s="11">
        <v>35</v>
      </c>
      <c r="M23" s="24">
        <f t="shared" si="3"/>
        <v>36.333333333333336</v>
      </c>
      <c r="V23" s="11">
        <v>3.04</v>
      </c>
      <c r="W23" s="11">
        <f t="shared" si="4"/>
        <v>23876.104167282425</v>
      </c>
      <c r="X23" s="25">
        <v>664.27020000000005</v>
      </c>
      <c r="Y23" s="10">
        <f t="shared" si="5"/>
        <v>2.7068462365660344E-2</v>
      </c>
      <c r="Z23" s="11">
        <v>0.03</v>
      </c>
      <c r="AA23" s="7">
        <f>[1]刃缘特征!U29+[1]刃缘特征!AW29+[1]刃缘特征!BY29</f>
        <v>35.92</v>
      </c>
      <c r="AB23" s="10">
        <f>AA23/[1]基础指标!F26</f>
        <v>0.23400651465798047</v>
      </c>
      <c r="AC23" s="26">
        <f t="shared" si="1"/>
        <v>8.4431734324444854E-2</v>
      </c>
    </row>
    <row r="24" spans="1:29" s="11" customFormat="1" ht="18.45">
      <c r="A24" s="6" t="s">
        <v>29</v>
      </c>
      <c r="B24" s="9">
        <v>0.98390811708199666</v>
      </c>
      <c r="C24" s="11">
        <v>0.54741393588531806</v>
      </c>
      <c r="E24" s="6">
        <f t="shared" si="2"/>
        <v>0.76566102648365741</v>
      </c>
      <c r="F24" s="11">
        <v>6</v>
      </c>
      <c r="G24" s="11">
        <f t="shared" si="0"/>
        <v>0.375</v>
      </c>
      <c r="H24" s="11">
        <v>8</v>
      </c>
      <c r="I24" s="11">
        <f t="shared" si="6"/>
        <v>0.75</v>
      </c>
      <c r="J24" s="9"/>
      <c r="M24" s="24"/>
      <c r="N24" s="11">
        <v>21</v>
      </c>
      <c r="O24" s="11">
        <v>21</v>
      </c>
      <c r="P24" s="11">
        <v>21</v>
      </c>
      <c r="Q24" s="11">
        <v>21</v>
      </c>
      <c r="V24" s="11">
        <v>4.16</v>
      </c>
      <c r="W24" s="11">
        <f t="shared" si="4"/>
        <v>32672.56359733385</v>
      </c>
      <c r="X24" s="25"/>
      <c r="Y24" s="10"/>
      <c r="Z24" s="27">
        <v>0.36</v>
      </c>
      <c r="AA24" s="7">
        <f>[1]刃缘特征!U30+[1]刃缘特征!AW30+[1]刃缘特征!BY30</f>
        <v>84.45</v>
      </c>
      <c r="AB24" s="10">
        <f>AA24/[1]基础指标!F27</f>
        <v>0.40135925098616981</v>
      </c>
      <c r="AC24" s="26">
        <f t="shared" si="1"/>
        <v>0.58623680747600793</v>
      </c>
    </row>
    <row r="25" spans="1:29" s="11" customFormat="1" ht="18.45">
      <c r="A25" s="6" t="s">
        <v>31</v>
      </c>
      <c r="B25" s="9">
        <v>1</v>
      </c>
      <c r="C25" s="11">
        <v>1</v>
      </c>
      <c r="E25" s="6">
        <f t="shared" si="2"/>
        <v>1</v>
      </c>
      <c r="F25" s="11">
        <v>8</v>
      </c>
      <c r="G25" s="11">
        <f t="shared" si="0"/>
        <v>0.5</v>
      </c>
      <c r="H25" s="11">
        <v>8</v>
      </c>
      <c r="I25" s="11">
        <f t="shared" si="6"/>
        <v>1</v>
      </c>
      <c r="J25" s="9"/>
      <c r="M25" s="24"/>
      <c r="V25" s="11">
        <v>3.43</v>
      </c>
      <c r="W25" s="11">
        <f t="shared" si="4"/>
        <v>26939.157004532481</v>
      </c>
      <c r="X25" s="25"/>
      <c r="Y25" s="10"/>
      <c r="Z25" s="27">
        <v>0.59</v>
      </c>
      <c r="AA25" s="7">
        <f>[1]刃缘特征!U31+[1]刃缘特征!AW31+[1]刃缘特征!BY31</f>
        <v>72.819999999999993</v>
      </c>
      <c r="AB25" s="10">
        <f>AA25/[1]基础指标!F28</f>
        <v>0.55907869481765826</v>
      </c>
      <c r="AC25" s="26">
        <f t="shared" si="1"/>
        <v>1</v>
      </c>
    </row>
    <row r="26" spans="1:29" s="11" customFormat="1" ht="18.45">
      <c r="A26" s="6" t="s">
        <v>32</v>
      </c>
      <c r="B26" s="9">
        <v>0.66522044395514091</v>
      </c>
      <c r="C26" s="11">
        <v>0.7815566019368908</v>
      </c>
      <c r="E26" s="6">
        <f t="shared" si="2"/>
        <v>0.72338852294601586</v>
      </c>
      <c r="F26" s="11">
        <v>6</v>
      </c>
      <c r="G26" s="11">
        <f t="shared" si="0"/>
        <v>0.375</v>
      </c>
      <c r="H26" s="11">
        <v>9</v>
      </c>
      <c r="I26" s="11">
        <f t="shared" si="6"/>
        <v>0.66666666666666663</v>
      </c>
      <c r="J26" s="9">
        <v>51</v>
      </c>
      <c r="K26" s="11">
        <v>43</v>
      </c>
      <c r="L26" s="11">
        <v>40</v>
      </c>
      <c r="M26" s="24">
        <f t="shared" si="3"/>
        <v>44.666666666666664</v>
      </c>
      <c r="N26" s="11">
        <v>28</v>
      </c>
      <c r="O26" s="11">
        <v>28</v>
      </c>
      <c r="P26" s="11">
        <v>24</v>
      </c>
      <c r="Q26" s="11">
        <v>27</v>
      </c>
      <c r="V26" s="11">
        <v>3.12</v>
      </c>
      <c r="W26" s="11">
        <f t="shared" si="4"/>
        <v>24504.422698000384</v>
      </c>
      <c r="X26" s="25">
        <f>9659.265+22218.4656</f>
        <v>31877.730599999999</v>
      </c>
      <c r="Y26" s="10">
        <f t="shared" si="5"/>
        <v>0.56538689523818797</v>
      </c>
      <c r="Z26" s="11">
        <v>0.56999999999999995</v>
      </c>
      <c r="AA26" s="7">
        <f>[1]刃缘特征!U32+[1]刃缘特征!AW32+[1]刃缘特征!BY32</f>
        <v>94.37</v>
      </c>
      <c r="AB26" s="10">
        <f>AA26/[1]基础指标!F29</f>
        <v>0.64796759132106574</v>
      </c>
      <c r="AC26" s="26">
        <f t="shared" si="1"/>
        <v>0.52329095513001855</v>
      </c>
    </row>
    <row r="27" spans="1:29" s="11" customFormat="1" ht="18.45">
      <c r="A27" s="6" t="s">
        <v>33</v>
      </c>
      <c r="B27" s="9">
        <v>0.97250452279139854</v>
      </c>
      <c r="C27" s="11">
        <v>0.73155754542541118</v>
      </c>
      <c r="E27" s="6">
        <f t="shared" si="2"/>
        <v>0.85203103410840486</v>
      </c>
      <c r="F27" s="11">
        <v>4.5</v>
      </c>
      <c r="G27" s="11">
        <f t="shared" si="0"/>
        <v>0.28125</v>
      </c>
      <c r="H27" s="11">
        <v>8</v>
      </c>
      <c r="I27" s="11">
        <f t="shared" si="6"/>
        <v>0.5625</v>
      </c>
      <c r="J27" s="9"/>
      <c r="M27" s="24"/>
      <c r="N27" s="11">
        <v>12</v>
      </c>
      <c r="O27" s="11">
        <v>10</v>
      </c>
      <c r="P27" s="11">
        <v>9</v>
      </c>
      <c r="Q27" s="11">
        <v>10</v>
      </c>
      <c r="V27" s="11">
        <v>7.43</v>
      </c>
      <c r="W27" s="11">
        <f t="shared" si="4"/>
        <v>58355.083540430402</v>
      </c>
      <c r="X27" s="25"/>
      <c r="Y27" s="10"/>
      <c r="Z27" s="27">
        <v>0.46</v>
      </c>
      <c r="AA27" s="7">
        <f>[1]刃缘特征!U35+[1]刃缘特征!AW35+[1]刃缘特征!BY35</f>
        <v>117.80000000000001</v>
      </c>
      <c r="AB27" s="10">
        <f>AA27/[1]基础指标!F32</f>
        <v>0.60891140287397927</v>
      </c>
      <c r="AC27" s="26">
        <f t="shared" si="1"/>
        <v>0.72595688308383777</v>
      </c>
    </row>
    <row r="28" spans="1:29" s="11" customFormat="1" ht="18.45">
      <c r="A28" s="6" t="s">
        <v>34</v>
      </c>
      <c r="B28" s="9">
        <v>1</v>
      </c>
      <c r="E28" s="6">
        <f t="shared" si="2"/>
        <v>1</v>
      </c>
      <c r="F28" s="11">
        <v>2.5</v>
      </c>
      <c r="G28" s="11">
        <f t="shared" si="0"/>
        <v>0.15625</v>
      </c>
      <c r="H28" s="11">
        <v>5</v>
      </c>
      <c r="I28" s="11">
        <f t="shared" si="6"/>
        <v>0.5</v>
      </c>
      <c r="J28" s="9"/>
      <c r="M28" s="24"/>
      <c r="V28" s="11">
        <v>1.37</v>
      </c>
      <c r="W28" s="11">
        <f t="shared" si="4"/>
        <v>10759.954838545043</v>
      </c>
      <c r="X28" s="25"/>
      <c r="Y28" s="10"/>
      <c r="Z28" s="27">
        <v>0.64</v>
      </c>
      <c r="AA28" s="7">
        <f>[1]刃缘特征!U36+[1]刃缘特征!AW36+[1]刃缘特征!BY36</f>
        <v>28.01</v>
      </c>
      <c r="AB28" s="10">
        <f>AA28/[1]基础指标!F33</f>
        <v>0.20017151432859287</v>
      </c>
      <c r="AC28" s="26">
        <f t="shared" si="1"/>
        <v>1</v>
      </c>
    </row>
    <row r="29" spans="1:29" s="11" customFormat="1" ht="18.45">
      <c r="A29" s="6" t="s">
        <v>35</v>
      </c>
      <c r="B29" s="9">
        <v>1</v>
      </c>
      <c r="E29" s="6">
        <f>AVERAGE(B29:D29)</f>
        <v>1</v>
      </c>
      <c r="F29" s="11">
        <v>3.5</v>
      </c>
      <c r="G29" s="11">
        <f t="shared" si="0"/>
        <v>0.21875</v>
      </c>
      <c r="H29" s="11">
        <v>5</v>
      </c>
      <c r="I29" s="11">
        <f t="shared" si="6"/>
        <v>0.7</v>
      </c>
      <c r="J29" s="9"/>
      <c r="M29" s="24"/>
      <c r="V29" s="11">
        <v>2.2999999999999998</v>
      </c>
      <c r="W29" s="11">
        <f t="shared" si="4"/>
        <v>18064.157758141308</v>
      </c>
      <c r="X29" s="25"/>
      <c r="Y29" s="10"/>
      <c r="Z29" s="27">
        <v>0.57999999999999996</v>
      </c>
      <c r="AA29" s="7">
        <f>[1]刃缘特征!U37+[1]刃缘特征!AW37+[1]刃缘特征!BY37</f>
        <v>73.069999999999993</v>
      </c>
      <c r="AB29" s="10">
        <f>AA29/[1]基础指标!F34</f>
        <v>0.39265946584985756</v>
      </c>
      <c r="AC29" s="26">
        <f t="shared" si="1"/>
        <v>1</v>
      </c>
    </row>
    <row r="30" spans="1:29" s="11" customFormat="1" ht="18.45">
      <c r="A30" s="6" t="s">
        <v>36</v>
      </c>
      <c r="B30" s="9">
        <v>0.84943082925078972</v>
      </c>
      <c r="E30" s="6">
        <f t="shared" si="2"/>
        <v>0.84943082925078972</v>
      </c>
      <c r="F30" s="11">
        <v>5</v>
      </c>
      <c r="G30" s="11">
        <f t="shared" si="0"/>
        <v>0.3125</v>
      </c>
      <c r="H30" s="11">
        <v>5</v>
      </c>
      <c r="I30" s="11">
        <f t="shared" si="6"/>
        <v>1</v>
      </c>
      <c r="J30" s="9">
        <v>24</v>
      </c>
      <c r="K30" s="11">
        <v>25</v>
      </c>
      <c r="L30" s="11">
        <v>27</v>
      </c>
      <c r="M30" s="24">
        <f t="shared" si="3"/>
        <v>25.333333333333332</v>
      </c>
      <c r="V30" s="11">
        <v>5.37</v>
      </c>
      <c r="W30" s="11">
        <f t="shared" si="4"/>
        <v>42175.881374442972</v>
      </c>
      <c r="X30" s="25">
        <v>48514.1711</v>
      </c>
      <c r="Y30" s="10">
        <f t="shared" si="5"/>
        <v>0.53494479026430819</v>
      </c>
      <c r="Z30" s="11">
        <v>0.53</v>
      </c>
      <c r="AA30" s="7">
        <f>[1]刃缘特征!U38+[1]刃缘特征!AW38+[1]刃缘特征!BY38</f>
        <v>80.289999999999992</v>
      </c>
      <c r="AB30" s="10">
        <f>AA30/[1]基础指标!F35</f>
        <v>0.52798053527980526</v>
      </c>
      <c r="AC30" s="26">
        <f t="shared" si="1"/>
        <v>0.72153273368168425</v>
      </c>
    </row>
    <row r="31" spans="1:29" s="11" customFormat="1" ht="18.45">
      <c r="A31" s="6" t="s">
        <v>37</v>
      </c>
      <c r="B31" s="9">
        <v>0.7290024288723167</v>
      </c>
      <c r="C31" s="11">
        <v>0.91815323065309051</v>
      </c>
      <c r="D31" s="11">
        <v>1</v>
      </c>
      <c r="E31" s="6">
        <f t="shared" si="2"/>
        <v>0.8823852198418024</v>
      </c>
      <c r="F31" s="11">
        <v>5.5</v>
      </c>
      <c r="G31" s="11">
        <f t="shared" si="0"/>
        <v>0.34375</v>
      </c>
      <c r="H31" s="11">
        <v>8</v>
      </c>
      <c r="I31" s="11">
        <f t="shared" si="6"/>
        <v>0.6875</v>
      </c>
      <c r="J31" s="9">
        <v>25</v>
      </c>
      <c r="K31" s="11">
        <v>25</v>
      </c>
      <c r="L31" s="11">
        <v>29</v>
      </c>
      <c r="M31" s="24">
        <f t="shared" si="3"/>
        <v>26.333333333333332</v>
      </c>
      <c r="N31" s="11">
        <v>15</v>
      </c>
      <c r="O31" s="11">
        <v>11</v>
      </c>
      <c r="P31" s="11">
        <v>13</v>
      </c>
      <c r="Q31" s="11">
        <v>13</v>
      </c>
      <c r="V31" s="11">
        <v>4.87</v>
      </c>
      <c r="W31" s="11">
        <f t="shared" si="4"/>
        <v>38248.890557455736</v>
      </c>
      <c r="X31" s="25"/>
      <c r="Y31" s="10"/>
      <c r="Z31" s="27">
        <v>0.83</v>
      </c>
      <c r="AA31" s="7">
        <f>[1]刃缘特征!U40+[1]刃缘特征!AW40+[1]刃缘特征!BY40</f>
        <v>143.17000000000002</v>
      </c>
      <c r="AB31" s="10">
        <f>AA31/[1]基础指标!F37</f>
        <v>0.73867505933340227</v>
      </c>
      <c r="AC31" s="26">
        <f t="shared" si="1"/>
        <v>0.77860367619526594</v>
      </c>
    </row>
    <row r="32" spans="1:29" s="11" customFormat="1" ht="18.45">
      <c r="A32" s="6" t="s">
        <v>39</v>
      </c>
      <c r="B32" s="9">
        <v>0.74619312213026845</v>
      </c>
      <c r="C32" s="11">
        <v>0.98903274873950642</v>
      </c>
      <c r="D32" s="11">
        <v>0.71147139020026806</v>
      </c>
      <c r="E32" s="6">
        <f t="shared" si="2"/>
        <v>0.81556575369001427</v>
      </c>
      <c r="F32" s="11">
        <v>8</v>
      </c>
      <c r="G32" s="11">
        <f t="shared" si="0"/>
        <v>0.5</v>
      </c>
      <c r="H32" s="11">
        <v>8</v>
      </c>
      <c r="I32" s="11">
        <f t="shared" si="6"/>
        <v>1</v>
      </c>
      <c r="J32" s="9">
        <v>22</v>
      </c>
      <c r="K32" s="11">
        <v>29</v>
      </c>
      <c r="L32" s="11">
        <v>26</v>
      </c>
      <c r="M32" s="24">
        <f t="shared" si="3"/>
        <v>25.666666666666668</v>
      </c>
      <c r="R32" s="11">
        <v>18</v>
      </c>
      <c r="S32" s="11">
        <v>16</v>
      </c>
      <c r="T32" s="11">
        <v>17</v>
      </c>
      <c r="U32" s="11">
        <v>17</v>
      </c>
      <c r="V32" s="11">
        <v>4.54</v>
      </c>
      <c r="W32" s="11">
        <f t="shared" si="4"/>
        <v>35657.076618244151</v>
      </c>
      <c r="X32" s="25"/>
      <c r="Y32" s="10"/>
      <c r="Z32" s="27">
        <v>0.54</v>
      </c>
      <c r="AA32" s="7">
        <f>[1]刃缘特征!U41+[1]刃缘特征!AW41+[1]刃缘特征!BY41</f>
        <v>175.47</v>
      </c>
      <c r="AB32" s="10">
        <f>AA32/[1]基础指标!F38</f>
        <v>0.99999999999999989</v>
      </c>
      <c r="AC32" s="26">
        <f t="shared" si="1"/>
        <v>0.66514749859196098</v>
      </c>
    </row>
    <row r="33" spans="1:29" s="11" customFormat="1" ht="18.45">
      <c r="A33" s="6" t="s">
        <v>40</v>
      </c>
      <c r="B33" s="9">
        <v>1</v>
      </c>
      <c r="E33" s="6">
        <f t="shared" si="2"/>
        <v>1</v>
      </c>
      <c r="F33" s="11">
        <v>8</v>
      </c>
      <c r="G33" s="11">
        <f t="shared" si="0"/>
        <v>0.5</v>
      </c>
      <c r="H33" s="11">
        <v>8</v>
      </c>
      <c r="I33" s="11">
        <f t="shared" si="6"/>
        <v>1</v>
      </c>
      <c r="J33" s="9"/>
      <c r="M33" s="24"/>
      <c r="V33" s="11">
        <v>3</v>
      </c>
      <c r="W33" s="11">
        <f t="shared" si="4"/>
        <v>23561.944901923449</v>
      </c>
      <c r="X33" s="25"/>
      <c r="Y33" s="10"/>
      <c r="Z33" s="27">
        <v>0.82</v>
      </c>
      <c r="AA33" s="7">
        <f>[1]刃缘特征!U42+[1]刃缘特征!AW42+[1]刃缘特征!BY42</f>
        <v>122.25</v>
      </c>
      <c r="AB33" s="10">
        <f>AA33/[1]基础指标!F39</f>
        <v>1</v>
      </c>
      <c r="AC33" s="26">
        <f t="shared" si="1"/>
        <v>1</v>
      </c>
    </row>
    <row r="34" spans="1:29" s="11" customFormat="1" ht="18.45">
      <c r="A34" s="6" t="s">
        <v>42</v>
      </c>
      <c r="B34" s="9">
        <v>0.73547398908958161</v>
      </c>
      <c r="E34" s="6">
        <f t="shared" si="2"/>
        <v>0.73547398908958161</v>
      </c>
      <c r="F34" s="11">
        <v>6.5</v>
      </c>
      <c r="G34" s="11">
        <f t="shared" si="0"/>
        <v>0.40625</v>
      </c>
      <c r="H34" s="11">
        <v>8</v>
      </c>
      <c r="I34" s="11">
        <f t="shared" si="6"/>
        <v>0.8125</v>
      </c>
      <c r="J34" s="9">
        <v>44</v>
      </c>
      <c r="K34" s="11">
        <v>16</v>
      </c>
      <c r="L34" s="11">
        <v>38</v>
      </c>
      <c r="M34" s="24">
        <v>32</v>
      </c>
      <c r="V34" s="11">
        <v>3.09</v>
      </c>
      <c r="W34" s="11">
        <f t="shared" si="4"/>
        <v>24268.803248981152</v>
      </c>
      <c r="X34" s="25">
        <v>33485.7359</v>
      </c>
      <c r="Y34" s="10">
        <f t="shared" si="5"/>
        <v>0.57979401088495608</v>
      </c>
      <c r="Z34" s="11">
        <v>0.57999999999999996</v>
      </c>
      <c r="AA34" s="7">
        <f>[1]刃缘特征!U43+[1]刃缘特征!AW43+[1]刃缘特征!BY43</f>
        <v>138.27000000000001</v>
      </c>
      <c r="AB34" s="10">
        <f>AA34/[1]基础指标!F40</f>
        <v>1</v>
      </c>
      <c r="AC34" s="26">
        <f t="shared" si="1"/>
        <v>0.54092198862734198</v>
      </c>
    </row>
    <row r="35" spans="1:29" s="11" customFormat="1" ht="18.45">
      <c r="A35" s="6" t="s">
        <v>43</v>
      </c>
      <c r="B35" s="9">
        <v>0.98616910297310079</v>
      </c>
      <c r="E35" s="6">
        <f t="shared" si="2"/>
        <v>0.98616910297310079</v>
      </c>
      <c r="F35" s="11">
        <v>8</v>
      </c>
      <c r="G35" s="11">
        <f t="shared" si="0"/>
        <v>0.5</v>
      </c>
      <c r="H35" s="11">
        <v>8</v>
      </c>
      <c r="I35" s="10">
        <f t="shared" si="6"/>
        <v>1</v>
      </c>
      <c r="J35" s="9"/>
      <c r="M35" s="24"/>
      <c r="V35" s="11">
        <v>1.05</v>
      </c>
      <c r="W35" s="11">
        <f t="shared" si="4"/>
        <v>8246.6807156732066</v>
      </c>
      <c r="X35" s="25"/>
      <c r="Y35" s="10"/>
      <c r="Z35" s="40">
        <v>0.84</v>
      </c>
      <c r="AA35" s="7">
        <f>[1]刃缘特征!U44+[1]刃缘特征!AW44+[1]刃缘特征!BY44</f>
        <v>141.05999999999997</v>
      </c>
      <c r="AB35" s="10">
        <f>AA35/[1]基础指标!F41</f>
        <v>1</v>
      </c>
      <c r="AC35" s="26">
        <f t="shared" si="1"/>
        <v>0.97252949965877022</v>
      </c>
    </row>
    <row r="36" spans="1:29" s="11" customFormat="1" ht="18.45">
      <c r="A36" s="10" t="s">
        <v>46</v>
      </c>
      <c r="B36" s="11">
        <f>Edge!P37/'Size&amp;Typo'!D34</f>
        <v>0.99051668134450199</v>
      </c>
      <c r="D36" s="10"/>
      <c r="E36" s="10">
        <f>AVERAGE(B36:D36)</f>
        <v>0.99051668134450199</v>
      </c>
      <c r="M36" s="24"/>
      <c r="X36" s="25"/>
      <c r="AA36" s="11">
        <f>Edge!N37+Edge!AH37</f>
        <v>42.93</v>
      </c>
      <c r="AB36" s="11">
        <f>AA36/'Size&amp;Typo'!F34</f>
        <v>0.29315760721114448</v>
      </c>
    </row>
    <row r="37" spans="1:29" s="11" customFormat="1" ht="18.45">
      <c r="A37" s="10" t="s">
        <v>158</v>
      </c>
      <c r="B37" s="11">
        <f>Edge!P38/'Size&amp;Typo'!D35</f>
        <v>0.76698960285560003</v>
      </c>
      <c r="D37" s="10"/>
      <c r="E37" s="10">
        <f t="shared" si="2"/>
        <v>0.76698960285560003</v>
      </c>
      <c r="M37" s="24"/>
      <c r="X37" s="25"/>
      <c r="AA37" s="11">
        <f>Edge!N38+Edge!AH38</f>
        <v>46.39</v>
      </c>
      <c r="AB37" s="11">
        <f>AA37/'Size&amp;Typo'!F35</f>
        <v>0.41155074520936835</v>
      </c>
    </row>
    <row r="38" spans="1:29" s="11" customFormat="1" ht="18.45">
      <c r="A38" s="10" t="s">
        <v>47</v>
      </c>
      <c r="B38" s="11">
        <f>Edge!P39/'Size&amp;Typo'!D36</f>
        <v>0.87770809139556571</v>
      </c>
      <c r="C38" s="11">
        <f>Edge!AJ39/'Size&amp;Typo'!D36</f>
        <v>0.46792506392481098</v>
      </c>
      <c r="D38" s="10"/>
      <c r="E38" s="10">
        <f t="shared" si="2"/>
        <v>0.67281657766018832</v>
      </c>
      <c r="M38" s="24"/>
      <c r="X38" s="25"/>
      <c r="AA38" s="11">
        <f>Edge!N39+Edge!AH39</f>
        <v>97.69</v>
      </c>
      <c r="AB38" s="11">
        <f>AA38/'Size&amp;Typo'!F36</f>
        <v>0.6424015256132044</v>
      </c>
    </row>
    <row r="39" spans="1:29" s="11" customFormat="1" ht="18.45">
      <c r="A39" s="10" t="s">
        <v>50</v>
      </c>
      <c r="B39" s="11">
        <f>Edge!P40/'Size&amp;Typo'!D37</f>
        <v>0.7387713553011922</v>
      </c>
      <c r="D39" s="10"/>
      <c r="E39" s="10">
        <f t="shared" si="2"/>
        <v>0.7387713553011922</v>
      </c>
      <c r="M39" s="24"/>
      <c r="X39" s="25"/>
      <c r="AA39" s="11">
        <f>Edge!N40+Edge!AH40</f>
        <v>55.980000000000004</v>
      </c>
      <c r="AB39" s="11">
        <f>AA39/'Size&amp;Typo'!F37</f>
        <v>0.50541711809317447</v>
      </c>
    </row>
    <row r="40" spans="1:29" s="11" customFormat="1" ht="18.45">
      <c r="A40" s="10" t="s">
        <v>49</v>
      </c>
      <c r="B40" s="11">
        <f>Edge!P41/'Size&amp;Typo'!D38</f>
        <v>0.74038956445107085</v>
      </c>
      <c r="D40" s="10"/>
      <c r="E40" s="10">
        <f t="shared" si="2"/>
        <v>0.74038956445107085</v>
      </c>
      <c r="M40" s="24"/>
      <c r="X40" s="25"/>
      <c r="AA40" s="11">
        <f>Edge!N41+Edge!AH41</f>
        <v>42.81</v>
      </c>
      <c r="AB40" s="11">
        <f>AA40/'Size&amp;Typo'!F38</f>
        <v>0.36338171632289279</v>
      </c>
    </row>
    <row r="41" spans="1:29" s="11" customFormat="1" ht="18.45">
      <c r="A41" s="10" t="s">
        <v>51</v>
      </c>
      <c r="B41" s="11">
        <f>Edge!P42/'Size&amp;Typo'!D39</f>
        <v>0.83436968046075854</v>
      </c>
      <c r="D41" s="10"/>
      <c r="E41" s="10">
        <f t="shared" si="2"/>
        <v>0.83436968046075854</v>
      </c>
      <c r="M41" s="24"/>
      <c r="X41" s="25"/>
      <c r="AA41" s="11">
        <f>Edge!N42+Edge!AH42</f>
        <v>43.66</v>
      </c>
      <c r="AB41" s="11">
        <f>AA41/'Size&amp;Typo'!F39</f>
        <v>0.28507998694090758</v>
      </c>
    </row>
    <row r="42" spans="1:29" s="11" customFormat="1" ht="18.45">
      <c r="A42" s="10" t="s">
        <v>52</v>
      </c>
      <c r="B42" s="11">
        <f>Edge!P43/'Size&amp;Typo'!D40</f>
        <v>0.42712665923297005</v>
      </c>
      <c r="C42" s="11">
        <f>Edge!AJ43/'Size&amp;Typo'!D40</f>
        <v>0.3860076473569955</v>
      </c>
      <c r="D42" s="10"/>
      <c r="E42" s="10">
        <f t="shared" si="2"/>
        <v>0.40656715329498277</v>
      </c>
      <c r="M42" s="24"/>
      <c r="X42" s="25"/>
      <c r="AA42" s="11">
        <f>Edge!N43+Edge!AH43</f>
        <v>58.5</v>
      </c>
      <c r="AB42" s="11">
        <f>AA42/'Size&amp;Typo'!F40</f>
        <v>0.51926149476300376</v>
      </c>
    </row>
    <row r="43" spans="1:29" s="11" customFormat="1" ht="18.45">
      <c r="A43" s="10" t="s">
        <v>53</v>
      </c>
      <c r="B43" s="11">
        <f>Edge!P44/'Size&amp;Typo'!D41</f>
        <v>0.89601713116727089</v>
      </c>
      <c r="D43" s="10"/>
      <c r="E43" s="10">
        <f t="shared" si="2"/>
        <v>0.89601713116727089</v>
      </c>
      <c r="M43" s="24"/>
      <c r="X43" s="25"/>
      <c r="AA43" s="11">
        <f>Edge!N44+Edge!AH44</f>
        <v>26.82</v>
      </c>
      <c r="AB43" s="11">
        <f>AA43/'Size&amp;Typo'!F41</f>
        <v>0.2787072638470332</v>
      </c>
    </row>
    <row r="44" spans="1:29" s="11" customFormat="1" ht="18.45">
      <c r="A44" s="10" t="s">
        <v>54</v>
      </c>
      <c r="B44" s="11">
        <f>Edge!P45/'Size&amp;Typo'!D42</f>
        <v>0.47318419042861104</v>
      </c>
      <c r="D44" s="10"/>
      <c r="E44" s="10">
        <f t="shared" si="2"/>
        <v>0.47318419042861104</v>
      </c>
      <c r="M44" s="24"/>
      <c r="X44" s="25"/>
      <c r="AA44" s="11">
        <f>Edge!N45+Edge!AH45</f>
        <v>32.08</v>
      </c>
      <c r="AB44" s="11">
        <f>AA44/'Size&amp;Typo'!F42</f>
        <v>0.23770005927682278</v>
      </c>
    </row>
    <row r="45" spans="1:29" s="11" customFormat="1" ht="18.45">
      <c r="A45" s="10" t="s">
        <v>55</v>
      </c>
      <c r="B45" s="11">
        <f>Edge!P46/'Size&amp;Typo'!D43</f>
        <v>0.48840200483512375</v>
      </c>
      <c r="D45" s="10"/>
      <c r="E45" s="10">
        <f t="shared" si="2"/>
        <v>0.48840200483512375</v>
      </c>
      <c r="M45" s="24"/>
      <c r="X45" s="25"/>
      <c r="AA45" s="11">
        <f>Edge!N46+Edge!AH46</f>
        <v>30.67</v>
      </c>
      <c r="AB45" s="11">
        <f>AA45/'Size&amp;Typo'!F43</f>
        <v>0.28485186217144981</v>
      </c>
    </row>
    <row r="46" spans="1:29" s="11" customFormat="1" ht="18.45">
      <c r="A46" s="10" t="s">
        <v>56</v>
      </c>
      <c r="B46" s="11">
        <f>Edge!P47/'Size&amp;Typo'!D44</f>
        <v>0.88843239905443083</v>
      </c>
      <c r="C46" s="11">
        <f>Edge!AJ47/'Size&amp;Typo'!D44</f>
        <v>0.93043160192983476</v>
      </c>
      <c r="D46" s="10"/>
      <c r="E46" s="10">
        <f t="shared" si="2"/>
        <v>0.9094320004921328</v>
      </c>
      <c r="M46" s="24"/>
      <c r="X46" s="25"/>
      <c r="AA46" s="11">
        <f>Edge!N47+Edge!AH47</f>
        <v>58.26</v>
      </c>
      <c r="AB46" s="11">
        <f>AA46/'Size&amp;Typo'!F44</f>
        <v>0.49599863783415626</v>
      </c>
    </row>
    <row r="47" spans="1:29" s="11" customFormat="1" ht="18.45">
      <c r="A47" s="10" t="s">
        <v>57</v>
      </c>
      <c r="B47" s="11">
        <f>Edge!P48/'Size&amp;Typo'!D45</f>
        <v>0.89100448956873424</v>
      </c>
      <c r="D47" s="10"/>
      <c r="E47" s="10">
        <f t="shared" si="2"/>
        <v>0.89100448956873424</v>
      </c>
      <c r="M47" s="24"/>
      <c r="X47" s="25"/>
      <c r="AA47" s="11">
        <f>Edge!N48+Edge!AH48</f>
        <v>31.17</v>
      </c>
      <c r="AB47" s="11">
        <f>AA47/'Size&amp;Typo'!F45</f>
        <v>0.22308903521328372</v>
      </c>
    </row>
    <row r="48" spans="1:29" s="11" customFormat="1" ht="18.45">
      <c r="A48" s="10" t="s">
        <v>58</v>
      </c>
      <c r="B48" s="11">
        <f>Edge!P49/'Size&amp;Typo'!D46</f>
        <v>0.52810093223902133</v>
      </c>
      <c r="C48" s="11">
        <f>Edge!AJ49/'Size&amp;Typo'!D46</f>
        <v>0.68532643963765227</v>
      </c>
      <c r="D48" s="10"/>
      <c r="E48" s="10">
        <f t="shared" si="2"/>
        <v>0.60671368593833686</v>
      </c>
      <c r="M48" s="24"/>
      <c r="X48" s="25"/>
      <c r="AA48" s="11">
        <f>Edge!N49+Edge!AH49</f>
        <v>84.46</v>
      </c>
      <c r="AB48" s="11">
        <f>AA48/'Size&amp;Typo'!F46</f>
        <v>0.51537710519892599</v>
      </c>
    </row>
    <row r="49" spans="1:28" s="11" customFormat="1" ht="18.45">
      <c r="A49" s="10" t="s">
        <v>59</v>
      </c>
      <c r="B49" s="11">
        <f>Edge!P50/'Size&amp;Typo'!D47</f>
        <v>0.88462396548565869</v>
      </c>
      <c r="D49" s="10"/>
      <c r="E49" s="10">
        <f t="shared" si="2"/>
        <v>0.88462396548565869</v>
      </c>
      <c r="M49" s="24"/>
      <c r="X49" s="25"/>
      <c r="AA49" s="11">
        <f>Edge!N50+Edge!AH50</f>
        <v>36.200000000000003</v>
      </c>
      <c r="AB49" s="11">
        <f>AA49/'Size&amp;Typo'!F47</f>
        <v>0.3416061149381901</v>
      </c>
    </row>
    <row r="50" spans="1:28" s="11" customFormat="1" ht="18.45">
      <c r="A50" s="10" t="s">
        <v>60</v>
      </c>
      <c r="B50" s="11">
        <f>Edge!P51/'Size&amp;Typo'!D48</f>
        <v>0.98243881722743065</v>
      </c>
      <c r="D50" s="10"/>
      <c r="E50" s="10">
        <f t="shared" si="2"/>
        <v>0.98243881722743065</v>
      </c>
      <c r="M50" s="24"/>
      <c r="X50" s="25"/>
      <c r="AA50" s="11">
        <f>Edge!N51+Edge!AH51</f>
        <v>55.15</v>
      </c>
      <c r="AB50" s="11">
        <f>AA50/'Size&amp;Typo'!F48</f>
        <v>0.54276153921858084</v>
      </c>
    </row>
    <row r="51" spans="1:28" s="11" customFormat="1" ht="18.45">
      <c r="A51" s="10" t="s">
        <v>61</v>
      </c>
      <c r="B51" s="11">
        <f>Edge!P52/'Size&amp;Typo'!D49</f>
        <v>0.19919771157228394</v>
      </c>
      <c r="D51" s="10"/>
      <c r="E51" s="10">
        <f t="shared" si="2"/>
        <v>0.19919771157228394</v>
      </c>
      <c r="M51" s="24"/>
      <c r="X51" s="25"/>
      <c r="AA51" s="11">
        <f>Edge!N52+Edge!AH52</f>
        <v>48.45</v>
      </c>
      <c r="AB51" s="11">
        <f>AA51/'Size&amp;Typo'!F49</f>
        <v>0.33784254933407715</v>
      </c>
    </row>
    <row r="52" spans="1:28" s="11" customFormat="1" ht="18.45">
      <c r="A52" s="10" t="s">
        <v>62</v>
      </c>
      <c r="B52" s="11">
        <f>Edge!P53/'Size&amp;Typo'!D50</f>
        <v>0.92427590314611441</v>
      </c>
      <c r="D52" s="10"/>
      <c r="E52" s="10">
        <f t="shared" si="2"/>
        <v>0.92427590314611441</v>
      </c>
      <c r="M52" s="24"/>
      <c r="X52" s="25"/>
      <c r="AA52" s="11">
        <f>Edge!N53+Edge!AH53</f>
        <v>54.42</v>
      </c>
      <c r="AB52" s="11">
        <f>AA52/'Size&amp;Typo'!F50</f>
        <v>0.50548021549321942</v>
      </c>
    </row>
    <row r="53" spans="1:28" s="11" customFormat="1" ht="18.45">
      <c r="A53" s="10" t="s">
        <v>64</v>
      </c>
      <c r="B53" s="11">
        <f>Edge!P54/'Size&amp;Typo'!D51</f>
        <v>0.48019204050279929</v>
      </c>
      <c r="D53" s="10"/>
      <c r="E53" s="10">
        <f t="shared" si="2"/>
        <v>0.48019204050279929</v>
      </c>
      <c r="M53" s="24"/>
      <c r="X53" s="25"/>
      <c r="AA53" s="11">
        <f>Edge!N54+Edge!AH54</f>
        <v>45.36</v>
      </c>
      <c r="AB53" s="11">
        <f>AA53/'Size&amp;Typo'!F51</f>
        <v>0.35615577889447231</v>
      </c>
    </row>
    <row r="54" spans="1:28" s="11" customFormat="1" ht="18.45">
      <c r="A54" s="10" t="s">
        <v>65</v>
      </c>
      <c r="B54" s="11">
        <f>Edge!P55/'Size&amp;Typo'!D52</f>
        <v>0.65291833904756291</v>
      </c>
      <c r="C54" s="11">
        <f>Edge!AJ55/'Size&amp;Typo'!D52</f>
        <v>0.90555603377893146</v>
      </c>
      <c r="D54" s="10"/>
      <c r="E54" s="10">
        <f t="shared" si="2"/>
        <v>0.77923718641324724</v>
      </c>
      <c r="M54" s="24"/>
      <c r="X54" s="25"/>
      <c r="AA54" s="11">
        <f>Edge!N55+Edge!AH55</f>
        <v>95.53</v>
      </c>
      <c r="AB54" s="11">
        <f>AA54/'Size&amp;Typo'!F52</f>
        <v>0.53449336988753993</v>
      </c>
    </row>
    <row r="55" spans="1:28" s="11" customFormat="1" ht="18.45">
      <c r="A55" s="10" t="s">
        <v>66</v>
      </c>
      <c r="B55" s="11">
        <f>Edge!P56/'Size&amp;Typo'!D53</f>
        <v>0.7358246703049206</v>
      </c>
      <c r="D55" s="10"/>
      <c r="E55" s="10">
        <f t="shared" si="2"/>
        <v>0.7358246703049206</v>
      </c>
      <c r="M55" s="24"/>
      <c r="X55" s="25"/>
      <c r="AA55" s="11">
        <f>Edge!N56+Edge!AH56</f>
        <v>65.33</v>
      </c>
      <c r="AB55" s="11">
        <f>AA55/'Size&amp;Typo'!F53</f>
        <v>0.42833726724364013</v>
      </c>
    </row>
    <row r="56" spans="1:28" s="11" customFormat="1" ht="18.45">
      <c r="A56" s="10" t="s">
        <v>67</v>
      </c>
      <c r="B56" s="11">
        <f>Edge!P57/'Size&amp;Typo'!D54</f>
        <v>0.65926385086620543</v>
      </c>
      <c r="D56" s="10"/>
      <c r="E56" s="10">
        <f t="shared" si="2"/>
        <v>0.65926385086620543</v>
      </c>
      <c r="M56" s="24"/>
      <c r="X56" s="25"/>
      <c r="AA56" s="11">
        <f>Edge!N57+Edge!AH57</f>
        <v>44.36</v>
      </c>
      <c r="AB56" s="11">
        <f>AA56/'Size&amp;Typo'!F54</f>
        <v>0.32012701161867652</v>
      </c>
    </row>
    <row r="57" spans="1:28" s="11" customFormat="1" ht="18.45">
      <c r="A57" s="14" t="s">
        <v>68</v>
      </c>
      <c r="B57" s="18">
        <f>Edge!P58/'Size&amp;Typo'!D55</f>
        <v>0.4619965658863221</v>
      </c>
      <c r="C57" s="18"/>
      <c r="D57" s="14"/>
      <c r="E57" s="14">
        <f t="shared" si="2"/>
        <v>0.4619965658863221</v>
      </c>
      <c r="M57" s="24"/>
      <c r="X57" s="25"/>
      <c r="AA57" s="11">
        <f>Edge!N58+Edge!AH58</f>
        <v>37.51</v>
      </c>
      <c r="AB57" s="11">
        <f>AA57/'Size&amp;Typo'!F55</f>
        <v>0.35894736842105263</v>
      </c>
    </row>
    <row r="58" spans="1:28" s="11" customFormat="1" ht="18.45">
      <c r="M58" s="24"/>
      <c r="X58" s="25"/>
    </row>
    <row r="59" spans="1:28" s="11" customFormat="1" ht="18.45">
      <c r="M59" s="24"/>
      <c r="X59" s="25"/>
    </row>
    <row r="60" spans="1:28" s="11" customFormat="1" ht="18.45">
      <c r="M60" s="24"/>
      <c r="X60" s="25"/>
    </row>
    <row r="61" spans="1:28" s="11" customFormat="1" ht="18.45">
      <c r="M61" s="24"/>
      <c r="X61" s="25"/>
    </row>
    <row r="62" spans="1:28" s="11" customFormat="1" ht="18.45">
      <c r="M62" s="24"/>
      <c r="X62" s="25"/>
    </row>
    <row r="63" spans="1:28" s="11" customFormat="1" ht="18.45">
      <c r="M63" s="24"/>
      <c r="X63" s="25"/>
    </row>
    <row r="64" spans="1:28" s="11" customFormat="1" ht="18.45">
      <c r="M64" s="24"/>
      <c r="X64" s="25"/>
    </row>
    <row r="65" spans="13:24" s="11" customFormat="1" ht="18.45">
      <c r="M65" s="24"/>
      <c r="X65" s="25"/>
    </row>
    <row r="66" spans="13:24" s="11" customFormat="1" ht="18.45">
      <c r="M66" s="24"/>
      <c r="X66" s="25"/>
    </row>
    <row r="67" spans="13:24" s="11" customFormat="1" ht="18.45">
      <c r="M67" s="24"/>
      <c r="X67" s="25"/>
    </row>
    <row r="68" spans="13:24" s="11" customFormat="1" ht="18.45">
      <c r="M68" s="24"/>
      <c r="X68" s="25"/>
    </row>
    <row r="69" spans="13:24" s="11" customFormat="1" ht="18.45">
      <c r="M69" s="24"/>
      <c r="X69" s="25"/>
    </row>
    <row r="70" spans="13:24" s="11" customFormat="1" ht="18.45">
      <c r="M70" s="24"/>
      <c r="X70" s="25"/>
    </row>
    <row r="71" spans="13:24" s="11" customFormat="1" ht="18.45">
      <c r="M71" s="24"/>
      <c r="X71" s="25"/>
    </row>
    <row r="72" spans="13:24" s="11" customFormat="1" ht="18.45">
      <c r="M72" s="24"/>
      <c r="X72" s="25"/>
    </row>
    <row r="73" spans="13:24" s="11" customFormat="1" ht="18.45">
      <c r="M73" s="24"/>
      <c r="X73" s="25"/>
    </row>
    <row r="74" spans="13:24" s="11" customFormat="1" ht="18.45">
      <c r="M74" s="24"/>
      <c r="X74" s="25"/>
    </row>
    <row r="75" spans="13:24" s="11" customFormat="1" ht="18.45">
      <c r="M75" s="24"/>
      <c r="X75" s="25"/>
    </row>
    <row r="76" spans="13:24" s="11" customFormat="1" ht="18.45">
      <c r="M76" s="24"/>
      <c r="X76" s="25"/>
    </row>
    <row r="77" spans="13:24" s="11" customFormat="1" ht="18.45">
      <c r="M77" s="24"/>
      <c r="X77" s="25"/>
    </row>
    <row r="78" spans="13:24" s="11" customFormat="1" ht="18.45">
      <c r="M78" s="24"/>
      <c r="X78" s="25"/>
    </row>
    <row r="79" spans="13:24" s="11" customFormat="1" ht="18.45">
      <c r="M79" s="24"/>
      <c r="X79" s="25"/>
    </row>
    <row r="80" spans="13:24" s="11" customFormat="1" ht="18.45">
      <c r="M80" s="24"/>
      <c r="X80" s="25"/>
    </row>
    <row r="81" spans="13:24" s="11" customFormat="1" ht="18.45">
      <c r="M81" s="24"/>
      <c r="X81" s="25"/>
    </row>
    <row r="82" spans="13:24" s="11" customFormat="1" ht="18.45">
      <c r="M82" s="24"/>
      <c r="X82" s="25"/>
    </row>
    <row r="83" spans="13:24" s="11" customFormat="1" ht="18.45">
      <c r="M83" s="24"/>
      <c r="X83" s="25"/>
    </row>
    <row r="84" spans="13:24" s="11" customFormat="1" ht="18.45">
      <c r="M84" s="24"/>
      <c r="X84" s="25"/>
    </row>
    <row r="85" spans="13:24" s="11" customFormat="1" ht="18.45">
      <c r="M85" s="24"/>
      <c r="X85" s="25"/>
    </row>
    <row r="86" spans="13:24" s="11" customFormat="1" ht="18.45">
      <c r="M86" s="24"/>
      <c r="X86" s="25"/>
    </row>
    <row r="87" spans="13:24" s="11" customFormat="1" ht="18.45">
      <c r="M87" s="24"/>
      <c r="X87" s="25"/>
    </row>
    <row r="88" spans="13:24" s="11" customFormat="1" ht="18.45">
      <c r="M88" s="24"/>
      <c r="X88" s="25"/>
    </row>
    <row r="89" spans="13:24" s="11" customFormat="1" ht="18.45">
      <c r="M89" s="24"/>
      <c r="X89" s="25"/>
    </row>
    <row r="90" spans="13:24" s="11" customFormat="1" ht="18.45">
      <c r="M90" s="24"/>
      <c r="X90" s="25"/>
    </row>
    <row r="91" spans="13:24" s="11" customFormat="1" ht="18.45">
      <c r="M91" s="24"/>
      <c r="X91" s="25"/>
    </row>
    <row r="92" spans="13:24" s="11" customFormat="1" ht="18.45">
      <c r="M92" s="24"/>
      <c r="X92" s="25"/>
    </row>
    <row r="93" spans="13:24" s="11" customFormat="1" ht="18.45">
      <c r="M93" s="24"/>
      <c r="X93" s="25"/>
    </row>
    <row r="94" spans="13:24" s="11" customFormat="1" ht="18.45">
      <c r="M94" s="24"/>
      <c r="X94" s="25"/>
    </row>
    <row r="95" spans="13:24" s="11" customFormat="1" ht="18.45">
      <c r="M95" s="24"/>
      <c r="X95" s="25"/>
    </row>
    <row r="96" spans="13:24" s="11" customFormat="1" ht="18.45">
      <c r="M96" s="24"/>
      <c r="X96" s="25"/>
    </row>
    <row r="97" spans="13:24" s="11" customFormat="1" ht="18.45">
      <c r="M97" s="24"/>
      <c r="X97" s="25"/>
    </row>
    <row r="98" spans="13:24" s="11" customFormat="1" ht="18.45">
      <c r="M98" s="24"/>
      <c r="X98" s="25"/>
    </row>
    <row r="99" spans="13:24" s="11" customFormat="1" ht="18.45">
      <c r="M99" s="24"/>
      <c r="X99" s="25"/>
    </row>
    <row r="100" spans="13:24" s="11" customFormat="1" ht="18.45">
      <c r="M100" s="24"/>
      <c r="X100" s="25"/>
    </row>
    <row r="101" spans="13:24" s="11" customFormat="1" ht="18.45">
      <c r="M101" s="24"/>
      <c r="X101" s="25"/>
    </row>
    <row r="102" spans="13:24" s="11" customFormat="1" ht="18.45">
      <c r="M102" s="24"/>
      <c r="X102" s="25"/>
    </row>
    <row r="103" spans="13:24" s="11" customFormat="1" ht="18.45">
      <c r="M103" s="24"/>
      <c r="X103" s="25"/>
    </row>
    <row r="104" spans="13:24" s="11" customFormat="1" ht="18.45">
      <c r="M104" s="24"/>
      <c r="X104" s="25"/>
    </row>
    <row r="105" spans="13:24" s="11" customFormat="1" ht="18.45">
      <c r="M105" s="24"/>
      <c r="X105" s="25"/>
    </row>
    <row r="106" spans="13:24" s="11" customFormat="1" ht="18.45">
      <c r="M106" s="24"/>
      <c r="X106" s="25"/>
    </row>
    <row r="107" spans="13:24" s="11" customFormat="1" ht="18.45">
      <c r="M107" s="24"/>
      <c r="X107" s="25"/>
    </row>
    <row r="108" spans="13:24" s="11" customFormat="1" ht="18.45">
      <c r="M108" s="24"/>
      <c r="X108" s="25"/>
    </row>
    <row r="109" spans="13:24" s="11" customFormat="1" ht="18.45">
      <c r="M109" s="24"/>
      <c r="X109" s="25"/>
    </row>
    <row r="110" spans="13:24" s="11" customFormat="1" ht="18.45">
      <c r="M110" s="24"/>
      <c r="X110" s="25"/>
    </row>
    <row r="111" spans="13:24" s="11" customFormat="1" ht="18.45">
      <c r="M111" s="24"/>
      <c r="X111" s="25"/>
    </row>
    <row r="112" spans="13:24" s="11" customFormat="1" ht="18.45">
      <c r="M112" s="24"/>
      <c r="X112" s="25"/>
    </row>
    <row r="113" spans="13:24" s="11" customFormat="1" ht="18.45">
      <c r="M113" s="24"/>
      <c r="X113" s="25"/>
    </row>
    <row r="114" spans="13:24" s="11" customFormat="1" ht="18.45">
      <c r="M114" s="24"/>
      <c r="X114" s="25"/>
    </row>
    <row r="115" spans="13:24" s="11" customFormat="1" ht="18.45">
      <c r="M115" s="24"/>
      <c r="X115" s="25"/>
    </row>
    <row r="116" spans="13:24" s="11" customFormat="1" ht="18.45">
      <c r="M116" s="24"/>
      <c r="X116" s="25"/>
    </row>
    <row r="117" spans="13:24" s="11" customFormat="1" ht="18.45">
      <c r="M117" s="24"/>
      <c r="X117" s="25"/>
    </row>
    <row r="118" spans="13:24" s="11" customFormat="1" ht="18.45">
      <c r="M118" s="24"/>
      <c r="X118" s="25"/>
    </row>
    <row r="119" spans="13:24" s="11" customFormat="1" ht="18.45">
      <c r="M119" s="24"/>
      <c r="X119" s="25"/>
    </row>
    <row r="120" spans="13:24" s="11" customFormat="1" ht="18.45">
      <c r="M120" s="24"/>
      <c r="X120" s="25"/>
    </row>
    <row r="121" spans="13:24" s="11" customFormat="1" ht="18.45">
      <c r="M121" s="24"/>
      <c r="X121" s="25"/>
    </row>
    <row r="122" spans="13:24" s="11" customFormat="1" ht="18.45">
      <c r="M122" s="24"/>
      <c r="X122" s="25"/>
    </row>
    <row r="123" spans="13:24" s="11" customFormat="1" ht="18.45">
      <c r="M123" s="24"/>
      <c r="X123" s="25"/>
    </row>
    <row r="124" spans="13:24" s="11" customFormat="1" ht="18.45">
      <c r="M124" s="24"/>
      <c r="X124" s="25"/>
    </row>
    <row r="125" spans="13:24" s="11" customFormat="1" ht="18.45">
      <c r="M125" s="24"/>
      <c r="X125" s="25"/>
    </row>
    <row r="126" spans="13:24" s="11" customFormat="1" ht="18.45">
      <c r="M126" s="24"/>
      <c r="X126" s="25"/>
    </row>
    <row r="127" spans="13:24" s="11" customFormat="1" ht="18.45">
      <c r="M127" s="24"/>
      <c r="X127" s="25"/>
    </row>
    <row r="128" spans="13:24" s="11" customFormat="1" ht="18.45">
      <c r="M128" s="24"/>
      <c r="X128" s="25"/>
    </row>
    <row r="129" spans="13:24" s="11" customFormat="1" ht="18.45">
      <c r="M129" s="24"/>
      <c r="X129" s="25"/>
    </row>
    <row r="130" spans="13:24" s="11" customFormat="1" ht="18.45">
      <c r="M130" s="24"/>
      <c r="X130" s="25"/>
    </row>
    <row r="131" spans="13:24" s="11" customFormat="1" ht="18.45">
      <c r="M131" s="24"/>
      <c r="X131" s="25"/>
    </row>
    <row r="132" spans="13:24" s="11" customFormat="1" ht="18.45">
      <c r="M132" s="24"/>
      <c r="X132" s="25"/>
    </row>
    <row r="133" spans="13:24" s="11" customFormat="1" ht="18.45">
      <c r="M133" s="24"/>
      <c r="X133" s="25"/>
    </row>
    <row r="134" spans="13:24" s="11" customFormat="1" ht="18.45">
      <c r="M134" s="24"/>
      <c r="X134" s="25"/>
    </row>
    <row r="135" spans="13:24" s="11" customFormat="1" ht="18.45">
      <c r="M135" s="24"/>
      <c r="X135" s="25"/>
    </row>
    <row r="136" spans="13:24" s="11" customFormat="1" ht="18.45">
      <c r="M136" s="24"/>
      <c r="X136" s="25"/>
    </row>
    <row r="137" spans="13:24" s="11" customFormat="1" ht="18.45">
      <c r="M137" s="24"/>
      <c r="X137" s="25"/>
    </row>
    <row r="138" spans="13:24" s="11" customFormat="1" ht="18.45">
      <c r="M138" s="24"/>
      <c r="X138" s="25"/>
    </row>
    <row r="139" spans="13:24" s="11" customFormat="1" ht="18.45">
      <c r="M139" s="24"/>
      <c r="X139" s="25"/>
    </row>
    <row r="140" spans="13:24" s="11" customFormat="1" ht="18.45">
      <c r="M140" s="24"/>
      <c r="X140" s="25"/>
    </row>
    <row r="141" spans="13:24" s="11" customFormat="1" ht="18.45">
      <c r="M141" s="24"/>
      <c r="X141" s="25"/>
    </row>
    <row r="142" spans="13:24" s="11" customFormat="1" ht="18.45">
      <c r="M142" s="24"/>
      <c r="X142" s="25"/>
    </row>
    <row r="143" spans="13:24" s="11" customFormat="1" ht="18.45">
      <c r="M143" s="24"/>
      <c r="X143" s="25"/>
    </row>
    <row r="144" spans="13:24" s="11" customFormat="1" ht="18.45">
      <c r="M144" s="24"/>
      <c r="X144" s="25"/>
    </row>
    <row r="145" spans="13:24" s="11" customFormat="1" ht="18.45">
      <c r="M145" s="24"/>
      <c r="X145" s="25"/>
    </row>
    <row r="146" spans="13:24" s="11" customFormat="1" ht="18.45">
      <c r="M146" s="24"/>
      <c r="X146" s="25"/>
    </row>
    <row r="147" spans="13:24" s="11" customFormat="1" ht="18.45">
      <c r="M147" s="24"/>
      <c r="X147" s="25"/>
    </row>
    <row r="148" spans="13:24" s="11" customFormat="1" ht="18.45">
      <c r="M148" s="24"/>
      <c r="X148" s="25"/>
    </row>
    <row r="149" spans="13:24" s="11" customFormat="1" ht="18.45">
      <c r="M149" s="24"/>
      <c r="X149" s="25"/>
    </row>
    <row r="150" spans="13:24" s="11" customFormat="1" ht="18.45">
      <c r="M150" s="24"/>
      <c r="X150" s="25"/>
    </row>
    <row r="151" spans="13:24" s="11" customFormat="1" ht="18.45">
      <c r="M151" s="24"/>
      <c r="X151" s="25"/>
    </row>
    <row r="152" spans="13:24" s="11" customFormat="1" ht="18.45">
      <c r="M152" s="24"/>
      <c r="X152" s="25"/>
    </row>
    <row r="153" spans="13:24" s="11" customFormat="1" ht="18.45">
      <c r="M153" s="24"/>
      <c r="X153" s="25"/>
    </row>
    <row r="154" spans="13:24" s="11" customFormat="1" ht="18.45">
      <c r="M154" s="24"/>
      <c r="X154" s="25"/>
    </row>
    <row r="155" spans="13:24" s="11" customFormat="1" ht="18.45">
      <c r="M155" s="24"/>
      <c r="X155" s="25"/>
    </row>
    <row r="156" spans="13:24" s="11" customFormat="1" ht="18.45">
      <c r="M156" s="24"/>
      <c r="X156" s="25"/>
    </row>
    <row r="157" spans="13:24" s="11" customFormat="1" ht="18.45">
      <c r="M157" s="24"/>
      <c r="X157" s="25"/>
    </row>
    <row r="158" spans="13:24" s="11" customFormat="1" ht="18.45">
      <c r="M158" s="24"/>
      <c r="X158" s="25"/>
    </row>
    <row r="159" spans="13:24" s="11" customFormat="1" ht="18.45">
      <c r="M159" s="24"/>
      <c r="X159" s="25"/>
    </row>
    <row r="160" spans="13:24" s="11" customFormat="1" ht="18.45">
      <c r="M160" s="24"/>
      <c r="X160" s="25"/>
    </row>
    <row r="161" spans="13:24" s="11" customFormat="1" ht="18.45">
      <c r="M161" s="24"/>
      <c r="X161" s="25"/>
    </row>
    <row r="162" spans="13:24" s="11" customFormat="1" ht="18.45">
      <c r="M162" s="24"/>
      <c r="X162" s="25"/>
    </row>
    <row r="163" spans="13:24" s="11" customFormat="1" ht="18.45">
      <c r="M163" s="24"/>
      <c r="X163" s="25"/>
    </row>
    <row r="164" spans="13:24" s="11" customFormat="1" ht="18.45">
      <c r="M164" s="24"/>
      <c r="X164" s="25"/>
    </row>
    <row r="165" spans="13:24" s="11" customFormat="1" ht="18.45">
      <c r="M165" s="24"/>
      <c r="X165" s="25"/>
    </row>
    <row r="166" spans="13:24" s="11" customFormat="1" ht="18.45">
      <c r="M166" s="24"/>
      <c r="X166" s="25"/>
    </row>
    <row r="167" spans="13:24" s="11" customFormat="1" ht="18.45">
      <c r="M167" s="24"/>
      <c r="X167" s="25"/>
    </row>
    <row r="168" spans="13:24" s="11" customFormat="1" ht="18.45">
      <c r="M168" s="24"/>
      <c r="X168" s="25"/>
    </row>
    <row r="169" spans="13:24" s="11" customFormat="1" ht="18.45">
      <c r="M169" s="24"/>
      <c r="X169" s="25"/>
    </row>
    <row r="170" spans="13:24" s="11" customFormat="1" ht="18.45">
      <c r="M170" s="24"/>
      <c r="X170" s="25"/>
    </row>
    <row r="171" spans="13:24" s="11" customFormat="1" ht="18.45">
      <c r="M171" s="24"/>
      <c r="X171" s="25"/>
    </row>
    <row r="172" spans="13:24" s="11" customFormat="1" ht="18.45">
      <c r="M172" s="24"/>
      <c r="X172" s="25"/>
    </row>
    <row r="173" spans="13:24" s="11" customFormat="1" ht="18.45">
      <c r="M173" s="24"/>
      <c r="X173" s="25"/>
    </row>
    <row r="174" spans="13:24" s="11" customFormat="1" ht="18.45">
      <c r="M174" s="24"/>
      <c r="X174" s="25"/>
    </row>
    <row r="175" spans="13:24" s="11" customFormat="1" ht="18.45">
      <c r="M175" s="24"/>
      <c r="X175" s="25"/>
    </row>
    <row r="176" spans="13:24" s="11" customFormat="1" ht="18.45">
      <c r="M176" s="24"/>
      <c r="X176" s="25"/>
    </row>
    <row r="177" spans="13:24" s="11" customFormat="1" ht="18.45">
      <c r="M177" s="24"/>
      <c r="X177" s="25"/>
    </row>
    <row r="178" spans="13:24" s="11" customFormat="1" ht="18.45">
      <c r="M178" s="24"/>
      <c r="X178" s="25"/>
    </row>
    <row r="179" spans="13:24" s="11" customFormat="1" ht="18.45">
      <c r="M179" s="24"/>
      <c r="X179" s="25"/>
    </row>
    <row r="180" spans="13:24" s="11" customFormat="1" ht="18.45">
      <c r="M180" s="24"/>
      <c r="X180" s="25"/>
    </row>
    <row r="181" spans="13:24" s="11" customFormat="1" ht="18.45">
      <c r="M181" s="24"/>
      <c r="X181" s="25"/>
    </row>
    <row r="182" spans="13:24" s="11" customFormat="1" ht="18.45">
      <c r="M182" s="24"/>
      <c r="X182" s="25"/>
    </row>
    <row r="183" spans="13:24" s="11" customFormat="1" ht="18.45">
      <c r="M183" s="24"/>
      <c r="X183" s="25"/>
    </row>
    <row r="184" spans="13:24" s="11" customFormat="1" ht="18.45">
      <c r="M184" s="24"/>
      <c r="X184" s="25"/>
    </row>
    <row r="185" spans="13:24" s="11" customFormat="1" ht="18.45">
      <c r="M185" s="24"/>
      <c r="X185" s="25"/>
    </row>
    <row r="186" spans="13:24" s="11" customFormat="1" ht="18.45">
      <c r="M186" s="24"/>
      <c r="X186" s="25"/>
    </row>
    <row r="187" spans="13:24" s="11" customFormat="1" ht="18.45">
      <c r="M187" s="24"/>
      <c r="X187" s="25"/>
    </row>
    <row r="188" spans="13:24" s="11" customFormat="1" ht="18.45">
      <c r="M188" s="24"/>
      <c r="X188" s="25"/>
    </row>
    <row r="189" spans="13:24" s="11" customFormat="1" ht="18.45">
      <c r="M189" s="24"/>
      <c r="X189" s="25"/>
    </row>
    <row r="190" spans="13:24" s="11" customFormat="1" ht="18.45">
      <c r="M190" s="24"/>
      <c r="X190" s="25"/>
    </row>
    <row r="191" spans="13:24" s="11" customFormat="1" ht="18.45">
      <c r="M191" s="24"/>
      <c r="X191" s="25"/>
    </row>
    <row r="192" spans="13:24" s="11" customFormat="1" ht="18.45">
      <c r="M192" s="24"/>
      <c r="X192" s="25"/>
    </row>
    <row r="193" spans="13:24" s="11" customFormat="1" ht="18.45">
      <c r="M193" s="24"/>
      <c r="X193" s="25"/>
    </row>
    <row r="194" spans="13:24" s="11" customFormat="1" ht="18.45">
      <c r="M194" s="24"/>
      <c r="X194" s="25"/>
    </row>
    <row r="195" spans="13:24" s="11" customFormat="1" ht="18.45">
      <c r="M195" s="24"/>
      <c r="X195" s="25"/>
    </row>
    <row r="196" spans="13:24" s="11" customFormat="1" ht="18.45">
      <c r="M196" s="24"/>
      <c r="X196" s="25"/>
    </row>
    <row r="197" spans="13:24" s="11" customFormat="1" ht="18.45">
      <c r="M197" s="24"/>
      <c r="X197" s="25"/>
    </row>
    <row r="198" spans="13:24" s="11" customFormat="1" ht="18.45">
      <c r="M198" s="24"/>
      <c r="X198" s="25"/>
    </row>
    <row r="199" spans="13:24" s="11" customFormat="1" ht="18.45">
      <c r="M199" s="24"/>
      <c r="X199" s="25"/>
    </row>
    <row r="200" spans="13:24" s="11" customFormat="1" ht="18.45">
      <c r="M200" s="24"/>
      <c r="X200" s="25"/>
    </row>
    <row r="201" spans="13:24" s="11" customFormat="1" ht="18.45">
      <c r="M201" s="24"/>
      <c r="X201" s="25"/>
    </row>
    <row r="202" spans="13:24" s="11" customFormat="1" ht="18.45">
      <c r="M202" s="24"/>
      <c r="X202" s="25"/>
    </row>
    <row r="203" spans="13:24" s="11" customFormat="1" ht="18.45">
      <c r="M203" s="24"/>
      <c r="X203" s="25"/>
    </row>
    <row r="204" spans="13:24" s="11" customFormat="1" ht="18.45">
      <c r="M204" s="24"/>
      <c r="X204" s="25"/>
    </row>
    <row r="205" spans="13:24" s="11" customFormat="1" ht="18.45">
      <c r="M205" s="24"/>
      <c r="X205" s="25"/>
    </row>
    <row r="206" spans="13:24" s="11" customFormat="1" ht="18.45">
      <c r="M206" s="24"/>
      <c r="X206" s="25"/>
    </row>
    <row r="207" spans="13:24" s="11" customFormat="1" ht="18.45">
      <c r="M207" s="24"/>
      <c r="X207" s="25"/>
    </row>
    <row r="208" spans="13:24" s="11" customFormat="1" ht="18.45">
      <c r="M208" s="24"/>
      <c r="X208" s="25"/>
    </row>
    <row r="209" spans="13:24" s="11" customFormat="1" ht="18.45">
      <c r="M209" s="24"/>
      <c r="X209" s="25"/>
    </row>
    <row r="210" spans="13:24" s="11" customFormat="1" ht="18.45">
      <c r="M210" s="24"/>
      <c r="X210" s="25"/>
    </row>
    <row r="211" spans="13:24" s="11" customFormat="1" ht="18.45">
      <c r="M211" s="24"/>
      <c r="X211" s="25"/>
    </row>
    <row r="212" spans="13:24" s="11" customFormat="1" ht="18.45">
      <c r="M212" s="24"/>
      <c r="X212" s="25"/>
    </row>
    <row r="213" spans="13:24" s="11" customFormat="1" ht="18.45">
      <c r="M213" s="24"/>
      <c r="X213" s="25"/>
    </row>
    <row r="214" spans="13:24" s="11" customFormat="1" ht="18.45">
      <c r="M214" s="24"/>
      <c r="X214" s="25"/>
    </row>
    <row r="215" spans="13:24" s="11" customFormat="1" ht="18.45">
      <c r="M215" s="24"/>
      <c r="X215" s="25"/>
    </row>
    <row r="216" spans="13:24" s="11" customFormat="1" ht="18.45">
      <c r="M216" s="24"/>
      <c r="X216" s="25"/>
    </row>
    <row r="217" spans="13:24" s="11" customFormat="1" ht="18.45">
      <c r="M217" s="24"/>
      <c r="X217" s="25"/>
    </row>
    <row r="218" spans="13:24" s="11" customFormat="1" ht="18.45">
      <c r="M218" s="24"/>
      <c r="X218" s="25"/>
    </row>
    <row r="219" spans="13:24" s="11" customFormat="1" ht="18.45">
      <c r="M219" s="24"/>
      <c r="X219" s="25"/>
    </row>
    <row r="220" spans="13:24" s="11" customFormat="1" ht="18.45">
      <c r="M220" s="24"/>
      <c r="X220" s="25"/>
    </row>
    <row r="221" spans="13:24" s="11" customFormat="1" ht="18.45">
      <c r="M221" s="24"/>
      <c r="X221" s="25"/>
    </row>
    <row r="222" spans="13:24" s="11" customFormat="1" ht="18.45">
      <c r="M222" s="24"/>
      <c r="X222" s="25"/>
    </row>
    <row r="223" spans="13:24" s="11" customFormat="1" ht="18.45">
      <c r="M223" s="24"/>
      <c r="X223" s="25"/>
    </row>
    <row r="224" spans="13:24" s="11" customFormat="1" ht="18.45">
      <c r="M224" s="24"/>
      <c r="X224" s="25"/>
    </row>
    <row r="225" spans="13:24" s="11" customFormat="1" ht="18.45">
      <c r="M225" s="24"/>
      <c r="X225" s="25"/>
    </row>
    <row r="226" spans="13:24" s="11" customFormat="1" ht="18.45">
      <c r="M226" s="24"/>
      <c r="X226" s="25"/>
    </row>
    <row r="227" spans="13:24" s="11" customFormat="1" ht="18.45">
      <c r="M227" s="24"/>
      <c r="X227" s="25"/>
    </row>
    <row r="228" spans="13:24" s="11" customFormat="1" ht="18.45">
      <c r="M228" s="24"/>
      <c r="X228" s="25"/>
    </row>
    <row r="229" spans="13:24" s="11" customFormat="1" ht="18.45">
      <c r="M229" s="24"/>
      <c r="X229" s="25"/>
    </row>
    <row r="230" spans="13:24" s="11" customFormat="1" ht="18.45">
      <c r="M230" s="24"/>
      <c r="X230" s="25"/>
    </row>
    <row r="231" spans="13:24" s="11" customFormat="1" ht="18.45">
      <c r="M231" s="24"/>
      <c r="X231" s="25"/>
    </row>
    <row r="232" spans="13:24" s="11" customFormat="1" ht="18.45">
      <c r="M232" s="24"/>
      <c r="X232" s="25"/>
    </row>
    <row r="233" spans="13:24" s="11" customFormat="1" ht="18.45">
      <c r="M233" s="24"/>
      <c r="X233" s="25"/>
    </row>
    <row r="234" spans="13:24" s="11" customFormat="1" ht="18.45">
      <c r="M234" s="24"/>
      <c r="X234" s="25"/>
    </row>
    <row r="235" spans="13:24" s="11" customFormat="1" ht="18.45">
      <c r="M235" s="24"/>
      <c r="X235" s="25"/>
    </row>
    <row r="236" spans="13:24" s="11" customFormat="1" ht="18.45">
      <c r="M236" s="24"/>
      <c r="X236" s="25"/>
    </row>
    <row r="237" spans="13:24" s="11" customFormat="1" ht="18.45">
      <c r="M237" s="24"/>
      <c r="X237" s="25"/>
    </row>
    <row r="238" spans="13:24" s="11" customFormat="1" ht="18.45">
      <c r="M238" s="24"/>
      <c r="X238" s="25"/>
    </row>
    <row r="239" spans="13:24" s="11" customFormat="1" ht="18.45">
      <c r="M239" s="24"/>
      <c r="X239" s="25"/>
    </row>
    <row r="240" spans="13:24" s="11" customFormat="1" ht="18.45">
      <c r="M240" s="24"/>
      <c r="X240" s="25"/>
    </row>
    <row r="241" spans="13:24" s="11" customFormat="1" ht="18.45">
      <c r="M241" s="24"/>
      <c r="X241" s="25"/>
    </row>
    <row r="242" spans="13:24" s="11" customFormat="1" ht="18.45">
      <c r="M242" s="24"/>
      <c r="X242" s="25"/>
    </row>
    <row r="243" spans="13:24" s="11" customFormat="1" ht="18.45">
      <c r="M243" s="24"/>
      <c r="X243" s="25"/>
    </row>
    <row r="244" spans="13:24" s="11" customFormat="1" ht="18.45">
      <c r="M244" s="24"/>
      <c r="X244" s="25"/>
    </row>
    <row r="245" spans="13:24" s="11" customFormat="1" ht="18.45">
      <c r="M245" s="24"/>
      <c r="X245" s="25"/>
    </row>
    <row r="246" spans="13:24" s="11" customFormat="1" ht="18.45">
      <c r="M246" s="24"/>
      <c r="X246" s="25"/>
    </row>
    <row r="247" spans="13:24" s="11" customFormat="1" ht="18.45">
      <c r="M247" s="24"/>
      <c r="X247" s="25"/>
    </row>
    <row r="248" spans="13:24" s="11" customFormat="1" ht="18.45">
      <c r="M248" s="24"/>
      <c r="X248" s="25"/>
    </row>
    <row r="249" spans="13:24" s="11" customFormat="1" ht="18.45">
      <c r="M249" s="24"/>
      <c r="X249" s="25"/>
    </row>
    <row r="250" spans="13:24" s="11" customFormat="1" ht="18.45">
      <c r="M250" s="24"/>
      <c r="X250" s="25"/>
    </row>
    <row r="251" spans="13:24" s="11" customFormat="1" ht="18.45">
      <c r="M251" s="24"/>
      <c r="X251" s="25"/>
    </row>
    <row r="252" spans="13:24" s="11" customFormat="1" ht="18.45">
      <c r="M252" s="24"/>
      <c r="X252" s="25"/>
    </row>
    <row r="253" spans="13:24" s="11" customFormat="1" ht="18.45">
      <c r="M253" s="24"/>
      <c r="X253" s="25"/>
    </row>
    <row r="254" spans="13:24" s="11" customFormat="1" ht="18.45">
      <c r="M254" s="24"/>
      <c r="X254" s="25"/>
    </row>
    <row r="255" spans="13:24" s="11" customFormat="1" ht="18.45">
      <c r="M255" s="24"/>
      <c r="X255" s="25"/>
    </row>
    <row r="256" spans="13:24" s="11" customFormat="1" ht="18.45">
      <c r="M256" s="24"/>
      <c r="X256" s="25"/>
    </row>
    <row r="257" spans="13:24" s="11" customFormat="1" ht="18.45">
      <c r="M257" s="24"/>
      <c r="X257" s="25"/>
    </row>
    <row r="258" spans="13:24" s="11" customFormat="1" ht="18.45">
      <c r="M258" s="24"/>
      <c r="X258" s="25"/>
    </row>
    <row r="259" spans="13:24" s="11" customFormat="1" ht="18.45">
      <c r="M259" s="24"/>
      <c r="X259" s="25"/>
    </row>
    <row r="260" spans="13:24" s="11" customFormat="1" ht="18.45">
      <c r="M260" s="24"/>
      <c r="X260" s="25"/>
    </row>
    <row r="261" spans="13:24" s="11" customFormat="1" ht="18.45">
      <c r="M261" s="24"/>
      <c r="X261" s="25"/>
    </row>
    <row r="262" spans="13:24" s="11" customFormat="1" ht="18.45">
      <c r="M262" s="24"/>
      <c r="X262" s="25"/>
    </row>
    <row r="263" spans="13:24" s="11" customFormat="1" ht="18.45">
      <c r="M263" s="24"/>
      <c r="X263" s="25"/>
    </row>
    <row r="264" spans="13:24" s="11" customFormat="1" ht="18.45">
      <c r="M264" s="24"/>
      <c r="X264" s="25"/>
    </row>
    <row r="265" spans="13:24" s="11" customFormat="1" ht="18.45">
      <c r="M265" s="24"/>
      <c r="X265" s="25"/>
    </row>
    <row r="266" spans="13:24" s="11" customFormat="1" ht="18.45">
      <c r="M266" s="24"/>
      <c r="X266" s="25"/>
    </row>
    <row r="267" spans="13:24" s="11" customFormat="1" ht="18.45">
      <c r="M267" s="24"/>
      <c r="X267" s="25"/>
    </row>
    <row r="268" spans="13:24" s="11" customFormat="1" ht="18.45">
      <c r="M268" s="24"/>
      <c r="X268" s="25"/>
    </row>
    <row r="269" spans="13:24" s="11" customFormat="1" ht="18.45">
      <c r="M269" s="24"/>
      <c r="X269" s="25"/>
    </row>
    <row r="270" spans="13:24" s="11" customFormat="1" ht="18.45">
      <c r="M270" s="24"/>
      <c r="X270" s="25"/>
    </row>
    <row r="271" spans="13:24" s="11" customFormat="1" ht="18.45">
      <c r="M271" s="24"/>
      <c r="X271" s="25"/>
    </row>
    <row r="272" spans="13:24" s="11" customFormat="1" ht="18.45">
      <c r="M272" s="24"/>
      <c r="X272" s="25"/>
    </row>
    <row r="273" spans="13:24" s="11" customFormat="1" ht="18.45">
      <c r="M273" s="24"/>
      <c r="X273" s="25"/>
    </row>
    <row r="274" spans="13:24" s="11" customFormat="1" ht="18.45">
      <c r="M274" s="24"/>
      <c r="X274" s="25"/>
    </row>
    <row r="275" spans="13:24" s="11" customFormat="1" ht="18.45">
      <c r="M275" s="24"/>
      <c r="X275" s="25"/>
    </row>
    <row r="276" spans="13:24" s="11" customFormat="1" ht="18.45">
      <c r="M276" s="24"/>
      <c r="X276" s="25"/>
    </row>
    <row r="277" spans="13:24" s="11" customFormat="1" ht="18.45">
      <c r="M277" s="24"/>
      <c r="X277" s="25"/>
    </row>
    <row r="278" spans="13:24" s="11" customFormat="1" ht="18.45">
      <c r="M278" s="24"/>
      <c r="X278" s="25"/>
    </row>
    <row r="279" spans="13:24" s="11" customFormat="1" ht="18.45">
      <c r="M279" s="24"/>
      <c r="X279" s="25"/>
    </row>
    <row r="280" spans="13:24" s="11" customFormat="1" ht="18.45">
      <c r="M280" s="24"/>
      <c r="X280" s="25"/>
    </row>
    <row r="281" spans="13:24" s="11" customFormat="1" ht="18.45">
      <c r="M281" s="24"/>
      <c r="X281" s="25"/>
    </row>
    <row r="282" spans="13:24" s="11" customFormat="1" ht="18.45">
      <c r="M282" s="24"/>
      <c r="X282" s="25"/>
    </row>
    <row r="283" spans="13:24" s="11" customFormat="1" ht="18.45">
      <c r="M283" s="24"/>
      <c r="X283" s="25"/>
    </row>
    <row r="284" spans="13:24" s="11" customFormat="1" ht="18.45">
      <c r="M284" s="24"/>
      <c r="X284" s="25"/>
    </row>
    <row r="285" spans="13:24" s="11" customFormat="1" ht="18.45">
      <c r="M285" s="24"/>
      <c r="X285" s="25"/>
    </row>
    <row r="286" spans="13:24" s="11" customFormat="1" ht="18.45">
      <c r="M286" s="24"/>
      <c r="X286" s="25"/>
    </row>
    <row r="287" spans="13:24" s="11" customFormat="1" ht="18.45">
      <c r="M287" s="24"/>
      <c r="X287" s="25"/>
    </row>
    <row r="288" spans="13:24" s="11" customFormat="1" ht="18.45">
      <c r="M288" s="24"/>
      <c r="X288" s="25"/>
    </row>
    <row r="289" spans="13:24" s="11" customFormat="1" ht="18.45">
      <c r="M289" s="24"/>
      <c r="X289" s="25"/>
    </row>
    <row r="290" spans="13:24" s="11" customFormat="1" ht="18.45">
      <c r="M290" s="24"/>
      <c r="X290" s="25"/>
    </row>
    <row r="291" spans="13:24" s="11" customFormat="1" ht="18.45">
      <c r="M291" s="24"/>
      <c r="X291" s="25"/>
    </row>
    <row r="292" spans="13:24" s="11" customFormat="1" ht="18.45">
      <c r="M292" s="24"/>
      <c r="X292" s="25"/>
    </row>
    <row r="293" spans="13:24" s="11" customFormat="1" ht="18.45">
      <c r="M293" s="24"/>
      <c r="X293" s="25"/>
    </row>
    <row r="294" spans="13:24" s="11" customFormat="1" ht="18.45">
      <c r="M294" s="24"/>
      <c r="X294" s="25"/>
    </row>
    <row r="295" spans="13:24" s="11" customFormat="1" ht="18.45">
      <c r="M295" s="24"/>
      <c r="X295" s="25"/>
    </row>
    <row r="296" spans="13:24" s="11" customFormat="1" ht="18.45">
      <c r="M296" s="24"/>
      <c r="X296" s="25"/>
    </row>
    <row r="297" spans="13:24" s="11" customFormat="1" ht="18.45">
      <c r="M297" s="24"/>
      <c r="X297" s="25"/>
    </row>
    <row r="298" spans="13:24" s="11" customFormat="1" ht="18.45">
      <c r="M298" s="24"/>
      <c r="X298" s="25"/>
    </row>
    <row r="299" spans="13:24" s="11" customFormat="1" ht="18.45">
      <c r="M299" s="24"/>
      <c r="X299" s="25"/>
    </row>
    <row r="300" spans="13:24" s="11" customFormat="1" ht="18.45">
      <c r="M300" s="24"/>
      <c r="X300" s="25"/>
    </row>
    <row r="301" spans="13:24" s="11" customFormat="1" ht="18.45">
      <c r="M301" s="24"/>
      <c r="X301" s="25"/>
    </row>
    <row r="302" spans="13:24" s="11" customFormat="1" ht="18.45">
      <c r="M302" s="24"/>
      <c r="X302" s="25"/>
    </row>
    <row r="303" spans="13:24" s="11" customFormat="1" ht="18.45">
      <c r="M303" s="24"/>
      <c r="X303" s="25"/>
    </row>
    <row r="304" spans="13:24" s="11" customFormat="1" ht="18.45">
      <c r="M304" s="24"/>
      <c r="X304" s="25"/>
    </row>
    <row r="305" spans="13:24" s="11" customFormat="1" ht="18.45">
      <c r="M305" s="24"/>
      <c r="X305" s="25"/>
    </row>
    <row r="306" spans="13:24" s="11" customFormat="1" ht="18.45">
      <c r="M306" s="24"/>
      <c r="X306" s="25"/>
    </row>
    <row r="307" spans="13:24" s="11" customFormat="1" ht="18.45">
      <c r="M307" s="24"/>
      <c r="X307" s="25"/>
    </row>
    <row r="308" spans="13:24" s="11" customFormat="1" ht="18.45">
      <c r="M308" s="24"/>
      <c r="X308" s="25"/>
    </row>
    <row r="309" spans="13:24" s="11" customFormat="1" ht="18.45">
      <c r="M309" s="24"/>
      <c r="X309" s="25"/>
    </row>
    <row r="310" spans="13:24" s="11" customFormat="1" ht="18.45">
      <c r="M310" s="24"/>
      <c r="X310" s="25"/>
    </row>
    <row r="311" spans="13:24" s="11" customFormat="1" ht="18.45">
      <c r="M311" s="24"/>
      <c r="X311" s="25"/>
    </row>
    <row r="312" spans="13:24" s="11" customFormat="1" ht="18.45">
      <c r="M312" s="24"/>
      <c r="X312" s="25"/>
    </row>
    <row r="313" spans="13:24" s="11" customFormat="1" ht="18.45">
      <c r="M313" s="24"/>
      <c r="X313" s="25"/>
    </row>
    <row r="314" spans="13:24" s="11" customFormat="1" ht="18.45">
      <c r="M314" s="24"/>
      <c r="X314" s="25"/>
    </row>
    <row r="315" spans="13:24" s="11" customFormat="1" ht="18.45">
      <c r="M315" s="24"/>
      <c r="X315" s="25"/>
    </row>
    <row r="316" spans="13:24" s="11" customFormat="1" ht="18.45">
      <c r="M316" s="24"/>
      <c r="X316" s="25"/>
    </row>
    <row r="317" spans="13:24" s="11" customFormat="1" ht="18.45">
      <c r="M317" s="24"/>
      <c r="X317" s="25"/>
    </row>
    <row r="318" spans="13:24" s="11" customFormat="1" ht="18.45">
      <c r="M318" s="24"/>
      <c r="X318" s="25"/>
    </row>
    <row r="319" spans="13:24" s="11" customFormat="1" ht="18.45">
      <c r="M319" s="24"/>
      <c r="X319" s="25"/>
    </row>
    <row r="320" spans="13:24" s="11" customFormat="1" ht="18.45">
      <c r="M320" s="24"/>
      <c r="X320" s="25"/>
    </row>
    <row r="321" spans="13:24" s="11" customFormat="1" ht="18.45">
      <c r="M321" s="24"/>
      <c r="X321" s="25"/>
    </row>
    <row r="322" spans="13:24" s="11" customFormat="1" ht="18.45">
      <c r="M322" s="24"/>
      <c r="X322" s="25"/>
    </row>
    <row r="323" spans="13:24" s="11" customFormat="1" ht="18.45">
      <c r="M323" s="24"/>
      <c r="X323" s="25"/>
    </row>
    <row r="324" spans="13:24" s="11" customFormat="1" ht="18.45">
      <c r="M324" s="24"/>
      <c r="X324" s="25"/>
    </row>
    <row r="325" spans="13:24" s="11" customFormat="1" ht="18.45">
      <c r="M325" s="24"/>
      <c r="X325" s="25"/>
    </row>
    <row r="326" spans="13:24" s="11" customFormat="1" ht="18.45">
      <c r="M326" s="24"/>
      <c r="X326" s="25"/>
    </row>
    <row r="327" spans="13:24" s="11" customFormat="1" ht="18.45">
      <c r="M327" s="24"/>
      <c r="X327" s="25"/>
    </row>
    <row r="328" spans="13:24" s="11" customFormat="1" ht="18.45">
      <c r="M328" s="24"/>
      <c r="X328" s="25"/>
    </row>
    <row r="329" spans="13:24" s="11" customFormat="1" ht="18.45">
      <c r="M329" s="24"/>
      <c r="X329" s="25"/>
    </row>
    <row r="330" spans="13:24" s="11" customFormat="1" ht="18.45">
      <c r="M330" s="24"/>
      <c r="X330" s="25"/>
    </row>
    <row r="331" spans="13:24" s="11" customFormat="1" ht="18.45">
      <c r="M331" s="24"/>
      <c r="X331" s="25"/>
    </row>
    <row r="332" spans="13:24" s="11" customFormat="1" ht="18.45">
      <c r="M332" s="24"/>
      <c r="X332" s="25"/>
    </row>
    <row r="333" spans="13:24" s="11" customFormat="1" ht="18.45">
      <c r="M333" s="24"/>
      <c r="X333" s="25"/>
    </row>
    <row r="334" spans="13:24" s="11" customFormat="1" ht="18.45">
      <c r="M334" s="24"/>
      <c r="X334" s="25"/>
    </row>
    <row r="335" spans="13:24" s="11" customFormat="1" ht="18.45">
      <c r="M335" s="24"/>
      <c r="X335" s="25"/>
    </row>
    <row r="336" spans="13:24" s="11" customFormat="1" ht="18.45">
      <c r="M336" s="24"/>
      <c r="X336" s="25"/>
    </row>
    <row r="337" spans="13:24" s="11" customFormat="1" ht="18.45">
      <c r="M337" s="24"/>
      <c r="X337" s="25"/>
    </row>
    <row r="338" spans="13:24" s="11" customFormat="1" ht="18.45">
      <c r="M338" s="24"/>
      <c r="X338" s="25"/>
    </row>
    <row r="339" spans="13:24" s="11" customFormat="1" ht="18.45">
      <c r="M339" s="24"/>
      <c r="X339" s="25"/>
    </row>
    <row r="340" spans="13:24" s="11" customFormat="1" ht="18.45">
      <c r="M340" s="24"/>
      <c r="X340" s="25"/>
    </row>
    <row r="341" spans="13:24" s="11" customFormat="1" ht="18.45">
      <c r="M341" s="24"/>
      <c r="X341" s="25"/>
    </row>
    <row r="342" spans="13:24" s="11" customFormat="1" ht="18.45">
      <c r="M342" s="24"/>
      <c r="X342" s="25"/>
    </row>
    <row r="343" spans="13:24" s="11" customFormat="1" ht="18.45">
      <c r="M343" s="24"/>
      <c r="X343" s="25"/>
    </row>
    <row r="344" spans="13:24" s="11" customFormat="1" ht="18.45">
      <c r="M344" s="24"/>
      <c r="X344" s="25"/>
    </row>
    <row r="345" spans="13:24" s="11" customFormat="1" ht="18.45">
      <c r="M345" s="24"/>
      <c r="X345" s="25"/>
    </row>
    <row r="346" spans="13:24" s="11" customFormat="1" ht="18.45">
      <c r="M346" s="24"/>
      <c r="X346" s="25"/>
    </row>
    <row r="347" spans="13:24" s="11" customFormat="1" ht="18.45">
      <c r="M347" s="24"/>
      <c r="X347" s="25"/>
    </row>
    <row r="348" spans="13:24" s="11" customFormat="1" ht="18.45">
      <c r="M348" s="24"/>
      <c r="X348" s="25"/>
    </row>
    <row r="349" spans="13:24" s="11" customFormat="1" ht="18.45">
      <c r="M349" s="24"/>
      <c r="X349" s="25"/>
    </row>
    <row r="350" spans="13:24" s="11" customFormat="1" ht="18.45">
      <c r="M350" s="24"/>
      <c r="X350" s="25"/>
    </row>
    <row r="351" spans="13:24" s="11" customFormat="1" ht="18.45">
      <c r="M351" s="24"/>
      <c r="X351" s="25"/>
    </row>
    <row r="352" spans="13:24" s="11" customFormat="1" ht="18.45">
      <c r="M352" s="24"/>
      <c r="X352" s="25"/>
    </row>
    <row r="353" spans="13:24" s="11" customFormat="1" ht="18.45">
      <c r="M353" s="24"/>
      <c r="X353" s="25"/>
    </row>
    <row r="354" spans="13:24" s="11" customFormat="1" ht="18.45">
      <c r="M354" s="24"/>
      <c r="X354" s="25"/>
    </row>
    <row r="355" spans="13:24" s="11" customFormat="1" ht="18.45">
      <c r="M355" s="24"/>
      <c r="X355" s="25"/>
    </row>
    <row r="356" spans="13:24" s="11" customFormat="1" ht="18.45">
      <c r="M356" s="24"/>
      <c r="X356" s="25"/>
    </row>
    <row r="357" spans="13:24" s="11" customFormat="1" ht="18.45">
      <c r="M357" s="24"/>
      <c r="X357" s="25"/>
    </row>
    <row r="358" spans="13:24" s="11" customFormat="1" ht="18.45">
      <c r="M358" s="24"/>
      <c r="X358" s="25"/>
    </row>
    <row r="359" spans="13:24" s="11" customFormat="1" ht="18.45">
      <c r="M359" s="24"/>
      <c r="X359" s="25"/>
    </row>
    <row r="360" spans="13:24" s="11" customFormat="1" ht="18.45">
      <c r="M360" s="24"/>
      <c r="X360" s="25"/>
    </row>
    <row r="361" spans="13:24" s="11" customFormat="1" ht="18.45">
      <c r="M361" s="24"/>
      <c r="X361" s="25"/>
    </row>
    <row r="362" spans="13:24" s="11" customFormat="1" ht="18.45">
      <c r="M362" s="24"/>
      <c r="X362" s="25"/>
    </row>
    <row r="363" spans="13:24" s="11" customFormat="1" ht="18.45">
      <c r="M363" s="24"/>
      <c r="X363" s="25"/>
    </row>
    <row r="364" spans="13:24" s="11" customFormat="1" ht="18.45">
      <c r="M364" s="24"/>
      <c r="X364" s="25"/>
    </row>
    <row r="365" spans="13:24" s="11" customFormat="1" ht="18.45">
      <c r="M365" s="24"/>
      <c r="X365" s="25"/>
    </row>
    <row r="366" spans="13:24" s="11" customFormat="1" ht="18.45">
      <c r="M366" s="24"/>
      <c r="X366" s="25"/>
    </row>
    <row r="367" spans="13:24" s="11" customFormat="1" ht="18.45">
      <c r="M367" s="24"/>
      <c r="X367" s="25"/>
    </row>
    <row r="368" spans="13:24" s="11" customFormat="1" ht="18.45">
      <c r="M368" s="24"/>
      <c r="X368" s="25"/>
    </row>
    <row r="369" spans="13:24" s="11" customFormat="1" ht="18.45">
      <c r="M369" s="24"/>
      <c r="X369" s="25"/>
    </row>
    <row r="370" spans="13:24" s="11" customFormat="1" ht="18.45">
      <c r="M370" s="24"/>
      <c r="X370" s="25"/>
    </row>
    <row r="371" spans="13:24" s="11" customFormat="1" ht="18.45">
      <c r="M371" s="24"/>
      <c r="X371" s="25"/>
    </row>
    <row r="372" spans="13:24" s="11" customFormat="1" ht="18.45">
      <c r="M372" s="24"/>
      <c r="X372" s="25"/>
    </row>
    <row r="373" spans="13:24" s="11" customFormat="1" ht="18.45">
      <c r="M373" s="24"/>
      <c r="X373" s="25"/>
    </row>
    <row r="374" spans="13:24" s="11" customFormat="1" ht="18.45">
      <c r="M374" s="24"/>
      <c r="X374" s="25"/>
    </row>
    <row r="375" spans="13:24" s="11" customFormat="1" ht="18.45">
      <c r="M375" s="24"/>
      <c r="X375" s="25"/>
    </row>
    <row r="376" spans="13:24" s="11" customFormat="1" ht="18.45">
      <c r="M376" s="24"/>
      <c r="X376" s="25"/>
    </row>
    <row r="377" spans="13:24" s="11" customFormat="1" ht="18.45">
      <c r="M377" s="24"/>
      <c r="X377" s="25"/>
    </row>
    <row r="378" spans="13:24" s="11" customFormat="1" ht="18.45">
      <c r="M378" s="24"/>
      <c r="X378" s="25"/>
    </row>
    <row r="379" spans="13:24" s="11" customFormat="1" ht="18.45">
      <c r="M379" s="24"/>
      <c r="X379" s="25"/>
    </row>
    <row r="380" spans="13:24" s="11" customFormat="1" ht="18.45">
      <c r="M380" s="24"/>
      <c r="X380" s="25"/>
    </row>
    <row r="381" spans="13:24" s="11" customFormat="1" ht="18.45">
      <c r="M381" s="24"/>
      <c r="X381" s="25"/>
    </row>
    <row r="382" spans="13:24" s="11" customFormat="1" ht="18.45">
      <c r="M382" s="24"/>
      <c r="X382" s="25"/>
    </row>
    <row r="383" spans="13:24" s="11" customFormat="1" ht="18.45">
      <c r="M383" s="24"/>
      <c r="X383" s="25"/>
    </row>
    <row r="384" spans="13:24" s="11" customFormat="1" ht="18.45">
      <c r="M384" s="24"/>
      <c r="X384" s="25"/>
    </row>
    <row r="385" spans="13:24" s="11" customFormat="1" ht="18.45">
      <c r="M385" s="24"/>
      <c r="X385" s="25"/>
    </row>
    <row r="386" spans="13:24" s="11" customFormat="1" ht="18.45">
      <c r="M386" s="24"/>
      <c r="X386" s="25"/>
    </row>
    <row r="387" spans="13:24" s="11" customFormat="1" ht="18.45">
      <c r="M387" s="24"/>
      <c r="X387" s="25"/>
    </row>
    <row r="388" spans="13:24" s="11" customFormat="1" ht="18.45">
      <c r="M388" s="24"/>
      <c r="X388" s="25"/>
    </row>
    <row r="389" spans="13:24" s="11" customFormat="1" ht="18.45">
      <c r="M389" s="24"/>
      <c r="X389" s="25"/>
    </row>
    <row r="390" spans="13:24" s="11" customFormat="1" ht="18.45">
      <c r="M390" s="24"/>
      <c r="X390" s="25"/>
    </row>
    <row r="391" spans="13:24" s="11" customFormat="1" ht="18.45">
      <c r="M391" s="24"/>
      <c r="X391" s="25"/>
    </row>
    <row r="392" spans="13:24" s="11" customFormat="1" ht="18.45">
      <c r="M392" s="24"/>
      <c r="X392" s="25"/>
    </row>
    <row r="393" spans="13:24" s="11" customFormat="1" ht="18.45">
      <c r="M393" s="24"/>
      <c r="X393" s="25"/>
    </row>
    <row r="394" spans="13:24" s="11" customFormat="1" ht="18.45">
      <c r="M394" s="24"/>
      <c r="X394" s="25"/>
    </row>
    <row r="395" spans="13:24" s="11" customFormat="1" ht="18.45">
      <c r="M395" s="24"/>
      <c r="X395" s="25"/>
    </row>
    <row r="396" spans="13:24" s="11" customFormat="1" ht="18.45">
      <c r="M396" s="24"/>
      <c r="X396" s="25"/>
    </row>
    <row r="397" spans="13:24" s="11" customFormat="1" ht="18.45">
      <c r="M397" s="24"/>
      <c r="X397" s="25"/>
    </row>
    <row r="398" spans="13:24" s="11" customFormat="1" ht="18.45">
      <c r="M398" s="24"/>
      <c r="X398" s="25"/>
    </row>
    <row r="399" spans="13:24" s="11" customFormat="1" ht="18.45">
      <c r="M399" s="24"/>
      <c r="X399" s="25"/>
    </row>
    <row r="400" spans="13:24" s="11" customFormat="1" ht="18.45">
      <c r="M400" s="24"/>
      <c r="X400" s="25"/>
    </row>
    <row r="401" spans="13:24" s="11" customFormat="1" ht="18.45">
      <c r="M401" s="24"/>
      <c r="X401" s="25"/>
    </row>
    <row r="402" spans="13:24" s="11" customFormat="1" ht="18.45">
      <c r="M402" s="24"/>
      <c r="X402" s="25"/>
    </row>
    <row r="403" spans="13:24" s="11" customFormat="1" ht="18.45">
      <c r="M403" s="24"/>
      <c r="X403" s="25"/>
    </row>
    <row r="404" spans="13:24" s="11" customFormat="1" ht="18.45">
      <c r="M404" s="24"/>
      <c r="X404" s="25"/>
    </row>
    <row r="405" spans="13:24" s="11" customFormat="1" ht="18.45">
      <c r="M405" s="24"/>
      <c r="X405" s="25"/>
    </row>
    <row r="406" spans="13:24" s="11" customFormat="1" ht="18.45">
      <c r="M406" s="24"/>
      <c r="X406" s="25"/>
    </row>
    <row r="407" spans="13:24" s="11" customFormat="1" ht="18.45">
      <c r="M407" s="24"/>
      <c r="X407" s="25"/>
    </row>
    <row r="408" spans="13:24" s="11" customFormat="1" ht="18.45">
      <c r="M408" s="24"/>
      <c r="X408" s="25"/>
    </row>
    <row r="409" spans="13:24" s="11" customFormat="1" ht="18.45">
      <c r="M409" s="24"/>
      <c r="X409" s="25"/>
    </row>
    <row r="410" spans="13:24" s="11" customFormat="1" ht="18.45">
      <c r="M410" s="24"/>
      <c r="X410" s="25"/>
    </row>
    <row r="411" spans="13:24" s="11" customFormat="1" ht="18.45">
      <c r="M411" s="24"/>
      <c r="X411" s="25"/>
    </row>
    <row r="412" spans="13:24" s="11" customFormat="1" ht="18.45">
      <c r="M412" s="24"/>
      <c r="X412" s="25"/>
    </row>
    <row r="413" spans="13:24" s="11" customFormat="1" ht="18.45">
      <c r="M413" s="24"/>
      <c r="X413" s="25"/>
    </row>
    <row r="414" spans="13:24" s="11" customFormat="1" ht="18.45">
      <c r="M414" s="24"/>
      <c r="X414" s="25"/>
    </row>
    <row r="415" spans="13:24" s="11" customFormat="1" ht="18.45">
      <c r="M415" s="24"/>
      <c r="X415" s="25"/>
    </row>
    <row r="416" spans="13:24" s="11" customFormat="1" ht="18.45">
      <c r="M416" s="24"/>
      <c r="X416" s="25"/>
    </row>
    <row r="417" spans="13:24" s="11" customFormat="1" ht="18.45">
      <c r="M417" s="24"/>
      <c r="X417" s="25"/>
    </row>
    <row r="418" spans="13:24" s="11" customFormat="1" ht="18.45">
      <c r="M418" s="24"/>
      <c r="X418" s="25"/>
    </row>
    <row r="419" spans="13:24" s="11" customFormat="1" ht="18.45">
      <c r="M419" s="24"/>
      <c r="X419" s="25"/>
    </row>
    <row r="420" spans="13:24" s="11" customFormat="1" ht="18.45">
      <c r="M420" s="24"/>
      <c r="X420" s="25"/>
    </row>
    <row r="421" spans="13:24" s="11" customFormat="1" ht="18.45">
      <c r="M421" s="24"/>
      <c r="X421" s="25"/>
    </row>
    <row r="422" spans="13:24" s="11" customFormat="1" ht="18.45">
      <c r="M422" s="24"/>
      <c r="X422" s="25"/>
    </row>
    <row r="423" spans="13:24" s="11" customFormat="1" ht="18.45">
      <c r="M423" s="24"/>
      <c r="X423" s="25"/>
    </row>
    <row r="424" spans="13:24" s="11" customFormat="1" ht="18.45">
      <c r="M424" s="24"/>
      <c r="X424" s="25"/>
    </row>
    <row r="425" spans="13:24" s="11" customFormat="1" ht="18.45">
      <c r="M425" s="24"/>
      <c r="X425" s="25"/>
    </row>
    <row r="426" spans="13:24" s="11" customFormat="1" ht="18.45">
      <c r="M426" s="24"/>
      <c r="X426" s="25"/>
    </row>
    <row r="427" spans="13:24" s="11" customFormat="1" ht="18.45">
      <c r="M427" s="24"/>
      <c r="X427" s="25"/>
    </row>
    <row r="428" spans="13:24" s="11" customFormat="1" ht="18.45">
      <c r="M428" s="24"/>
      <c r="X428" s="25"/>
    </row>
    <row r="429" spans="13:24" s="11" customFormat="1" ht="18.45">
      <c r="M429" s="24"/>
      <c r="X429" s="25"/>
    </row>
    <row r="430" spans="13:24" s="11" customFormat="1" ht="18.45">
      <c r="M430" s="24"/>
      <c r="X430" s="25"/>
    </row>
    <row r="431" spans="13:24" s="11" customFormat="1" ht="18.45">
      <c r="M431" s="24"/>
      <c r="X431" s="25"/>
    </row>
    <row r="432" spans="13:24" s="11" customFormat="1" ht="18.45">
      <c r="M432" s="24"/>
      <c r="X432" s="25"/>
    </row>
    <row r="433" spans="13:24" s="11" customFormat="1" ht="18.45">
      <c r="M433" s="24"/>
      <c r="X433" s="25"/>
    </row>
    <row r="434" spans="13:24" s="11" customFormat="1" ht="18.45">
      <c r="M434" s="24"/>
      <c r="X434" s="25"/>
    </row>
    <row r="435" spans="13:24" s="11" customFormat="1" ht="18.45">
      <c r="M435" s="24"/>
      <c r="X435" s="25"/>
    </row>
    <row r="436" spans="13:24" s="11" customFormat="1" ht="18.45">
      <c r="M436" s="24"/>
      <c r="X436" s="25"/>
    </row>
    <row r="437" spans="13:24" s="11" customFormat="1" ht="18.45">
      <c r="M437" s="24"/>
      <c r="X437" s="25"/>
    </row>
    <row r="438" spans="13:24" s="11" customFormat="1" ht="18.45">
      <c r="M438" s="24"/>
      <c r="X438" s="25"/>
    </row>
    <row r="439" spans="13:24" s="11" customFormat="1" ht="18.45">
      <c r="M439" s="24"/>
      <c r="X439" s="25"/>
    </row>
    <row r="440" spans="13:24" s="11" customFormat="1" ht="18.45">
      <c r="M440" s="24"/>
      <c r="X440" s="25"/>
    </row>
    <row r="441" spans="13:24" s="11" customFormat="1" ht="18.45">
      <c r="M441" s="24"/>
      <c r="X441" s="25"/>
    </row>
    <row r="442" spans="13:24" s="11" customFormat="1" ht="18.45">
      <c r="M442" s="24"/>
      <c r="X442" s="25"/>
    </row>
    <row r="443" spans="13:24" s="11" customFormat="1" ht="18.45">
      <c r="M443" s="24"/>
      <c r="X443" s="25"/>
    </row>
    <row r="444" spans="13:24" s="11" customFormat="1" ht="18.45">
      <c r="M444" s="24"/>
      <c r="X444" s="25"/>
    </row>
    <row r="445" spans="13:24" s="11" customFormat="1" ht="18.45">
      <c r="M445" s="24"/>
      <c r="X445" s="25"/>
    </row>
    <row r="446" spans="13:24" s="11" customFormat="1" ht="18.45">
      <c r="M446" s="24"/>
      <c r="X446" s="25"/>
    </row>
    <row r="447" spans="13:24" s="11" customFormat="1" ht="18.45">
      <c r="M447" s="24"/>
      <c r="X447" s="25"/>
    </row>
    <row r="448" spans="13:24" s="11" customFormat="1" ht="18.45">
      <c r="M448" s="24"/>
      <c r="X448" s="25"/>
    </row>
    <row r="449" spans="13:24" s="11" customFormat="1" ht="18.45">
      <c r="M449" s="24"/>
      <c r="X449" s="25"/>
    </row>
    <row r="450" spans="13:24" s="11" customFormat="1" ht="18.45">
      <c r="M450" s="24"/>
      <c r="X450" s="25"/>
    </row>
    <row r="451" spans="13:24" s="11" customFormat="1" ht="18.45">
      <c r="M451" s="24"/>
      <c r="X451" s="25"/>
    </row>
    <row r="452" spans="13:24" s="11" customFormat="1" ht="18.45">
      <c r="M452" s="24"/>
      <c r="X452" s="25"/>
    </row>
    <row r="453" spans="13:24" s="11" customFormat="1" ht="18.45">
      <c r="M453" s="24"/>
      <c r="X453" s="25"/>
    </row>
    <row r="454" spans="13:24" s="11" customFormat="1" ht="18.45">
      <c r="M454" s="24"/>
      <c r="X454" s="25"/>
    </row>
    <row r="455" spans="13:24" s="11" customFormat="1" ht="18.45">
      <c r="M455" s="24"/>
      <c r="X455" s="25"/>
    </row>
    <row r="456" spans="13:24" s="11" customFormat="1" ht="18.45">
      <c r="M456" s="24"/>
      <c r="X456" s="25"/>
    </row>
    <row r="457" spans="13:24" s="11" customFormat="1" ht="18.45">
      <c r="M457" s="24"/>
      <c r="X457" s="25"/>
    </row>
    <row r="458" spans="13:24" s="11" customFormat="1" ht="18.45">
      <c r="M458" s="24"/>
      <c r="X458" s="25"/>
    </row>
    <row r="459" spans="13:24" s="11" customFormat="1" ht="18.45">
      <c r="M459" s="24"/>
      <c r="X459" s="25"/>
    </row>
    <row r="460" spans="13:24" s="11" customFormat="1" ht="18.45">
      <c r="M460" s="24"/>
      <c r="X460" s="25"/>
    </row>
    <row r="461" spans="13:24" s="11" customFormat="1" ht="18.45">
      <c r="M461" s="24"/>
      <c r="X461" s="25"/>
    </row>
    <row r="462" spans="13:24" s="11" customFormat="1" ht="18.45">
      <c r="M462" s="24"/>
      <c r="X462" s="25"/>
    </row>
    <row r="463" spans="13:24" s="11" customFormat="1" ht="18.45">
      <c r="M463" s="24"/>
      <c r="X463" s="25"/>
    </row>
    <row r="464" spans="13:24" s="11" customFormat="1" ht="18.45">
      <c r="M464" s="24"/>
      <c r="X464" s="25"/>
    </row>
    <row r="465" spans="13:24" s="11" customFormat="1" ht="18.45">
      <c r="M465" s="24"/>
      <c r="X465" s="25"/>
    </row>
    <row r="466" spans="13:24" s="11" customFormat="1" ht="18.45">
      <c r="M466" s="24"/>
      <c r="X466" s="25"/>
    </row>
    <row r="467" spans="13:24" s="11" customFormat="1" ht="18.45">
      <c r="M467" s="24"/>
      <c r="X467" s="25"/>
    </row>
    <row r="468" spans="13:24" s="11" customFormat="1" ht="18.45">
      <c r="M468" s="24"/>
      <c r="X468" s="25"/>
    </row>
    <row r="469" spans="13:24" s="11" customFormat="1" ht="18.45">
      <c r="M469" s="24"/>
      <c r="X469" s="25"/>
    </row>
    <row r="470" spans="13:24" s="11" customFormat="1" ht="18.45">
      <c r="M470" s="24"/>
      <c r="X470" s="25"/>
    </row>
    <row r="471" spans="13:24" s="11" customFormat="1" ht="18.45">
      <c r="M471" s="24"/>
      <c r="X471" s="25"/>
    </row>
    <row r="472" spans="13:24" s="11" customFormat="1" ht="18.45">
      <c r="M472" s="24"/>
      <c r="X472" s="25"/>
    </row>
    <row r="473" spans="13:24" s="11" customFormat="1" ht="18.45">
      <c r="M473" s="24"/>
      <c r="X473" s="25"/>
    </row>
    <row r="474" spans="13:24" s="11" customFormat="1" ht="18.45">
      <c r="M474" s="24"/>
      <c r="X474" s="25"/>
    </row>
    <row r="475" spans="13:24" s="11" customFormat="1" ht="18.45">
      <c r="M475" s="24"/>
      <c r="X475" s="25"/>
    </row>
    <row r="476" spans="13:24" s="11" customFormat="1" ht="18.45">
      <c r="M476" s="24"/>
      <c r="X476" s="25"/>
    </row>
    <row r="477" spans="13:24" s="11" customFormat="1" ht="18.45">
      <c r="M477" s="24"/>
      <c r="X477" s="25"/>
    </row>
    <row r="478" spans="13:24" s="11" customFormat="1" ht="18.45">
      <c r="M478" s="24"/>
      <c r="X478" s="25"/>
    </row>
    <row r="479" spans="13:24" s="11" customFormat="1" ht="18.45">
      <c r="M479" s="24"/>
      <c r="X479" s="25"/>
    </row>
    <row r="480" spans="13:24" s="11" customFormat="1" ht="18.45">
      <c r="M480" s="24"/>
      <c r="X480" s="25"/>
    </row>
    <row r="481" spans="13:24" s="11" customFormat="1" ht="18.45">
      <c r="M481" s="24"/>
      <c r="X481" s="25"/>
    </row>
    <row r="482" spans="13:24" s="11" customFormat="1" ht="18.45">
      <c r="M482" s="24"/>
      <c r="X482" s="25"/>
    </row>
    <row r="483" spans="13:24" s="11" customFormat="1" ht="18.45">
      <c r="M483" s="24"/>
      <c r="X483" s="25"/>
    </row>
    <row r="484" spans="13:24" s="11" customFormat="1" ht="18.45">
      <c r="M484" s="24"/>
      <c r="X484" s="25"/>
    </row>
    <row r="485" spans="13:24" s="11" customFormat="1" ht="18.45">
      <c r="M485" s="24"/>
      <c r="X485" s="25"/>
    </row>
    <row r="486" spans="13:24" s="11" customFormat="1" ht="18.45">
      <c r="M486" s="24"/>
      <c r="X486" s="25"/>
    </row>
    <row r="487" spans="13:24" s="11" customFormat="1" ht="18.45">
      <c r="M487" s="24"/>
      <c r="X487" s="25"/>
    </row>
    <row r="488" spans="13:24" s="11" customFormat="1" ht="18.45">
      <c r="M488" s="24"/>
      <c r="X488" s="25"/>
    </row>
    <row r="489" spans="13:24" s="11" customFormat="1" ht="18.45">
      <c r="M489" s="24"/>
      <c r="X489" s="25"/>
    </row>
    <row r="490" spans="13:24" s="11" customFormat="1" ht="18.45">
      <c r="M490" s="24"/>
      <c r="X490" s="25"/>
    </row>
    <row r="491" spans="13:24" s="11" customFormat="1" ht="18.45">
      <c r="M491" s="24"/>
      <c r="X491" s="25"/>
    </row>
    <row r="492" spans="13:24" s="11" customFormat="1" ht="18.45">
      <c r="M492" s="24"/>
      <c r="X492" s="25"/>
    </row>
    <row r="493" spans="13:24" s="11" customFormat="1" ht="18.45">
      <c r="M493" s="24"/>
      <c r="X493" s="25"/>
    </row>
    <row r="494" spans="13:24" s="11" customFormat="1" ht="18.45">
      <c r="M494" s="24"/>
      <c r="X494" s="25"/>
    </row>
    <row r="495" spans="13:24" s="11" customFormat="1" ht="18.45">
      <c r="M495" s="24"/>
      <c r="X495" s="25"/>
    </row>
    <row r="496" spans="13:24" s="11" customFormat="1" ht="18.45">
      <c r="M496" s="24"/>
      <c r="X496" s="25"/>
    </row>
    <row r="497" spans="13:24" s="11" customFormat="1" ht="18.45">
      <c r="M497" s="24"/>
      <c r="X497" s="25"/>
    </row>
    <row r="498" spans="13:24" s="11" customFormat="1" ht="18.45">
      <c r="M498" s="24"/>
      <c r="X498" s="25"/>
    </row>
    <row r="499" spans="13:24" s="11" customFormat="1" ht="18.45">
      <c r="M499" s="24"/>
      <c r="X499" s="25"/>
    </row>
    <row r="500" spans="13:24" s="11" customFormat="1" ht="18.45">
      <c r="M500" s="24"/>
      <c r="X500" s="25"/>
    </row>
    <row r="501" spans="13:24" s="11" customFormat="1" ht="18.45">
      <c r="M501" s="24"/>
      <c r="X501" s="25"/>
    </row>
    <row r="502" spans="13:24" s="11" customFormat="1" ht="18.45">
      <c r="M502" s="24"/>
      <c r="X502" s="25"/>
    </row>
    <row r="503" spans="13:24" s="11" customFormat="1" ht="18.45">
      <c r="M503" s="24"/>
      <c r="X503" s="25"/>
    </row>
    <row r="504" spans="13:24" s="11" customFormat="1" ht="18.45">
      <c r="M504" s="24"/>
      <c r="X504" s="25"/>
    </row>
    <row r="505" spans="13:24" s="11" customFormat="1" ht="18.45">
      <c r="M505" s="24"/>
      <c r="X505" s="25"/>
    </row>
    <row r="506" spans="13:24" s="11" customFormat="1" ht="18.45">
      <c r="M506" s="24"/>
      <c r="X506" s="25"/>
    </row>
    <row r="507" spans="13:24" s="11" customFormat="1" ht="18.45">
      <c r="M507" s="24"/>
      <c r="X507" s="25"/>
    </row>
    <row r="508" spans="13:24" s="11" customFormat="1" ht="18.45">
      <c r="M508" s="24"/>
      <c r="X508" s="25"/>
    </row>
    <row r="509" spans="13:24" s="11" customFormat="1" ht="18.45">
      <c r="M509" s="24"/>
      <c r="X509" s="25"/>
    </row>
    <row r="510" spans="13:24" s="11" customFormat="1" ht="18.45">
      <c r="M510" s="24"/>
      <c r="X510" s="25"/>
    </row>
    <row r="511" spans="13:24" s="11" customFormat="1" ht="18.45">
      <c r="M511" s="24"/>
      <c r="X511" s="25"/>
    </row>
    <row r="512" spans="13:24" s="11" customFormat="1" ht="18.45">
      <c r="M512" s="24"/>
      <c r="X512" s="25"/>
    </row>
    <row r="513" spans="13:24" s="11" customFormat="1" ht="18.45">
      <c r="M513" s="24"/>
      <c r="X513" s="25"/>
    </row>
    <row r="514" spans="13:24" s="11" customFormat="1" ht="18.45">
      <c r="M514" s="24"/>
      <c r="X514" s="25"/>
    </row>
    <row r="515" spans="13:24" s="11" customFormat="1" ht="18.45">
      <c r="M515" s="24"/>
      <c r="X515" s="25"/>
    </row>
    <row r="516" spans="13:24" s="11" customFormat="1" ht="18.45">
      <c r="M516" s="24"/>
    </row>
    <row r="517" spans="13:24" s="11" customFormat="1" ht="18.45">
      <c r="M517" s="24"/>
    </row>
    <row r="518" spans="13:24" s="11" customFormat="1" ht="18.45">
      <c r="M518" s="24"/>
    </row>
    <row r="519" spans="13:24" s="11" customFormat="1" ht="18.45">
      <c r="M519" s="24"/>
    </row>
    <row r="520" spans="13:24" s="11" customFormat="1" ht="18.45">
      <c r="M520" s="24"/>
    </row>
    <row r="521" spans="13:24" s="11" customFormat="1" ht="18.45">
      <c r="M521" s="24"/>
    </row>
    <row r="522" spans="13:24" s="11" customFormat="1" ht="18.45">
      <c r="M522" s="24"/>
    </row>
    <row r="523" spans="13:24" s="11" customFormat="1" ht="18.45">
      <c r="M523" s="24"/>
    </row>
    <row r="524" spans="13:24" s="11" customFormat="1" ht="18.45">
      <c r="M524" s="24"/>
    </row>
    <row r="525" spans="13:24" s="11" customFormat="1" ht="18.45">
      <c r="M525" s="24"/>
    </row>
    <row r="526" spans="13:24" s="11" customFormat="1" ht="18.45">
      <c r="M526" s="24"/>
    </row>
    <row r="527" spans="13:24" s="11" customFormat="1" ht="18.45">
      <c r="M527" s="24"/>
    </row>
    <row r="528" spans="13:24" s="11" customFormat="1" ht="18.45">
      <c r="M528" s="24"/>
    </row>
    <row r="529" spans="13:13" s="11" customFormat="1" ht="18.45">
      <c r="M529" s="24"/>
    </row>
    <row r="530" spans="13:13" s="11" customFormat="1" ht="18.45">
      <c r="M530" s="24"/>
    </row>
    <row r="531" spans="13:13" s="11" customFormat="1" ht="18.45">
      <c r="M531" s="24"/>
    </row>
    <row r="532" spans="13:13" s="11" customFormat="1" ht="18.45">
      <c r="M532" s="24"/>
    </row>
    <row r="533" spans="13:13" s="11" customFormat="1" ht="18.45">
      <c r="M533" s="24"/>
    </row>
    <row r="534" spans="13:13" s="11" customFormat="1" ht="18.45">
      <c r="M534" s="24"/>
    </row>
    <row r="535" spans="13:13" s="11" customFormat="1" ht="18.45">
      <c r="M535" s="24"/>
    </row>
    <row r="536" spans="13:13" s="11" customFormat="1" ht="18.45">
      <c r="M536" s="24"/>
    </row>
    <row r="537" spans="13:13" s="11" customFormat="1" ht="18.45">
      <c r="M537" s="24"/>
    </row>
    <row r="538" spans="13:13" s="11" customFormat="1" ht="18.45">
      <c r="M538" s="24"/>
    </row>
    <row r="539" spans="13:13" s="11" customFormat="1" ht="18.45">
      <c r="M539" s="24"/>
    </row>
    <row r="540" spans="13:13" s="11" customFormat="1" ht="18.45">
      <c r="M540" s="24"/>
    </row>
    <row r="541" spans="13:13" s="11" customFormat="1" ht="18.45">
      <c r="M541" s="24"/>
    </row>
    <row r="542" spans="13:13" s="11" customFormat="1" ht="18.45">
      <c r="M542" s="24"/>
    </row>
    <row r="543" spans="13:13" s="11" customFormat="1" ht="18.45">
      <c r="M543" s="24"/>
    </row>
    <row r="544" spans="13:13" s="11" customFormat="1" ht="18.45">
      <c r="M544" s="24"/>
    </row>
    <row r="545" spans="13:13" s="11" customFormat="1" ht="18.45">
      <c r="M545" s="24"/>
    </row>
    <row r="546" spans="13:13" s="11" customFormat="1" ht="18.45">
      <c r="M546" s="24"/>
    </row>
    <row r="547" spans="13:13" s="11" customFormat="1" ht="18.45">
      <c r="M547" s="24"/>
    </row>
    <row r="548" spans="13:13" s="11" customFormat="1" ht="18.45">
      <c r="M548" s="24"/>
    </row>
    <row r="549" spans="13:13" s="11" customFormat="1" ht="18.45">
      <c r="M549" s="24"/>
    </row>
    <row r="550" spans="13:13" s="11" customFormat="1" ht="18.45">
      <c r="M550" s="24"/>
    </row>
    <row r="551" spans="13:13" s="11" customFormat="1" ht="18.45">
      <c r="M551" s="24"/>
    </row>
    <row r="552" spans="13:13" s="11" customFormat="1" ht="18.45">
      <c r="M552" s="24"/>
    </row>
    <row r="553" spans="13:13" s="11" customFormat="1" ht="18.45">
      <c r="M553" s="24"/>
    </row>
    <row r="554" spans="13:13" s="11" customFormat="1" ht="18.45"/>
    <row r="555" spans="13:13" s="11" customFormat="1" ht="18.45"/>
    <row r="556" spans="13:13" s="11" customFormat="1" ht="18.45"/>
    <row r="557" spans="13:13" s="11" customFormat="1" ht="18.45"/>
    <row r="558" spans="13:13" s="11" customFormat="1" ht="18.45"/>
    <row r="559" spans="13:13" s="11" customFormat="1" ht="18.45"/>
    <row r="560" spans="13:13" s="11" customFormat="1" ht="18.45"/>
    <row r="561" spans="5:5" s="11" customFormat="1" ht="18.45"/>
    <row r="562" spans="5:5" s="11" customFormat="1" ht="18.45"/>
    <row r="563" spans="5:5" s="11" customFormat="1" ht="18.45"/>
    <row r="564" spans="5:5" s="11" customFormat="1" ht="18.45"/>
    <row r="565" spans="5:5" s="11" customFormat="1" ht="18.45">
      <c r="E565" s="19"/>
    </row>
    <row r="566" spans="5:5" s="19" customFormat="1" ht="18.45"/>
    <row r="567" spans="5:5" s="19" customFormat="1" ht="18.45"/>
    <row r="568" spans="5:5" s="19" customFormat="1" ht="18.45"/>
    <row r="569" spans="5:5" s="19" customFormat="1" ht="18.45"/>
    <row r="570" spans="5:5" s="19" customFormat="1" ht="18.45"/>
    <row r="571" spans="5:5" s="19" customFormat="1" ht="18.45"/>
    <row r="572" spans="5:5" s="19" customFormat="1" ht="18.45"/>
    <row r="573" spans="5:5" s="19" customFormat="1" ht="18.45"/>
    <row r="574" spans="5:5" s="19" customFormat="1" ht="18.45"/>
    <row r="575" spans="5:5" s="19" customFormat="1" ht="18.45"/>
    <row r="576" spans="5:5" s="19" customFormat="1" ht="18.45"/>
    <row r="577" spans="5:5" s="19" customFormat="1" ht="18.45"/>
    <row r="578" spans="5:5" s="19" customFormat="1" ht="18.45"/>
    <row r="579" spans="5:5" s="19" customFormat="1" ht="18.45"/>
    <row r="580" spans="5:5" s="19" customFormat="1" ht="18.45"/>
    <row r="581" spans="5:5" s="19" customFormat="1" ht="18.45"/>
    <row r="582" spans="5:5" s="19" customFormat="1" ht="18.45"/>
    <row r="583" spans="5:5" s="19" customFormat="1" ht="18.45"/>
    <row r="584" spans="5:5" s="19" customFormat="1" ht="18.45"/>
    <row r="585" spans="5:5" s="19" customFormat="1" ht="18.45"/>
    <row r="586" spans="5:5" s="19" customFormat="1" ht="18.45"/>
    <row r="587" spans="5:5" s="19" customFormat="1" ht="18.45"/>
    <row r="588" spans="5:5" s="19" customFormat="1" ht="18.45"/>
    <row r="589" spans="5:5" s="19" customFormat="1" ht="18.45"/>
    <row r="590" spans="5:5" s="19" customFormat="1" ht="18.45"/>
    <row r="591" spans="5:5" s="19" customFormat="1" ht="18.45"/>
    <row r="592" spans="5:5" s="19" customFormat="1" ht="18.45">
      <c r="E592" s="34"/>
    </row>
  </sheetData>
  <mergeCells count="25">
    <mergeCell ref="A1:A4"/>
    <mergeCell ref="B1:E2"/>
    <mergeCell ref="F1:I1"/>
    <mergeCell ref="J1:Z1"/>
    <mergeCell ref="AA1:AA4"/>
    <mergeCell ref="B3:B4"/>
    <mergeCell ref="C3:C4"/>
    <mergeCell ref="D3:D4"/>
    <mergeCell ref="E3:E4"/>
    <mergeCell ref="AC1:AC4"/>
    <mergeCell ref="F2:F4"/>
    <mergeCell ref="G2:G4"/>
    <mergeCell ref="H2:H4"/>
    <mergeCell ref="I2:I4"/>
    <mergeCell ref="J2:U2"/>
    <mergeCell ref="V2:W2"/>
    <mergeCell ref="X2:X4"/>
    <mergeCell ref="Y2:Y4"/>
    <mergeCell ref="Z2:Z4"/>
    <mergeCell ref="AB1:AB4"/>
    <mergeCell ref="J3:M3"/>
    <mergeCell ref="N3:Q3"/>
    <mergeCell ref="R3:U3"/>
    <mergeCell ref="V3:V4"/>
    <mergeCell ref="W3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Size&amp;Typo</vt:lpstr>
      <vt:lpstr>Blank</vt:lpstr>
      <vt:lpstr>Edge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2023-12-07T07:22:22Z</dcterms:created>
  <dcterms:modified xsi:type="dcterms:W3CDTF">2024-07-16T07:54:08Z</dcterms:modified>
</cp:coreProperties>
</file>