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文章-正文&amp;补充材料\龙潭发掘Quina标本数据-2023.8\Lithic-data-Longtan-site\"/>
    </mc:Choice>
  </mc:AlternateContent>
  <xr:revisionPtr revIDLastSave="0" documentId="13_ncr:1_{324D53E7-0016-407C-B34B-EBF054F20FDB}" xr6:coauthVersionLast="47" xr6:coauthVersionMax="47" xr10:uidLastSave="{00000000-0000-0000-0000-000000000000}"/>
  <bookViews>
    <workbookView xWindow="-103" yWindow="-103" windowWidth="22149" windowHeight="13200" activeTab="3" xr2:uid="{A79940E2-B962-427A-BDAE-26C815DD4F97}"/>
  </bookViews>
  <sheets>
    <sheet name="Scrapers" sheetId="4" r:id="rId1"/>
    <sheet name="Notches" sheetId="2" r:id="rId2"/>
    <sheet name="Denticulates" sheetId="3" r:id="rId3"/>
    <sheet name="Miscellaneous tool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3" l="1"/>
  <c r="T84" i="4"/>
  <c r="P84" i="4" s="1"/>
  <c r="AE84" i="4" s="1"/>
  <c r="AG84" i="4" s="1"/>
  <c r="N84" i="4"/>
  <c r="AH84" i="4"/>
  <c r="F84" i="4"/>
  <c r="T83" i="4" l="1"/>
  <c r="P83" i="4" s="1"/>
  <c r="AE83" i="4" s="1"/>
  <c r="AG83" i="4" s="1"/>
  <c r="N83" i="4"/>
  <c r="AH83" i="4" s="1"/>
  <c r="F83" i="4"/>
  <c r="T82" i="4"/>
  <c r="P82" i="4" s="1"/>
  <c r="AE82" i="4" s="1"/>
  <c r="AG82" i="4" s="1"/>
  <c r="F82" i="4"/>
  <c r="AH82" i="4" s="1"/>
  <c r="T81" i="4"/>
  <c r="P81" i="4" s="1"/>
  <c r="AE81" i="4" s="1"/>
  <c r="AG81" i="4" s="1"/>
  <c r="F81" i="4"/>
  <c r="AH81" i="4" s="1"/>
  <c r="N65" i="4"/>
  <c r="F65" i="4"/>
  <c r="F78" i="4"/>
  <c r="AH78" i="4" s="1"/>
  <c r="F75" i="4"/>
  <c r="AH75" i="4" s="1"/>
  <c r="F67" i="4"/>
  <c r="AH67" i="4" s="1"/>
  <c r="F54" i="4"/>
  <c r="AH54" i="4" s="1"/>
  <c r="F70" i="4"/>
  <c r="AH70" i="4" s="1"/>
  <c r="F73" i="4"/>
  <c r="AH73" i="4" s="1"/>
  <c r="N68" i="4"/>
  <c r="F68" i="4"/>
  <c r="F64" i="4"/>
  <c r="AH64" i="4" s="1"/>
  <c r="F53" i="4"/>
  <c r="AH53" i="4" s="1"/>
  <c r="N74" i="4"/>
  <c r="F74" i="4"/>
  <c r="N59" i="4"/>
  <c r="F59" i="4"/>
  <c r="F55" i="4"/>
  <c r="AH55" i="4" s="1"/>
  <c r="F79" i="4"/>
  <c r="AH79" i="4" s="1"/>
  <c r="F77" i="4"/>
  <c r="AH77" i="4" s="1"/>
  <c r="F60" i="4"/>
  <c r="AH60" i="4" s="1"/>
  <c r="F62" i="4"/>
  <c r="AH62" i="4" s="1"/>
  <c r="F71" i="4"/>
  <c r="AH71" i="4" s="1"/>
  <c r="F56" i="4"/>
  <c r="AH56" i="4" s="1"/>
  <c r="F57" i="4"/>
  <c r="AH57" i="4" s="1"/>
  <c r="N69" i="4"/>
  <c r="F69" i="4"/>
  <c r="N63" i="4"/>
  <c r="F63" i="4"/>
  <c r="N61" i="4"/>
  <c r="F61" i="4"/>
  <c r="F76" i="4"/>
  <c r="AH76" i="4" s="1"/>
  <c r="N66" i="4"/>
  <c r="F66" i="4"/>
  <c r="F72" i="4"/>
  <c r="AH72" i="4" s="1"/>
  <c r="F58" i="4"/>
  <c r="AH58" i="4" s="1"/>
  <c r="T53" i="4"/>
  <c r="P53" i="4" s="1"/>
  <c r="AE53" i="4" s="1"/>
  <c r="AG53" i="4" s="1"/>
  <c r="T54" i="4"/>
  <c r="P54" i="4" s="1"/>
  <c r="AE54" i="4" s="1"/>
  <c r="AG54" i="4" s="1"/>
  <c r="T55" i="4"/>
  <c r="P55" i="4" s="1"/>
  <c r="AE55" i="4" s="1"/>
  <c r="AG55" i="4" s="1"/>
  <c r="T56" i="4"/>
  <c r="P56" i="4" s="1"/>
  <c r="AE56" i="4" s="1"/>
  <c r="AG56" i="4" s="1"/>
  <c r="T57" i="4"/>
  <c r="P57" i="4" s="1"/>
  <c r="AE57" i="4" s="1"/>
  <c r="AG57" i="4" s="1"/>
  <c r="T58" i="4"/>
  <c r="P58" i="4" s="1"/>
  <c r="AE58" i="4" s="1"/>
  <c r="AG58" i="4" s="1"/>
  <c r="T59" i="4"/>
  <c r="P59" i="4" s="1"/>
  <c r="AE59" i="4" s="1"/>
  <c r="AG59" i="4" s="1"/>
  <c r="T60" i="4"/>
  <c r="P60" i="4" s="1"/>
  <c r="AE60" i="4" s="1"/>
  <c r="AG60" i="4" s="1"/>
  <c r="T61" i="4"/>
  <c r="P61" i="4" s="1"/>
  <c r="AE61" i="4" s="1"/>
  <c r="AG61" i="4" s="1"/>
  <c r="T62" i="4"/>
  <c r="P62" i="4" s="1"/>
  <c r="AE62" i="4" s="1"/>
  <c r="AG62" i="4" s="1"/>
  <c r="T63" i="4"/>
  <c r="P63" i="4" s="1"/>
  <c r="AE63" i="4" s="1"/>
  <c r="AG63" i="4" s="1"/>
  <c r="T64" i="4"/>
  <c r="P64" i="4" s="1"/>
  <c r="AE64" i="4" s="1"/>
  <c r="AG64" i="4" s="1"/>
  <c r="T65" i="4"/>
  <c r="P65" i="4" s="1"/>
  <c r="AE65" i="4" s="1"/>
  <c r="AG65" i="4" s="1"/>
  <c r="T66" i="4"/>
  <c r="P66" i="4" s="1"/>
  <c r="AE66" i="4" s="1"/>
  <c r="AG66" i="4" s="1"/>
  <c r="T67" i="4"/>
  <c r="P67" i="4" s="1"/>
  <c r="AE67" i="4" s="1"/>
  <c r="AG67" i="4" s="1"/>
  <c r="T68" i="4"/>
  <c r="P68" i="4" s="1"/>
  <c r="AE68" i="4" s="1"/>
  <c r="AG68" i="4" s="1"/>
  <c r="T69" i="4"/>
  <c r="P69" i="4" s="1"/>
  <c r="AE69" i="4" s="1"/>
  <c r="AG69" i="4" s="1"/>
  <c r="T70" i="4"/>
  <c r="P70" i="4" s="1"/>
  <c r="AE70" i="4" s="1"/>
  <c r="AG70" i="4" s="1"/>
  <c r="T71" i="4"/>
  <c r="P71" i="4" s="1"/>
  <c r="AE71" i="4" s="1"/>
  <c r="AG71" i="4" s="1"/>
  <c r="T72" i="4"/>
  <c r="P72" i="4" s="1"/>
  <c r="AE72" i="4" s="1"/>
  <c r="AG72" i="4" s="1"/>
  <c r="T73" i="4"/>
  <c r="P73" i="4" s="1"/>
  <c r="AE73" i="4" s="1"/>
  <c r="AG73" i="4" s="1"/>
  <c r="T74" i="4"/>
  <c r="P74" i="4" s="1"/>
  <c r="AE74" i="4" s="1"/>
  <c r="AG74" i="4" s="1"/>
  <c r="T75" i="4"/>
  <c r="P75" i="4" s="1"/>
  <c r="AE75" i="4" s="1"/>
  <c r="AG75" i="4" s="1"/>
  <c r="T76" i="4"/>
  <c r="P76" i="4" s="1"/>
  <c r="T77" i="4"/>
  <c r="P77" i="4" s="1"/>
  <c r="AE77" i="4" s="1"/>
  <c r="AG77" i="4" s="1"/>
  <c r="T78" i="4"/>
  <c r="P78" i="4" s="1"/>
  <c r="AE78" i="4" s="1"/>
  <c r="AG78" i="4" s="1"/>
  <c r="T79" i="4"/>
  <c r="P79" i="4" s="1"/>
  <c r="AE79" i="4" s="1"/>
  <c r="AG79" i="4" s="1"/>
  <c r="T80" i="4"/>
  <c r="P80" i="4" s="1"/>
  <c r="AE80" i="4" s="1"/>
  <c r="AG80" i="4" s="1"/>
  <c r="F80" i="4"/>
  <c r="AH80" i="4" s="1"/>
  <c r="AF32" i="4"/>
  <c r="AD32" i="4"/>
  <c r="Z32" i="4" s="1"/>
  <c r="F32" i="4"/>
  <c r="AH32" i="4" s="1"/>
  <c r="AF35" i="4"/>
  <c r="AD35" i="4"/>
  <c r="Z35" i="4" s="1"/>
  <c r="F35" i="4"/>
  <c r="AH35" i="4" s="1"/>
  <c r="F48" i="4"/>
  <c r="AH48" i="4" s="1"/>
  <c r="F41" i="4"/>
  <c r="AH41" i="4" s="1"/>
  <c r="F42" i="4"/>
  <c r="AH42" i="4" s="1"/>
  <c r="AF43" i="4"/>
  <c r="AD43" i="4"/>
  <c r="Z43" i="4" s="1"/>
  <c r="F43" i="4"/>
  <c r="AH43" i="4" s="1"/>
  <c r="F38" i="4"/>
  <c r="AH38" i="4" s="1"/>
  <c r="T52" i="4"/>
  <c r="P52" i="4" s="1"/>
  <c r="AE52" i="4" s="1"/>
  <c r="AG52" i="4" s="1"/>
  <c r="F52" i="4"/>
  <c r="AH52" i="4" s="1"/>
  <c r="AF33" i="4"/>
  <c r="Z33" i="4"/>
  <c r="F33" i="4"/>
  <c r="AH33" i="4" s="1"/>
  <c r="F45" i="4"/>
  <c r="AH45" i="4" s="1"/>
  <c r="F31" i="4"/>
  <c r="AH31" i="4" s="1"/>
  <c r="N39" i="4"/>
  <c r="F39" i="4"/>
  <c r="F50" i="4"/>
  <c r="AH50" i="4" s="1"/>
  <c r="F49" i="4"/>
  <c r="AH49" i="4" s="1"/>
  <c r="F40" i="4"/>
  <c r="AH40" i="4" s="1"/>
  <c r="N34" i="4"/>
  <c r="F34" i="4"/>
  <c r="F47" i="4"/>
  <c r="AH47" i="4" s="1"/>
  <c r="F37" i="4"/>
  <c r="AH37" i="4" s="1"/>
  <c r="F36" i="4"/>
  <c r="AH36" i="4" s="1"/>
  <c r="T51" i="4"/>
  <c r="P51" i="4" s="1"/>
  <c r="AE51" i="4" s="1"/>
  <c r="AG51" i="4" s="1"/>
  <c r="F51" i="4"/>
  <c r="AH51" i="4" s="1"/>
  <c r="AF44" i="4"/>
  <c r="AD44" i="4"/>
  <c r="Z44" i="4" s="1"/>
  <c r="F44" i="4"/>
  <c r="AH44" i="4" s="1"/>
  <c r="AF46" i="4"/>
  <c r="AD46" i="4"/>
  <c r="Z46" i="4" s="1"/>
  <c r="T43" i="4"/>
  <c r="P43" i="4" s="1"/>
  <c r="AE43" i="4" s="1"/>
  <c r="T44" i="4"/>
  <c r="P44" i="4" s="1"/>
  <c r="AE44" i="4" s="1"/>
  <c r="T45" i="4"/>
  <c r="P45" i="4" s="1"/>
  <c r="AE45" i="4" s="1"/>
  <c r="AG45" i="4" s="1"/>
  <c r="T46" i="4"/>
  <c r="P46" i="4" s="1"/>
  <c r="AE46" i="4" s="1"/>
  <c r="T47" i="4"/>
  <c r="P47" i="4" s="1"/>
  <c r="AE47" i="4" s="1"/>
  <c r="AG47" i="4" s="1"/>
  <c r="T48" i="4"/>
  <c r="P48" i="4" s="1"/>
  <c r="AE48" i="4" s="1"/>
  <c r="AG48" i="4" s="1"/>
  <c r="T49" i="4"/>
  <c r="P49" i="4" s="1"/>
  <c r="AE49" i="4" s="1"/>
  <c r="AG49" i="4" s="1"/>
  <c r="T50" i="4"/>
  <c r="P50" i="4" s="1"/>
  <c r="AE50" i="4" s="1"/>
  <c r="AG50" i="4" s="1"/>
  <c r="F46" i="4"/>
  <c r="AH46" i="4" s="1"/>
  <c r="F30" i="4"/>
  <c r="AH30" i="4" s="1"/>
  <c r="F8" i="4"/>
  <c r="AH8" i="4" s="1"/>
  <c r="F19" i="4"/>
  <c r="AH19" i="4" s="1"/>
  <c r="F28" i="4"/>
  <c r="AH28" i="4" s="1"/>
  <c r="N29" i="4"/>
  <c r="F29" i="4"/>
  <c r="F27" i="4"/>
  <c r="AH27" i="4" s="1"/>
  <c r="AF26" i="4"/>
  <c r="AD12" i="4"/>
  <c r="Z12" i="4" s="1"/>
  <c r="AD26" i="4"/>
  <c r="Z26" i="4" s="1"/>
  <c r="F26" i="4"/>
  <c r="AH26" i="4" s="1"/>
  <c r="F10" i="4"/>
  <c r="AH10" i="4" s="1"/>
  <c r="AF6" i="4"/>
  <c r="AD6" i="4"/>
  <c r="Z6" i="4" s="1"/>
  <c r="F6" i="4"/>
  <c r="AH6" i="4" s="1"/>
  <c r="F17" i="4"/>
  <c r="AH17" i="4" s="1"/>
  <c r="F7" i="4"/>
  <c r="AH7" i="4" s="1"/>
  <c r="N9" i="4"/>
  <c r="F9" i="4"/>
  <c r="F18" i="4"/>
  <c r="AH18" i="4" s="1"/>
  <c r="N13" i="4"/>
  <c r="F13" i="4"/>
  <c r="AF12" i="4"/>
  <c r="F12" i="4"/>
  <c r="AH12" i="4" s="1"/>
  <c r="N11" i="4"/>
  <c r="F11" i="4"/>
  <c r="N15" i="4"/>
  <c r="F15" i="4"/>
  <c r="F14" i="4"/>
  <c r="AH14" i="4" s="1"/>
  <c r="N16" i="4"/>
  <c r="F16" i="4"/>
  <c r="F20" i="4"/>
  <c r="AH20" i="4" s="1"/>
  <c r="F23" i="4"/>
  <c r="AH23" i="4" s="1"/>
  <c r="F25" i="4"/>
  <c r="AH25" i="4" s="1"/>
  <c r="F21" i="4"/>
  <c r="AH21" i="4" s="1"/>
  <c r="N24" i="4"/>
  <c r="F24" i="4"/>
  <c r="AH29" i="4" l="1"/>
  <c r="AH13" i="4"/>
  <c r="AH69" i="4"/>
  <c r="AH68" i="4"/>
  <c r="AH11" i="4"/>
  <c r="AG43" i="4"/>
  <c r="AH63" i="4"/>
  <c r="AH15" i="4"/>
  <c r="AH24" i="4"/>
  <c r="AH9" i="4"/>
  <c r="AH66" i="4"/>
  <c r="AH65" i="4"/>
  <c r="AH59" i="4"/>
  <c r="AH34" i="4"/>
  <c r="AH61" i="4"/>
  <c r="AH74" i="4"/>
  <c r="AG46" i="4"/>
  <c r="AH39" i="4"/>
  <c r="AH16" i="4"/>
  <c r="AG44" i="4"/>
  <c r="AE76" i="4"/>
  <c r="AG76" i="4" s="1"/>
  <c r="F22" i="4"/>
  <c r="AH22" i="4" s="1"/>
  <c r="T23" i="4"/>
  <c r="P23" i="4" s="1"/>
  <c r="AE23" i="4" s="1"/>
  <c r="AG23" i="4" s="1"/>
  <c r="T24" i="4"/>
  <c r="P24" i="4" s="1"/>
  <c r="AE24" i="4" s="1"/>
  <c r="AG24" i="4" s="1"/>
  <c r="T25" i="4"/>
  <c r="P25" i="4" s="1"/>
  <c r="AE25" i="4" s="1"/>
  <c r="AG25" i="4" s="1"/>
  <c r="T26" i="4"/>
  <c r="P26" i="4" s="1"/>
  <c r="AE26" i="4" s="1"/>
  <c r="AG26" i="4" s="1"/>
  <c r="T27" i="4"/>
  <c r="P27" i="4" s="1"/>
  <c r="AE27" i="4" s="1"/>
  <c r="AG27" i="4" s="1"/>
  <c r="T28" i="4"/>
  <c r="P28" i="4" s="1"/>
  <c r="AE28" i="4" s="1"/>
  <c r="AG28" i="4" s="1"/>
  <c r="T29" i="4"/>
  <c r="P29" i="4" s="1"/>
  <c r="AE29" i="4" s="1"/>
  <c r="AG29" i="4" s="1"/>
  <c r="T30" i="4"/>
  <c r="P30" i="4" s="1"/>
  <c r="AE30" i="4" s="1"/>
  <c r="AG30" i="4" s="1"/>
  <c r="T31" i="4"/>
  <c r="P31" i="4" s="1"/>
  <c r="AE31" i="4" s="1"/>
  <c r="AG31" i="4" s="1"/>
  <c r="T32" i="4"/>
  <c r="P32" i="4" s="1"/>
  <c r="AE32" i="4" s="1"/>
  <c r="AG32" i="4" s="1"/>
  <c r="T33" i="4"/>
  <c r="P33" i="4" s="1"/>
  <c r="AE33" i="4" s="1"/>
  <c r="AG33" i="4" s="1"/>
  <c r="T34" i="4"/>
  <c r="P34" i="4" s="1"/>
  <c r="AE34" i="4" s="1"/>
  <c r="AG34" i="4" s="1"/>
  <c r="T35" i="4"/>
  <c r="P35" i="4" s="1"/>
  <c r="AE35" i="4" s="1"/>
  <c r="AG35" i="4" s="1"/>
  <c r="T36" i="4"/>
  <c r="P36" i="4" s="1"/>
  <c r="AE36" i="4" s="1"/>
  <c r="AG36" i="4" s="1"/>
  <c r="T37" i="4"/>
  <c r="P37" i="4" s="1"/>
  <c r="AE37" i="4" s="1"/>
  <c r="AG37" i="4" s="1"/>
  <c r="T38" i="4"/>
  <c r="P38" i="4" s="1"/>
  <c r="AE38" i="4" s="1"/>
  <c r="AG38" i="4" s="1"/>
  <c r="T39" i="4"/>
  <c r="P39" i="4" s="1"/>
  <c r="AE39" i="4" s="1"/>
  <c r="AG39" i="4" s="1"/>
  <c r="T40" i="4"/>
  <c r="P40" i="4" s="1"/>
  <c r="AE40" i="4" s="1"/>
  <c r="AG40" i="4" s="1"/>
  <c r="T41" i="4"/>
  <c r="P41" i="4" s="1"/>
  <c r="AE41" i="4" s="1"/>
  <c r="AG41" i="4" s="1"/>
  <c r="T42" i="4"/>
  <c r="P42" i="4" s="1"/>
  <c r="AE42" i="4" s="1"/>
  <c r="AG42" i="4" s="1"/>
  <c r="T6" i="4"/>
  <c r="P6" i="4" s="1"/>
  <c r="AE6" i="4" s="1"/>
  <c r="AG6" i="4" s="1"/>
  <c r="T7" i="4"/>
  <c r="P7" i="4" s="1"/>
  <c r="AE7" i="4" s="1"/>
  <c r="AG7" i="4" s="1"/>
  <c r="T8" i="4"/>
  <c r="P8" i="4" s="1"/>
  <c r="AE8" i="4" s="1"/>
  <c r="AG8" i="4" s="1"/>
  <c r="T9" i="4"/>
  <c r="P9" i="4" s="1"/>
  <c r="AE9" i="4" s="1"/>
  <c r="AG9" i="4" s="1"/>
  <c r="T10" i="4"/>
  <c r="P10" i="4" s="1"/>
  <c r="AE10" i="4" s="1"/>
  <c r="AG10" i="4" s="1"/>
  <c r="T11" i="4"/>
  <c r="P11" i="4" s="1"/>
  <c r="AE11" i="4" s="1"/>
  <c r="AG11" i="4" s="1"/>
  <c r="T12" i="4"/>
  <c r="T13" i="4"/>
  <c r="P13" i="4" s="1"/>
  <c r="AE13" i="4" s="1"/>
  <c r="AG13" i="4" s="1"/>
  <c r="T14" i="4"/>
  <c r="P14" i="4" s="1"/>
  <c r="AE14" i="4" s="1"/>
  <c r="AG14" i="4" s="1"/>
  <c r="T15" i="4"/>
  <c r="P15" i="4" s="1"/>
  <c r="AE15" i="4" s="1"/>
  <c r="AG15" i="4" s="1"/>
  <c r="T16" i="4"/>
  <c r="P16" i="4" s="1"/>
  <c r="AE16" i="4" s="1"/>
  <c r="AG16" i="4" s="1"/>
  <c r="T17" i="4"/>
  <c r="P17" i="4" s="1"/>
  <c r="AE17" i="4" s="1"/>
  <c r="AG17" i="4" s="1"/>
  <c r="T18" i="4"/>
  <c r="P18" i="4" s="1"/>
  <c r="AE18" i="4" s="1"/>
  <c r="AG18" i="4" s="1"/>
  <c r="T19" i="4"/>
  <c r="P19" i="4" s="1"/>
  <c r="AE19" i="4" s="1"/>
  <c r="AG19" i="4" s="1"/>
  <c r="T20" i="4"/>
  <c r="P20" i="4" s="1"/>
  <c r="AE20" i="4" s="1"/>
  <c r="AG20" i="4" s="1"/>
  <c r="T21" i="4"/>
  <c r="P21" i="4" s="1"/>
  <c r="AE21" i="4" s="1"/>
  <c r="AG21" i="4" s="1"/>
  <c r="T22" i="4"/>
  <c r="P22" i="4" s="1"/>
  <c r="AE22" i="4" s="1"/>
  <c r="AG22" i="4" s="1"/>
  <c r="K10" i="3"/>
  <c r="K14" i="3"/>
  <c r="K15" i="3"/>
  <c r="K5" i="3"/>
  <c r="K11" i="3"/>
  <c r="P12" i="4" l="1"/>
  <c r="AE12" i="4" s="1"/>
  <c r="AG12" i="4" s="1"/>
</calcChain>
</file>

<file path=xl/sharedStrings.xml><?xml version="1.0" encoding="utf-8"?>
<sst xmlns="http://schemas.openxmlformats.org/spreadsheetml/2006/main" count="743" uniqueCount="271">
  <si>
    <t>2019YHLT1③-L1:6</t>
  </si>
  <si>
    <t>2019YHLT1③-L2:31</t>
  </si>
  <si>
    <t>2019YHLT1③-L2:32</t>
  </si>
  <si>
    <t>2019YHLT1③-L2:273</t>
  </si>
  <si>
    <t>2019YHLT2③-L1:1</t>
  </si>
  <si>
    <t>2019YHLT2③-L1:8</t>
  </si>
  <si>
    <t>2019YHLT2③-L2:38</t>
  </si>
  <si>
    <t>2019YHLT2③-L3:54</t>
  </si>
  <si>
    <t>2019YHLT2③-L3:55</t>
  </si>
  <si>
    <t>2019YHLT2③-L3:149</t>
  </si>
  <si>
    <t>2019YHLT2③-L3:244</t>
  </si>
  <si>
    <t>2019YHLT2③-L3:256</t>
  </si>
  <si>
    <t>2019YHLT2③-L4:317</t>
  </si>
  <si>
    <t>2019YHLT2③-L4:348</t>
  </si>
  <si>
    <t>2019YHLT2③-L4:394</t>
  </si>
  <si>
    <t>2019YHLT2③-L4:432</t>
  </si>
  <si>
    <t>2019YHLT2③-L4:444</t>
  </si>
  <si>
    <t>2019YHLT2③-L5:518</t>
  </si>
  <si>
    <t>2019YHLT2③-L5:534</t>
  </si>
  <si>
    <t>2019YHLT2③-L7:693</t>
  </si>
  <si>
    <t>2019YHLT2③-L2:1291</t>
  </si>
  <si>
    <t>2019YHLT2③-L2:1377</t>
  </si>
  <si>
    <t>2019YHLT1③-L2:285</t>
  </si>
  <si>
    <t>2019YHLT2③-L2:29</t>
  </si>
  <si>
    <t>2019YHLT2③-L2:30</t>
  </si>
  <si>
    <t>2019YHLT2③-L3:117</t>
  </si>
  <si>
    <t>2019YHLT2③-L3:176</t>
  </si>
  <si>
    <t>2019YHLT2③-L3:227</t>
  </si>
  <si>
    <t>2019YHLT2③-L3:1510</t>
  </si>
  <si>
    <t>2019YHLT2③-L3:1555</t>
  </si>
  <si>
    <t>2019YHLT2③-L2:28</t>
  </si>
  <si>
    <t>2019YHLT2③-L3:251</t>
  </si>
  <si>
    <t>2019YHLT2③-L2:1189</t>
  </si>
  <si>
    <t>2019YHLT2③-L8:817</t>
  </si>
  <si>
    <t>No.</t>
    <phoneticPr fontId="2" type="noConversion"/>
  </si>
  <si>
    <t>Size</t>
    <phoneticPr fontId="2" type="noConversion"/>
  </si>
  <si>
    <t>Raw materials</t>
    <phoneticPr fontId="2" type="noConversion"/>
  </si>
  <si>
    <t>Length</t>
    <phoneticPr fontId="2" type="noConversion"/>
  </si>
  <si>
    <t>Breadth</t>
    <phoneticPr fontId="2" type="noConversion"/>
  </si>
  <si>
    <t>Thickness</t>
    <phoneticPr fontId="2" type="noConversion"/>
  </si>
  <si>
    <t>Weight</t>
    <phoneticPr fontId="2" type="noConversion"/>
  </si>
  <si>
    <t>Perimeter</t>
    <phoneticPr fontId="2" type="noConversion"/>
  </si>
  <si>
    <t>Basalt</t>
    <phoneticPr fontId="2" type="noConversion"/>
  </si>
  <si>
    <t>Cortex</t>
    <phoneticPr fontId="2" type="noConversion"/>
  </si>
  <si>
    <t>Yes</t>
    <phoneticPr fontId="2" type="noConversion"/>
  </si>
  <si>
    <t>No</t>
    <phoneticPr fontId="2" type="noConversion"/>
  </si>
  <si>
    <t>Proportion</t>
    <phoneticPr fontId="2" type="noConversion"/>
  </si>
  <si>
    <t>Number of scars</t>
    <phoneticPr fontId="2" type="noConversion"/>
  </si>
  <si>
    <t>76-99%</t>
  </si>
  <si>
    <t>26-50%</t>
  </si>
  <si>
    <t>1-25%</t>
  </si>
  <si>
    <t>Clactonian</t>
    <phoneticPr fontId="2" type="noConversion"/>
  </si>
  <si>
    <t>51-75%</t>
  </si>
  <si>
    <t>Number of notches</t>
    <phoneticPr fontId="2" type="noConversion"/>
  </si>
  <si>
    <t>Type</t>
    <phoneticPr fontId="2" type="noConversion"/>
  </si>
  <si>
    <t>Complex</t>
    <phoneticPr fontId="2" type="noConversion"/>
  </si>
  <si>
    <t>Edge length</t>
    <phoneticPr fontId="2" type="noConversion"/>
  </si>
  <si>
    <t>Edge number</t>
    <phoneticPr fontId="2" type="noConversion"/>
  </si>
  <si>
    <t>2019YHLT2③-L5:507</t>
  </si>
  <si>
    <t>2019YHLT2③-L5:530</t>
  </si>
  <si>
    <t>2019YHLT2③-L5:581</t>
  </si>
  <si>
    <t>2019YHLT2③-L7:747</t>
  </si>
  <si>
    <t>2019YHLT2③-L4:1567</t>
  </si>
  <si>
    <t>2019YHLT2③-L3:174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</si>
  <si>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-L7:80</t>
    </r>
  </si>
  <si>
    <t>Sandstone</t>
    <phoneticPr fontId="2" type="noConversion"/>
  </si>
  <si>
    <t>Retouch cycle</t>
    <phoneticPr fontId="2" type="noConversion"/>
  </si>
  <si>
    <t>Convergent</t>
    <phoneticPr fontId="2" type="noConversion"/>
  </si>
  <si>
    <t>Chert</t>
    <phoneticPr fontId="2" type="noConversion"/>
  </si>
  <si>
    <t>Notes</t>
    <phoneticPr fontId="2" type="noConversion"/>
  </si>
  <si>
    <t xml:space="preserve">Typology </t>
    <phoneticPr fontId="2" type="noConversion"/>
  </si>
  <si>
    <t>Edge 1</t>
    <phoneticPr fontId="2" type="noConversion"/>
  </si>
  <si>
    <t>Retouch direction</t>
    <phoneticPr fontId="2" type="noConversion"/>
  </si>
  <si>
    <t>Scars</t>
    <phoneticPr fontId="2" type="noConversion"/>
  </si>
  <si>
    <t>Edge</t>
    <phoneticPr fontId="2" type="noConversion"/>
  </si>
  <si>
    <t>Point 2</t>
    <phoneticPr fontId="2" type="noConversion"/>
  </si>
  <si>
    <t>Retouch Cycle</t>
    <phoneticPr fontId="2" type="noConversion"/>
  </si>
  <si>
    <t>Depth</t>
    <phoneticPr fontId="2" type="noConversion"/>
  </si>
  <si>
    <t>Edge angle</t>
    <phoneticPr fontId="2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</si>
  <si>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1</t>
    </r>
    <phoneticPr fontId="2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</si>
  <si>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3</t>
    </r>
    <phoneticPr fontId="2" type="noConversion"/>
  </si>
  <si>
    <t>Ave</t>
    <phoneticPr fontId="2" type="noConversion"/>
  </si>
  <si>
    <t>EDGE 1</t>
    <phoneticPr fontId="2" type="noConversion"/>
  </si>
  <si>
    <t>EDGE 2</t>
    <phoneticPr fontId="2" type="noConversion"/>
  </si>
  <si>
    <t>GIUR</t>
    <phoneticPr fontId="2" type="noConversion"/>
  </si>
  <si>
    <t>Edge 2</t>
    <phoneticPr fontId="2" type="noConversion"/>
  </si>
  <si>
    <t>Ave. GIUR</t>
    <phoneticPr fontId="2" type="noConversion"/>
  </si>
  <si>
    <t>2019YHLT2③-L4:416</t>
  </si>
  <si>
    <t>2019YHLT2③-L6:1692</t>
  </si>
  <si>
    <t>2019YHLT2③-L4:1612</t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</si>
  <si>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-L5:614</t>
    </r>
    <phoneticPr fontId="2" type="noConversion"/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</si>
  <si>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-L9:863</t>
    </r>
    <phoneticPr fontId="2" type="noConversion"/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</si>
  <si>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-L5:468</t>
    </r>
    <phoneticPr fontId="2" type="noConversion"/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</si>
  <si>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-L11:1094</t>
    </r>
    <phoneticPr fontId="2" type="noConversion"/>
  </si>
  <si>
    <t>Simple</t>
    <phoneticPr fontId="2" type="noConversion"/>
  </si>
  <si>
    <t>Obverse</t>
    <phoneticPr fontId="2" type="noConversion"/>
  </si>
  <si>
    <t>Inverse</t>
    <phoneticPr fontId="2" type="noConversion"/>
  </si>
  <si>
    <t>Denticulated</t>
    <phoneticPr fontId="2" type="noConversion"/>
  </si>
  <si>
    <t>Double</t>
    <phoneticPr fontId="2" type="noConversion"/>
  </si>
  <si>
    <t>Alternating</t>
  </si>
  <si>
    <t>2019YHLT2③-L10:980</t>
  </si>
  <si>
    <t>2019YHLT2③-L8:791</t>
  </si>
  <si>
    <t>2019YHLT2③-L11:1033</t>
  </si>
  <si>
    <t>2019YHLT2③-L3:101</t>
  </si>
  <si>
    <t>2019YHLT2③-L4:366</t>
  </si>
  <si>
    <t>2019YHLT1③-L3:47</t>
  </si>
  <si>
    <t>2019YHLT2③-L3:106</t>
  </si>
  <si>
    <t>2019YHLT2③-L3:207</t>
  </si>
  <si>
    <t>2019YHLT2③-L8:834</t>
  </si>
  <si>
    <t>2019YHLT2③-L3:1508</t>
  </si>
  <si>
    <t>2019YHLT2③-L3:105</t>
  </si>
  <si>
    <t>2019YHLT2③-L5:620</t>
  </si>
  <si>
    <t>2019YHLT2③-L3:123</t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</si>
  <si>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-L5:547</t>
    </r>
    <phoneticPr fontId="2" type="noConversion"/>
  </si>
  <si>
    <t>2019YHLT1③-L2:230</t>
  </si>
  <si>
    <t>2019YHLT2③-L6:632</t>
  </si>
  <si>
    <t>2019YHLT2③-L10:990</t>
  </si>
  <si>
    <t>2019YHLT2③-L1:10</t>
  </si>
  <si>
    <t>2019YHLT2③-L3:1507</t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</si>
  <si>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-L3:91</t>
    </r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</si>
  <si>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-L1:16</t>
    </r>
    <phoneticPr fontId="2" type="noConversion"/>
  </si>
  <si>
    <t>2019YHLT2③-L9:857</t>
  </si>
  <si>
    <t>Granite</t>
    <phoneticPr fontId="2" type="noConversion"/>
  </si>
  <si>
    <t>Diabase</t>
    <phoneticPr fontId="2" type="noConversion"/>
  </si>
  <si>
    <t>2019YHLT2③-L5:529</t>
  </si>
  <si>
    <t>2019YHLT2③-L3:178</t>
  </si>
  <si>
    <t>2019YHLT2③-L2:1223</t>
  </si>
  <si>
    <t>2019YHLT2③-L3:130</t>
  </si>
  <si>
    <t>2019YHLT2③-L4:315</t>
  </si>
  <si>
    <t>2019YHLT1③-L1:205</t>
  </si>
  <si>
    <t>2019YHLT2③-L4:330</t>
  </si>
  <si>
    <t>2019YHLT1③-L1:209</t>
  </si>
  <si>
    <t>2019YHLT2③-L4:295</t>
  </si>
  <si>
    <t>2019YHLT1③-L1:188</t>
  </si>
  <si>
    <t>2019YHLT2③-L3:1438</t>
  </si>
  <si>
    <t>2019YHLT2③-L1:9</t>
  </si>
  <si>
    <t>2019YHLT2③-L2:1378</t>
  </si>
  <si>
    <t>2019YHLT2③-L3:216</t>
  </si>
  <si>
    <t>2019YHLT2③-L4:352</t>
  </si>
  <si>
    <t>2019YHLT2③-L4:1604</t>
  </si>
  <si>
    <t>2019YHLT2③-L4:1606</t>
  </si>
  <si>
    <t>2019YHLT2③-L4:440</t>
  </si>
  <si>
    <t>2019YHLT2③-L3:250</t>
  </si>
  <si>
    <t>2019YHLT2③-L2:27</t>
  </si>
  <si>
    <t>2019YHLT2③-L2:1168</t>
  </si>
  <si>
    <t>2019YHLT2③-L5:1651</t>
  </si>
  <si>
    <t>2019YHLT2③-L11:1084</t>
  </si>
  <si>
    <t>2019YHLT2③-L3:1540</t>
  </si>
  <si>
    <t>2019YHLT2③-L4:364</t>
  </si>
  <si>
    <t>2019YHLT2③-L6:642</t>
  </si>
  <si>
    <t>2019YHLT2③-L2:1333</t>
  </si>
  <si>
    <t>2019YHLT2③-L4:299</t>
  </si>
  <si>
    <t>2019YHLT2③-L2:1332</t>
  </si>
  <si>
    <t>Andesite</t>
  </si>
  <si>
    <t>Andesite</t>
    <phoneticPr fontId="2" type="noConversion"/>
  </si>
  <si>
    <t>Fragment</t>
    <phoneticPr fontId="2" type="noConversion"/>
  </si>
  <si>
    <t>Retouch Ratio</t>
    <phoneticPr fontId="2" type="noConversion"/>
  </si>
  <si>
    <t>Note</t>
    <phoneticPr fontId="2" type="noConversion"/>
  </si>
  <si>
    <t>2019YHLT1③-L7:85</t>
  </si>
  <si>
    <t>2019YHLT1③-L7:87</t>
  </si>
  <si>
    <t>2019YHLT1③-L2:274</t>
  </si>
  <si>
    <t>12.5</t>
  </si>
  <si>
    <t>2019YHLT2③-L2:31</t>
  </si>
  <si>
    <t>21.1</t>
  </si>
  <si>
    <t>2019YHLT2③-L3:110</t>
  </si>
  <si>
    <t>11.6</t>
  </si>
  <si>
    <t>2019YHLT2③-L3:136</t>
  </si>
  <si>
    <t>2019YHLT2③-L3:160</t>
  </si>
  <si>
    <t>2019YHLT2③-L3:164</t>
  </si>
  <si>
    <t>2019YHLT2③-L3:185</t>
  </si>
  <si>
    <t>2019YHLT2③-L3:189</t>
  </si>
  <si>
    <t>2019YHLT2③-L3:194</t>
  </si>
  <si>
    <t>2019YHLT2③-L3:225</t>
  </si>
  <si>
    <t>2019YHLT2③-L4:313</t>
  </si>
  <si>
    <t>2019YHLT2③-L4:418</t>
  </si>
  <si>
    <t>3.8</t>
  </si>
  <si>
    <t>2019YHLT2③-L4:419</t>
  </si>
  <si>
    <t>5.3</t>
  </si>
  <si>
    <t>2019YHLT2③-L4:461</t>
  </si>
  <si>
    <t>31.4</t>
  </si>
  <si>
    <t>2019YHLT2③-L4:495</t>
  </si>
  <si>
    <t>2019YHLT2③-L5:600</t>
  </si>
  <si>
    <t>2019YHLT2③-L6:685</t>
  </si>
  <si>
    <t>2019YHLT2③-L7:713</t>
  </si>
  <si>
    <t>2019YHLT2③-L7:744</t>
  </si>
  <si>
    <t>2019YHLT2③-L7:754</t>
  </si>
  <si>
    <t>2019YHLT2③-L10:945</t>
  </si>
  <si>
    <t>2019YHLT2③-L11:1061</t>
  </si>
  <si>
    <t>2019YHLT2③-L2:1162</t>
  </si>
  <si>
    <t>2019YHLT2③-L2:1183</t>
  </si>
  <si>
    <t>20.7</t>
  </si>
  <si>
    <t>2019YHLT2③-L2:1221</t>
  </si>
  <si>
    <t>7.7</t>
  </si>
  <si>
    <t>2019YHLT2③-L2:1229</t>
  </si>
  <si>
    <t>10.2</t>
  </si>
  <si>
    <t>2019YHLT2③-L2:1269</t>
  </si>
  <si>
    <t>15.4</t>
  </si>
  <si>
    <t>2019YHLT2③-L2:1293</t>
  </si>
  <si>
    <t>2019YHLT2③-L2:1318</t>
  </si>
  <si>
    <t>8</t>
  </si>
  <si>
    <t>2019YHLT2③-L2:1319</t>
  </si>
  <si>
    <t>2019YHLT2③-L2:1338</t>
  </si>
  <si>
    <t>2019YHLT2③-L3:1467</t>
  </si>
  <si>
    <t>2019YHLT2③-L3:1509</t>
  </si>
  <si>
    <t>2019YHLT2③-L3:1513</t>
  </si>
  <si>
    <t>2019YHLT2③-L3:1556</t>
  </si>
  <si>
    <t>2019YHLT2③-L3:1557</t>
  </si>
  <si>
    <t>2019YHLT2③-L4:1572</t>
  </si>
  <si>
    <t>2019YHLT2③-L4:1594</t>
  </si>
  <si>
    <t>2019YHLT1③-L1:166</t>
  </si>
  <si>
    <t>2019YHLT1③-L2:267</t>
  </si>
  <si>
    <t>4.9</t>
  </si>
  <si>
    <t>2019YHLT1③-L7:303</t>
  </si>
  <si>
    <t>2019YHLT2③-L2:41</t>
  </si>
  <si>
    <t>13.4</t>
  </si>
  <si>
    <t>2019YHLT2③-L3:180</t>
  </si>
  <si>
    <t>2019YHLT2③-L3:200</t>
  </si>
  <si>
    <t>2019YHLT2③-L4:274</t>
  </si>
  <si>
    <t>2019YHLT2③-L4:384</t>
  </si>
  <si>
    <t>2019YHLT2③-L4:406</t>
  </si>
  <si>
    <t>2019YHLT2③-L4:413</t>
  </si>
  <si>
    <t>2019YHLT2③-L4:453</t>
  </si>
  <si>
    <t>12.6</t>
  </si>
  <si>
    <t>2019YHLT2③-L5:502</t>
  </si>
  <si>
    <t>2019YHLT2③-L5:509</t>
  </si>
  <si>
    <t>2019YHLT2③-L5:510</t>
  </si>
  <si>
    <t>2019YHLT2③-L5:573</t>
  </si>
  <si>
    <t>2019YHLT2③-L5:578</t>
  </si>
  <si>
    <t>2019YHLT2③-L7:697</t>
  </si>
  <si>
    <t>2019YHLT2③-L7:757</t>
  </si>
  <si>
    <t>2019YHLT2③-L9:897</t>
  </si>
  <si>
    <t>2019YHLT2③-L10:967</t>
  </si>
  <si>
    <t>2019YHLT2③-L2:1158</t>
  </si>
  <si>
    <t>2019YHLT2③-L2:1268</t>
  </si>
  <si>
    <t>57.1</t>
  </si>
  <si>
    <t>2019YHLT2③-L2:1294</t>
  </si>
  <si>
    <t>2019YHLT2③-L2:1320</t>
  </si>
  <si>
    <t>2019YHLT2③-L2:1376</t>
  </si>
  <si>
    <t>2019YHLT2③-L3:1436</t>
  </si>
  <si>
    <t>2019YHLT2③-L4:1576</t>
  </si>
  <si>
    <t>2019YHLT2③-L5:1676</t>
  </si>
  <si>
    <t>2019YHLT2③-L6:1697</t>
  </si>
  <si>
    <t>2019YHLT1③-L2:249</t>
  </si>
  <si>
    <t>8.1</t>
  </si>
  <si>
    <t>2019YHLT1③-L2:268</t>
  </si>
  <si>
    <t>10.5</t>
  </si>
  <si>
    <t>2019YHLT1③-L2:286</t>
  </si>
  <si>
    <t>2019YHLT2③-L2:34</t>
  </si>
  <si>
    <t>2019YHLT2③-L4:405</t>
  </si>
  <si>
    <t>2019YHLT2③-L4:478</t>
  </si>
  <si>
    <t>2019YHLT2③-L6:640</t>
  </si>
  <si>
    <t>2019YHLT2③-L11:1072</t>
  </si>
  <si>
    <t>2019YHLT2③-L2:1295</t>
  </si>
  <si>
    <t>2019YHLT2③-L2:1334</t>
  </si>
  <si>
    <t>2019YHLT2③-L2:1335</t>
  </si>
  <si>
    <t>2019YHLT2③-L2:1379</t>
  </si>
  <si>
    <t>2019YHLT2③-L4:1579</t>
  </si>
  <si>
    <t>2019YHLT2③-L4:1611</t>
  </si>
  <si>
    <t>2019YHLT2③-L9:920</t>
  </si>
  <si>
    <t>Weight</t>
  </si>
  <si>
    <t>Length</t>
  </si>
  <si>
    <t>Breadth</t>
  </si>
  <si>
    <t>Thickness</t>
  </si>
  <si>
    <t>Basalt</t>
  </si>
  <si>
    <t>Chert</t>
  </si>
  <si>
    <t>Diabase</t>
  </si>
  <si>
    <t>Siliceous rock</t>
    <phoneticPr fontId="2" type="noConversion"/>
  </si>
  <si>
    <r>
      <t>2019YHLT1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-L1:144</t>
    </r>
    <phoneticPr fontId="2" type="noConversion"/>
  </si>
  <si>
    <r>
      <t>2019YHLT1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-L3:76</t>
    </r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</si>
  <si>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-L4:294</t>
    </r>
    <phoneticPr fontId="2" type="noConversion"/>
  </si>
  <si>
    <t>2019YHLT1③-L3:254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</si>
</sst>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Garamond"/>
      <family val="1"/>
    </font>
    <font>
      <sz val="9"/>
      <name val="等线"/>
      <family val="2"/>
      <charset val="134"/>
      <scheme val="minor"/>
    </font>
    <font>
      <sz val="14"/>
      <color theme="1"/>
      <name val="Garamond"/>
      <family val="1"/>
    </font>
    <font>
      <b/>
      <sz val="14"/>
      <color theme="1"/>
      <name val="Garamond"/>
      <family val="3"/>
    </font>
    <font>
      <sz val="14"/>
      <color theme="1"/>
      <name val="宋体"/>
      <family val="3"/>
      <charset val="134"/>
    </font>
    <font>
      <sz val="14"/>
      <color theme="1"/>
      <name val="Garamond"/>
      <family val="3"/>
    </font>
    <font>
      <b/>
      <sz val="16"/>
      <color theme="0"/>
      <name val="Garamond"/>
      <family val="1"/>
    </font>
    <font>
      <sz val="14"/>
      <color theme="1"/>
      <name val="Segoe UI Symbol"/>
      <family val="1"/>
    </font>
    <font>
      <sz val="14"/>
      <name val="Garamond"/>
      <family val="1"/>
    </font>
    <font>
      <sz val="14"/>
      <name val="Segoe UI Symbol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BCED"/>
        <bgColor indexed="64"/>
      </patternFill>
    </fill>
    <fill>
      <patternFill patternType="solid">
        <fgColor rgb="FFF0E5A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E5AC"/>
      <color rgb="FFF2B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46FF-071A-49B4-956E-8F477B084705}">
  <dimension ref="A1:AI84"/>
  <sheetViews>
    <sheetView zoomScale="70" zoomScaleNormal="70" workbookViewId="0">
      <selection activeCell="G39" sqref="G39"/>
    </sheetView>
  </sheetViews>
  <sheetFormatPr defaultColWidth="8.640625" defaultRowHeight="18.45" x14ac:dyDescent="0.35"/>
  <cols>
    <col min="1" max="1" width="28.140625" style="3" customWidth="1"/>
    <col min="2" max="3" width="8.640625" style="3"/>
    <col min="4" max="4" width="11.92578125" style="3" customWidth="1"/>
    <col min="5" max="5" width="8.640625" style="3"/>
    <col min="6" max="6" width="12.5" style="3" customWidth="1"/>
    <col min="7" max="7" width="16.0703125" style="3" customWidth="1"/>
    <col min="8" max="8" width="13.2109375" style="3" customWidth="1"/>
    <col min="9" max="9" width="13" style="3" customWidth="1"/>
    <col min="10" max="10" width="17.5" style="3" customWidth="1"/>
    <col min="11" max="11" width="19.7109375" style="3" customWidth="1"/>
    <col min="12" max="12" width="15.85546875" style="3" customWidth="1"/>
    <col min="13" max="13" width="17.7109375" style="3" customWidth="1"/>
    <col min="14" max="14" width="8.640625" style="3"/>
    <col min="15" max="15" width="11.5" style="3" customWidth="1"/>
    <col min="16" max="20" width="8.640625" style="3"/>
    <col min="21" max="21" width="18.92578125" style="3" customWidth="1"/>
    <col min="22" max="22" width="16.0703125" style="3" customWidth="1"/>
    <col min="23" max="23" width="17.7109375" style="3" customWidth="1"/>
    <col min="24" max="24" width="8.640625" style="3"/>
    <col min="25" max="25" width="10.92578125" style="3" customWidth="1"/>
    <col min="26" max="29" width="8.640625" style="3"/>
    <col min="30" max="30" width="10.85546875" style="3" bestFit="1" customWidth="1"/>
    <col min="31" max="31" width="13.0703125" style="3" customWidth="1"/>
    <col min="32" max="32" width="12.0703125" style="3" customWidth="1"/>
    <col min="33" max="33" width="14.2109375" style="3" customWidth="1"/>
    <col min="34" max="34" width="17.0703125" style="3" customWidth="1"/>
    <col min="35" max="35" width="12.92578125" style="3" customWidth="1"/>
    <col min="36" max="16384" width="8.640625" style="3"/>
  </cols>
  <sheetData>
    <row r="1" spans="1:35" ht="20.6" x14ac:dyDescent="0.35">
      <c r="A1" s="28" t="s">
        <v>34</v>
      </c>
      <c r="B1" s="39" t="s">
        <v>35</v>
      </c>
      <c r="C1" s="40"/>
      <c r="D1" s="40"/>
      <c r="E1" s="40"/>
      <c r="F1" s="41"/>
      <c r="G1" s="30" t="s">
        <v>36</v>
      </c>
      <c r="H1" s="29" t="s">
        <v>43</v>
      </c>
      <c r="I1" s="29"/>
      <c r="J1" s="28" t="s">
        <v>70</v>
      </c>
      <c r="K1" s="32" t="s">
        <v>82</v>
      </c>
      <c r="L1" s="32"/>
      <c r="M1" s="32"/>
      <c r="N1" s="32"/>
      <c r="O1" s="32"/>
      <c r="P1" s="32"/>
      <c r="Q1" s="32"/>
      <c r="R1" s="32"/>
      <c r="S1" s="32"/>
      <c r="T1" s="32"/>
      <c r="U1" s="32" t="s">
        <v>83</v>
      </c>
      <c r="V1" s="32"/>
      <c r="W1" s="32"/>
      <c r="X1" s="32"/>
      <c r="Y1" s="32"/>
      <c r="Z1" s="32"/>
      <c r="AA1" s="32"/>
      <c r="AB1" s="32"/>
      <c r="AC1" s="32"/>
      <c r="AD1" s="32"/>
      <c r="AE1" s="27" t="s">
        <v>84</v>
      </c>
      <c r="AF1" s="27"/>
      <c r="AG1" s="27"/>
      <c r="AH1" s="25" t="s">
        <v>156</v>
      </c>
      <c r="AI1" s="26" t="s">
        <v>157</v>
      </c>
    </row>
    <row r="2" spans="1:35" x14ac:dyDescent="0.35">
      <c r="A2" s="28"/>
      <c r="B2" s="27" t="s">
        <v>37</v>
      </c>
      <c r="C2" s="27" t="s">
        <v>38</v>
      </c>
      <c r="D2" s="27" t="s">
        <v>39</v>
      </c>
      <c r="E2" s="27" t="s">
        <v>40</v>
      </c>
      <c r="F2" s="36" t="s">
        <v>41</v>
      </c>
      <c r="G2" s="30"/>
      <c r="H2" s="15" t="s">
        <v>44</v>
      </c>
      <c r="I2" s="29" t="s">
        <v>45</v>
      </c>
      <c r="J2" s="28"/>
      <c r="K2" s="26" t="s">
        <v>72</v>
      </c>
      <c r="L2" s="31" t="s">
        <v>73</v>
      </c>
      <c r="M2" s="31"/>
      <c r="N2" s="28" t="s">
        <v>74</v>
      </c>
      <c r="O2" s="28"/>
      <c r="P2" s="28"/>
      <c r="Q2" s="28"/>
      <c r="R2" s="28"/>
      <c r="S2" s="28"/>
      <c r="T2" s="28"/>
      <c r="U2" s="26" t="s">
        <v>72</v>
      </c>
      <c r="V2" s="31" t="s">
        <v>73</v>
      </c>
      <c r="W2" s="31"/>
      <c r="X2" s="28" t="s">
        <v>74</v>
      </c>
      <c r="Y2" s="28"/>
      <c r="Z2" s="28"/>
      <c r="AA2" s="28"/>
      <c r="AB2" s="28"/>
      <c r="AC2" s="28"/>
      <c r="AD2" s="28"/>
      <c r="AE2" s="27"/>
      <c r="AF2" s="27"/>
      <c r="AG2" s="27"/>
      <c r="AH2" s="25"/>
      <c r="AI2" s="26"/>
    </row>
    <row r="3" spans="1:35" x14ac:dyDescent="0.35">
      <c r="A3" s="28"/>
      <c r="B3" s="27"/>
      <c r="C3" s="27"/>
      <c r="D3" s="27"/>
      <c r="E3" s="27"/>
      <c r="F3" s="37"/>
      <c r="G3" s="30"/>
      <c r="H3" s="29" t="s">
        <v>46</v>
      </c>
      <c r="I3" s="29"/>
      <c r="J3" s="28"/>
      <c r="K3" s="26"/>
      <c r="L3" s="31" t="s">
        <v>76</v>
      </c>
      <c r="M3" s="33" t="s">
        <v>47</v>
      </c>
      <c r="N3" s="28" t="s">
        <v>37</v>
      </c>
      <c r="O3" s="28" t="s">
        <v>39</v>
      </c>
      <c r="P3" s="28" t="s">
        <v>77</v>
      </c>
      <c r="Q3" s="42" t="s">
        <v>78</v>
      </c>
      <c r="R3" s="43"/>
      <c r="S3" s="43"/>
      <c r="T3" s="44"/>
      <c r="U3" s="26"/>
      <c r="V3" s="31" t="s">
        <v>76</v>
      </c>
      <c r="W3" s="33" t="s">
        <v>47</v>
      </c>
      <c r="X3" s="28" t="s">
        <v>37</v>
      </c>
      <c r="Y3" s="28" t="s">
        <v>39</v>
      </c>
      <c r="Z3" s="28" t="s">
        <v>77</v>
      </c>
      <c r="AA3" s="42" t="s">
        <v>78</v>
      </c>
      <c r="AB3" s="43"/>
      <c r="AC3" s="43"/>
      <c r="AD3" s="44"/>
      <c r="AE3" s="27" t="s">
        <v>71</v>
      </c>
      <c r="AF3" s="27" t="s">
        <v>85</v>
      </c>
      <c r="AG3" s="27" t="s">
        <v>86</v>
      </c>
      <c r="AH3" s="25"/>
      <c r="AI3" s="26"/>
    </row>
    <row r="4" spans="1:35" x14ac:dyDescent="0.35">
      <c r="A4" s="28"/>
      <c r="B4" s="27"/>
      <c r="C4" s="27"/>
      <c r="D4" s="27"/>
      <c r="E4" s="27"/>
      <c r="F4" s="37"/>
      <c r="G4" s="30"/>
      <c r="H4" s="29"/>
      <c r="I4" s="29"/>
      <c r="J4" s="28"/>
      <c r="K4" s="26"/>
      <c r="L4" s="31"/>
      <c r="M4" s="34"/>
      <c r="N4" s="28"/>
      <c r="O4" s="28"/>
      <c r="P4" s="28"/>
      <c r="Q4" s="45"/>
      <c r="R4" s="46"/>
      <c r="S4" s="46"/>
      <c r="T4" s="47"/>
      <c r="U4" s="26"/>
      <c r="V4" s="31"/>
      <c r="W4" s="34"/>
      <c r="X4" s="28"/>
      <c r="Y4" s="28"/>
      <c r="Z4" s="28"/>
      <c r="AA4" s="45"/>
      <c r="AB4" s="46"/>
      <c r="AC4" s="46"/>
      <c r="AD4" s="47"/>
      <c r="AE4" s="27"/>
      <c r="AF4" s="27"/>
      <c r="AG4" s="27"/>
      <c r="AH4" s="25"/>
      <c r="AI4" s="26"/>
    </row>
    <row r="5" spans="1:35" x14ac:dyDescent="0.35">
      <c r="A5" s="28"/>
      <c r="B5" s="27"/>
      <c r="C5" s="27"/>
      <c r="D5" s="27"/>
      <c r="E5" s="27"/>
      <c r="F5" s="38"/>
      <c r="G5" s="30"/>
      <c r="H5" s="29"/>
      <c r="I5" s="29"/>
      <c r="J5" s="28"/>
      <c r="K5" s="26"/>
      <c r="L5" s="31"/>
      <c r="M5" s="35"/>
      <c r="N5" s="28"/>
      <c r="O5" s="28"/>
      <c r="P5" s="28"/>
      <c r="Q5" s="14" t="s">
        <v>79</v>
      </c>
      <c r="R5" s="2" t="s">
        <v>75</v>
      </c>
      <c r="S5" s="14" t="s">
        <v>80</v>
      </c>
      <c r="T5" s="14" t="s">
        <v>81</v>
      </c>
      <c r="U5" s="26"/>
      <c r="V5" s="31"/>
      <c r="W5" s="35"/>
      <c r="X5" s="28"/>
      <c r="Y5" s="28"/>
      <c r="Z5" s="28"/>
      <c r="AA5" s="14" t="s">
        <v>79</v>
      </c>
      <c r="AB5" s="2" t="s">
        <v>75</v>
      </c>
      <c r="AC5" s="14" t="s">
        <v>80</v>
      </c>
      <c r="AD5" s="14" t="s">
        <v>81</v>
      </c>
      <c r="AE5" s="27"/>
      <c r="AF5" s="27"/>
      <c r="AG5" s="27"/>
      <c r="AH5" s="25"/>
      <c r="AI5" s="26"/>
    </row>
    <row r="6" spans="1:35" x14ac:dyDescent="0.35">
      <c r="A6" s="21" t="s">
        <v>7</v>
      </c>
      <c r="B6" s="12">
        <v>44.92</v>
      </c>
      <c r="C6" s="16">
        <v>31.42</v>
      </c>
      <c r="D6" s="16">
        <v>22.77</v>
      </c>
      <c r="E6" s="16">
        <v>25.1</v>
      </c>
      <c r="F6" s="4">
        <f>18.04+17.31+28.97+9.05+28.01+13.4</f>
        <v>114.78</v>
      </c>
      <c r="G6" s="54" t="s">
        <v>42</v>
      </c>
      <c r="H6" s="12" t="s">
        <v>49</v>
      </c>
      <c r="I6" s="4"/>
      <c r="J6" s="17" t="s">
        <v>67</v>
      </c>
      <c r="K6" s="17" t="s">
        <v>95</v>
      </c>
      <c r="L6" s="12">
        <v>1</v>
      </c>
      <c r="M6" s="4">
        <v>7</v>
      </c>
      <c r="N6" s="12">
        <v>38.700000000000003</v>
      </c>
      <c r="O6" s="16">
        <v>6.57</v>
      </c>
      <c r="P6" s="16">
        <f t="shared" ref="P6:P69" si="0">O6*SIN(T6*PI()/180)</f>
        <v>5.9217325906966867</v>
      </c>
      <c r="Q6" s="16">
        <v>67</v>
      </c>
      <c r="R6" s="16">
        <v>60</v>
      </c>
      <c r="S6" s="16">
        <v>66</v>
      </c>
      <c r="T6" s="4">
        <f t="shared" ref="T6:T69" si="1">AVERAGE(Q6:S6)</f>
        <v>64.333333333333329</v>
      </c>
      <c r="U6" s="17" t="s">
        <v>95</v>
      </c>
      <c r="V6" s="12">
        <v>1</v>
      </c>
      <c r="W6" s="4">
        <v>6</v>
      </c>
      <c r="X6" s="12">
        <v>29.69</v>
      </c>
      <c r="Y6" s="16">
        <v>5.48</v>
      </c>
      <c r="Z6" s="16">
        <f t="shared" ref="Z6" si="2">Y6*SIN(AD6*PI()/180)</f>
        <v>5.1495155619067781</v>
      </c>
      <c r="AA6" s="16">
        <v>64</v>
      </c>
      <c r="AB6" s="16">
        <v>73</v>
      </c>
      <c r="AC6" s="16">
        <v>73</v>
      </c>
      <c r="AD6" s="4">
        <f>AVERAGE(AA6:AC6)</f>
        <v>70</v>
      </c>
      <c r="AE6" s="12">
        <f>P6/D6</f>
        <v>0.26006730745264323</v>
      </c>
      <c r="AF6" s="16">
        <f t="shared" ref="AF6" si="3">Y6/D6</f>
        <v>0.24066754501537113</v>
      </c>
      <c r="AG6" s="4">
        <f>AVERAGE(AE6:AF6)</f>
        <v>0.25036742623400721</v>
      </c>
      <c r="AH6" s="17">
        <f>(X6+N6)/F6</f>
        <v>0.59583551141313817</v>
      </c>
      <c r="AI6" s="17"/>
    </row>
    <row r="7" spans="1:35" x14ac:dyDescent="0.35">
      <c r="A7" s="22" t="s">
        <v>5</v>
      </c>
      <c r="B7" s="6">
        <v>46.84</v>
      </c>
      <c r="C7" s="3">
        <v>33.11</v>
      </c>
      <c r="D7" s="3">
        <v>13</v>
      </c>
      <c r="E7" s="3">
        <v>17.899999999999999</v>
      </c>
      <c r="F7" s="5">
        <f>28.22+34.1+31.36+22.33</f>
        <v>116.01</v>
      </c>
      <c r="G7" s="53" t="s">
        <v>42</v>
      </c>
      <c r="H7" s="6" t="s">
        <v>52</v>
      </c>
      <c r="I7" s="5"/>
      <c r="J7" s="18" t="s">
        <v>94</v>
      </c>
      <c r="K7" s="18" t="s">
        <v>95</v>
      </c>
      <c r="L7" s="6">
        <v>1</v>
      </c>
      <c r="M7" s="5">
        <v>7</v>
      </c>
      <c r="N7" s="6">
        <v>28.82</v>
      </c>
      <c r="O7" s="3">
        <v>3.45</v>
      </c>
      <c r="P7" s="3">
        <f t="shared" si="0"/>
        <v>3.0076562272538303</v>
      </c>
      <c r="Q7" s="3">
        <v>60</v>
      </c>
      <c r="R7" s="3">
        <v>62</v>
      </c>
      <c r="S7" s="3">
        <v>60</v>
      </c>
      <c r="T7" s="5">
        <f t="shared" si="1"/>
        <v>60.666666666666664</v>
      </c>
      <c r="U7" s="18"/>
      <c r="V7" s="6"/>
      <c r="W7" s="5"/>
      <c r="X7" s="6"/>
      <c r="AD7" s="5"/>
      <c r="AE7" s="6">
        <f t="shared" ref="AE7:AE70" si="4">P7/D7</f>
        <v>0.23135817132721773</v>
      </c>
      <c r="AG7" s="5">
        <f t="shared" ref="AG7:AG70" si="5">AVERAGE(AE7:AF7)</f>
        <v>0.23135817132721773</v>
      </c>
      <c r="AH7" s="18">
        <f t="shared" ref="AH7:AH70" si="6">(X7+N7)/F7</f>
        <v>0.24842685975346951</v>
      </c>
      <c r="AI7" s="18"/>
    </row>
    <row r="8" spans="1:35" x14ac:dyDescent="0.35">
      <c r="A8" s="22" t="s">
        <v>87</v>
      </c>
      <c r="B8" s="6">
        <v>48.97</v>
      </c>
      <c r="C8" s="3">
        <v>35.340000000000003</v>
      </c>
      <c r="D8" s="3">
        <v>25.28</v>
      </c>
      <c r="E8" s="3">
        <v>10.1</v>
      </c>
      <c r="F8" s="5">
        <f>40.11+43.04+9.69+33.04</f>
        <v>125.88</v>
      </c>
      <c r="G8" s="18" t="s">
        <v>122</v>
      </c>
      <c r="H8" s="6"/>
      <c r="I8" s="5">
        <v>1</v>
      </c>
      <c r="J8" s="18" t="s">
        <v>94</v>
      </c>
      <c r="K8" s="18" t="s">
        <v>95</v>
      </c>
      <c r="L8" s="6">
        <v>2</v>
      </c>
      <c r="M8" s="5">
        <v>11</v>
      </c>
      <c r="N8" s="6">
        <v>42.53</v>
      </c>
      <c r="O8" s="3">
        <v>7</v>
      </c>
      <c r="P8" s="3">
        <f t="shared" si="0"/>
        <v>6.5638085584550145</v>
      </c>
      <c r="Q8" s="3">
        <v>64</v>
      </c>
      <c r="R8" s="3">
        <v>71</v>
      </c>
      <c r="S8" s="3">
        <v>74</v>
      </c>
      <c r="T8" s="5">
        <f t="shared" si="1"/>
        <v>69.666666666666671</v>
      </c>
      <c r="U8" s="18"/>
      <c r="V8" s="6"/>
      <c r="W8" s="5"/>
      <c r="X8" s="6"/>
      <c r="AD8" s="5"/>
      <c r="AE8" s="6">
        <f t="shared" si="4"/>
        <v>0.25964432588825215</v>
      </c>
      <c r="AG8" s="5">
        <f t="shared" si="5"/>
        <v>0.25964432588825215</v>
      </c>
      <c r="AH8" s="18">
        <f t="shared" si="6"/>
        <v>0.33786145535430573</v>
      </c>
      <c r="AI8" s="18"/>
    </row>
    <row r="9" spans="1:35" x14ac:dyDescent="0.35">
      <c r="A9" s="22" t="s">
        <v>88</v>
      </c>
      <c r="B9" s="6">
        <v>43.26</v>
      </c>
      <c r="C9" s="3">
        <v>32.130000000000003</v>
      </c>
      <c r="D9" s="3">
        <v>13.6</v>
      </c>
      <c r="E9" s="3">
        <v>18.2</v>
      </c>
      <c r="F9" s="5">
        <f>24.88+14.03+36.4+24.36+17.27</f>
        <v>116.94</v>
      </c>
      <c r="G9" s="53" t="s">
        <v>42</v>
      </c>
      <c r="H9" s="6" t="s">
        <v>49</v>
      </c>
      <c r="I9" s="5"/>
      <c r="J9" s="18" t="s">
        <v>94</v>
      </c>
      <c r="K9" s="18" t="s">
        <v>99</v>
      </c>
      <c r="L9" s="6">
        <v>1</v>
      </c>
      <c r="M9" s="5">
        <v>7</v>
      </c>
      <c r="N9" s="6">
        <f>12.9+23.11</f>
        <v>36.01</v>
      </c>
      <c r="O9" s="3">
        <v>6.88</v>
      </c>
      <c r="P9" s="3">
        <f t="shared" si="0"/>
        <v>5.4704310798845528</v>
      </c>
      <c r="Q9" s="3">
        <v>52</v>
      </c>
      <c r="R9" s="3">
        <v>61</v>
      </c>
      <c r="S9" s="3">
        <v>45</v>
      </c>
      <c r="T9" s="5">
        <f t="shared" si="1"/>
        <v>52.666666666666664</v>
      </c>
      <c r="U9" s="18"/>
      <c r="V9" s="6"/>
      <c r="W9" s="5"/>
      <c r="X9" s="6"/>
      <c r="AD9" s="5"/>
      <c r="AE9" s="6">
        <f t="shared" si="4"/>
        <v>0.40223757940327592</v>
      </c>
      <c r="AG9" s="5">
        <f t="shared" si="5"/>
        <v>0.40223757940327592</v>
      </c>
      <c r="AH9" s="18">
        <f t="shared" si="6"/>
        <v>0.30793569351804345</v>
      </c>
      <c r="AI9" s="18"/>
    </row>
    <row r="10" spans="1:35" x14ac:dyDescent="0.35">
      <c r="A10" s="22" t="s">
        <v>21</v>
      </c>
      <c r="B10" s="6">
        <v>50.88</v>
      </c>
      <c r="C10" s="3">
        <v>25.89</v>
      </c>
      <c r="D10" s="3">
        <v>8.39</v>
      </c>
      <c r="E10" s="3">
        <v>12</v>
      </c>
      <c r="F10" s="5">
        <f>21.83+9.19+41.61+6.65+45.61</f>
        <v>124.89</v>
      </c>
      <c r="G10" s="53" t="s">
        <v>42</v>
      </c>
      <c r="H10" s="6"/>
      <c r="I10" s="5">
        <v>1</v>
      </c>
      <c r="J10" s="18" t="s">
        <v>94</v>
      </c>
      <c r="K10" s="18" t="s">
        <v>95</v>
      </c>
      <c r="L10" s="6">
        <v>2</v>
      </c>
      <c r="M10" s="5">
        <v>9</v>
      </c>
      <c r="N10" s="6">
        <v>44.61</v>
      </c>
      <c r="O10" s="3">
        <v>5.2</v>
      </c>
      <c r="P10" s="3">
        <f t="shared" si="0"/>
        <v>4.4881297876263488</v>
      </c>
      <c r="Q10" s="3">
        <v>65</v>
      </c>
      <c r="R10" s="3">
        <v>57</v>
      </c>
      <c r="S10" s="3">
        <v>57</v>
      </c>
      <c r="T10" s="5">
        <f t="shared" si="1"/>
        <v>59.666666666666664</v>
      </c>
      <c r="U10" s="18"/>
      <c r="V10" s="6"/>
      <c r="W10" s="5"/>
      <c r="X10" s="6"/>
      <c r="AD10" s="5"/>
      <c r="AE10" s="6">
        <f t="shared" si="4"/>
        <v>0.53493799614140025</v>
      </c>
      <c r="AG10" s="5">
        <f t="shared" si="5"/>
        <v>0.53493799614140025</v>
      </c>
      <c r="AH10" s="18">
        <f t="shared" si="6"/>
        <v>0.35719433101128995</v>
      </c>
      <c r="AI10" s="18"/>
    </row>
    <row r="11" spans="1:35" x14ac:dyDescent="0.35">
      <c r="A11" s="22" t="s">
        <v>9</v>
      </c>
      <c r="B11" s="6">
        <v>44.25</v>
      </c>
      <c r="C11" s="3">
        <v>21.14</v>
      </c>
      <c r="D11" s="3">
        <v>17.95</v>
      </c>
      <c r="E11" s="3">
        <v>19.3</v>
      </c>
      <c r="F11" s="5">
        <f>24.2+13.67+31.07+14.48</f>
        <v>83.42</v>
      </c>
      <c r="G11" s="53" t="s">
        <v>42</v>
      </c>
      <c r="H11" s="6" t="s">
        <v>50</v>
      </c>
      <c r="I11" s="5"/>
      <c r="J11" s="18" t="s">
        <v>97</v>
      </c>
      <c r="K11" s="18" t="s">
        <v>95</v>
      </c>
      <c r="L11" s="6">
        <v>1</v>
      </c>
      <c r="M11" s="5">
        <v>7</v>
      </c>
      <c r="N11" s="6">
        <f>23.79+12.06</f>
        <v>35.85</v>
      </c>
      <c r="O11" s="3">
        <v>2.72</v>
      </c>
      <c r="P11" s="3">
        <f t="shared" si="0"/>
        <v>2.3476371196814747</v>
      </c>
      <c r="Q11" s="3">
        <v>57</v>
      </c>
      <c r="R11" s="3">
        <v>65</v>
      </c>
      <c r="S11" s="3">
        <v>57</v>
      </c>
      <c r="T11" s="5">
        <f t="shared" si="1"/>
        <v>59.666666666666664</v>
      </c>
      <c r="U11" s="18"/>
      <c r="V11" s="6"/>
      <c r="W11" s="5"/>
      <c r="X11" s="6"/>
      <c r="AD11" s="5"/>
      <c r="AE11" s="6">
        <f t="shared" si="4"/>
        <v>0.13078758326916295</v>
      </c>
      <c r="AG11" s="5">
        <f t="shared" si="5"/>
        <v>0.13078758326916295</v>
      </c>
      <c r="AH11" s="18">
        <f t="shared" si="6"/>
        <v>0.42975305682090625</v>
      </c>
      <c r="AI11" s="18"/>
    </row>
    <row r="12" spans="1:35" x14ac:dyDescent="0.35">
      <c r="A12" s="22" t="s">
        <v>11</v>
      </c>
      <c r="B12" s="6">
        <v>45.67</v>
      </c>
      <c r="C12" s="3">
        <v>34.33</v>
      </c>
      <c r="D12" s="3">
        <v>7.43</v>
      </c>
      <c r="E12" s="3">
        <v>14.9</v>
      </c>
      <c r="F12" s="5">
        <f>20.28+45.21+21.89</f>
        <v>87.38000000000001</v>
      </c>
      <c r="G12" s="53" t="s">
        <v>154</v>
      </c>
      <c r="H12" s="6"/>
      <c r="I12" s="5">
        <v>1</v>
      </c>
      <c r="J12" s="18" t="s">
        <v>98</v>
      </c>
      <c r="K12" s="18" t="s">
        <v>95</v>
      </c>
      <c r="L12" s="6">
        <v>1</v>
      </c>
      <c r="M12" s="5">
        <v>6</v>
      </c>
      <c r="N12" s="6">
        <v>33.659999999999997</v>
      </c>
      <c r="O12" s="3">
        <v>2.2400000000000002</v>
      </c>
      <c r="P12" s="3">
        <f>O12*SIN(T12*PI()/180)</f>
        <v>1.629316957123629</v>
      </c>
      <c r="Q12" s="3">
        <v>45</v>
      </c>
      <c r="R12" s="3">
        <v>50</v>
      </c>
      <c r="S12" s="3">
        <v>45</v>
      </c>
      <c r="T12" s="5">
        <f t="shared" si="1"/>
        <v>46.666666666666664</v>
      </c>
      <c r="U12" s="18" t="s">
        <v>95</v>
      </c>
      <c r="V12" s="6">
        <v>1</v>
      </c>
      <c r="W12" s="5">
        <v>5</v>
      </c>
      <c r="X12" s="6">
        <v>26.55</v>
      </c>
      <c r="Y12" s="3">
        <v>4.78</v>
      </c>
      <c r="Z12" s="3">
        <f>Y12*SIN(AD12*PI()/180)</f>
        <v>4.0088453147791263</v>
      </c>
      <c r="AA12" s="3">
        <v>57</v>
      </c>
      <c r="AB12" s="3">
        <v>57</v>
      </c>
      <c r="AC12" s="3">
        <v>57</v>
      </c>
      <c r="AD12" s="5">
        <f t="shared" ref="AD12:AD46" si="7">AVERAGE(AA12:AC12)</f>
        <v>57</v>
      </c>
      <c r="AE12" s="6">
        <f t="shared" si="4"/>
        <v>0.21928895789012504</v>
      </c>
      <c r="AF12" s="3">
        <f>Y12/D12</f>
        <v>0.64333781965006731</v>
      </c>
      <c r="AG12" s="5">
        <f t="shared" si="5"/>
        <v>0.43131338877009617</v>
      </c>
      <c r="AH12" s="18">
        <f t="shared" si="6"/>
        <v>0.68905928130006855</v>
      </c>
      <c r="AI12" s="18"/>
    </row>
    <row r="13" spans="1:35" x14ac:dyDescent="0.35">
      <c r="A13" s="22" t="s">
        <v>13</v>
      </c>
      <c r="B13" s="6">
        <v>39.130000000000003</v>
      </c>
      <c r="C13" s="3">
        <v>33.840000000000003</v>
      </c>
      <c r="D13" s="3">
        <v>18.78</v>
      </c>
      <c r="E13" s="3">
        <v>33.299999999999997</v>
      </c>
      <c r="F13" s="5">
        <f>28.67+20.07+24.05+14.76+36.22</f>
        <v>123.77000000000001</v>
      </c>
      <c r="G13" s="53" t="s">
        <v>153</v>
      </c>
      <c r="H13" s="6"/>
      <c r="I13" s="5">
        <v>1</v>
      </c>
      <c r="J13" s="18" t="s">
        <v>94</v>
      </c>
      <c r="K13" s="18" t="s">
        <v>95</v>
      </c>
      <c r="L13" s="6">
        <v>2</v>
      </c>
      <c r="M13" s="5">
        <v>13</v>
      </c>
      <c r="N13" s="6">
        <f>15.81+11.23+12.61</f>
        <v>39.65</v>
      </c>
      <c r="O13" s="3">
        <v>7.76</v>
      </c>
      <c r="P13" s="3">
        <f t="shared" si="0"/>
        <v>7.0519087608348583</v>
      </c>
      <c r="Q13" s="3">
        <v>67</v>
      </c>
      <c r="R13" s="3">
        <v>74</v>
      </c>
      <c r="S13" s="3">
        <v>55</v>
      </c>
      <c r="T13" s="5">
        <f t="shared" si="1"/>
        <v>65.333333333333329</v>
      </c>
      <c r="U13" s="18"/>
      <c r="V13" s="6"/>
      <c r="W13" s="5"/>
      <c r="X13" s="6"/>
      <c r="AD13" s="5"/>
      <c r="AE13" s="6">
        <f t="shared" si="4"/>
        <v>0.37550099897949191</v>
      </c>
      <c r="AG13" s="5">
        <f t="shared" si="5"/>
        <v>0.37550099897949191</v>
      </c>
      <c r="AH13" s="18">
        <f t="shared" si="6"/>
        <v>0.32035226630039587</v>
      </c>
      <c r="AI13" s="18"/>
    </row>
    <row r="14" spans="1:35" ht="21" x14ac:dyDescent="0.35">
      <c r="A14" s="22" t="s">
        <v>90</v>
      </c>
      <c r="B14" s="6">
        <v>41.38</v>
      </c>
      <c r="C14" s="3">
        <v>31.07</v>
      </c>
      <c r="D14" s="3">
        <v>19.850000000000001</v>
      </c>
      <c r="E14" s="3">
        <v>22.6</v>
      </c>
      <c r="F14" s="5">
        <f>18.97+6.76+12.58+27.97+40.52</f>
        <v>106.80000000000001</v>
      </c>
      <c r="G14" s="53" t="s">
        <v>42</v>
      </c>
      <c r="H14" s="6"/>
      <c r="I14" s="5">
        <v>1</v>
      </c>
      <c r="J14" s="18" t="s">
        <v>97</v>
      </c>
      <c r="K14" s="18" t="s">
        <v>95</v>
      </c>
      <c r="L14" s="6">
        <v>2</v>
      </c>
      <c r="M14" s="5">
        <v>13</v>
      </c>
      <c r="N14" s="6">
        <v>26.73</v>
      </c>
      <c r="O14" s="3">
        <v>8.7799999999999994</v>
      </c>
      <c r="P14" s="3">
        <f t="shared" si="0"/>
        <v>8.1018542614407831</v>
      </c>
      <c r="Q14" s="3">
        <v>69</v>
      </c>
      <c r="R14" s="3">
        <v>63</v>
      </c>
      <c r="S14" s="3">
        <v>70</v>
      </c>
      <c r="T14" s="5">
        <f t="shared" si="1"/>
        <v>67.333333333333329</v>
      </c>
      <c r="U14" s="18"/>
      <c r="V14" s="6"/>
      <c r="W14" s="5"/>
      <c r="X14" s="6"/>
      <c r="AD14" s="5"/>
      <c r="AE14" s="6">
        <f t="shared" si="4"/>
        <v>0.40815386707510237</v>
      </c>
      <c r="AG14" s="5">
        <f t="shared" si="5"/>
        <v>0.40815386707510237</v>
      </c>
      <c r="AH14" s="18">
        <f t="shared" si="6"/>
        <v>0.25028089887640448</v>
      </c>
      <c r="AI14" s="18"/>
    </row>
    <row r="15" spans="1:35" x14ac:dyDescent="0.35">
      <c r="A15" s="22" t="s">
        <v>16</v>
      </c>
      <c r="B15" s="6">
        <v>47.3</v>
      </c>
      <c r="C15" s="3">
        <v>40.98</v>
      </c>
      <c r="D15" s="3">
        <v>16.420000000000002</v>
      </c>
      <c r="E15" s="3">
        <v>36.299999999999997</v>
      </c>
      <c r="F15" s="5">
        <f>25.2+30.67+35.63+14.59</f>
        <v>106.09</v>
      </c>
      <c r="G15" s="53" t="s">
        <v>42</v>
      </c>
      <c r="H15" s="6" t="s">
        <v>52</v>
      </c>
      <c r="I15" s="5"/>
      <c r="J15" s="18" t="s">
        <v>94</v>
      </c>
      <c r="K15" s="18" t="s">
        <v>96</v>
      </c>
      <c r="L15" s="6">
        <v>1</v>
      </c>
      <c r="M15" s="5">
        <v>6</v>
      </c>
      <c r="N15" s="6">
        <f>26.91+19.02</f>
        <v>45.93</v>
      </c>
      <c r="O15" s="3">
        <v>11.07</v>
      </c>
      <c r="P15" s="3">
        <f t="shared" si="0"/>
        <v>9.4555118082964178</v>
      </c>
      <c r="Q15" s="3">
        <v>64</v>
      </c>
      <c r="R15" s="3">
        <v>50</v>
      </c>
      <c r="S15" s="3">
        <v>62</v>
      </c>
      <c r="T15" s="5">
        <f t="shared" si="1"/>
        <v>58.666666666666664</v>
      </c>
      <c r="U15" s="18"/>
      <c r="V15" s="6"/>
      <c r="W15" s="5"/>
      <c r="X15" s="6"/>
      <c r="AD15" s="5"/>
      <c r="AE15" s="6">
        <f t="shared" si="4"/>
        <v>0.57585333789868554</v>
      </c>
      <c r="AG15" s="5">
        <f t="shared" si="5"/>
        <v>0.57585333789868554</v>
      </c>
      <c r="AH15" s="18">
        <f t="shared" si="6"/>
        <v>0.43293430106513336</v>
      </c>
      <c r="AI15" s="18"/>
    </row>
    <row r="16" spans="1:35" x14ac:dyDescent="0.35">
      <c r="A16" s="22" t="s">
        <v>17</v>
      </c>
      <c r="B16" s="6">
        <v>54.38</v>
      </c>
      <c r="C16" s="3">
        <v>29.78</v>
      </c>
      <c r="D16" s="3">
        <v>22.55</v>
      </c>
      <c r="E16" s="3">
        <v>45.9</v>
      </c>
      <c r="F16" s="5">
        <f>39.59+20.31+31.89+13.16+21.58</f>
        <v>126.53</v>
      </c>
      <c r="G16" s="53" t="s">
        <v>154</v>
      </c>
      <c r="H16" s="6"/>
      <c r="I16" s="5">
        <v>1</v>
      </c>
      <c r="J16" s="18" t="s">
        <v>94</v>
      </c>
      <c r="K16" s="18" t="s">
        <v>95</v>
      </c>
      <c r="L16" s="6">
        <v>1</v>
      </c>
      <c r="M16" s="5">
        <v>11</v>
      </c>
      <c r="N16" s="6">
        <f>15.58+32.17</f>
        <v>47.75</v>
      </c>
      <c r="O16" s="3">
        <v>7.31</v>
      </c>
      <c r="P16" s="3">
        <f t="shared" si="0"/>
        <v>6.4742031824092559</v>
      </c>
      <c r="Q16" s="3">
        <v>64</v>
      </c>
      <c r="R16" s="3">
        <v>64</v>
      </c>
      <c r="S16" s="3">
        <v>59</v>
      </c>
      <c r="T16" s="5">
        <f t="shared" si="1"/>
        <v>62.333333333333336</v>
      </c>
      <c r="U16" s="18"/>
      <c r="V16" s="6"/>
      <c r="W16" s="5"/>
      <c r="X16" s="6"/>
      <c r="AD16" s="5"/>
      <c r="AE16" s="6">
        <f t="shared" si="4"/>
        <v>0.28710435398710665</v>
      </c>
      <c r="AG16" s="5">
        <f t="shared" si="5"/>
        <v>0.28710435398710665</v>
      </c>
      <c r="AH16" s="18">
        <f t="shared" si="6"/>
        <v>0.3773808582944756</v>
      </c>
      <c r="AI16" s="18"/>
    </row>
    <row r="17" spans="1:35" x14ac:dyDescent="0.35">
      <c r="A17" s="22" t="s">
        <v>18</v>
      </c>
      <c r="B17" s="6">
        <v>64.48</v>
      </c>
      <c r="C17" s="3">
        <v>39.42</v>
      </c>
      <c r="D17" s="3">
        <v>15.64</v>
      </c>
      <c r="E17" s="3">
        <v>35.700000000000003</v>
      </c>
      <c r="F17" s="5">
        <f>23.01+32.36+44.68+17.1+48.68</f>
        <v>165.83</v>
      </c>
      <c r="G17" s="53" t="s">
        <v>42</v>
      </c>
      <c r="H17" s="6" t="s">
        <v>50</v>
      </c>
      <c r="I17" s="5"/>
      <c r="J17" s="18" t="s">
        <v>94</v>
      </c>
      <c r="K17" s="18" t="s">
        <v>95</v>
      </c>
      <c r="L17" s="6">
        <v>1</v>
      </c>
      <c r="M17" s="5">
        <v>4</v>
      </c>
      <c r="N17" s="6">
        <v>24.24</v>
      </c>
      <c r="O17" s="3">
        <v>5.3</v>
      </c>
      <c r="P17" s="3">
        <f t="shared" si="0"/>
        <v>3.9592328775772785</v>
      </c>
      <c r="Q17" s="3">
        <v>52</v>
      </c>
      <c r="R17" s="3">
        <v>48</v>
      </c>
      <c r="S17" s="3">
        <v>45</v>
      </c>
      <c r="T17" s="5">
        <f t="shared" si="1"/>
        <v>48.333333333333336</v>
      </c>
      <c r="U17" s="18"/>
      <c r="V17" s="6"/>
      <c r="W17" s="5"/>
      <c r="X17" s="6"/>
      <c r="AD17" s="5"/>
      <c r="AE17" s="6">
        <f t="shared" si="4"/>
        <v>0.25314788219803569</v>
      </c>
      <c r="AG17" s="5">
        <f t="shared" si="5"/>
        <v>0.25314788219803569</v>
      </c>
      <c r="AH17" s="18">
        <f t="shared" si="6"/>
        <v>0.14617379243803894</v>
      </c>
      <c r="AI17" s="18"/>
    </row>
    <row r="18" spans="1:35" ht="21" x14ac:dyDescent="0.35">
      <c r="A18" s="22" t="s">
        <v>91</v>
      </c>
      <c r="B18" s="6">
        <v>62.71</v>
      </c>
      <c r="C18" s="3">
        <v>36.21</v>
      </c>
      <c r="D18" s="3">
        <v>19.16</v>
      </c>
      <c r="E18" s="3">
        <v>47.8</v>
      </c>
      <c r="F18" s="5">
        <f>39.05+33.16+51.37+30.47</f>
        <v>154.04999999999998</v>
      </c>
      <c r="G18" s="53" t="s">
        <v>42</v>
      </c>
      <c r="H18" s="6" t="s">
        <v>49</v>
      </c>
      <c r="I18" s="5"/>
      <c r="J18" s="18" t="s">
        <v>94</v>
      </c>
      <c r="K18" s="18" t="s">
        <v>95</v>
      </c>
      <c r="L18" s="6">
        <v>1</v>
      </c>
      <c r="M18" s="5">
        <v>6</v>
      </c>
      <c r="N18" s="6">
        <v>39.049999999999997</v>
      </c>
      <c r="O18" s="3">
        <v>4.3600000000000003</v>
      </c>
      <c r="P18" s="3">
        <f t="shared" si="0"/>
        <v>3.5859914154236878</v>
      </c>
      <c r="Q18" s="3">
        <v>50</v>
      </c>
      <c r="R18" s="3">
        <v>56</v>
      </c>
      <c r="S18" s="3">
        <v>60</v>
      </c>
      <c r="T18" s="5">
        <f t="shared" si="1"/>
        <v>55.333333333333336</v>
      </c>
      <c r="U18" s="18"/>
      <c r="V18" s="6"/>
      <c r="W18" s="5"/>
      <c r="X18" s="6"/>
      <c r="AD18" s="5"/>
      <c r="AE18" s="6">
        <f t="shared" si="4"/>
        <v>0.18716030351898161</v>
      </c>
      <c r="AG18" s="5">
        <f t="shared" si="5"/>
        <v>0.18716030351898161</v>
      </c>
      <c r="AH18" s="18">
        <f t="shared" si="6"/>
        <v>0.25348912690684844</v>
      </c>
      <c r="AI18" s="18"/>
    </row>
    <row r="19" spans="1:35" x14ac:dyDescent="0.35">
      <c r="A19" s="22" t="s">
        <v>89</v>
      </c>
      <c r="B19" s="6">
        <v>40.090000000000003</v>
      </c>
      <c r="C19" s="3">
        <v>27.48</v>
      </c>
      <c r="D19" s="3">
        <v>15.4</v>
      </c>
      <c r="E19" s="3">
        <v>19.2</v>
      </c>
      <c r="F19" s="5">
        <f>37.89+7+18.12+24.67+26.88</f>
        <v>114.56</v>
      </c>
      <c r="G19" s="53" t="s">
        <v>42</v>
      </c>
      <c r="H19" s="6"/>
      <c r="I19" s="5">
        <v>1</v>
      </c>
      <c r="J19" s="18" t="s">
        <v>94</v>
      </c>
      <c r="K19" s="18" t="s">
        <v>95</v>
      </c>
      <c r="L19" s="6">
        <v>1</v>
      </c>
      <c r="M19" s="5">
        <v>6</v>
      </c>
      <c r="N19" s="6">
        <v>24.38</v>
      </c>
      <c r="O19" s="3">
        <v>6.02</v>
      </c>
      <c r="P19" s="3">
        <f t="shared" si="0"/>
        <v>5.1237223680707382</v>
      </c>
      <c r="Q19" s="3">
        <v>63</v>
      </c>
      <c r="R19" s="3">
        <v>60</v>
      </c>
      <c r="S19" s="3">
        <v>52</v>
      </c>
      <c r="T19" s="5">
        <f t="shared" si="1"/>
        <v>58.333333333333336</v>
      </c>
      <c r="U19" s="18"/>
      <c r="V19" s="6"/>
      <c r="W19" s="5"/>
      <c r="X19" s="6"/>
      <c r="AD19" s="5"/>
      <c r="AE19" s="6">
        <f t="shared" si="4"/>
        <v>0.33270924467991808</v>
      </c>
      <c r="AG19" s="5">
        <f t="shared" si="5"/>
        <v>0.33270924467991808</v>
      </c>
      <c r="AH19" s="18">
        <f t="shared" si="6"/>
        <v>0.21281424581005584</v>
      </c>
      <c r="AI19" s="18"/>
    </row>
    <row r="20" spans="1:35" x14ac:dyDescent="0.35">
      <c r="A20" s="22" t="s">
        <v>10</v>
      </c>
      <c r="B20" s="6">
        <v>46.33</v>
      </c>
      <c r="C20" s="3">
        <v>33.56</v>
      </c>
      <c r="D20" s="3">
        <v>13.54</v>
      </c>
      <c r="E20" s="3">
        <v>20.2</v>
      </c>
      <c r="F20" s="5">
        <f>36.92+30.42+44.57+6.4</f>
        <v>118.31</v>
      </c>
      <c r="G20" s="53" t="s">
        <v>42</v>
      </c>
      <c r="H20" s="6" t="s">
        <v>50</v>
      </c>
      <c r="I20" s="5"/>
      <c r="J20" s="18" t="s">
        <v>94</v>
      </c>
      <c r="K20" s="18" t="s">
        <v>95</v>
      </c>
      <c r="L20" s="6">
        <v>1</v>
      </c>
      <c r="M20" s="5">
        <v>8</v>
      </c>
      <c r="N20" s="6">
        <v>30.02</v>
      </c>
      <c r="O20" s="3">
        <v>6.38</v>
      </c>
      <c r="P20" s="3">
        <f t="shared" si="0"/>
        <v>5.734306015388686</v>
      </c>
      <c r="Q20" s="3">
        <v>69</v>
      </c>
      <c r="R20" s="3">
        <v>63</v>
      </c>
      <c r="S20" s="3">
        <v>60</v>
      </c>
      <c r="T20" s="5">
        <f t="shared" si="1"/>
        <v>64</v>
      </c>
      <c r="U20" s="18"/>
      <c r="V20" s="6"/>
      <c r="W20" s="5"/>
      <c r="X20" s="6"/>
      <c r="AD20" s="5"/>
      <c r="AE20" s="6">
        <f t="shared" si="4"/>
        <v>0.42350856834480699</v>
      </c>
      <c r="AG20" s="5">
        <f t="shared" si="5"/>
        <v>0.42350856834480699</v>
      </c>
      <c r="AH20" s="18">
        <f t="shared" si="6"/>
        <v>0.25374017411884031</v>
      </c>
      <c r="AI20" s="18"/>
    </row>
    <row r="21" spans="1:35" x14ac:dyDescent="0.35">
      <c r="A21" s="22" t="s">
        <v>0</v>
      </c>
      <c r="B21" s="6">
        <v>60.62</v>
      </c>
      <c r="C21" s="3">
        <v>52.08</v>
      </c>
      <c r="D21" s="3">
        <v>12.49</v>
      </c>
      <c r="E21" s="3">
        <v>40.299999999999997</v>
      </c>
      <c r="F21" s="5">
        <f>24.86+43.75+31.43+14.32+47.63</f>
        <v>161.98999999999998</v>
      </c>
      <c r="G21" s="53" t="s">
        <v>42</v>
      </c>
      <c r="H21" s="6" t="s">
        <v>50</v>
      </c>
      <c r="I21" s="5"/>
      <c r="J21" s="18" t="s">
        <v>94</v>
      </c>
      <c r="K21" s="18" t="s">
        <v>95</v>
      </c>
      <c r="L21" s="6">
        <v>2</v>
      </c>
      <c r="M21" s="5">
        <v>15</v>
      </c>
      <c r="N21" s="6">
        <v>24.69</v>
      </c>
      <c r="O21" s="3">
        <v>8.24</v>
      </c>
      <c r="P21" s="3">
        <f t="shared" si="0"/>
        <v>7.8065483343180739</v>
      </c>
      <c r="Q21" s="3">
        <v>70</v>
      </c>
      <c r="R21" s="3">
        <v>72</v>
      </c>
      <c r="S21" s="3">
        <v>72</v>
      </c>
      <c r="T21" s="5">
        <f t="shared" si="1"/>
        <v>71.333333333333329</v>
      </c>
      <c r="U21" s="18"/>
      <c r="V21" s="6"/>
      <c r="W21" s="5"/>
      <c r="X21" s="6"/>
      <c r="AD21" s="5"/>
      <c r="AE21" s="6">
        <f t="shared" si="4"/>
        <v>0.62502388585412916</v>
      </c>
      <c r="AG21" s="5">
        <f t="shared" si="5"/>
        <v>0.62502388585412916</v>
      </c>
      <c r="AH21" s="18">
        <f t="shared" si="6"/>
        <v>0.15241681585283046</v>
      </c>
      <c r="AI21" s="18"/>
    </row>
    <row r="22" spans="1:35" x14ac:dyDescent="0.35">
      <c r="A22" s="22" t="s">
        <v>29</v>
      </c>
      <c r="B22" s="6">
        <v>46.22</v>
      </c>
      <c r="C22" s="3">
        <v>35.64</v>
      </c>
      <c r="D22" s="3">
        <v>18.73</v>
      </c>
      <c r="E22" s="3">
        <v>26.8</v>
      </c>
      <c r="F22" s="5">
        <f>45.97+24.42+21.19+23.56+14.78</f>
        <v>129.91999999999999</v>
      </c>
      <c r="G22" s="53" t="s">
        <v>42</v>
      </c>
      <c r="H22" s="6"/>
      <c r="I22" s="5">
        <v>1</v>
      </c>
      <c r="J22" s="18" t="s">
        <v>94</v>
      </c>
      <c r="K22" s="18" t="s">
        <v>95</v>
      </c>
      <c r="L22" s="6">
        <v>1</v>
      </c>
      <c r="M22" s="5">
        <v>8</v>
      </c>
      <c r="N22" s="6">
        <v>25.39</v>
      </c>
      <c r="O22" s="3">
        <v>4.07</v>
      </c>
      <c r="P22" s="3">
        <f>O22*SIN(T22*PI()/180)</f>
        <v>2.8779245994292482</v>
      </c>
      <c r="Q22" s="3">
        <v>45</v>
      </c>
      <c r="R22" s="3">
        <v>50</v>
      </c>
      <c r="S22" s="3">
        <v>40</v>
      </c>
      <c r="T22" s="5">
        <f>AVERAGE(Q22:S22)</f>
        <v>45</v>
      </c>
      <c r="U22" s="18"/>
      <c r="V22" s="6"/>
      <c r="W22" s="5"/>
      <c r="X22" s="6"/>
      <c r="AD22" s="5"/>
      <c r="AE22" s="6">
        <f t="shared" si="4"/>
        <v>0.15365320872553381</v>
      </c>
      <c r="AG22" s="5">
        <f t="shared" si="5"/>
        <v>0.15365320872553381</v>
      </c>
      <c r="AH22" s="18">
        <f t="shared" si="6"/>
        <v>0.19542795566502466</v>
      </c>
      <c r="AI22" s="18"/>
    </row>
    <row r="23" spans="1:35" x14ac:dyDescent="0.35">
      <c r="A23" s="22" t="s">
        <v>4</v>
      </c>
      <c r="B23" s="6">
        <v>43.74</v>
      </c>
      <c r="C23" s="3">
        <v>31.86</v>
      </c>
      <c r="D23" s="3">
        <v>12.16</v>
      </c>
      <c r="E23" s="3">
        <v>17.7</v>
      </c>
      <c r="F23" s="5">
        <f>40.85+24.94+24.6+29.81</f>
        <v>120.20000000000002</v>
      </c>
      <c r="G23" s="53" t="s">
        <v>42</v>
      </c>
      <c r="H23" s="6" t="s">
        <v>52</v>
      </c>
      <c r="I23" s="5"/>
      <c r="J23" s="18" t="s">
        <v>94</v>
      </c>
      <c r="K23" s="18" t="s">
        <v>95</v>
      </c>
      <c r="L23" s="6">
        <v>2</v>
      </c>
      <c r="M23" s="5">
        <v>10</v>
      </c>
      <c r="N23" s="6">
        <v>27.82</v>
      </c>
      <c r="O23" s="3">
        <v>6.75</v>
      </c>
      <c r="P23" s="3">
        <f t="shared" si="0"/>
        <v>4.3086606137392156</v>
      </c>
      <c r="Q23" s="3">
        <v>45</v>
      </c>
      <c r="R23" s="3">
        <v>37</v>
      </c>
      <c r="S23" s="3">
        <v>37</v>
      </c>
      <c r="T23" s="5">
        <f t="shared" si="1"/>
        <v>39.666666666666664</v>
      </c>
      <c r="U23" s="18"/>
      <c r="V23" s="6"/>
      <c r="W23" s="5"/>
      <c r="X23" s="6"/>
      <c r="AD23" s="5"/>
      <c r="AE23" s="6">
        <f t="shared" si="4"/>
        <v>0.35433064257723812</v>
      </c>
      <c r="AG23" s="5">
        <f t="shared" si="5"/>
        <v>0.35433064257723812</v>
      </c>
      <c r="AH23" s="18">
        <f t="shared" si="6"/>
        <v>0.23144758735440929</v>
      </c>
      <c r="AI23" s="18"/>
    </row>
    <row r="24" spans="1:35" x14ac:dyDescent="0.35">
      <c r="A24" s="22" t="s">
        <v>6</v>
      </c>
      <c r="B24" s="6">
        <v>61.25</v>
      </c>
      <c r="C24" s="3">
        <v>55.44</v>
      </c>
      <c r="D24" s="3">
        <v>26.31</v>
      </c>
      <c r="E24" s="3">
        <v>79.400000000000006</v>
      </c>
      <c r="F24" s="5">
        <f>33.94+12.81+45.11+35.22+41.04</f>
        <v>168.12</v>
      </c>
      <c r="G24" s="53" t="s">
        <v>42</v>
      </c>
      <c r="H24" s="6"/>
      <c r="I24" s="5">
        <v>1</v>
      </c>
      <c r="J24" s="18" t="s">
        <v>94</v>
      </c>
      <c r="K24" s="18" t="s">
        <v>95</v>
      </c>
      <c r="L24" s="6">
        <v>2</v>
      </c>
      <c r="M24" s="5">
        <v>12</v>
      </c>
      <c r="N24" s="6">
        <f>24.51+31.64+6.39</f>
        <v>62.540000000000006</v>
      </c>
      <c r="O24" s="3">
        <v>17</v>
      </c>
      <c r="P24" s="3">
        <f t="shared" si="0"/>
        <v>11.375220308100591</v>
      </c>
      <c r="Q24" s="3">
        <v>53</v>
      </c>
      <c r="R24" s="3">
        <v>20</v>
      </c>
      <c r="S24" s="3">
        <v>53</v>
      </c>
      <c r="T24" s="5">
        <f t="shared" si="1"/>
        <v>42</v>
      </c>
      <c r="U24" s="18"/>
      <c r="V24" s="6"/>
      <c r="W24" s="5"/>
      <c r="X24" s="6"/>
      <c r="AD24" s="5"/>
      <c r="AE24" s="6">
        <f t="shared" si="4"/>
        <v>0.43235348947550711</v>
      </c>
      <c r="AG24" s="5">
        <f t="shared" si="5"/>
        <v>0.43235348947550711</v>
      </c>
      <c r="AH24" s="18">
        <f t="shared" si="6"/>
        <v>0.37199619319533667</v>
      </c>
      <c r="AI24" s="18"/>
    </row>
    <row r="25" spans="1:35" x14ac:dyDescent="0.35">
      <c r="A25" s="22" t="s">
        <v>3</v>
      </c>
      <c r="B25" s="6">
        <v>59.94</v>
      </c>
      <c r="C25" s="3">
        <v>55.22</v>
      </c>
      <c r="D25" s="3">
        <v>28.75</v>
      </c>
      <c r="E25" s="3">
        <v>78.5</v>
      </c>
      <c r="F25" s="5">
        <f>50.68+30.86+38.08+43.76</f>
        <v>163.38</v>
      </c>
      <c r="G25" s="53" t="s">
        <v>42</v>
      </c>
      <c r="H25" s="6" t="s">
        <v>48</v>
      </c>
      <c r="I25" s="5"/>
      <c r="J25" s="18" t="s">
        <v>94</v>
      </c>
      <c r="K25" s="18" t="s">
        <v>95</v>
      </c>
      <c r="L25" s="6">
        <v>2</v>
      </c>
      <c r="M25" s="5">
        <v>13</v>
      </c>
      <c r="N25" s="6">
        <v>32.79</v>
      </c>
      <c r="O25" s="3">
        <v>6.28</v>
      </c>
      <c r="P25" s="3">
        <f t="shared" si="0"/>
        <v>5.4202798204410518</v>
      </c>
      <c r="Q25" s="3">
        <v>55</v>
      </c>
      <c r="R25" s="3">
        <v>70</v>
      </c>
      <c r="S25" s="3">
        <v>54</v>
      </c>
      <c r="T25" s="5">
        <f t="shared" si="1"/>
        <v>59.666666666666664</v>
      </c>
      <c r="U25" s="18"/>
      <c r="V25" s="6"/>
      <c r="W25" s="5"/>
      <c r="X25" s="6"/>
      <c r="AD25" s="5"/>
      <c r="AE25" s="6">
        <f t="shared" si="4"/>
        <v>0.18853147201534093</v>
      </c>
      <c r="AG25" s="5">
        <f t="shared" si="5"/>
        <v>0.18853147201534093</v>
      </c>
      <c r="AH25" s="18">
        <f t="shared" si="6"/>
        <v>0.20069775982372384</v>
      </c>
      <c r="AI25" s="18"/>
    </row>
    <row r="26" spans="1:35" x14ac:dyDescent="0.35">
      <c r="A26" s="22" t="s">
        <v>19</v>
      </c>
      <c r="B26" s="6">
        <v>40.54</v>
      </c>
      <c r="C26" s="3">
        <v>32.119999999999997</v>
      </c>
      <c r="D26" s="3">
        <v>18.899999999999999</v>
      </c>
      <c r="E26" s="3">
        <v>26.8</v>
      </c>
      <c r="F26" s="5">
        <f>21.88+21.99+37.53+17.87+24.65</f>
        <v>123.92000000000002</v>
      </c>
      <c r="G26" s="53" t="s">
        <v>42</v>
      </c>
      <c r="H26" s="6" t="s">
        <v>48</v>
      </c>
      <c r="I26" s="5"/>
      <c r="J26" s="18" t="s">
        <v>98</v>
      </c>
      <c r="K26" s="18" t="s">
        <v>95</v>
      </c>
      <c r="L26" s="6">
        <v>2</v>
      </c>
      <c r="M26" s="5">
        <v>15</v>
      </c>
      <c r="N26" s="6">
        <v>24.08</v>
      </c>
      <c r="O26" s="3">
        <v>4.2</v>
      </c>
      <c r="P26" s="3">
        <f t="shared" si="0"/>
        <v>4.1228341704801892</v>
      </c>
      <c r="Q26" s="3">
        <v>79</v>
      </c>
      <c r="R26" s="3">
        <v>79</v>
      </c>
      <c r="S26" s="3">
        <v>79</v>
      </c>
      <c r="T26" s="5">
        <f t="shared" si="1"/>
        <v>79</v>
      </c>
      <c r="U26" s="18" t="s">
        <v>95</v>
      </c>
      <c r="V26" s="6">
        <v>2</v>
      </c>
      <c r="W26" s="5">
        <v>10</v>
      </c>
      <c r="X26" s="6">
        <v>20.74</v>
      </c>
      <c r="Y26" s="3">
        <v>5.62</v>
      </c>
      <c r="Z26" s="3">
        <f t="shared" ref="Z26:Z46" si="8">Y26*SIN(AD26*PI()/180)</f>
        <v>4.9774311744377595</v>
      </c>
      <c r="AA26" s="3">
        <v>60</v>
      </c>
      <c r="AB26" s="3">
        <v>65</v>
      </c>
      <c r="AC26" s="3">
        <v>62</v>
      </c>
      <c r="AD26" s="5">
        <f t="shared" si="7"/>
        <v>62.333333333333336</v>
      </c>
      <c r="AE26" s="6">
        <f t="shared" si="4"/>
        <v>0.21813937409948092</v>
      </c>
      <c r="AF26" s="3">
        <f>Y26/D26</f>
        <v>0.29735449735449737</v>
      </c>
      <c r="AG26" s="5">
        <f t="shared" si="5"/>
        <v>0.25774693572698915</v>
      </c>
      <c r="AH26" s="18">
        <f t="shared" si="6"/>
        <v>0.36168495803744344</v>
      </c>
      <c r="AI26" s="18"/>
    </row>
    <row r="27" spans="1:35" x14ac:dyDescent="0.35">
      <c r="A27" s="22" t="s">
        <v>12</v>
      </c>
      <c r="B27" s="6">
        <v>47.86</v>
      </c>
      <c r="C27" s="3">
        <v>40.79</v>
      </c>
      <c r="D27" s="3">
        <v>18.93</v>
      </c>
      <c r="E27" s="3">
        <v>31.9</v>
      </c>
      <c r="F27" s="5">
        <f>31.49+23.03+29.55+45.96</f>
        <v>130.03</v>
      </c>
      <c r="G27" s="53" t="s">
        <v>154</v>
      </c>
      <c r="H27" s="6"/>
      <c r="I27" s="5">
        <v>1</v>
      </c>
      <c r="J27" s="18" t="s">
        <v>94</v>
      </c>
      <c r="K27" s="18" t="s">
        <v>95</v>
      </c>
      <c r="L27" s="6">
        <v>2</v>
      </c>
      <c r="M27" s="5">
        <v>19</v>
      </c>
      <c r="N27" s="6">
        <v>32.61</v>
      </c>
      <c r="O27" s="3">
        <v>6.9</v>
      </c>
      <c r="P27" s="3">
        <f t="shared" si="0"/>
        <v>6.0348759792618312</v>
      </c>
      <c r="Q27" s="3">
        <v>61</v>
      </c>
      <c r="R27" s="3">
        <v>61</v>
      </c>
      <c r="S27" s="3">
        <v>61</v>
      </c>
      <c r="T27" s="5">
        <f t="shared" si="1"/>
        <v>61</v>
      </c>
      <c r="U27" s="18"/>
      <c r="V27" s="6"/>
      <c r="W27" s="5"/>
      <c r="X27" s="6"/>
      <c r="AD27" s="5"/>
      <c r="AE27" s="6">
        <f t="shared" si="4"/>
        <v>0.31879957629486694</v>
      </c>
      <c r="AG27" s="5">
        <f t="shared" si="5"/>
        <v>0.31879957629486694</v>
      </c>
      <c r="AH27" s="18">
        <f t="shared" si="6"/>
        <v>0.25078827962777822</v>
      </c>
      <c r="AI27" s="18"/>
    </row>
    <row r="28" spans="1:35" ht="21" x14ac:dyDescent="0.35">
      <c r="A28" s="22" t="s">
        <v>92</v>
      </c>
      <c r="B28" s="6">
        <v>52.83</v>
      </c>
      <c r="C28" s="3">
        <v>45.08</v>
      </c>
      <c r="D28" s="3">
        <v>34.39</v>
      </c>
      <c r="E28" s="3">
        <v>154.9</v>
      </c>
      <c r="F28" s="5">
        <f>37.35+40.93+44.1+28.34</f>
        <v>150.72</v>
      </c>
      <c r="G28" s="53" t="s">
        <v>42</v>
      </c>
      <c r="H28" s="6" t="s">
        <v>48</v>
      </c>
      <c r="I28" s="5"/>
      <c r="J28" s="18" t="s">
        <v>94</v>
      </c>
      <c r="K28" s="18" t="s">
        <v>96</v>
      </c>
      <c r="L28" s="6">
        <v>2</v>
      </c>
      <c r="M28" s="5">
        <v>10</v>
      </c>
      <c r="N28" s="6">
        <v>39.94</v>
      </c>
      <c r="O28" s="3">
        <v>11.8</v>
      </c>
      <c r="P28" s="3">
        <f t="shared" si="0"/>
        <v>11.111664694641329</v>
      </c>
      <c r="Q28" s="3">
        <v>65</v>
      </c>
      <c r="R28" s="3">
        <v>73</v>
      </c>
      <c r="S28" s="3">
        <v>73</v>
      </c>
      <c r="T28" s="5">
        <f t="shared" si="1"/>
        <v>70.333333333333329</v>
      </c>
      <c r="U28" s="18"/>
      <c r="V28" s="6"/>
      <c r="W28" s="5"/>
      <c r="X28" s="6"/>
      <c r="AD28" s="5"/>
      <c r="AE28" s="6">
        <f t="shared" si="4"/>
        <v>0.32310743514513895</v>
      </c>
      <c r="AG28" s="5">
        <f t="shared" si="5"/>
        <v>0.32310743514513895</v>
      </c>
      <c r="AH28" s="18">
        <f t="shared" si="6"/>
        <v>0.26499469214437366</v>
      </c>
      <c r="AI28" s="18"/>
    </row>
    <row r="29" spans="1:35" ht="21" x14ac:dyDescent="0.35">
      <c r="A29" s="22" t="s">
        <v>93</v>
      </c>
      <c r="B29" s="6">
        <v>64.45</v>
      </c>
      <c r="C29" s="3">
        <v>54.87</v>
      </c>
      <c r="D29" s="3">
        <v>24.1</v>
      </c>
      <c r="E29" s="3">
        <v>78.900000000000006</v>
      </c>
      <c r="F29" s="5">
        <f>33.23+38.64+24.05+38.8+44.24</f>
        <v>178.96</v>
      </c>
      <c r="G29" s="53" t="s">
        <v>42</v>
      </c>
      <c r="H29" s="6" t="s">
        <v>52</v>
      </c>
      <c r="I29" s="5"/>
      <c r="J29" s="18" t="s">
        <v>94</v>
      </c>
      <c r="K29" s="18" t="s">
        <v>95</v>
      </c>
      <c r="L29" s="6">
        <v>2</v>
      </c>
      <c r="M29" s="5">
        <v>19</v>
      </c>
      <c r="N29" s="6">
        <f>31.55+36.67</f>
        <v>68.22</v>
      </c>
      <c r="O29" s="3">
        <v>19.64</v>
      </c>
      <c r="P29" s="3">
        <f t="shared" si="0"/>
        <v>17.799884937399806</v>
      </c>
      <c r="Q29" s="3">
        <v>79</v>
      </c>
      <c r="R29" s="3">
        <v>55</v>
      </c>
      <c r="S29" s="3">
        <v>61</v>
      </c>
      <c r="T29" s="5">
        <f t="shared" si="1"/>
        <v>65</v>
      </c>
      <c r="U29" s="18"/>
      <c r="V29" s="6"/>
      <c r="W29" s="5"/>
      <c r="X29" s="6"/>
      <c r="AD29" s="5"/>
      <c r="AE29" s="6">
        <f t="shared" si="4"/>
        <v>0.73858443723650646</v>
      </c>
      <c r="AG29" s="5">
        <f t="shared" si="5"/>
        <v>0.73858443723650646</v>
      </c>
      <c r="AH29" s="18">
        <f t="shared" si="6"/>
        <v>0.3812025033527045</v>
      </c>
      <c r="AI29" s="18"/>
    </row>
    <row r="30" spans="1:35" x14ac:dyDescent="0.35">
      <c r="A30" s="18" t="s">
        <v>100</v>
      </c>
      <c r="B30" s="6">
        <v>58.73</v>
      </c>
      <c r="C30" s="3">
        <v>54.26</v>
      </c>
      <c r="D30" s="3">
        <v>21.38</v>
      </c>
      <c r="E30" s="3">
        <v>64.2</v>
      </c>
      <c r="F30" s="5">
        <f>50.31+21.09+38.69+29.53+31.53</f>
        <v>171.15</v>
      </c>
      <c r="G30" s="53" t="s">
        <v>42</v>
      </c>
      <c r="H30" s="6"/>
      <c r="I30" s="5">
        <v>1</v>
      </c>
      <c r="J30" s="18" t="s">
        <v>94</v>
      </c>
      <c r="K30" s="18" t="s">
        <v>95</v>
      </c>
      <c r="L30" s="6">
        <v>1</v>
      </c>
      <c r="M30" s="5">
        <v>12</v>
      </c>
      <c r="N30" s="6">
        <v>51.04</v>
      </c>
      <c r="O30" s="3">
        <v>16.52</v>
      </c>
      <c r="P30" s="3">
        <f t="shared" si="0"/>
        <v>14.258443094536014</v>
      </c>
      <c r="Q30" s="3">
        <v>59</v>
      </c>
      <c r="R30" s="3">
        <v>58</v>
      </c>
      <c r="S30" s="3">
        <v>62</v>
      </c>
      <c r="T30" s="5">
        <f t="shared" si="1"/>
        <v>59.666666666666664</v>
      </c>
      <c r="U30" s="18"/>
      <c r="V30" s="6"/>
      <c r="W30" s="5"/>
      <c r="X30" s="6"/>
      <c r="AD30" s="5"/>
      <c r="AE30" s="6">
        <f t="shared" si="4"/>
        <v>0.66690566391655826</v>
      </c>
      <c r="AG30" s="5">
        <f t="shared" si="5"/>
        <v>0.66690566391655826</v>
      </c>
      <c r="AH30" s="18">
        <f t="shared" si="6"/>
        <v>0.29821793748174114</v>
      </c>
      <c r="AI30" s="18"/>
    </row>
    <row r="31" spans="1:35" x14ac:dyDescent="0.35">
      <c r="A31" s="18" t="s">
        <v>101</v>
      </c>
      <c r="B31" s="6">
        <v>46.07</v>
      </c>
      <c r="C31" s="3">
        <v>32.43</v>
      </c>
      <c r="D31" s="3">
        <v>15.82</v>
      </c>
      <c r="E31" s="3">
        <v>18</v>
      </c>
      <c r="F31" s="5">
        <f>33.32+37.29+33.19</f>
        <v>103.8</v>
      </c>
      <c r="G31" s="53" t="s">
        <v>42</v>
      </c>
      <c r="H31" s="6"/>
      <c r="I31" s="5">
        <v>1</v>
      </c>
      <c r="J31" s="18" t="s">
        <v>94</v>
      </c>
      <c r="K31" s="18" t="s">
        <v>95</v>
      </c>
      <c r="L31" s="6">
        <v>2</v>
      </c>
      <c r="M31" s="5">
        <v>10</v>
      </c>
      <c r="N31" s="6">
        <v>33.409999999999997</v>
      </c>
      <c r="O31" s="3">
        <v>5.5</v>
      </c>
      <c r="P31" s="3">
        <f t="shared" si="0"/>
        <v>4.9292568067262481</v>
      </c>
      <c r="Q31" s="3">
        <v>61</v>
      </c>
      <c r="R31" s="3">
        <v>67</v>
      </c>
      <c r="S31" s="3">
        <v>63</v>
      </c>
      <c r="T31" s="5">
        <f t="shared" si="1"/>
        <v>63.666666666666664</v>
      </c>
      <c r="U31" s="18"/>
      <c r="V31" s="6"/>
      <c r="W31" s="5"/>
      <c r="X31" s="6"/>
      <c r="AD31" s="5"/>
      <c r="AE31" s="6">
        <f t="shared" si="4"/>
        <v>0.3115838689460334</v>
      </c>
      <c r="AG31" s="5">
        <f t="shared" si="5"/>
        <v>0.3115838689460334</v>
      </c>
      <c r="AH31" s="18">
        <f t="shared" si="6"/>
        <v>0.32186897880539495</v>
      </c>
      <c r="AI31" s="18"/>
    </row>
    <row r="32" spans="1:35" x14ac:dyDescent="0.35">
      <c r="A32" s="18" t="s">
        <v>102</v>
      </c>
      <c r="B32" s="6">
        <v>45.71</v>
      </c>
      <c r="C32" s="3">
        <v>34.22</v>
      </c>
      <c r="D32" s="3">
        <v>38.25</v>
      </c>
      <c r="E32" s="3">
        <v>46.5</v>
      </c>
      <c r="F32" s="5">
        <f>39.76+41.22+41.97</f>
        <v>122.94999999999999</v>
      </c>
      <c r="G32" s="53" t="s">
        <v>42</v>
      </c>
      <c r="H32" s="6"/>
      <c r="I32" s="5">
        <v>1</v>
      </c>
      <c r="J32" s="18" t="s">
        <v>67</v>
      </c>
      <c r="K32" s="18" t="s">
        <v>95</v>
      </c>
      <c r="L32" s="6">
        <v>3</v>
      </c>
      <c r="M32" s="5">
        <v>17</v>
      </c>
      <c r="N32" s="6">
        <v>35.96</v>
      </c>
      <c r="O32" s="3">
        <v>16.22</v>
      </c>
      <c r="P32" s="3">
        <f t="shared" si="0"/>
        <v>13.903253617388259</v>
      </c>
      <c r="Q32" s="3">
        <v>61</v>
      </c>
      <c r="R32" s="3">
        <v>60</v>
      </c>
      <c r="S32" s="3">
        <v>56</v>
      </c>
      <c r="T32" s="5">
        <f t="shared" si="1"/>
        <v>59</v>
      </c>
      <c r="U32" s="18" t="s">
        <v>95</v>
      </c>
      <c r="V32" s="6">
        <v>1</v>
      </c>
      <c r="W32" s="5">
        <v>11</v>
      </c>
      <c r="X32" s="6">
        <v>39.06</v>
      </c>
      <c r="Y32" s="3">
        <v>2.93</v>
      </c>
      <c r="Z32" s="3">
        <f t="shared" si="8"/>
        <v>2.6766881908928206</v>
      </c>
      <c r="AA32" s="3">
        <v>65</v>
      </c>
      <c r="AB32" s="3">
        <v>69</v>
      </c>
      <c r="AC32" s="3">
        <v>64</v>
      </c>
      <c r="AD32" s="5">
        <f t="shared" si="7"/>
        <v>66</v>
      </c>
      <c r="AE32" s="6">
        <f t="shared" si="4"/>
        <v>0.36348375470296101</v>
      </c>
      <c r="AF32" s="3">
        <f>Y32/D32</f>
        <v>7.6601307189542486E-2</v>
      </c>
      <c r="AG32" s="5">
        <f t="shared" si="5"/>
        <v>0.22004253094625176</v>
      </c>
      <c r="AH32" s="18">
        <f t="shared" si="6"/>
        <v>0.61016673444489644</v>
      </c>
      <c r="AI32" s="18"/>
    </row>
    <row r="33" spans="1:35" x14ac:dyDescent="0.35">
      <c r="A33" s="18" t="s">
        <v>103</v>
      </c>
      <c r="B33" s="6">
        <v>42.49</v>
      </c>
      <c r="C33" s="3">
        <v>38.369999999999997</v>
      </c>
      <c r="D33" s="3">
        <v>30.6</v>
      </c>
      <c r="E33" s="3">
        <v>47</v>
      </c>
      <c r="F33" s="5">
        <f>42.35+22.15+38.64+28.58</f>
        <v>131.72</v>
      </c>
      <c r="G33" s="53" t="s">
        <v>42</v>
      </c>
      <c r="H33" s="6" t="s">
        <v>49</v>
      </c>
      <c r="I33" s="5"/>
      <c r="J33" s="18" t="s">
        <v>67</v>
      </c>
      <c r="K33" s="18" t="s">
        <v>95</v>
      </c>
      <c r="L33" s="6">
        <v>3</v>
      </c>
      <c r="M33" s="5">
        <v>8</v>
      </c>
      <c r="N33" s="6">
        <v>21.59</v>
      </c>
      <c r="O33" s="3">
        <v>10.31</v>
      </c>
      <c r="P33" s="3">
        <f t="shared" si="0"/>
        <v>9.5592655405835796</v>
      </c>
      <c r="Q33" s="3">
        <v>73</v>
      </c>
      <c r="R33" s="3">
        <v>61</v>
      </c>
      <c r="S33" s="3">
        <v>70</v>
      </c>
      <c r="T33" s="5">
        <f t="shared" si="1"/>
        <v>68</v>
      </c>
      <c r="U33" s="18" t="s">
        <v>95</v>
      </c>
      <c r="V33" s="6">
        <v>2</v>
      </c>
      <c r="W33" s="5">
        <v>10</v>
      </c>
      <c r="X33" s="6">
        <v>30.64</v>
      </c>
      <c r="Y33" s="3">
        <v>10.09</v>
      </c>
      <c r="Z33" s="3">
        <f t="shared" si="8"/>
        <v>9.4198265033567647</v>
      </c>
      <c r="AA33" s="3">
        <v>69</v>
      </c>
      <c r="AB33" s="3">
        <v>69</v>
      </c>
      <c r="AC33" s="3">
        <v>69</v>
      </c>
      <c r="AD33" s="5">
        <v>69</v>
      </c>
      <c r="AE33" s="6">
        <f t="shared" si="4"/>
        <v>0.31239429871188168</v>
      </c>
      <c r="AF33" s="3">
        <f>Y33/D33</f>
        <v>0.32973856209150326</v>
      </c>
      <c r="AG33" s="5">
        <f t="shared" si="5"/>
        <v>0.32106643040169247</v>
      </c>
      <c r="AH33" s="18">
        <f t="shared" si="6"/>
        <v>0.39652292742180384</v>
      </c>
      <c r="AI33" s="18"/>
    </row>
    <row r="34" spans="1:35" x14ac:dyDescent="0.35">
      <c r="A34" s="18" t="s">
        <v>104</v>
      </c>
      <c r="B34" s="6">
        <v>39.22</v>
      </c>
      <c r="C34" s="3">
        <v>24.03</v>
      </c>
      <c r="D34" s="3">
        <v>12.37</v>
      </c>
      <c r="E34" s="3">
        <v>11.4</v>
      </c>
      <c r="F34" s="5">
        <f>14.3+16.83+13.81+13.25+38.72</f>
        <v>96.91</v>
      </c>
      <c r="G34" s="53" t="s">
        <v>42</v>
      </c>
      <c r="H34" s="6" t="s">
        <v>48</v>
      </c>
      <c r="I34" s="5"/>
      <c r="J34" s="18" t="s">
        <v>94</v>
      </c>
      <c r="K34" s="18" t="s">
        <v>95</v>
      </c>
      <c r="L34" s="6">
        <v>1</v>
      </c>
      <c r="M34" s="5">
        <v>5</v>
      </c>
      <c r="N34" s="6">
        <f>16.71+11.66</f>
        <v>28.37</v>
      </c>
      <c r="O34" s="3">
        <v>6.78</v>
      </c>
      <c r="P34" s="3">
        <f t="shared" si="0"/>
        <v>5.5538508602793648</v>
      </c>
      <c r="Q34" s="3">
        <v>57</v>
      </c>
      <c r="R34" s="3">
        <v>52</v>
      </c>
      <c r="S34" s="3">
        <v>56</v>
      </c>
      <c r="T34" s="5">
        <f t="shared" si="1"/>
        <v>55</v>
      </c>
      <c r="U34" s="18"/>
      <c r="V34" s="6"/>
      <c r="W34" s="5"/>
      <c r="X34" s="6"/>
      <c r="AD34" s="5"/>
      <c r="AE34" s="6">
        <f t="shared" si="4"/>
        <v>0.44897743413737795</v>
      </c>
      <c r="AG34" s="5">
        <f t="shared" si="5"/>
        <v>0.44897743413737795</v>
      </c>
      <c r="AH34" s="18">
        <f t="shared" si="6"/>
        <v>0.29274584666185122</v>
      </c>
      <c r="AI34" s="18"/>
    </row>
    <row r="35" spans="1:35" x14ac:dyDescent="0.35">
      <c r="A35" s="18" t="s">
        <v>105</v>
      </c>
      <c r="B35" s="6">
        <v>44.54</v>
      </c>
      <c r="C35" s="3">
        <v>28.7</v>
      </c>
      <c r="D35" s="3">
        <v>21.11</v>
      </c>
      <c r="E35" s="3">
        <v>25.4</v>
      </c>
      <c r="F35" s="5">
        <f>17.52+24.01+27+12.88+33.4</f>
        <v>114.81</v>
      </c>
      <c r="G35" s="53" t="s">
        <v>42</v>
      </c>
      <c r="H35" s="6"/>
      <c r="I35" s="5">
        <v>1</v>
      </c>
      <c r="J35" s="18" t="s">
        <v>67</v>
      </c>
      <c r="K35" s="18" t="s">
        <v>95</v>
      </c>
      <c r="L35" s="6">
        <v>3</v>
      </c>
      <c r="M35" s="5">
        <v>10</v>
      </c>
      <c r="N35" s="6">
        <v>19.59</v>
      </c>
      <c r="O35" s="3">
        <v>11.42</v>
      </c>
      <c r="P35" s="3">
        <f t="shared" si="0"/>
        <v>9.3926655881051637</v>
      </c>
      <c r="Q35" s="3">
        <v>46</v>
      </c>
      <c r="R35" s="3">
        <v>72</v>
      </c>
      <c r="S35" s="3">
        <v>48</v>
      </c>
      <c r="T35" s="5">
        <f t="shared" si="1"/>
        <v>55.333333333333336</v>
      </c>
      <c r="U35" s="18" t="s">
        <v>95</v>
      </c>
      <c r="V35" s="6">
        <v>2</v>
      </c>
      <c r="W35" s="5">
        <v>6</v>
      </c>
      <c r="X35" s="6">
        <v>17.38</v>
      </c>
      <c r="Y35" s="3">
        <v>17.11</v>
      </c>
      <c r="Z35" s="3">
        <f t="shared" si="8"/>
        <v>15.50692623619708</v>
      </c>
      <c r="AA35" s="3">
        <v>61</v>
      </c>
      <c r="AB35" s="3">
        <v>67</v>
      </c>
      <c r="AC35" s="3">
        <v>67</v>
      </c>
      <c r="AD35" s="5">
        <f t="shared" si="7"/>
        <v>65</v>
      </c>
      <c r="AE35" s="6">
        <f t="shared" si="4"/>
        <v>0.44493915623425695</v>
      </c>
      <c r="AF35" s="3">
        <f>Y35/D35</f>
        <v>0.81051634296541919</v>
      </c>
      <c r="AG35" s="5">
        <f t="shared" si="5"/>
        <v>0.62772774959983813</v>
      </c>
      <c r="AH35" s="18">
        <f t="shared" si="6"/>
        <v>0.32201027785036146</v>
      </c>
      <c r="AI35" s="18"/>
    </row>
    <row r="36" spans="1:35" x14ac:dyDescent="0.35">
      <c r="A36" s="18" t="s">
        <v>106</v>
      </c>
      <c r="B36" s="6">
        <v>57.43</v>
      </c>
      <c r="C36" s="3">
        <v>36.65</v>
      </c>
      <c r="D36" s="3">
        <v>16.7</v>
      </c>
      <c r="E36" s="3">
        <v>39.1</v>
      </c>
      <c r="F36" s="5">
        <f>43.49+12.24+29.12+47.32+18.55</f>
        <v>150.72000000000003</v>
      </c>
      <c r="G36" s="53" t="s">
        <v>42</v>
      </c>
      <c r="H36" s="6" t="s">
        <v>48</v>
      </c>
      <c r="I36" s="5"/>
      <c r="J36" s="18" t="s">
        <v>94</v>
      </c>
      <c r="K36" s="18" t="s">
        <v>96</v>
      </c>
      <c r="L36" s="6">
        <v>1</v>
      </c>
      <c r="M36" s="5">
        <v>11</v>
      </c>
      <c r="N36" s="6">
        <v>35.85</v>
      </c>
      <c r="O36" s="3">
        <v>3.45</v>
      </c>
      <c r="P36" s="3">
        <f t="shared" si="0"/>
        <v>2.9877876430563135</v>
      </c>
      <c r="Q36" s="3">
        <v>60</v>
      </c>
      <c r="R36" s="3">
        <v>60</v>
      </c>
      <c r="S36" s="3">
        <v>60</v>
      </c>
      <c r="T36" s="5">
        <f t="shared" si="1"/>
        <v>60</v>
      </c>
      <c r="U36" s="18"/>
      <c r="V36" s="6"/>
      <c r="W36" s="5"/>
      <c r="X36" s="6"/>
      <c r="AD36" s="5"/>
      <c r="AE36" s="6">
        <f t="shared" si="4"/>
        <v>0.17890943970397089</v>
      </c>
      <c r="AG36" s="5">
        <f t="shared" si="5"/>
        <v>0.17890943970397089</v>
      </c>
      <c r="AH36" s="18">
        <f t="shared" si="6"/>
        <v>0.23785828025477704</v>
      </c>
      <c r="AI36" s="18"/>
    </row>
    <row r="37" spans="1:35" x14ac:dyDescent="0.35">
      <c r="A37" s="18" t="s">
        <v>107</v>
      </c>
      <c r="B37" s="6">
        <v>51.46</v>
      </c>
      <c r="C37" s="3">
        <v>41.51</v>
      </c>
      <c r="D37" s="3">
        <v>14.75</v>
      </c>
      <c r="E37" s="3">
        <v>34.200000000000003</v>
      </c>
      <c r="F37" s="5">
        <f>40.34+38.87+45.25+11.86</f>
        <v>136.32</v>
      </c>
      <c r="G37" s="53" t="s">
        <v>42</v>
      </c>
      <c r="H37" s="6"/>
      <c r="I37" s="5">
        <v>1</v>
      </c>
      <c r="J37" s="18" t="s">
        <v>94</v>
      </c>
      <c r="K37" s="18" t="s">
        <v>95</v>
      </c>
      <c r="L37" s="6">
        <v>1</v>
      </c>
      <c r="M37" s="5">
        <v>10</v>
      </c>
      <c r="N37" s="6">
        <v>43.08</v>
      </c>
      <c r="O37" s="3">
        <v>2.4</v>
      </c>
      <c r="P37" s="3">
        <f t="shared" si="0"/>
        <v>1.9082899115876346</v>
      </c>
      <c r="Q37" s="3">
        <v>52</v>
      </c>
      <c r="R37" s="3">
        <v>50</v>
      </c>
      <c r="S37" s="3">
        <v>56</v>
      </c>
      <c r="T37" s="5">
        <f t="shared" si="1"/>
        <v>52.666666666666664</v>
      </c>
      <c r="U37" s="18"/>
      <c r="V37" s="6"/>
      <c r="W37" s="5"/>
      <c r="X37" s="6"/>
      <c r="AD37" s="5"/>
      <c r="AE37" s="6">
        <f t="shared" si="4"/>
        <v>0.12937558722628031</v>
      </c>
      <c r="AG37" s="5">
        <f t="shared" si="5"/>
        <v>0.12937558722628031</v>
      </c>
      <c r="AH37" s="18">
        <f t="shared" si="6"/>
        <v>0.31602112676056338</v>
      </c>
      <c r="AI37" s="18"/>
    </row>
    <row r="38" spans="1:35" x14ac:dyDescent="0.35">
      <c r="A38" s="18" t="s">
        <v>108</v>
      </c>
      <c r="B38" s="6">
        <v>30.48</v>
      </c>
      <c r="C38" s="3">
        <v>28.98</v>
      </c>
      <c r="D38" s="3">
        <v>12.39</v>
      </c>
      <c r="E38" s="3">
        <v>11.5</v>
      </c>
      <c r="F38" s="5">
        <f>21.18+15.32+21.21+9.33</f>
        <v>67.040000000000006</v>
      </c>
      <c r="G38" s="53" t="s">
        <v>42</v>
      </c>
      <c r="H38" s="6"/>
      <c r="I38" s="5">
        <v>1</v>
      </c>
      <c r="J38" s="18" t="s">
        <v>94</v>
      </c>
      <c r="K38" s="18" t="s">
        <v>95</v>
      </c>
      <c r="L38" s="6">
        <v>2</v>
      </c>
      <c r="M38" s="5">
        <v>12</v>
      </c>
      <c r="N38" s="6">
        <v>21.91</v>
      </c>
      <c r="O38" s="3">
        <v>5.0599999999999996</v>
      </c>
      <c r="P38" s="3">
        <f t="shared" si="0"/>
        <v>4.7746590423515318</v>
      </c>
      <c r="Q38" s="3">
        <v>73</v>
      </c>
      <c r="R38" s="3">
        <v>74</v>
      </c>
      <c r="S38" s="3">
        <v>65</v>
      </c>
      <c r="T38" s="5">
        <f t="shared" si="1"/>
        <v>70.666666666666671</v>
      </c>
      <c r="U38" s="18"/>
      <c r="V38" s="6"/>
      <c r="W38" s="5"/>
      <c r="X38" s="6"/>
      <c r="AD38" s="5"/>
      <c r="AE38" s="6">
        <f t="shared" si="4"/>
        <v>0.38536392593636254</v>
      </c>
      <c r="AG38" s="5">
        <f t="shared" si="5"/>
        <v>0.38536392593636254</v>
      </c>
      <c r="AH38" s="18">
        <f t="shared" si="6"/>
        <v>0.32681980906921237</v>
      </c>
      <c r="AI38" s="18"/>
    </row>
    <row r="39" spans="1:35" x14ac:dyDescent="0.35">
      <c r="A39" s="18" t="s">
        <v>109</v>
      </c>
      <c r="B39" s="6">
        <v>44.85</v>
      </c>
      <c r="C39" s="3">
        <v>35.89</v>
      </c>
      <c r="D39" s="3">
        <v>14.78</v>
      </c>
      <c r="E39" s="3">
        <v>21.8</v>
      </c>
      <c r="F39" s="5">
        <f>32.96+25.87+26.57+36.36</f>
        <v>121.76</v>
      </c>
      <c r="G39" s="18" t="s">
        <v>122</v>
      </c>
      <c r="H39" s="6" t="s">
        <v>49</v>
      </c>
      <c r="I39" s="5"/>
      <c r="J39" s="18" t="s">
        <v>94</v>
      </c>
      <c r="K39" s="18" t="s">
        <v>95</v>
      </c>
      <c r="L39" s="6">
        <v>1</v>
      </c>
      <c r="M39" s="5">
        <v>11</v>
      </c>
      <c r="N39" s="6">
        <f>17.74+12.33</f>
        <v>30.07</v>
      </c>
      <c r="O39" s="3">
        <v>4.43</v>
      </c>
      <c r="P39" s="3">
        <f t="shared" si="0"/>
        <v>3.3433634403868799</v>
      </c>
      <c r="Q39" s="3">
        <v>50</v>
      </c>
      <c r="R39" s="3">
        <v>47</v>
      </c>
      <c r="S39" s="3">
        <v>50</v>
      </c>
      <c r="T39" s="5">
        <f t="shared" si="1"/>
        <v>49</v>
      </c>
      <c r="U39" s="18"/>
      <c r="V39" s="6"/>
      <c r="W39" s="5"/>
      <c r="X39" s="6"/>
      <c r="AD39" s="5"/>
      <c r="AE39" s="6">
        <f t="shared" si="4"/>
        <v>0.22620862248896348</v>
      </c>
      <c r="AG39" s="5">
        <f t="shared" si="5"/>
        <v>0.22620862248896348</v>
      </c>
      <c r="AH39" s="18">
        <f t="shared" si="6"/>
        <v>0.24696123521681995</v>
      </c>
      <c r="AI39" s="18"/>
    </row>
    <row r="40" spans="1:35" x14ac:dyDescent="0.35">
      <c r="A40" s="18" t="s">
        <v>110</v>
      </c>
      <c r="B40" s="6">
        <v>23.19</v>
      </c>
      <c r="C40" s="3">
        <v>14.5</v>
      </c>
      <c r="D40" s="3">
        <v>11.77</v>
      </c>
      <c r="E40" s="3">
        <v>52.3</v>
      </c>
      <c r="F40" s="5">
        <f>15.18+8.98+7.53+19.66+10.39</f>
        <v>61.74</v>
      </c>
      <c r="G40" s="53" t="s">
        <v>68</v>
      </c>
      <c r="H40" s="6"/>
      <c r="I40" s="5">
        <v>1</v>
      </c>
      <c r="J40" s="18" t="s">
        <v>94</v>
      </c>
      <c r="K40" s="18" t="s">
        <v>95</v>
      </c>
      <c r="L40" s="6">
        <v>1</v>
      </c>
      <c r="M40" s="5">
        <v>6</v>
      </c>
      <c r="N40" s="6">
        <v>14.24</v>
      </c>
      <c r="O40" s="3">
        <v>4.26</v>
      </c>
      <c r="P40" s="3">
        <f t="shared" si="0"/>
        <v>3.5727366194475056</v>
      </c>
      <c r="Q40" s="3">
        <v>57</v>
      </c>
      <c r="R40" s="3">
        <v>55</v>
      </c>
      <c r="S40" s="3">
        <v>59</v>
      </c>
      <c r="T40" s="5">
        <f t="shared" si="1"/>
        <v>57</v>
      </c>
      <c r="U40" s="18"/>
      <c r="V40" s="6"/>
      <c r="W40" s="5"/>
      <c r="X40" s="6"/>
      <c r="AD40" s="5"/>
      <c r="AE40" s="6">
        <f t="shared" si="4"/>
        <v>0.30354601694541256</v>
      </c>
      <c r="AG40" s="5">
        <f t="shared" si="5"/>
        <v>0.30354601694541256</v>
      </c>
      <c r="AH40" s="18">
        <f t="shared" si="6"/>
        <v>0.23064463880790412</v>
      </c>
      <c r="AI40" s="18"/>
    </row>
    <row r="41" spans="1:35" x14ac:dyDescent="0.35">
      <c r="A41" s="18" t="s">
        <v>111</v>
      </c>
      <c r="B41" s="6">
        <v>49</v>
      </c>
      <c r="C41" s="3">
        <v>44.16</v>
      </c>
      <c r="D41" s="3">
        <v>16.38</v>
      </c>
      <c r="E41" s="3">
        <v>28</v>
      </c>
      <c r="F41" s="5">
        <f>18.76+22.74+11.8+25.68+27.05+25.99</f>
        <v>132.01999999999998</v>
      </c>
      <c r="G41" s="53" t="s">
        <v>42</v>
      </c>
      <c r="H41" s="6"/>
      <c r="I41" s="5">
        <v>1</v>
      </c>
      <c r="J41" s="18" t="s">
        <v>94</v>
      </c>
      <c r="K41" s="18" t="s">
        <v>95</v>
      </c>
      <c r="L41" s="6">
        <v>2</v>
      </c>
      <c r="M41" s="5">
        <v>9</v>
      </c>
      <c r="N41" s="6">
        <v>40.85</v>
      </c>
      <c r="O41" s="3">
        <v>11.15</v>
      </c>
      <c r="P41" s="3">
        <f t="shared" si="0"/>
        <v>8.7058533974447503</v>
      </c>
      <c r="Q41" s="3">
        <v>51</v>
      </c>
      <c r="R41" s="3">
        <v>52</v>
      </c>
      <c r="S41" s="3">
        <v>51</v>
      </c>
      <c r="T41" s="5">
        <f t="shared" si="1"/>
        <v>51.333333333333336</v>
      </c>
      <c r="U41" s="18"/>
      <c r="V41" s="6"/>
      <c r="W41" s="5"/>
      <c r="X41" s="6"/>
      <c r="AD41" s="5"/>
      <c r="AE41" s="6">
        <f t="shared" si="4"/>
        <v>0.53149288140688344</v>
      </c>
      <c r="AG41" s="5">
        <f t="shared" si="5"/>
        <v>0.53149288140688344</v>
      </c>
      <c r="AH41" s="18">
        <f t="shared" si="6"/>
        <v>0.30942281472504174</v>
      </c>
      <c r="AI41" s="18"/>
    </row>
    <row r="42" spans="1:35" x14ac:dyDescent="0.35">
      <c r="A42" s="18" t="s">
        <v>112</v>
      </c>
      <c r="B42" s="6">
        <v>38.58</v>
      </c>
      <c r="C42" s="3">
        <v>28.55</v>
      </c>
      <c r="D42" s="3">
        <v>12.2</v>
      </c>
      <c r="E42" s="3">
        <v>13.7</v>
      </c>
      <c r="F42" s="5">
        <f>28.77+20.65+29.77+29.23</f>
        <v>108.42</v>
      </c>
      <c r="G42" s="53" t="s">
        <v>42</v>
      </c>
      <c r="H42" s="6"/>
      <c r="I42" s="5">
        <v>1</v>
      </c>
      <c r="J42" s="18" t="s">
        <v>94</v>
      </c>
      <c r="K42" s="18" t="s">
        <v>99</v>
      </c>
      <c r="L42" s="6">
        <v>1</v>
      </c>
      <c r="M42" s="5">
        <v>7</v>
      </c>
      <c r="N42" s="6">
        <v>45.85</v>
      </c>
      <c r="O42" s="3">
        <v>4.66</v>
      </c>
      <c r="P42" s="3">
        <f t="shared" si="0"/>
        <v>3.1582311160191123</v>
      </c>
      <c r="Q42" s="3">
        <v>29</v>
      </c>
      <c r="R42" s="3">
        <v>40</v>
      </c>
      <c r="S42" s="3">
        <v>59</v>
      </c>
      <c r="T42" s="5">
        <f t="shared" si="1"/>
        <v>42.666666666666664</v>
      </c>
      <c r="U42" s="18"/>
      <c r="V42" s="6"/>
      <c r="W42" s="5"/>
      <c r="X42" s="6"/>
      <c r="AD42" s="5"/>
      <c r="AE42" s="6">
        <f t="shared" si="4"/>
        <v>0.25887140295238625</v>
      </c>
      <c r="AG42" s="5">
        <f t="shared" si="5"/>
        <v>0.25887140295238625</v>
      </c>
      <c r="AH42" s="18">
        <f t="shared" si="6"/>
        <v>0.422892455266556</v>
      </c>
      <c r="AI42" s="18"/>
    </row>
    <row r="43" spans="1:35" ht="21" x14ac:dyDescent="0.35">
      <c r="A43" s="18" t="s">
        <v>113</v>
      </c>
      <c r="B43" s="6">
        <v>46.29</v>
      </c>
      <c r="C43" s="3">
        <v>40.31</v>
      </c>
      <c r="D43" s="3">
        <v>11.06</v>
      </c>
      <c r="E43" s="3">
        <v>21.5</v>
      </c>
      <c r="F43" s="5">
        <f>29.85+34.15+21.89+16.41</f>
        <v>102.3</v>
      </c>
      <c r="G43" s="53" t="s">
        <v>42</v>
      </c>
      <c r="H43" s="6"/>
      <c r="I43" s="5">
        <v>1</v>
      </c>
      <c r="J43" s="18" t="s">
        <v>98</v>
      </c>
      <c r="K43" s="18" t="s">
        <v>95</v>
      </c>
      <c r="L43" s="6">
        <v>2</v>
      </c>
      <c r="M43" s="5">
        <v>7</v>
      </c>
      <c r="N43" s="6">
        <v>28.49</v>
      </c>
      <c r="O43" s="3">
        <v>6.19</v>
      </c>
      <c r="P43" s="3">
        <f t="shared" si="0"/>
        <v>5.39634552078296</v>
      </c>
      <c r="Q43" s="3">
        <v>62</v>
      </c>
      <c r="R43" s="3">
        <v>60</v>
      </c>
      <c r="S43" s="3">
        <v>60</v>
      </c>
      <c r="T43" s="5">
        <f t="shared" si="1"/>
        <v>60.666666666666664</v>
      </c>
      <c r="U43" s="18" t="s">
        <v>96</v>
      </c>
      <c r="V43" s="6">
        <v>2</v>
      </c>
      <c r="W43" s="5">
        <v>11</v>
      </c>
      <c r="X43" s="6">
        <v>24.46</v>
      </c>
      <c r="Y43" s="3">
        <v>9.23</v>
      </c>
      <c r="Z43" s="3">
        <f t="shared" si="8"/>
        <v>6.1360658396166459</v>
      </c>
      <c r="AA43" s="3">
        <v>45</v>
      </c>
      <c r="AB43" s="3">
        <v>40</v>
      </c>
      <c r="AC43" s="3">
        <v>40</v>
      </c>
      <c r="AD43" s="5">
        <f t="shared" si="7"/>
        <v>41.666666666666664</v>
      </c>
      <c r="AE43" s="6">
        <f t="shared" si="4"/>
        <v>0.48791550820822421</v>
      </c>
      <c r="AF43" s="3">
        <f>Y43/D43</f>
        <v>0.8345388788426763</v>
      </c>
      <c r="AG43" s="5">
        <f t="shared" si="5"/>
        <v>0.66122719352545023</v>
      </c>
      <c r="AH43" s="18">
        <f t="shared" si="6"/>
        <v>0.51759530791788866</v>
      </c>
      <c r="AI43" s="18"/>
    </row>
    <row r="44" spans="1:35" x14ac:dyDescent="0.35">
      <c r="A44" s="18" t="s">
        <v>114</v>
      </c>
      <c r="B44" s="6">
        <v>45.62</v>
      </c>
      <c r="C44" s="3">
        <v>32.69</v>
      </c>
      <c r="D44" s="3">
        <v>17.88</v>
      </c>
      <c r="E44" s="3">
        <v>30.7</v>
      </c>
      <c r="F44" s="5">
        <f>24.03+39.46+45.39</f>
        <v>108.88</v>
      </c>
      <c r="G44" s="53" t="s">
        <v>42</v>
      </c>
      <c r="H44" s="6"/>
      <c r="I44" s="5">
        <v>1</v>
      </c>
      <c r="J44" s="18" t="s">
        <v>67</v>
      </c>
      <c r="K44" s="18" t="s">
        <v>95</v>
      </c>
      <c r="L44" s="6">
        <v>2</v>
      </c>
      <c r="M44" s="5">
        <v>10</v>
      </c>
      <c r="N44" s="6">
        <v>36.57</v>
      </c>
      <c r="O44" s="3">
        <v>11.41</v>
      </c>
      <c r="P44" s="3">
        <f t="shared" si="0"/>
        <v>10.652152666333071</v>
      </c>
      <c r="Q44" s="3">
        <v>66</v>
      </c>
      <c r="R44" s="3">
        <v>67</v>
      </c>
      <c r="S44" s="3">
        <v>74</v>
      </c>
      <c r="T44" s="5">
        <f t="shared" si="1"/>
        <v>69</v>
      </c>
      <c r="U44" s="18" t="s">
        <v>95</v>
      </c>
      <c r="V44" s="6">
        <v>2</v>
      </c>
      <c r="W44" s="5">
        <v>14</v>
      </c>
      <c r="X44" s="6">
        <v>22.69</v>
      </c>
      <c r="Y44" s="3">
        <v>6.6</v>
      </c>
      <c r="Z44" s="3">
        <f t="shared" si="8"/>
        <v>6.447681722064468</v>
      </c>
      <c r="AA44" s="3">
        <v>113</v>
      </c>
      <c r="AB44" s="3">
        <v>60</v>
      </c>
      <c r="AC44" s="3">
        <v>60</v>
      </c>
      <c r="AD44" s="5">
        <f t="shared" si="7"/>
        <v>77.666666666666671</v>
      </c>
      <c r="AE44" s="6">
        <f t="shared" si="4"/>
        <v>0.59575797910140227</v>
      </c>
      <c r="AF44" s="3">
        <f>Y44/D44</f>
        <v>0.36912751677852351</v>
      </c>
      <c r="AG44" s="5">
        <f t="shared" si="5"/>
        <v>0.48244274793996289</v>
      </c>
      <c r="AH44" s="18">
        <f t="shared" si="6"/>
        <v>0.54426891991182957</v>
      </c>
      <c r="AI44" s="18"/>
    </row>
    <row r="45" spans="1:35" x14ac:dyDescent="0.35">
      <c r="A45" s="18" t="s">
        <v>115</v>
      </c>
      <c r="B45" s="6">
        <v>31.8</v>
      </c>
      <c r="C45" s="3">
        <v>30.54</v>
      </c>
      <c r="D45" s="3">
        <v>30.63</v>
      </c>
      <c r="E45" s="3">
        <v>28.9</v>
      </c>
      <c r="F45" s="5">
        <f>25.3+20.66+27.3+30.62</f>
        <v>103.88000000000001</v>
      </c>
      <c r="G45" s="53" t="s">
        <v>42</v>
      </c>
      <c r="H45" s="6"/>
      <c r="I45" s="5">
        <v>1</v>
      </c>
      <c r="J45" s="18" t="s">
        <v>94</v>
      </c>
      <c r="K45" s="18" t="s">
        <v>95</v>
      </c>
      <c r="L45" s="6">
        <v>2</v>
      </c>
      <c r="M45" s="5">
        <v>10</v>
      </c>
      <c r="N45" s="6">
        <v>26.41</v>
      </c>
      <c r="O45" s="3">
        <v>8.1300000000000008</v>
      </c>
      <c r="P45" s="3">
        <f t="shared" si="0"/>
        <v>7.7465745602101084</v>
      </c>
      <c r="Q45" s="3">
        <v>72</v>
      </c>
      <c r="R45" s="3">
        <v>73</v>
      </c>
      <c r="S45" s="3">
        <v>72</v>
      </c>
      <c r="T45" s="5">
        <f t="shared" si="1"/>
        <v>72.333333333333329</v>
      </c>
      <c r="U45" s="18"/>
      <c r="V45" s="6"/>
      <c r="W45" s="5"/>
      <c r="X45" s="6"/>
      <c r="AD45" s="5"/>
      <c r="AE45" s="6">
        <f t="shared" si="4"/>
        <v>0.25290808227914163</v>
      </c>
      <c r="AG45" s="5">
        <f t="shared" si="5"/>
        <v>0.25290808227914163</v>
      </c>
      <c r="AH45" s="18">
        <f t="shared" si="6"/>
        <v>0.25423565652676161</v>
      </c>
      <c r="AI45" s="18"/>
    </row>
    <row r="46" spans="1:35" x14ac:dyDescent="0.35">
      <c r="A46" s="18" t="s">
        <v>116</v>
      </c>
      <c r="B46" s="6">
        <v>48.03</v>
      </c>
      <c r="C46" s="3">
        <v>33.76</v>
      </c>
      <c r="D46" s="3">
        <v>23.96</v>
      </c>
      <c r="E46" s="3">
        <v>34.700000000000003</v>
      </c>
      <c r="F46" s="5">
        <f>33.98+41.9+46.25</f>
        <v>122.13</v>
      </c>
      <c r="G46" s="56" t="s">
        <v>123</v>
      </c>
      <c r="H46" s="6" t="s">
        <v>50</v>
      </c>
      <c r="I46" s="5"/>
      <c r="J46" s="18" t="s">
        <v>67</v>
      </c>
      <c r="K46" s="18" t="s">
        <v>95</v>
      </c>
      <c r="L46" s="6">
        <v>1</v>
      </c>
      <c r="M46" s="5">
        <v>17</v>
      </c>
      <c r="N46" s="6">
        <v>33.770000000000003</v>
      </c>
      <c r="O46" s="3">
        <v>3.91</v>
      </c>
      <c r="P46" s="3">
        <f t="shared" si="0"/>
        <v>3.5719627393825695</v>
      </c>
      <c r="Q46" s="3">
        <v>67</v>
      </c>
      <c r="R46" s="3">
        <v>67</v>
      </c>
      <c r="S46" s="3">
        <v>64</v>
      </c>
      <c r="T46" s="5">
        <f t="shared" si="1"/>
        <v>66</v>
      </c>
      <c r="U46" s="18" t="s">
        <v>95</v>
      </c>
      <c r="V46" s="6">
        <v>1</v>
      </c>
      <c r="W46" s="5">
        <v>6</v>
      </c>
      <c r="X46" s="6">
        <v>39.590000000000003</v>
      </c>
      <c r="Y46" s="3">
        <v>2.5299999999999998</v>
      </c>
      <c r="Z46" s="3">
        <f t="shared" si="8"/>
        <v>1.7993576871856469</v>
      </c>
      <c r="AA46" s="3">
        <v>46</v>
      </c>
      <c r="AB46" s="3">
        <v>33</v>
      </c>
      <c r="AC46" s="3">
        <v>57</v>
      </c>
      <c r="AD46" s="5">
        <f t="shared" si="7"/>
        <v>45.333333333333336</v>
      </c>
      <c r="AE46" s="6">
        <f t="shared" si="4"/>
        <v>0.14908024788741941</v>
      </c>
      <c r="AF46" s="3">
        <f>Y46/D46</f>
        <v>0.10559265442404006</v>
      </c>
      <c r="AG46" s="5">
        <f t="shared" si="5"/>
        <v>0.12733645115572972</v>
      </c>
      <c r="AH46" s="18">
        <f t="shared" si="6"/>
        <v>0.60067141570457727</v>
      </c>
      <c r="AI46" s="18"/>
    </row>
    <row r="47" spans="1:35" x14ac:dyDescent="0.35">
      <c r="A47" s="18" t="s">
        <v>117</v>
      </c>
      <c r="B47" s="6">
        <v>50.4</v>
      </c>
      <c r="C47" s="3">
        <v>35.68</v>
      </c>
      <c r="D47" s="3">
        <v>8.92</v>
      </c>
      <c r="E47" s="3">
        <v>17.399999999999999</v>
      </c>
      <c r="F47" s="5">
        <f>36.1+27.55+13.84+50.46</f>
        <v>127.95000000000002</v>
      </c>
      <c r="G47" s="53" t="s">
        <v>42</v>
      </c>
      <c r="H47" s="6" t="s">
        <v>48</v>
      </c>
      <c r="I47" s="5"/>
      <c r="J47" s="18" t="s">
        <v>94</v>
      </c>
      <c r="K47" s="18" t="s">
        <v>95</v>
      </c>
      <c r="L47" s="6">
        <v>1</v>
      </c>
      <c r="M47" s="5">
        <v>10</v>
      </c>
      <c r="N47" s="6">
        <v>25.76</v>
      </c>
      <c r="O47" s="3">
        <v>3.12</v>
      </c>
      <c r="P47" s="3">
        <f t="shared" si="0"/>
        <v>2.5764033626643128</v>
      </c>
      <c r="Q47" s="3">
        <v>57</v>
      </c>
      <c r="R47" s="3">
        <v>56</v>
      </c>
      <c r="S47" s="3">
        <v>54</v>
      </c>
      <c r="T47" s="5">
        <f t="shared" si="1"/>
        <v>55.666666666666664</v>
      </c>
      <c r="U47" s="18"/>
      <c r="V47" s="6"/>
      <c r="W47" s="5"/>
      <c r="X47" s="6"/>
      <c r="AD47" s="5"/>
      <c r="AE47" s="6">
        <f t="shared" si="4"/>
        <v>0.28883445769779292</v>
      </c>
      <c r="AG47" s="5">
        <f t="shared" si="5"/>
        <v>0.28883445769779292</v>
      </c>
      <c r="AH47" s="18">
        <f t="shared" si="6"/>
        <v>0.20132864400156308</v>
      </c>
      <c r="AI47" s="18"/>
    </row>
    <row r="48" spans="1:35" x14ac:dyDescent="0.35">
      <c r="A48" s="18" t="s">
        <v>118</v>
      </c>
      <c r="B48" s="6">
        <v>40.94</v>
      </c>
      <c r="C48" s="3">
        <v>29.23</v>
      </c>
      <c r="D48" s="3">
        <v>14.44</v>
      </c>
      <c r="E48" s="3">
        <v>19.8</v>
      </c>
      <c r="F48" s="5">
        <f>36.94+18.79+10.58+34.86</f>
        <v>101.17</v>
      </c>
      <c r="G48" s="53" t="s">
        <v>42</v>
      </c>
      <c r="H48" s="6"/>
      <c r="I48" s="5">
        <v>1</v>
      </c>
      <c r="J48" s="18" t="s">
        <v>94</v>
      </c>
      <c r="K48" s="18" t="s">
        <v>95</v>
      </c>
      <c r="L48" s="6">
        <v>1</v>
      </c>
      <c r="M48" s="5">
        <v>5</v>
      </c>
      <c r="N48" s="6">
        <v>19.3</v>
      </c>
      <c r="O48" s="3">
        <v>7.59</v>
      </c>
      <c r="P48" s="3">
        <f t="shared" si="0"/>
        <v>5.9537148967395783</v>
      </c>
      <c r="Q48" s="3">
        <v>51</v>
      </c>
      <c r="R48" s="3">
        <v>40</v>
      </c>
      <c r="S48" s="3">
        <v>64</v>
      </c>
      <c r="T48" s="5">
        <f t="shared" si="1"/>
        <v>51.666666666666664</v>
      </c>
      <c r="U48" s="18"/>
      <c r="V48" s="6"/>
      <c r="W48" s="5"/>
      <c r="X48" s="6"/>
      <c r="AD48" s="5"/>
      <c r="AE48" s="6">
        <f t="shared" si="4"/>
        <v>0.41230712581299023</v>
      </c>
      <c r="AG48" s="5">
        <f t="shared" si="5"/>
        <v>0.41230712581299023</v>
      </c>
      <c r="AH48" s="18">
        <f t="shared" si="6"/>
        <v>0.19076801423346842</v>
      </c>
      <c r="AI48" s="18"/>
    </row>
    <row r="49" spans="1:35" ht="21" x14ac:dyDescent="0.35">
      <c r="A49" s="18" t="s">
        <v>119</v>
      </c>
      <c r="B49" s="6">
        <v>79.78</v>
      </c>
      <c r="C49" s="3">
        <v>44.68</v>
      </c>
      <c r="D49" s="3">
        <v>29.88</v>
      </c>
      <c r="E49" s="3">
        <v>84.6</v>
      </c>
      <c r="F49" s="5">
        <f>53.64+38.66+50.28+52.24</f>
        <v>194.82</v>
      </c>
      <c r="G49" s="53" t="s">
        <v>42</v>
      </c>
      <c r="H49" s="6" t="s">
        <v>50</v>
      </c>
      <c r="I49" s="5"/>
      <c r="J49" s="18" t="s">
        <v>94</v>
      </c>
      <c r="K49" s="18" t="s">
        <v>95</v>
      </c>
      <c r="L49" s="6">
        <v>2</v>
      </c>
      <c r="M49" s="5">
        <v>15</v>
      </c>
      <c r="N49" s="6">
        <v>42.6</v>
      </c>
      <c r="O49" s="3">
        <v>6.33</v>
      </c>
      <c r="P49" s="3">
        <f t="shared" si="0"/>
        <v>5.7369282919419939</v>
      </c>
      <c r="Q49" s="3">
        <v>66</v>
      </c>
      <c r="R49" s="3">
        <v>66</v>
      </c>
      <c r="S49" s="3">
        <v>63</v>
      </c>
      <c r="T49" s="5">
        <f t="shared" si="1"/>
        <v>65</v>
      </c>
      <c r="U49" s="18"/>
      <c r="V49" s="6"/>
      <c r="W49" s="5"/>
      <c r="X49" s="6"/>
      <c r="AD49" s="5"/>
      <c r="AE49" s="6">
        <f t="shared" si="4"/>
        <v>0.1919989388200132</v>
      </c>
      <c r="AG49" s="5">
        <f t="shared" si="5"/>
        <v>0.1919989388200132</v>
      </c>
      <c r="AH49" s="18">
        <f>(X49+N49)/F49</f>
        <v>0.21866338158299969</v>
      </c>
      <c r="AI49" s="18"/>
    </row>
    <row r="50" spans="1:35" ht="21" x14ac:dyDescent="0.35">
      <c r="A50" s="18" t="s">
        <v>120</v>
      </c>
      <c r="B50" s="6">
        <v>88.17</v>
      </c>
      <c r="C50" s="3">
        <v>64.16</v>
      </c>
      <c r="D50" s="3">
        <v>36.46</v>
      </c>
      <c r="E50" s="3">
        <v>242.1</v>
      </c>
      <c r="F50" s="5">
        <f>62.3+22.3+60.26+23.97+43.6+26.17</f>
        <v>238.59999999999997</v>
      </c>
      <c r="G50" s="53" t="s">
        <v>42</v>
      </c>
      <c r="H50" s="6" t="s">
        <v>52</v>
      </c>
      <c r="I50" s="5"/>
      <c r="J50" s="18" t="s">
        <v>94</v>
      </c>
      <c r="K50" s="18" t="s">
        <v>96</v>
      </c>
      <c r="L50" s="6">
        <v>2</v>
      </c>
      <c r="M50" s="5">
        <v>20</v>
      </c>
      <c r="N50" s="6">
        <v>43.62</v>
      </c>
      <c r="O50" s="3">
        <v>8.24</v>
      </c>
      <c r="P50" s="3">
        <f t="shared" si="0"/>
        <v>8.0178897335777499</v>
      </c>
      <c r="Q50" s="3">
        <v>77</v>
      </c>
      <c r="R50" s="3">
        <v>76</v>
      </c>
      <c r="S50" s="3">
        <v>77</v>
      </c>
      <c r="T50" s="5">
        <f t="shared" si="1"/>
        <v>76.666666666666671</v>
      </c>
      <c r="U50" s="18"/>
      <c r="V50" s="6"/>
      <c r="W50" s="5"/>
      <c r="X50" s="6"/>
      <c r="AD50" s="5"/>
      <c r="AE50" s="6">
        <f t="shared" si="4"/>
        <v>0.21990920827146873</v>
      </c>
      <c r="AG50" s="5">
        <f t="shared" si="5"/>
        <v>0.21990920827146873</v>
      </c>
      <c r="AH50" s="18">
        <f t="shared" si="6"/>
        <v>0.18281642917015928</v>
      </c>
      <c r="AI50" s="18"/>
    </row>
    <row r="51" spans="1:35" x14ac:dyDescent="0.35">
      <c r="A51" s="18" t="s">
        <v>121</v>
      </c>
      <c r="B51" s="6">
        <v>71.849999999999994</v>
      </c>
      <c r="C51" s="3">
        <v>41.37</v>
      </c>
      <c r="D51" s="3">
        <v>20.87</v>
      </c>
      <c r="E51" s="3">
        <v>55.8</v>
      </c>
      <c r="F51" s="5">
        <f>13.1+62.7+21.69+25.3</f>
        <v>122.78999999999999</v>
      </c>
      <c r="G51" s="53" t="s">
        <v>42</v>
      </c>
      <c r="H51" s="6"/>
      <c r="I51" s="5">
        <v>1</v>
      </c>
      <c r="J51" s="18" t="s">
        <v>94</v>
      </c>
      <c r="K51" s="18" t="s">
        <v>95</v>
      </c>
      <c r="L51" s="6">
        <v>2</v>
      </c>
      <c r="M51" s="5">
        <v>17</v>
      </c>
      <c r="N51" s="6">
        <v>69.27</v>
      </c>
      <c r="O51" s="3">
        <v>10.06</v>
      </c>
      <c r="P51" s="3">
        <f t="shared" si="0"/>
        <v>8.8824527841608045</v>
      </c>
      <c r="Q51" s="3">
        <v>59</v>
      </c>
      <c r="R51" s="3">
        <v>63</v>
      </c>
      <c r="S51" s="3">
        <v>64</v>
      </c>
      <c r="T51" s="5">
        <f t="shared" si="1"/>
        <v>62</v>
      </c>
      <c r="U51" s="18"/>
      <c r="V51" s="6"/>
      <c r="W51" s="5"/>
      <c r="X51" s="6"/>
      <c r="AD51" s="5"/>
      <c r="AE51" s="6">
        <f t="shared" si="4"/>
        <v>0.42560866239390532</v>
      </c>
      <c r="AG51" s="5">
        <f t="shared" si="5"/>
        <v>0.42560866239390532</v>
      </c>
      <c r="AH51" s="18">
        <f t="shared" si="6"/>
        <v>0.56413388712435864</v>
      </c>
      <c r="AI51" s="18"/>
    </row>
    <row r="52" spans="1:35" x14ac:dyDescent="0.35">
      <c r="A52" s="18" t="s">
        <v>124</v>
      </c>
      <c r="B52" s="6">
        <v>30.49</v>
      </c>
      <c r="C52" s="3">
        <v>23.12</v>
      </c>
      <c r="D52" s="3">
        <v>12.21</v>
      </c>
      <c r="E52" s="3">
        <v>8.1999999999999993</v>
      </c>
      <c r="F52" s="5">
        <f>22.52+9.35+17.32+11.3+9.49</f>
        <v>69.97999999999999</v>
      </c>
      <c r="G52" s="53" t="s">
        <v>42</v>
      </c>
      <c r="H52" s="6"/>
      <c r="I52" s="5">
        <v>1</v>
      </c>
      <c r="J52" s="18" t="s">
        <v>94</v>
      </c>
      <c r="K52" s="18" t="s">
        <v>95</v>
      </c>
      <c r="L52" s="6">
        <v>1</v>
      </c>
      <c r="M52" s="5">
        <v>7</v>
      </c>
      <c r="N52" s="6">
        <v>17.100000000000001</v>
      </c>
      <c r="O52" s="3">
        <v>3.03</v>
      </c>
      <c r="P52" s="3">
        <f t="shared" si="0"/>
        <v>2.2398954638784656</v>
      </c>
      <c r="Q52" s="3">
        <v>37</v>
      </c>
      <c r="R52" s="3">
        <v>57</v>
      </c>
      <c r="S52" s="3">
        <v>49</v>
      </c>
      <c r="T52" s="5">
        <f t="shared" si="1"/>
        <v>47.666666666666664</v>
      </c>
      <c r="U52" s="18"/>
      <c r="V52" s="6"/>
      <c r="W52" s="5"/>
      <c r="X52" s="6"/>
      <c r="AD52" s="5"/>
      <c r="AE52" s="6">
        <f t="shared" si="4"/>
        <v>0.18344762193926825</v>
      </c>
      <c r="AG52" s="5">
        <f t="shared" si="5"/>
        <v>0.18344762193926825</v>
      </c>
      <c r="AH52" s="18">
        <f t="shared" si="6"/>
        <v>0.24435553015147191</v>
      </c>
      <c r="AI52" s="18"/>
    </row>
    <row r="53" spans="1:35" x14ac:dyDescent="0.35">
      <c r="A53" s="18" t="s">
        <v>125</v>
      </c>
      <c r="B53" s="6">
        <v>48</v>
      </c>
      <c r="C53" s="3">
        <v>50</v>
      </c>
      <c r="D53" s="3">
        <v>14</v>
      </c>
      <c r="E53" s="3">
        <v>32.200000000000003</v>
      </c>
      <c r="F53" s="5">
        <f>14.24+50+37.69+43.01</f>
        <v>144.94</v>
      </c>
      <c r="G53" s="53" t="s">
        <v>42</v>
      </c>
      <c r="H53" s="6" t="s">
        <v>48</v>
      </c>
      <c r="I53" s="5"/>
      <c r="J53" s="18" t="s">
        <v>94</v>
      </c>
      <c r="K53" s="18" t="s">
        <v>95</v>
      </c>
      <c r="L53" s="6">
        <v>1</v>
      </c>
      <c r="M53" s="5">
        <v>6</v>
      </c>
      <c r="N53" s="6">
        <v>36.020000000000003</v>
      </c>
      <c r="O53" s="3">
        <v>6.4</v>
      </c>
      <c r="P53" s="3">
        <f t="shared" si="0"/>
        <v>5.4471467035967986</v>
      </c>
      <c r="Q53" s="3">
        <v>67</v>
      </c>
      <c r="R53" s="3">
        <v>55</v>
      </c>
      <c r="S53" s="3">
        <v>53</v>
      </c>
      <c r="T53" s="5">
        <f t="shared" si="1"/>
        <v>58.333333333333336</v>
      </c>
      <c r="U53" s="18"/>
      <c r="V53" s="6"/>
      <c r="W53" s="5"/>
      <c r="X53" s="6"/>
      <c r="AD53" s="5"/>
      <c r="AE53" s="6">
        <f t="shared" si="4"/>
        <v>0.38908190739977133</v>
      </c>
      <c r="AG53" s="5">
        <f t="shared" si="5"/>
        <v>0.38908190739977133</v>
      </c>
      <c r="AH53" s="18">
        <f t="shared" si="6"/>
        <v>0.24851662757002901</v>
      </c>
      <c r="AI53" s="18" t="s">
        <v>155</v>
      </c>
    </row>
    <row r="54" spans="1:35" x14ac:dyDescent="0.35">
      <c r="A54" s="18" t="s">
        <v>126</v>
      </c>
      <c r="B54" s="6">
        <v>32</v>
      </c>
      <c r="C54" s="3">
        <v>23</v>
      </c>
      <c r="D54" s="3">
        <v>13</v>
      </c>
      <c r="E54" s="3">
        <v>9.3000000000000007</v>
      </c>
      <c r="F54" s="5">
        <f>17.62+17.37+8.27+11.99+28.38</f>
        <v>83.63000000000001</v>
      </c>
      <c r="G54" s="53" t="s">
        <v>42</v>
      </c>
      <c r="H54" s="6"/>
      <c r="I54" s="5">
        <v>1</v>
      </c>
      <c r="J54" s="18" t="s">
        <v>94</v>
      </c>
      <c r="K54" s="18" t="s">
        <v>95</v>
      </c>
      <c r="L54" s="6">
        <v>2</v>
      </c>
      <c r="M54" s="5">
        <v>8</v>
      </c>
      <c r="N54" s="6">
        <v>21.24</v>
      </c>
      <c r="O54" s="3">
        <v>6.68</v>
      </c>
      <c r="P54" s="3">
        <f t="shared" si="0"/>
        <v>5.4719356558504648</v>
      </c>
      <c r="Q54" s="3">
        <v>55</v>
      </c>
      <c r="R54" s="3">
        <v>51</v>
      </c>
      <c r="S54" s="3">
        <v>59</v>
      </c>
      <c r="T54" s="5">
        <f t="shared" si="1"/>
        <v>55</v>
      </c>
      <c r="U54" s="18"/>
      <c r="V54" s="6"/>
      <c r="W54" s="5"/>
      <c r="X54" s="6"/>
      <c r="AD54" s="5"/>
      <c r="AE54" s="6">
        <f t="shared" si="4"/>
        <v>0.42091812737311268</v>
      </c>
      <c r="AG54" s="5">
        <f t="shared" si="5"/>
        <v>0.42091812737311268</v>
      </c>
      <c r="AH54" s="18">
        <f t="shared" si="6"/>
        <v>0.25397584598828166</v>
      </c>
      <c r="AI54" s="18" t="s">
        <v>155</v>
      </c>
    </row>
    <row r="55" spans="1:35" x14ac:dyDescent="0.35">
      <c r="A55" s="18" t="s">
        <v>127</v>
      </c>
      <c r="B55" s="6">
        <v>39</v>
      </c>
      <c r="C55" s="3">
        <v>26</v>
      </c>
      <c r="D55" s="3">
        <v>15</v>
      </c>
      <c r="E55" s="3">
        <v>17</v>
      </c>
      <c r="F55" s="5">
        <f>21.52+31.33+24.34+10+14.78+15.4</f>
        <v>117.37</v>
      </c>
      <c r="G55" s="53" t="s">
        <v>42</v>
      </c>
      <c r="H55" s="6" t="s">
        <v>48</v>
      </c>
      <c r="I55" s="5"/>
      <c r="J55" s="18" t="s">
        <v>94</v>
      </c>
      <c r="K55" s="18" t="s">
        <v>96</v>
      </c>
      <c r="L55" s="6">
        <v>2</v>
      </c>
      <c r="M55" s="5">
        <v>8</v>
      </c>
      <c r="N55" s="6">
        <v>23.11</v>
      </c>
      <c r="O55" s="3">
        <v>4.4400000000000004</v>
      </c>
      <c r="P55" s="3">
        <f t="shared" si="0"/>
        <v>3.8321723571271136</v>
      </c>
      <c r="Q55" s="3">
        <v>60</v>
      </c>
      <c r="R55" s="3">
        <v>58</v>
      </c>
      <c r="S55" s="3">
        <v>61</v>
      </c>
      <c r="T55" s="5">
        <f t="shared" si="1"/>
        <v>59.666666666666664</v>
      </c>
      <c r="U55" s="18"/>
      <c r="V55" s="6"/>
      <c r="W55" s="5"/>
      <c r="X55" s="6"/>
      <c r="AD55" s="5"/>
      <c r="AE55" s="6">
        <f t="shared" si="4"/>
        <v>0.25547815714180755</v>
      </c>
      <c r="AG55" s="5">
        <f t="shared" si="5"/>
        <v>0.25547815714180755</v>
      </c>
      <c r="AH55" s="18">
        <f t="shared" si="6"/>
        <v>0.19689869643009286</v>
      </c>
      <c r="AI55" s="18" t="s">
        <v>155</v>
      </c>
    </row>
    <row r="56" spans="1:35" x14ac:dyDescent="0.35">
      <c r="A56" s="18" t="s">
        <v>128</v>
      </c>
      <c r="B56" s="6">
        <v>63</v>
      </c>
      <c r="C56" s="3">
        <v>53</v>
      </c>
      <c r="D56" s="3">
        <v>23</v>
      </c>
      <c r="E56" s="3">
        <v>63.4</v>
      </c>
      <c r="F56" s="5">
        <f>48.75+18.26+27.28+14.06+59.47</f>
        <v>167.82</v>
      </c>
      <c r="G56" s="53" t="s">
        <v>42</v>
      </c>
      <c r="H56" s="6" t="s">
        <v>48</v>
      </c>
      <c r="I56" s="5"/>
      <c r="J56" s="18" t="s">
        <v>94</v>
      </c>
      <c r="K56" s="18" t="s">
        <v>95</v>
      </c>
      <c r="L56" s="6">
        <v>2</v>
      </c>
      <c r="M56" s="5">
        <v>5</v>
      </c>
      <c r="N56" s="6">
        <v>27.18</v>
      </c>
      <c r="O56" s="3">
        <v>11.66</v>
      </c>
      <c r="P56" s="3">
        <f t="shared" si="0"/>
        <v>9.1882053870543796</v>
      </c>
      <c r="Q56" s="3">
        <v>51</v>
      </c>
      <c r="R56" s="3">
        <v>55</v>
      </c>
      <c r="S56" s="3">
        <v>50</v>
      </c>
      <c r="T56" s="5">
        <f t="shared" si="1"/>
        <v>52</v>
      </c>
      <c r="U56" s="18"/>
      <c r="V56" s="6"/>
      <c r="W56" s="5"/>
      <c r="X56" s="6"/>
      <c r="AD56" s="5"/>
      <c r="AE56" s="6">
        <f t="shared" si="4"/>
        <v>0.39948719074149475</v>
      </c>
      <c r="AG56" s="5">
        <f t="shared" si="5"/>
        <v>0.39948719074149475</v>
      </c>
      <c r="AH56" s="18">
        <f t="shared" si="6"/>
        <v>0.16195924204504827</v>
      </c>
      <c r="AI56" s="18" t="s">
        <v>155</v>
      </c>
    </row>
    <row r="57" spans="1:35" x14ac:dyDescent="0.35">
      <c r="A57" s="18" t="s">
        <v>129</v>
      </c>
      <c r="B57" s="6">
        <v>54</v>
      </c>
      <c r="C57" s="3">
        <v>26</v>
      </c>
      <c r="D57" s="3">
        <v>22</v>
      </c>
      <c r="E57" s="3">
        <v>28.2</v>
      </c>
      <c r="F57" s="5">
        <f>54.07+18.95+36.16+26.13</f>
        <v>135.31</v>
      </c>
      <c r="G57" s="53" t="s">
        <v>42</v>
      </c>
      <c r="H57" s="6" t="s">
        <v>50</v>
      </c>
      <c r="I57" s="5"/>
      <c r="J57" s="18" t="s">
        <v>94</v>
      </c>
      <c r="K57" s="18" t="s">
        <v>96</v>
      </c>
      <c r="L57" s="6">
        <v>2</v>
      </c>
      <c r="M57" s="5">
        <v>8</v>
      </c>
      <c r="N57" s="6">
        <v>17.96</v>
      </c>
      <c r="O57" s="3">
        <v>7.12</v>
      </c>
      <c r="P57" s="3">
        <f t="shared" si="0"/>
        <v>6.1030311809990394</v>
      </c>
      <c r="Q57" s="3">
        <v>57</v>
      </c>
      <c r="R57" s="3">
        <v>62</v>
      </c>
      <c r="S57" s="3">
        <v>58</v>
      </c>
      <c r="T57" s="5">
        <f t="shared" si="1"/>
        <v>59</v>
      </c>
      <c r="U57" s="18"/>
      <c r="V57" s="6"/>
      <c r="W57" s="5"/>
      <c r="X57" s="6"/>
      <c r="AD57" s="5"/>
      <c r="AE57" s="6">
        <f t="shared" si="4"/>
        <v>0.27741050822722907</v>
      </c>
      <c r="AG57" s="5">
        <f t="shared" si="5"/>
        <v>0.27741050822722907</v>
      </c>
      <c r="AH57" s="18">
        <f t="shared" si="6"/>
        <v>0.13273224447564852</v>
      </c>
      <c r="AI57" s="18" t="s">
        <v>155</v>
      </c>
    </row>
    <row r="58" spans="1:35" x14ac:dyDescent="0.35">
      <c r="A58" s="18" t="s">
        <v>130</v>
      </c>
      <c r="B58" s="6">
        <v>41</v>
      </c>
      <c r="C58" s="3">
        <v>38</v>
      </c>
      <c r="D58" s="3">
        <v>17</v>
      </c>
      <c r="E58" s="3">
        <v>28.7</v>
      </c>
      <c r="F58" s="5">
        <f>36.38+35.22+8.84+41.84</f>
        <v>122.28</v>
      </c>
      <c r="G58" s="53" t="s">
        <v>42</v>
      </c>
      <c r="H58" s="6" t="s">
        <v>50</v>
      </c>
      <c r="I58" s="5"/>
      <c r="J58" s="18" t="s">
        <v>94</v>
      </c>
      <c r="K58" s="18" t="s">
        <v>95</v>
      </c>
      <c r="L58" s="6">
        <v>1</v>
      </c>
      <c r="M58" s="5">
        <v>8</v>
      </c>
      <c r="N58" s="6">
        <v>24.75</v>
      </c>
      <c r="O58" s="3">
        <v>4.34</v>
      </c>
      <c r="P58" s="3">
        <f t="shared" si="0"/>
        <v>3.9850579038603895</v>
      </c>
      <c r="Q58" s="3">
        <v>66</v>
      </c>
      <c r="R58" s="3">
        <v>66</v>
      </c>
      <c r="S58" s="3">
        <v>68</v>
      </c>
      <c r="T58" s="5">
        <f t="shared" si="1"/>
        <v>66.666666666666671</v>
      </c>
      <c r="U58" s="18"/>
      <c r="V58" s="6"/>
      <c r="W58" s="5"/>
      <c r="X58" s="6"/>
      <c r="AD58" s="5"/>
      <c r="AE58" s="6">
        <f t="shared" si="4"/>
        <v>0.23441517081531704</v>
      </c>
      <c r="AG58" s="5">
        <f t="shared" si="5"/>
        <v>0.23441517081531704</v>
      </c>
      <c r="AH58" s="18">
        <f t="shared" si="6"/>
        <v>0.20240431795878311</v>
      </c>
      <c r="AI58" s="18" t="s">
        <v>155</v>
      </c>
    </row>
    <row r="59" spans="1:35" x14ac:dyDescent="0.35">
      <c r="A59" s="18" t="s">
        <v>131</v>
      </c>
      <c r="B59" s="6">
        <v>28</v>
      </c>
      <c r="C59" s="3">
        <v>22</v>
      </c>
      <c r="D59" s="3">
        <v>13</v>
      </c>
      <c r="E59" s="3">
        <v>9.4</v>
      </c>
      <c r="F59" s="5">
        <f>15.26+12.83+7.05+19.95+26.78</f>
        <v>81.87</v>
      </c>
      <c r="G59" s="53" t="s">
        <v>42</v>
      </c>
      <c r="H59" s="6"/>
      <c r="I59" s="5">
        <v>1</v>
      </c>
      <c r="J59" s="18" t="s">
        <v>94</v>
      </c>
      <c r="K59" s="18" t="s">
        <v>95</v>
      </c>
      <c r="L59" s="6">
        <v>2</v>
      </c>
      <c r="M59" s="5">
        <v>10</v>
      </c>
      <c r="N59" s="6">
        <f>14.73+21.85</f>
        <v>36.58</v>
      </c>
      <c r="O59" s="3">
        <v>10.79</v>
      </c>
      <c r="P59" s="3">
        <f t="shared" si="0"/>
        <v>7.6296821690028462</v>
      </c>
      <c r="Q59" s="3">
        <v>40</v>
      </c>
      <c r="R59" s="3">
        <v>50</v>
      </c>
      <c r="S59" s="3">
        <v>45</v>
      </c>
      <c r="T59" s="5">
        <f t="shared" si="1"/>
        <v>45</v>
      </c>
      <c r="U59" s="18"/>
      <c r="V59" s="6"/>
      <c r="W59" s="5"/>
      <c r="X59" s="6"/>
      <c r="AD59" s="5"/>
      <c r="AE59" s="6">
        <f t="shared" si="4"/>
        <v>0.58689862838483431</v>
      </c>
      <c r="AG59" s="5">
        <f t="shared" si="5"/>
        <v>0.58689862838483431</v>
      </c>
      <c r="AH59" s="18">
        <f t="shared" si="6"/>
        <v>0.44680591181140827</v>
      </c>
      <c r="AI59" s="18" t="s">
        <v>155</v>
      </c>
    </row>
    <row r="60" spans="1:35" x14ac:dyDescent="0.35">
      <c r="A60" s="18" t="s">
        <v>132</v>
      </c>
      <c r="B60" s="6">
        <v>18</v>
      </c>
      <c r="C60" s="3">
        <v>32</v>
      </c>
      <c r="D60" s="3">
        <v>15</v>
      </c>
      <c r="E60" s="3">
        <v>13.8</v>
      </c>
      <c r="F60" s="5">
        <f>24.34+23.45+14+14.37+20.58</f>
        <v>96.74</v>
      </c>
      <c r="G60" s="53" t="s">
        <v>42</v>
      </c>
      <c r="H60" s="6"/>
      <c r="I60" s="5">
        <v>1</v>
      </c>
      <c r="J60" s="18" t="s">
        <v>94</v>
      </c>
      <c r="K60" s="18" t="s">
        <v>95</v>
      </c>
      <c r="L60" s="6">
        <v>1</v>
      </c>
      <c r="M60" s="5">
        <v>5</v>
      </c>
      <c r="N60" s="6">
        <v>22.91</v>
      </c>
      <c r="O60" s="3">
        <v>6.49</v>
      </c>
      <c r="P60" s="3">
        <f t="shared" si="0"/>
        <v>5.4837307997256284</v>
      </c>
      <c r="Q60" s="3">
        <v>57</v>
      </c>
      <c r="R60" s="3">
        <v>56</v>
      </c>
      <c r="S60" s="3">
        <v>60</v>
      </c>
      <c r="T60" s="5">
        <f t="shared" si="1"/>
        <v>57.666666666666664</v>
      </c>
      <c r="U60" s="18"/>
      <c r="V60" s="6"/>
      <c r="W60" s="5"/>
      <c r="X60" s="6"/>
      <c r="AD60" s="5"/>
      <c r="AE60" s="6">
        <f t="shared" si="4"/>
        <v>0.3655820533150419</v>
      </c>
      <c r="AG60" s="5">
        <f t="shared" si="5"/>
        <v>0.3655820533150419</v>
      </c>
      <c r="AH60" s="18">
        <f t="shared" si="6"/>
        <v>0.23682034318792641</v>
      </c>
      <c r="AI60" s="18" t="s">
        <v>155</v>
      </c>
    </row>
    <row r="61" spans="1:35" x14ac:dyDescent="0.35">
      <c r="A61" s="18" t="s">
        <v>133</v>
      </c>
      <c r="B61" s="6">
        <v>28</v>
      </c>
      <c r="C61" s="3">
        <v>29</v>
      </c>
      <c r="D61" s="3">
        <v>17</v>
      </c>
      <c r="E61" s="3">
        <v>16.899999999999999</v>
      </c>
      <c r="F61" s="5">
        <f>23.14+24.99+19.85+25.31</f>
        <v>93.289999999999992</v>
      </c>
      <c r="G61" s="53" t="s">
        <v>42</v>
      </c>
      <c r="H61" s="6"/>
      <c r="I61" s="5">
        <v>1</v>
      </c>
      <c r="J61" s="18" t="s">
        <v>94</v>
      </c>
      <c r="K61" s="18" t="s">
        <v>96</v>
      </c>
      <c r="L61" s="6">
        <v>2</v>
      </c>
      <c r="M61" s="5">
        <v>10</v>
      </c>
      <c r="N61" s="6">
        <f>19.19+25.36</f>
        <v>44.55</v>
      </c>
      <c r="O61" s="3">
        <v>10.52</v>
      </c>
      <c r="P61" s="3">
        <f t="shared" si="0"/>
        <v>9.6104982144001614</v>
      </c>
      <c r="Q61" s="3">
        <v>69</v>
      </c>
      <c r="R61" s="3">
        <v>64</v>
      </c>
      <c r="S61" s="3">
        <v>65</v>
      </c>
      <c r="T61" s="5">
        <f t="shared" si="1"/>
        <v>66</v>
      </c>
      <c r="U61" s="18"/>
      <c r="V61" s="6"/>
      <c r="W61" s="5"/>
      <c r="X61" s="6"/>
      <c r="AD61" s="5"/>
      <c r="AE61" s="6">
        <f t="shared" si="4"/>
        <v>0.56532342437648009</v>
      </c>
      <c r="AG61" s="5">
        <f t="shared" si="5"/>
        <v>0.56532342437648009</v>
      </c>
      <c r="AH61" s="18">
        <f t="shared" si="6"/>
        <v>0.47754314503162182</v>
      </c>
      <c r="AI61" s="18" t="s">
        <v>155</v>
      </c>
    </row>
    <row r="62" spans="1:35" x14ac:dyDescent="0.35">
      <c r="A62" s="18" t="s">
        <v>134</v>
      </c>
      <c r="B62" s="6">
        <v>25</v>
      </c>
      <c r="C62" s="3">
        <v>22</v>
      </c>
      <c r="D62" s="3">
        <v>12</v>
      </c>
      <c r="E62" s="3">
        <v>6.5</v>
      </c>
      <c r="F62" s="5">
        <f>12.64+16.23+21.43+10.63+14.27</f>
        <v>75.2</v>
      </c>
      <c r="G62" s="53" t="s">
        <v>42</v>
      </c>
      <c r="H62" s="6"/>
      <c r="I62" s="5">
        <v>1</v>
      </c>
      <c r="J62" s="18" t="s">
        <v>94</v>
      </c>
      <c r="K62" s="18" t="s">
        <v>96</v>
      </c>
      <c r="L62" s="6">
        <v>1</v>
      </c>
      <c r="M62" s="5">
        <v>4</v>
      </c>
      <c r="N62" s="6">
        <v>22.18</v>
      </c>
      <c r="O62" s="3">
        <v>8.7799999999999994</v>
      </c>
      <c r="P62" s="3">
        <f t="shared" si="0"/>
        <v>7.6037030452273706</v>
      </c>
      <c r="Q62" s="3">
        <v>72</v>
      </c>
      <c r="R62" s="3">
        <v>55</v>
      </c>
      <c r="S62" s="3">
        <v>53</v>
      </c>
      <c r="T62" s="5">
        <f t="shared" si="1"/>
        <v>60</v>
      </c>
      <c r="U62" s="18"/>
      <c r="V62" s="6"/>
      <c r="W62" s="5"/>
      <c r="X62" s="6"/>
      <c r="AD62" s="5"/>
      <c r="AE62" s="6">
        <f t="shared" si="4"/>
        <v>0.63364192043561418</v>
      </c>
      <c r="AG62" s="5">
        <f t="shared" si="5"/>
        <v>0.63364192043561418</v>
      </c>
      <c r="AH62" s="18">
        <f t="shared" si="6"/>
        <v>0.29494680851063826</v>
      </c>
      <c r="AI62" s="18" t="s">
        <v>155</v>
      </c>
    </row>
    <row r="63" spans="1:35" x14ac:dyDescent="0.35">
      <c r="A63" s="18" t="s">
        <v>135</v>
      </c>
      <c r="B63" s="6">
        <v>52</v>
      </c>
      <c r="C63" s="3">
        <v>41</v>
      </c>
      <c r="D63" s="3">
        <v>18</v>
      </c>
      <c r="E63" s="3">
        <v>37.5</v>
      </c>
      <c r="F63" s="5">
        <f>19.51+8+14.66+43.4+50.7</f>
        <v>136.26999999999998</v>
      </c>
      <c r="G63" s="56" t="s">
        <v>65</v>
      </c>
      <c r="H63" s="6"/>
      <c r="I63" s="5">
        <v>1</v>
      </c>
      <c r="J63" s="18" t="s">
        <v>94</v>
      </c>
      <c r="K63" s="18" t="s">
        <v>96</v>
      </c>
      <c r="L63" s="6">
        <v>1</v>
      </c>
      <c r="M63" s="5">
        <v>8</v>
      </c>
      <c r="N63" s="6">
        <f>16.88+9.61</f>
        <v>26.49</v>
      </c>
      <c r="O63" s="3">
        <v>4.5999999999999996</v>
      </c>
      <c r="P63" s="3">
        <f t="shared" si="0"/>
        <v>3.6897666866732011</v>
      </c>
      <c r="Q63" s="3">
        <v>55</v>
      </c>
      <c r="R63" s="3">
        <v>54</v>
      </c>
      <c r="S63" s="3">
        <v>51</v>
      </c>
      <c r="T63" s="5">
        <f t="shared" si="1"/>
        <v>53.333333333333336</v>
      </c>
      <c r="U63" s="18"/>
      <c r="V63" s="6"/>
      <c r="W63" s="5"/>
      <c r="X63" s="6"/>
      <c r="AD63" s="5"/>
      <c r="AE63" s="6">
        <f t="shared" si="4"/>
        <v>0.20498703814851116</v>
      </c>
      <c r="AG63" s="5">
        <f t="shared" si="5"/>
        <v>0.20498703814851116</v>
      </c>
      <c r="AH63" s="18">
        <f t="shared" si="6"/>
        <v>0.1943934835253541</v>
      </c>
      <c r="AI63" s="18" t="s">
        <v>155</v>
      </c>
    </row>
    <row r="64" spans="1:35" x14ac:dyDescent="0.35">
      <c r="A64" s="18" t="s">
        <v>136</v>
      </c>
      <c r="B64" s="6">
        <v>44</v>
      </c>
      <c r="C64" s="3">
        <v>29</v>
      </c>
      <c r="D64" s="3">
        <v>14</v>
      </c>
      <c r="E64" s="3">
        <v>16.8</v>
      </c>
      <c r="F64" s="5">
        <f>28.37+18.12+16.6+40.77</f>
        <v>103.86000000000001</v>
      </c>
      <c r="G64" s="53" t="s">
        <v>42</v>
      </c>
      <c r="H64" s="6" t="s">
        <v>48</v>
      </c>
      <c r="I64" s="5"/>
      <c r="J64" s="18" t="s">
        <v>94</v>
      </c>
      <c r="K64" s="18" t="s">
        <v>96</v>
      </c>
      <c r="L64" s="6">
        <v>1</v>
      </c>
      <c r="M64" s="5">
        <v>7</v>
      </c>
      <c r="N64" s="6">
        <v>17.96</v>
      </c>
      <c r="O64" s="3">
        <v>7.15</v>
      </c>
      <c r="P64" s="3">
        <f t="shared" si="0"/>
        <v>5.1142969811222683</v>
      </c>
      <c r="Q64" s="3">
        <v>48</v>
      </c>
      <c r="R64" s="3">
        <v>45</v>
      </c>
      <c r="S64" s="3">
        <v>44</v>
      </c>
      <c r="T64" s="5">
        <f t="shared" si="1"/>
        <v>45.666666666666664</v>
      </c>
      <c r="U64" s="18"/>
      <c r="V64" s="6"/>
      <c r="W64" s="5"/>
      <c r="X64" s="6"/>
      <c r="AD64" s="5"/>
      <c r="AE64" s="6">
        <f t="shared" si="4"/>
        <v>0.36530692722301916</v>
      </c>
      <c r="AG64" s="5">
        <f t="shared" si="5"/>
        <v>0.36530692722301916</v>
      </c>
      <c r="AH64" s="18">
        <f t="shared" si="6"/>
        <v>0.17292509146928556</v>
      </c>
      <c r="AI64" s="18" t="s">
        <v>155</v>
      </c>
    </row>
    <row r="65" spans="1:35" x14ac:dyDescent="0.35">
      <c r="A65" s="18" t="s">
        <v>137</v>
      </c>
      <c r="B65" s="6">
        <v>44</v>
      </c>
      <c r="C65" s="3">
        <v>29</v>
      </c>
      <c r="D65" s="3">
        <v>16</v>
      </c>
      <c r="E65" s="3">
        <v>18.7</v>
      </c>
      <c r="F65" s="5">
        <f>14.73+26.72+35.5+36.52</f>
        <v>113.47</v>
      </c>
      <c r="G65" s="53" t="s">
        <v>42</v>
      </c>
      <c r="H65" s="6"/>
      <c r="I65" s="5">
        <v>1</v>
      </c>
      <c r="J65" s="18" t="s">
        <v>94</v>
      </c>
      <c r="K65" s="18" t="s">
        <v>95</v>
      </c>
      <c r="L65" s="6">
        <v>2</v>
      </c>
      <c r="M65" s="5">
        <v>12</v>
      </c>
      <c r="N65" s="6">
        <f>32.48+14.13</f>
        <v>46.61</v>
      </c>
      <c r="O65" s="3">
        <v>8.7100000000000009</v>
      </c>
      <c r="P65" s="3">
        <f t="shared" si="0"/>
        <v>7.1348143057571196</v>
      </c>
      <c r="Q65" s="3">
        <v>61</v>
      </c>
      <c r="R65" s="3">
        <v>50</v>
      </c>
      <c r="S65" s="3">
        <v>54</v>
      </c>
      <c r="T65" s="5">
        <f t="shared" si="1"/>
        <v>55</v>
      </c>
      <c r="U65" s="18"/>
      <c r="V65" s="6"/>
      <c r="W65" s="5"/>
      <c r="X65" s="6"/>
      <c r="AD65" s="5"/>
      <c r="AE65" s="6">
        <f t="shared" si="4"/>
        <v>0.44592589410981998</v>
      </c>
      <c r="AG65" s="5">
        <f t="shared" si="5"/>
        <v>0.44592589410981998</v>
      </c>
      <c r="AH65" s="18">
        <f t="shared" si="6"/>
        <v>0.41076936635233985</v>
      </c>
      <c r="AI65" s="18" t="s">
        <v>155</v>
      </c>
    </row>
    <row r="66" spans="1:35" x14ac:dyDescent="0.35">
      <c r="A66" s="18" t="s">
        <v>138</v>
      </c>
      <c r="B66" s="6">
        <v>51</v>
      </c>
      <c r="C66" s="3">
        <v>39</v>
      </c>
      <c r="D66" s="3">
        <v>18</v>
      </c>
      <c r="E66" s="3">
        <v>35.1</v>
      </c>
      <c r="F66" s="5">
        <f>45.03+17.16+21.47+16.2+39.41</f>
        <v>139.26999999999998</v>
      </c>
      <c r="G66" s="53" t="s">
        <v>42</v>
      </c>
      <c r="H66" s="6" t="s">
        <v>50</v>
      </c>
      <c r="I66" s="5"/>
      <c r="J66" s="18" t="s">
        <v>94</v>
      </c>
      <c r="K66" s="18" t="s">
        <v>99</v>
      </c>
      <c r="L66" s="6">
        <v>2</v>
      </c>
      <c r="M66" s="5">
        <v>15</v>
      </c>
      <c r="N66" s="6">
        <f>16.28+39.83</f>
        <v>56.11</v>
      </c>
      <c r="O66" s="3">
        <v>6</v>
      </c>
      <c r="P66" s="3">
        <f t="shared" si="0"/>
        <v>4.9936606603336662</v>
      </c>
      <c r="Q66" s="3">
        <v>48</v>
      </c>
      <c r="R66" s="3">
        <v>54</v>
      </c>
      <c r="S66" s="3">
        <v>67</v>
      </c>
      <c r="T66" s="5">
        <f t="shared" si="1"/>
        <v>56.333333333333336</v>
      </c>
      <c r="U66" s="18"/>
      <c r="V66" s="6"/>
      <c r="W66" s="5"/>
      <c r="X66" s="6"/>
      <c r="AD66" s="5"/>
      <c r="AE66" s="6">
        <f t="shared" si="4"/>
        <v>0.27742559224075924</v>
      </c>
      <c r="AG66" s="5">
        <f t="shared" si="5"/>
        <v>0.27742559224075924</v>
      </c>
      <c r="AH66" s="18">
        <f t="shared" si="6"/>
        <v>0.40288647950025136</v>
      </c>
      <c r="AI66" s="18" t="s">
        <v>155</v>
      </c>
    </row>
    <row r="67" spans="1:35" x14ac:dyDescent="0.35">
      <c r="A67" s="18" t="s">
        <v>139</v>
      </c>
      <c r="B67" s="6">
        <v>33</v>
      </c>
      <c r="C67" s="3">
        <v>28</v>
      </c>
      <c r="D67" s="3">
        <v>10</v>
      </c>
      <c r="E67" s="3">
        <v>11.7</v>
      </c>
      <c r="F67" s="5">
        <f>24.47+26.33+28.66+31.91</f>
        <v>111.36999999999999</v>
      </c>
      <c r="G67" s="53" t="s">
        <v>42</v>
      </c>
      <c r="H67" s="6" t="s">
        <v>49</v>
      </c>
      <c r="I67" s="5"/>
      <c r="J67" s="18" t="s">
        <v>94</v>
      </c>
      <c r="K67" s="18" t="s">
        <v>95</v>
      </c>
      <c r="L67" s="6">
        <v>1</v>
      </c>
      <c r="M67" s="5">
        <v>5</v>
      </c>
      <c r="N67" s="6">
        <v>25.88</v>
      </c>
      <c r="O67" s="3">
        <v>5.56</v>
      </c>
      <c r="P67" s="3">
        <f t="shared" si="0"/>
        <v>3.9995292898828998</v>
      </c>
      <c r="Q67" s="3">
        <v>47</v>
      </c>
      <c r="R67" s="3">
        <v>47</v>
      </c>
      <c r="S67" s="3">
        <v>44</v>
      </c>
      <c r="T67" s="5">
        <f t="shared" si="1"/>
        <v>46</v>
      </c>
      <c r="U67" s="18"/>
      <c r="V67" s="6"/>
      <c r="W67" s="5"/>
      <c r="X67" s="6"/>
      <c r="AD67" s="5"/>
      <c r="AE67" s="6">
        <f t="shared" si="4"/>
        <v>0.39995292898828999</v>
      </c>
      <c r="AG67" s="5">
        <f t="shared" si="5"/>
        <v>0.39995292898828999</v>
      </c>
      <c r="AH67" s="18">
        <f t="shared" si="6"/>
        <v>0.23237855795995332</v>
      </c>
      <c r="AI67" s="18" t="s">
        <v>155</v>
      </c>
    </row>
    <row r="68" spans="1:35" x14ac:dyDescent="0.35">
      <c r="A68" s="18" t="s">
        <v>140</v>
      </c>
      <c r="B68" s="6">
        <v>42</v>
      </c>
      <c r="C68" s="3">
        <v>27</v>
      </c>
      <c r="D68" s="3">
        <v>18</v>
      </c>
      <c r="E68" s="3">
        <v>22.9</v>
      </c>
      <c r="F68" s="5">
        <f>27.12+20.88+23.03+38.68</f>
        <v>109.71000000000001</v>
      </c>
      <c r="G68" s="53" t="s">
        <v>42</v>
      </c>
      <c r="H68" s="6"/>
      <c r="I68" s="5">
        <v>1</v>
      </c>
      <c r="J68" s="18" t="s">
        <v>94</v>
      </c>
      <c r="K68" s="18" t="s">
        <v>96</v>
      </c>
      <c r="L68" s="6">
        <v>2</v>
      </c>
      <c r="M68" s="5">
        <v>12</v>
      </c>
      <c r="N68" s="6">
        <f>26.08+20.55</f>
        <v>46.629999999999995</v>
      </c>
      <c r="O68" s="3">
        <v>12.67</v>
      </c>
      <c r="P68" s="3">
        <f t="shared" si="0"/>
        <v>11.662796493242418</v>
      </c>
      <c r="Q68" s="3">
        <v>67</v>
      </c>
      <c r="R68" s="3">
        <v>69</v>
      </c>
      <c r="S68" s="3">
        <v>65</v>
      </c>
      <c r="T68" s="5">
        <f t="shared" si="1"/>
        <v>67</v>
      </c>
      <c r="U68" s="18"/>
      <c r="V68" s="6"/>
      <c r="W68" s="5"/>
      <c r="X68" s="6"/>
      <c r="AD68" s="5"/>
      <c r="AE68" s="6">
        <f t="shared" si="4"/>
        <v>0.64793313851346768</v>
      </c>
      <c r="AG68" s="5">
        <f t="shared" si="5"/>
        <v>0.64793313851346768</v>
      </c>
      <c r="AH68" s="18">
        <f t="shared" si="6"/>
        <v>0.42502962355300328</v>
      </c>
      <c r="AI68" s="18" t="s">
        <v>155</v>
      </c>
    </row>
    <row r="69" spans="1:35" x14ac:dyDescent="0.35">
      <c r="A69" s="18" t="s">
        <v>141</v>
      </c>
      <c r="B69" s="6">
        <v>47</v>
      </c>
      <c r="C69" s="3">
        <v>36</v>
      </c>
      <c r="D69" s="3">
        <v>17</v>
      </c>
      <c r="E69" s="3">
        <v>26.8</v>
      </c>
      <c r="F69" s="5">
        <f>19.06+20.32+41.06+44.85</f>
        <v>125.28999999999999</v>
      </c>
      <c r="G69" s="53" t="s">
        <v>42</v>
      </c>
      <c r="H69" s="6"/>
      <c r="I69" s="5">
        <v>1</v>
      </c>
      <c r="J69" s="18" t="s">
        <v>94</v>
      </c>
      <c r="K69" s="18" t="s">
        <v>95</v>
      </c>
      <c r="L69" s="6">
        <v>2</v>
      </c>
      <c r="M69" s="5">
        <v>14</v>
      </c>
      <c r="N69" s="6">
        <f>17.78+15.65</f>
        <v>33.43</v>
      </c>
      <c r="O69" s="3">
        <v>6.26</v>
      </c>
      <c r="P69" s="3">
        <f t="shared" si="0"/>
        <v>5.9864677723286013</v>
      </c>
      <c r="Q69" s="3">
        <v>79</v>
      </c>
      <c r="R69" s="3">
        <v>79</v>
      </c>
      <c r="S69" s="3">
        <v>61</v>
      </c>
      <c r="T69" s="5">
        <f t="shared" si="1"/>
        <v>73</v>
      </c>
      <c r="U69" s="18"/>
      <c r="V69" s="6"/>
      <c r="W69" s="5"/>
      <c r="X69" s="6"/>
      <c r="AD69" s="5"/>
      <c r="AE69" s="6">
        <f t="shared" si="4"/>
        <v>0.35214516307815302</v>
      </c>
      <c r="AG69" s="5">
        <f t="shared" si="5"/>
        <v>0.35214516307815302</v>
      </c>
      <c r="AH69" s="18">
        <f t="shared" si="6"/>
        <v>0.26682097533721766</v>
      </c>
      <c r="AI69" s="18" t="s">
        <v>155</v>
      </c>
    </row>
    <row r="70" spans="1:35" x14ac:dyDescent="0.35">
      <c r="A70" s="18" t="s">
        <v>142</v>
      </c>
      <c r="B70" s="6">
        <v>43</v>
      </c>
      <c r="C70" s="3">
        <v>29</v>
      </c>
      <c r="D70" s="3">
        <v>17</v>
      </c>
      <c r="E70" s="3">
        <v>19.100000000000001</v>
      </c>
      <c r="F70" s="5">
        <f>19.6+17.82+38.07+43.36</f>
        <v>118.85000000000001</v>
      </c>
      <c r="G70" s="53" t="s">
        <v>42</v>
      </c>
      <c r="H70" s="6" t="s">
        <v>52</v>
      </c>
      <c r="I70" s="5"/>
      <c r="J70" s="18" t="s">
        <v>94</v>
      </c>
      <c r="K70" s="18" t="s">
        <v>95</v>
      </c>
      <c r="L70" s="6">
        <v>2</v>
      </c>
      <c r="M70" s="5">
        <v>8</v>
      </c>
      <c r="N70" s="6">
        <v>36.65</v>
      </c>
      <c r="O70" s="3">
        <v>8.1</v>
      </c>
      <c r="P70" s="3">
        <f t="shared" ref="P70:P84" si="9">O70*SIN(T70*PI()/180)</f>
        <v>7.0382488700857238</v>
      </c>
      <c r="Q70" s="3">
        <v>61</v>
      </c>
      <c r="R70" s="3">
        <v>66</v>
      </c>
      <c r="S70" s="3">
        <v>54</v>
      </c>
      <c r="T70" s="5">
        <f t="shared" ref="T70:T84" si="10">AVERAGE(Q70:S70)</f>
        <v>60.333333333333336</v>
      </c>
      <c r="U70" s="18"/>
      <c r="V70" s="6"/>
      <c r="W70" s="5"/>
      <c r="X70" s="6"/>
      <c r="AD70" s="5"/>
      <c r="AE70" s="6">
        <f t="shared" si="4"/>
        <v>0.41401463941680727</v>
      </c>
      <c r="AG70" s="5">
        <f t="shared" si="5"/>
        <v>0.41401463941680727</v>
      </c>
      <c r="AH70" s="18">
        <f t="shared" si="6"/>
        <v>0.3083718973496003</v>
      </c>
      <c r="AI70" s="18" t="s">
        <v>155</v>
      </c>
    </row>
    <row r="71" spans="1:35" x14ac:dyDescent="0.35">
      <c r="A71" s="18" t="s">
        <v>143</v>
      </c>
      <c r="B71" s="6">
        <v>44</v>
      </c>
      <c r="C71" s="3">
        <v>32</v>
      </c>
      <c r="D71" s="3">
        <v>20</v>
      </c>
      <c r="E71" s="3">
        <v>23.5</v>
      </c>
      <c r="F71" s="5">
        <f>20.78+10.76+13.51+28.29+33.68</f>
        <v>107.02000000000001</v>
      </c>
      <c r="G71" s="53" t="s">
        <v>42</v>
      </c>
      <c r="H71" s="6" t="s">
        <v>49</v>
      </c>
      <c r="I71" s="5"/>
      <c r="J71" s="18" t="s">
        <v>94</v>
      </c>
      <c r="K71" s="18" t="s">
        <v>95</v>
      </c>
      <c r="L71" s="6">
        <v>1</v>
      </c>
      <c r="M71" s="5">
        <v>6</v>
      </c>
      <c r="N71" s="6">
        <v>27.31</v>
      </c>
      <c r="O71" s="3">
        <v>5.69</v>
      </c>
      <c r="P71" s="3">
        <f t="shared" si="9"/>
        <v>5.3468510122718182</v>
      </c>
      <c r="Q71" s="3">
        <v>73</v>
      </c>
      <c r="R71" s="3">
        <v>67</v>
      </c>
      <c r="S71" s="3">
        <v>70</v>
      </c>
      <c r="T71" s="5">
        <f t="shared" si="10"/>
        <v>70</v>
      </c>
      <c r="U71" s="18"/>
      <c r="V71" s="6"/>
      <c r="W71" s="5"/>
      <c r="X71" s="6"/>
      <c r="AD71" s="5"/>
      <c r="AE71" s="6">
        <f t="shared" ref="AE71:AE84" si="11">P71/D71</f>
        <v>0.26734255061359091</v>
      </c>
      <c r="AG71" s="5">
        <f t="shared" ref="AG71:AG84" si="12">AVERAGE(AE71:AF71)</f>
        <v>0.26734255061359091</v>
      </c>
      <c r="AH71" s="18">
        <f t="shared" ref="AH71:AH84" si="13">(X71+N71)/F71</f>
        <v>0.25518594655204629</v>
      </c>
      <c r="AI71" s="18" t="s">
        <v>155</v>
      </c>
    </row>
    <row r="72" spans="1:35" x14ac:dyDescent="0.35">
      <c r="A72" s="18" t="s">
        <v>144</v>
      </c>
      <c r="B72" s="6">
        <v>32</v>
      </c>
      <c r="C72" s="3">
        <v>22</v>
      </c>
      <c r="D72" s="3">
        <v>15</v>
      </c>
      <c r="E72" s="3">
        <v>15</v>
      </c>
      <c r="F72" s="5">
        <f>19.27+23.57+31.93+18.58</f>
        <v>93.350000000000009</v>
      </c>
      <c r="G72" s="56" t="s">
        <v>123</v>
      </c>
      <c r="H72" s="6" t="s">
        <v>49</v>
      </c>
      <c r="I72" s="5"/>
      <c r="J72" s="18" t="s">
        <v>94</v>
      </c>
      <c r="K72" s="18" t="s">
        <v>95</v>
      </c>
      <c r="L72" s="6">
        <v>2</v>
      </c>
      <c r="M72" s="5">
        <v>10</v>
      </c>
      <c r="N72" s="6">
        <v>19.09</v>
      </c>
      <c r="O72" s="3">
        <v>4.9000000000000004</v>
      </c>
      <c r="P72" s="3">
        <f t="shared" si="9"/>
        <v>4.4992589237133433</v>
      </c>
      <c r="Q72" s="3">
        <v>75</v>
      </c>
      <c r="R72" s="3">
        <v>64</v>
      </c>
      <c r="S72" s="3">
        <v>61</v>
      </c>
      <c r="T72" s="5">
        <f t="shared" si="10"/>
        <v>66.666666666666671</v>
      </c>
      <c r="U72" s="18"/>
      <c r="V72" s="6"/>
      <c r="W72" s="5"/>
      <c r="X72" s="6"/>
      <c r="AD72" s="5"/>
      <c r="AE72" s="6">
        <f t="shared" si="11"/>
        <v>0.29995059491422288</v>
      </c>
      <c r="AG72" s="5">
        <f t="shared" si="12"/>
        <v>0.29995059491422288</v>
      </c>
      <c r="AH72" s="18">
        <f t="shared" si="13"/>
        <v>0.20449919657204069</v>
      </c>
      <c r="AI72" s="18" t="s">
        <v>155</v>
      </c>
    </row>
    <row r="73" spans="1:35" x14ac:dyDescent="0.35">
      <c r="A73" s="18" t="s">
        <v>145</v>
      </c>
      <c r="B73" s="6">
        <v>35</v>
      </c>
      <c r="C73" s="3">
        <v>17</v>
      </c>
      <c r="D73" s="3">
        <v>12</v>
      </c>
      <c r="E73" s="3">
        <v>5.0999999999999996</v>
      </c>
      <c r="F73" s="5">
        <f>34.33+17.32+26.6</f>
        <v>78.25</v>
      </c>
      <c r="G73" s="53" t="s">
        <v>68</v>
      </c>
      <c r="H73" s="6"/>
      <c r="I73" s="5">
        <v>1</v>
      </c>
      <c r="J73" s="18" t="s">
        <v>94</v>
      </c>
      <c r="K73" s="18" t="s">
        <v>95</v>
      </c>
      <c r="L73" s="6">
        <v>2</v>
      </c>
      <c r="M73" s="5">
        <v>5</v>
      </c>
      <c r="N73" s="6">
        <v>24.76</v>
      </c>
      <c r="O73" s="3">
        <v>9.35</v>
      </c>
      <c r="P73" s="3">
        <f t="shared" si="9"/>
        <v>8.0700025989050683</v>
      </c>
      <c r="Q73" s="3">
        <v>57</v>
      </c>
      <c r="R73" s="3">
        <v>63</v>
      </c>
      <c r="S73" s="3">
        <v>59</v>
      </c>
      <c r="T73" s="5">
        <f t="shared" si="10"/>
        <v>59.666666666666664</v>
      </c>
      <c r="U73" s="18"/>
      <c r="V73" s="6"/>
      <c r="W73" s="5"/>
      <c r="X73" s="6"/>
      <c r="AD73" s="5"/>
      <c r="AE73" s="6">
        <f t="shared" si="11"/>
        <v>0.67250021657542236</v>
      </c>
      <c r="AG73" s="5">
        <f t="shared" si="12"/>
        <v>0.67250021657542236</v>
      </c>
      <c r="AH73" s="18">
        <f t="shared" si="13"/>
        <v>0.31642172523961665</v>
      </c>
      <c r="AI73" s="18" t="s">
        <v>155</v>
      </c>
    </row>
    <row r="74" spans="1:35" x14ac:dyDescent="0.35">
      <c r="A74" s="18" t="s">
        <v>146</v>
      </c>
      <c r="B74" s="6">
        <v>32</v>
      </c>
      <c r="C74" s="3">
        <v>30</v>
      </c>
      <c r="D74" s="3">
        <v>17</v>
      </c>
      <c r="E74" s="3">
        <v>15.6</v>
      </c>
      <c r="F74" s="5">
        <f>21.51+13.24+12.13+22.67+29.9</f>
        <v>99.450000000000017</v>
      </c>
      <c r="G74" s="53" t="s">
        <v>42</v>
      </c>
      <c r="H74" s="6" t="s">
        <v>48</v>
      </c>
      <c r="I74" s="5"/>
      <c r="J74" s="18" t="s">
        <v>94</v>
      </c>
      <c r="K74" s="18" t="s">
        <v>95</v>
      </c>
      <c r="L74" s="6">
        <v>2</v>
      </c>
      <c r="M74" s="5">
        <v>9</v>
      </c>
      <c r="N74" s="6">
        <f>17.88+10.74</f>
        <v>28.619999999999997</v>
      </c>
      <c r="O74" s="3">
        <v>10.06</v>
      </c>
      <c r="P74" s="3">
        <f t="shared" si="9"/>
        <v>9.0673713641413496</v>
      </c>
      <c r="Q74" s="3">
        <v>70</v>
      </c>
      <c r="R74" s="3">
        <v>61</v>
      </c>
      <c r="S74" s="3">
        <v>62</v>
      </c>
      <c r="T74" s="5">
        <f t="shared" si="10"/>
        <v>64.333333333333329</v>
      </c>
      <c r="U74" s="18"/>
      <c r="V74" s="6"/>
      <c r="W74" s="5"/>
      <c r="X74" s="6"/>
      <c r="AD74" s="5"/>
      <c r="AE74" s="6">
        <f t="shared" si="11"/>
        <v>0.53337478612596179</v>
      </c>
      <c r="AG74" s="5">
        <f t="shared" si="12"/>
        <v>0.53337478612596179</v>
      </c>
      <c r="AH74" s="18">
        <f t="shared" si="13"/>
        <v>0.28778280542986417</v>
      </c>
      <c r="AI74" s="18" t="s">
        <v>155</v>
      </c>
    </row>
    <row r="75" spans="1:35" x14ac:dyDescent="0.35">
      <c r="A75" s="18" t="s">
        <v>147</v>
      </c>
      <c r="B75" s="6">
        <v>36</v>
      </c>
      <c r="C75" s="3">
        <v>33</v>
      </c>
      <c r="D75" s="3">
        <v>20</v>
      </c>
      <c r="E75" s="3">
        <v>16.8</v>
      </c>
      <c r="F75" s="5">
        <f>25.93+31.38+29.17+17.89</f>
        <v>104.37</v>
      </c>
      <c r="G75" s="53" t="s">
        <v>42</v>
      </c>
      <c r="H75" s="6" t="s">
        <v>49</v>
      </c>
      <c r="I75" s="5"/>
      <c r="J75" s="18" t="s">
        <v>94</v>
      </c>
      <c r="K75" s="18" t="s">
        <v>95</v>
      </c>
      <c r="L75" s="6">
        <v>2</v>
      </c>
      <c r="M75" s="5">
        <v>8</v>
      </c>
      <c r="N75" s="6">
        <v>30.48</v>
      </c>
      <c r="O75" s="3">
        <v>6.61</v>
      </c>
      <c r="P75" s="3">
        <f t="shared" si="9"/>
        <v>5.8181311957005342</v>
      </c>
      <c r="Q75" s="3">
        <v>60</v>
      </c>
      <c r="R75" s="3">
        <v>62</v>
      </c>
      <c r="S75" s="3">
        <v>63</v>
      </c>
      <c r="T75" s="5">
        <f t="shared" si="10"/>
        <v>61.666666666666664</v>
      </c>
      <c r="U75" s="18"/>
      <c r="V75" s="6"/>
      <c r="W75" s="5"/>
      <c r="X75" s="6"/>
      <c r="AD75" s="5"/>
      <c r="AE75" s="6">
        <f t="shared" si="11"/>
        <v>0.29090655978502672</v>
      </c>
      <c r="AG75" s="5">
        <f t="shared" si="12"/>
        <v>0.29090655978502672</v>
      </c>
      <c r="AH75" s="18">
        <f t="shared" si="13"/>
        <v>0.29203794193733829</v>
      </c>
      <c r="AI75" s="18" t="s">
        <v>155</v>
      </c>
    </row>
    <row r="76" spans="1:35" x14ac:dyDescent="0.35">
      <c r="A76" s="18" t="s">
        <v>148</v>
      </c>
      <c r="B76" s="6">
        <v>37</v>
      </c>
      <c r="C76" s="3">
        <v>27</v>
      </c>
      <c r="D76" s="3">
        <v>18</v>
      </c>
      <c r="E76" s="3">
        <v>15.2</v>
      </c>
      <c r="F76" s="5">
        <f>27.69+30.98+11.38+31.09</f>
        <v>101.14</v>
      </c>
      <c r="G76" s="53" t="s">
        <v>42</v>
      </c>
      <c r="H76" s="6" t="s">
        <v>48</v>
      </c>
      <c r="I76" s="5"/>
      <c r="J76" s="18" t="s">
        <v>94</v>
      </c>
      <c r="K76" s="18" t="s">
        <v>95</v>
      </c>
      <c r="L76" s="6">
        <v>2</v>
      </c>
      <c r="M76" s="5">
        <v>9</v>
      </c>
      <c r="N76" s="6">
        <v>20</v>
      </c>
      <c r="O76" s="3">
        <v>8.69</v>
      </c>
      <c r="P76" s="3">
        <f>O76*SIN(T76*PI()/180)</f>
        <v>7.7428466951969153</v>
      </c>
      <c r="Q76" s="3">
        <v>68</v>
      </c>
      <c r="R76" s="3">
        <v>64</v>
      </c>
      <c r="S76" s="3">
        <v>57</v>
      </c>
      <c r="T76" s="5">
        <f t="shared" si="10"/>
        <v>63</v>
      </c>
      <c r="U76" s="18"/>
      <c r="V76" s="6"/>
      <c r="W76" s="5"/>
      <c r="X76" s="6"/>
      <c r="AD76" s="5"/>
      <c r="AE76" s="6">
        <f t="shared" si="11"/>
        <v>0.43015814973316197</v>
      </c>
      <c r="AG76" s="5">
        <f t="shared" si="12"/>
        <v>0.43015814973316197</v>
      </c>
      <c r="AH76" s="18">
        <f t="shared" si="13"/>
        <v>0.19774569903104608</v>
      </c>
      <c r="AI76" s="18" t="s">
        <v>155</v>
      </c>
    </row>
    <row r="77" spans="1:35" x14ac:dyDescent="0.35">
      <c r="A77" s="18" t="s">
        <v>149</v>
      </c>
      <c r="B77" s="6">
        <v>41</v>
      </c>
      <c r="C77" s="3">
        <v>25</v>
      </c>
      <c r="D77" s="3">
        <v>9</v>
      </c>
      <c r="E77" s="3">
        <v>8.6999999999999993</v>
      </c>
      <c r="F77" s="5">
        <f>15.03+17.91+28.14+39.6</f>
        <v>100.68</v>
      </c>
      <c r="G77" s="53" t="s">
        <v>42</v>
      </c>
      <c r="H77" s="6"/>
      <c r="I77" s="5">
        <v>1</v>
      </c>
      <c r="J77" s="18" t="s">
        <v>94</v>
      </c>
      <c r="K77" s="18" t="s">
        <v>96</v>
      </c>
      <c r="L77" s="6">
        <v>1</v>
      </c>
      <c r="M77" s="5">
        <v>6</v>
      </c>
      <c r="N77" s="6">
        <v>27.9</v>
      </c>
      <c r="O77" s="3">
        <v>4.6900000000000004</v>
      </c>
      <c r="P77" s="3">
        <f t="shared" si="9"/>
        <v>3.8574081968663068</v>
      </c>
      <c r="Q77" s="3">
        <v>55</v>
      </c>
      <c r="R77" s="3">
        <v>53</v>
      </c>
      <c r="S77" s="3">
        <v>58</v>
      </c>
      <c r="T77" s="5">
        <f t="shared" si="10"/>
        <v>55.333333333333336</v>
      </c>
      <c r="U77" s="18"/>
      <c r="V77" s="6"/>
      <c r="W77" s="5"/>
      <c r="X77" s="6"/>
      <c r="AD77" s="5"/>
      <c r="AE77" s="6">
        <f t="shared" si="11"/>
        <v>0.42860091076292295</v>
      </c>
      <c r="AG77" s="5">
        <f t="shared" si="12"/>
        <v>0.42860091076292295</v>
      </c>
      <c r="AH77" s="18">
        <f t="shared" si="13"/>
        <v>0.27711561382598326</v>
      </c>
      <c r="AI77" s="18" t="s">
        <v>155</v>
      </c>
    </row>
    <row r="78" spans="1:35" x14ac:dyDescent="0.35">
      <c r="A78" s="18" t="s">
        <v>150</v>
      </c>
      <c r="B78" s="6">
        <v>25</v>
      </c>
      <c r="C78" s="3">
        <v>13</v>
      </c>
      <c r="D78" s="3">
        <v>9</v>
      </c>
      <c r="E78" s="3">
        <v>2.6</v>
      </c>
      <c r="F78" s="5">
        <f>21.8+10.27+24.21</f>
        <v>56.28</v>
      </c>
      <c r="G78" s="53" t="s">
        <v>42</v>
      </c>
      <c r="H78" s="6" t="s">
        <v>52</v>
      </c>
      <c r="I78" s="5"/>
      <c r="J78" s="18" t="s">
        <v>94</v>
      </c>
      <c r="K78" s="18" t="s">
        <v>95</v>
      </c>
      <c r="L78" s="6">
        <v>2</v>
      </c>
      <c r="M78" s="5">
        <v>13</v>
      </c>
      <c r="N78" s="6">
        <v>18.11</v>
      </c>
      <c r="O78" s="3">
        <v>2.11</v>
      </c>
      <c r="P78" s="3">
        <f t="shared" si="9"/>
        <v>1.6702320509317543</v>
      </c>
      <c r="Q78" s="3">
        <v>54</v>
      </c>
      <c r="R78" s="3">
        <v>52</v>
      </c>
      <c r="S78" s="3">
        <v>51</v>
      </c>
      <c r="T78" s="5">
        <f t="shared" si="10"/>
        <v>52.333333333333336</v>
      </c>
      <c r="U78" s="18"/>
      <c r="V78" s="6"/>
      <c r="W78" s="5"/>
      <c r="X78" s="6"/>
      <c r="AD78" s="5"/>
      <c r="AE78" s="6">
        <f t="shared" si="11"/>
        <v>0.18558133899241713</v>
      </c>
      <c r="AG78" s="5">
        <f t="shared" si="12"/>
        <v>0.18558133899241713</v>
      </c>
      <c r="AH78" s="18">
        <f t="shared" si="13"/>
        <v>0.32178393745557921</v>
      </c>
      <c r="AI78" s="18" t="s">
        <v>155</v>
      </c>
    </row>
    <row r="79" spans="1:35" x14ac:dyDescent="0.35">
      <c r="A79" s="18" t="s">
        <v>151</v>
      </c>
      <c r="B79" s="6">
        <v>42</v>
      </c>
      <c r="C79" s="3">
        <v>40</v>
      </c>
      <c r="D79" s="3">
        <v>18</v>
      </c>
      <c r="E79" s="3">
        <v>30.9</v>
      </c>
      <c r="F79" s="5">
        <f>38.1+30.41+28.74+36.74</f>
        <v>133.99</v>
      </c>
      <c r="G79" s="53" t="s">
        <v>42</v>
      </c>
      <c r="H79" s="6" t="s">
        <v>49</v>
      </c>
      <c r="I79" s="5"/>
      <c r="J79" s="18" t="s">
        <v>94</v>
      </c>
      <c r="K79" s="18" t="s">
        <v>96</v>
      </c>
      <c r="L79" s="6">
        <v>2</v>
      </c>
      <c r="M79" s="5">
        <v>8</v>
      </c>
      <c r="N79" s="6">
        <v>37.229999999999997</v>
      </c>
      <c r="O79" s="3">
        <v>5.96</v>
      </c>
      <c r="P79" s="3">
        <f t="shared" si="9"/>
        <v>5.1264889214563771</v>
      </c>
      <c r="Q79" s="3">
        <v>61</v>
      </c>
      <c r="R79" s="3">
        <v>63</v>
      </c>
      <c r="S79" s="3">
        <v>54</v>
      </c>
      <c r="T79" s="5">
        <f t="shared" si="10"/>
        <v>59.333333333333336</v>
      </c>
      <c r="U79" s="18"/>
      <c r="V79" s="6"/>
      <c r="W79" s="5"/>
      <c r="X79" s="6"/>
      <c r="AD79" s="5"/>
      <c r="AE79" s="6">
        <f t="shared" si="11"/>
        <v>0.28480494008090984</v>
      </c>
      <c r="AG79" s="5">
        <f t="shared" si="12"/>
        <v>0.28480494008090984</v>
      </c>
      <c r="AH79" s="18">
        <f t="shared" si="13"/>
        <v>0.27785655645943724</v>
      </c>
      <c r="AI79" s="18" t="s">
        <v>155</v>
      </c>
    </row>
    <row r="80" spans="1:35" x14ac:dyDescent="0.35">
      <c r="A80" s="18" t="s">
        <v>152</v>
      </c>
      <c r="B80" s="6">
        <v>53</v>
      </c>
      <c r="C80" s="3">
        <v>32</v>
      </c>
      <c r="D80" s="3">
        <v>18</v>
      </c>
      <c r="E80" s="3">
        <v>27.1</v>
      </c>
      <c r="F80" s="5">
        <f>46.9+25.44+52.71</f>
        <v>125.05000000000001</v>
      </c>
      <c r="G80" s="53" t="s">
        <v>42</v>
      </c>
      <c r="H80" s="6" t="s">
        <v>48</v>
      </c>
      <c r="I80" s="5"/>
      <c r="J80" s="18" t="s">
        <v>94</v>
      </c>
      <c r="K80" s="18" t="s">
        <v>95</v>
      </c>
      <c r="L80" s="6">
        <v>2</v>
      </c>
      <c r="M80" s="5">
        <v>9</v>
      </c>
      <c r="N80" s="6">
        <v>27.09</v>
      </c>
      <c r="O80" s="3">
        <v>6.72</v>
      </c>
      <c r="P80" s="3">
        <f t="shared" si="9"/>
        <v>5.1478186577595322</v>
      </c>
      <c r="Q80" s="3">
        <v>53</v>
      </c>
      <c r="R80" s="3">
        <v>50</v>
      </c>
      <c r="S80" s="3">
        <v>47</v>
      </c>
      <c r="T80" s="5">
        <f t="shared" si="10"/>
        <v>50</v>
      </c>
      <c r="U80" s="18"/>
      <c r="V80" s="6"/>
      <c r="W80" s="5"/>
      <c r="X80" s="6"/>
      <c r="AD80" s="5"/>
      <c r="AE80" s="6">
        <f t="shared" si="11"/>
        <v>0.28598992543108515</v>
      </c>
      <c r="AG80" s="5">
        <f t="shared" si="12"/>
        <v>0.28598992543108515</v>
      </c>
      <c r="AH80" s="18">
        <f t="shared" si="13"/>
        <v>0.21663334666133544</v>
      </c>
      <c r="AI80" s="18" t="s">
        <v>155</v>
      </c>
    </row>
    <row r="81" spans="1:35" ht="21" x14ac:dyDescent="0.35">
      <c r="A81" s="18" t="s">
        <v>267</v>
      </c>
      <c r="B81" s="6">
        <v>26.2</v>
      </c>
      <c r="C81" s="3">
        <v>14.71</v>
      </c>
      <c r="D81" s="3">
        <v>6.56</v>
      </c>
      <c r="E81" s="3">
        <v>2.6</v>
      </c>
      <c r="F81" s="5">
        <f>6+7.11+20.21+15.56+16.94</f>
        <v>65.820000000000007</v>
      </c>
      <c r="G81" s="53" t="s">
        <v>154</v>
      </c>
      <c r="H81" s="6"/>
      <c r="I81" s="5">
        <v>1</v>
      </c>
      <c r="J81" s="18" t="s">
        <v>94</v>
      </c>
      <c r="K81" s="18" t="s">
        <v>95</v>
      </c>
      <c r="L81" s="6">
        <v>2</v>
      </c>
      <c r="M81" s="5">
        <v>4</v>
      </c>
      <c r="N81" s="6">
        <v>20.440000000000001</v>
      </c>
      <c r="O81" s="3">
        <v>3.12</v>
      </c>
      <c r="P81" s="3">
        <f t="shared" si="9"/>
        <v>2.754796489719852</v>
      </c>
      <c r="Q81" s="3">
        <v>62</v>
      </c>
      <c r="R81" s="3">
        <v>59</v>
      </c>
      <c r="S81" s="3">
        <v>65</v>
      </c>
      <c r="T81" s="5">
        <f t="shared" si="10"/>
        <v>62</v>
      </c>
      <c r="U81" s="18"/>
      <c r="V81" s="6"/>
      <c r="W81" s="5"/>
      <c r="X81" s="6"/>
      <c r="AD81" s="5"/>
      <c r="AE81" s="6">
        <f t="shared" si="11"/>
        <v>0.41993848928656285</v>
      </c>
      <c r="AG81" s="5">
        <f t="shared" si="12"/>
        <v>0.41993848928656285</v>
      </c>
      <c r="AH81" s="18">
        <f t="shared" si="13"/>
        <v>0.31054390762686113</v>
      </c>
      <c r="AI81" s="18"/>
    </row>
    <row r="82" spans="1:35" ht="21" x14ac:dyDescent="0.35">
      <c r="A82" s="18" t="s">
        <v>268</v>
      </c>
      <c r="B82" s="6">
        <v>33.43</v>
      </c>
      <c r="C82" s="3">
        <v>26.55</v>
      </c>
      <c r="D82" s="3">
        <v>18.260000000000002</v>
      </c>
      <c r="E82" s="3">
        <v>39.700000000000003</v>
      </c>
      <c r="F82" s="5">
        <f>16.21+8.69+24.92+25.31+28.89</f>
        <v>104.02</v>
      </c>
      <c r="G82" s="56" t="s">
        <v>68</v>
      </c>
      <c r="H82" s="6" t="s">
        <v>50</v>
      </c>
      <c r="I82" s="5"/>
      <c r="J82" s="18" t="s">
        <v>94</v>
      </c>
      <c r="K82" s="18" t="s">
        <v>95</v>
      </c>
      <c r="L82" s="6">
        <v>3</v>
      </c>
      <c r="M82" s="5">
        <v>11</v>
      </c>
      <c r="N82" s="6">
        <v>31.96</v>
      </c>
      <c r="O82" s="3">
        <v>13.05</v>
      </c>
      <c r="P82" s="3">
        <f t="shared" si="9"/>
        <v>12.624768613990375</v>
      </c>
      <c r="Q82" s="3">
        <v>78</v>
      </c>
      <c r="R82" s="3">
        <v>74</v>
      </c>
      <c r="S82" s="3">
        <v>74</v>
      </c>
      <c r="T82" s="5">
        <f t="shared" si="10"/>
        <v>75.333333333333329</v>
      </c>
      <c r="U82" s="18"/>
      <c r="V82" s="6"/>
      <c r="W82" s="5"/>
      <c r="X82" s="6"/>
      <c r="AD82" s="5"/>
      <c r="AE82" s="6">
        <f t="shared" si="11"/>
        <v>0.69138929978041475</v>
      </c>
      <c r="AG82" s="5">
        <f t="shared" si="12"/>
        <v>0.69138929978041475</v>
      </c>
      <c r="AH82" s="18">
        <f t="shared" si="13"/>
        <v>0.30724860603730053</v>
      </c>
      <c r="AI82" s="18"/>
    </row>
    <row r="83" spans="1:35" x14ac:dyDescent="0.35">
      <c r="A83" s="18" t="s">
        <v>198</v>
      </c>
      <c r="B83" s="6">
        <v>40</v>
      </c>
      <c r="C83" s="3">
        <v>31</v>
      </c>
      <c r="D83" s="3">
        <v>16</v>
      </c>
      <c r="E83" s="3">
        <v>14.5</v>
      </c>
      <c r="F83" s="5">
        <f>30.34+37.18+8.25+33.62</f>
        <v>109.38999999999999</v>
      </c>
      <c r="G83" s="53" t="s">
        <v>42</v>
      </c>
      <c r="H83" s="6"/>
      <c r="I83" s="5">
        <v>1</v>
      </c>
      <c r="J83" s="18" t="s">
        <v>94</v>
      </c>
      <c r="K83" s="18" t="s">
        <v>95</v>
      </c>
      <c r="L83" s="6">
        <v>2</v>
      </c>
      <c r="M83" s="5">
        <v>10</v>
      </c>
      <c r="N83" s="6">
        <f>34.32+8.13</f>
        <v>42.45</v>
      </c>
      <c r="O83" s="3">
        <v>5.7</v>
      </c>
      <c r="P83" s="3">
        <f t="shared" si="9"/>
        <v>4.3018446072698007</v>
      </c>
      <c r="Q83" s="3">
        <v>52</v>
      </c>
      <c r="R83" s="3">
        <v>45</v>
      </c>
      <c r="S83" s="3">
        <v>50</v>
      </c>
      <c r="T83" s="5">
        <f t="shared" si="10"/>
        <v>49</v>
      </c>
      <c r="U83" s="18"/>
      <c r="V83" s="6"/>
      <c r="W83" s="5"/>
      <c r="X83" s="6"/>
      <c r="AD83" s="5"/>
      <c r="AE83" s="6">
        <f t="shared" si="11"/>
        <v>0.26886528795436254</v>
      </c>
      <c r="AG83" s="5">
        <f t="shared" si="12"/>
        <v>0.26886528795436254</v>
      </c>
      <c r="AH83" s="18">
        <f t="shared" si="13"/>
        <v>0.38806106591096085</v>
      </c>
      <c r="AI83" s="18"/>
    </row>
    <row r="84" spans="1:35" ht="21" x14ac:dyDescent="0.35">
      <c r="A84" s="19" t="s">
        <v>269</v>
      </c>
      <c r="B84" s="13">
        <v>44.61</v>
      </c>
      <c r="C84" s="8">
        <v>37.659999999999997</v>
      </c>
      <c r="D84" s="8">
        <v>14.53</v>
      </c>
      <c r="E84" s="8">
        <v>26.7</v>
      </c>
      <c r="F84" s="7">
        <f>23.71+29.05+18.75+8.77+9.59+25.54+21.17</f>
        <v>136.57999999999998</v>
      </c>
      <c r="G84" s="55" t="s">
        <v>42</v>
      </c>
      <c r="H84" s="13" t="s">
        <v>50</v>
      </c>
      <c r="I84" s="7"/>
      <c r="J84" s="19" t="s">
        <v>94</v>
      </c>
      <c r="K84" s="19" t="s">
        <v>95</v>
      </c>
      <c r="L84" s="13">
        <v>2</v>
      </c>
      <c r="M84" s="7">
        <v>12</v>
      </c>
      <c r="N84" s="13">
        <f>29.27+23.14</f>
        <v>52.41</v>
      </c>
      <c r="O84" s="8">
        <v>12.09</v>
      </c>
      <c r="P84" s="8">
        <f t="shared" si="9"/>
        <v>10.539873561593858</v>
      </c>
      <c r="Q84" s="8">
        <v>57</v>
      </c>
      <c r="R84" s="8">
        <v>61</v>
      </c>
      <c r="S84" s="8">
        <v>64</v>
      </c>
      <c r="T84" s="7">
        <f t="shared" si="10"/>
        <v>60.666666666666664</v>
      </c>
      <c r="U84" s="19"/>
      <c r="V84" s="13"/>
      <c r="W84" s="7"/>
      <c r="X84" s="13"/>
      <c r="Y84" s="8"/>
      <c r="Z84" s="8"/>
      <c r="AA84" s="8"/>
      <c r="AB84" s="8"/>
      <c r="AC84" s="8"/>
      <c r="AD84" s="7"/>
      <c r="AE84" s="13">
        <f t="shared" si="11"/>
        <v>0.72538703108010039</v>
      </c>
      <c r="AF84" s="8"/>
      <c r="AG84" s="7">
        <f t="shared" si="12"/>
        <v>0.72538703108010039</v>
      </c>
      <c r="AH84" s="19">
        <f t="shared" si="13"/>
        <v>0.38373114658075858</v>
      </c>
      <c r="AI84" s="19"/>
    </row>
  </sheetData>
  <mergeCells count="38">
    <mergeCell ref="AA3:AD4"/>
    <mergeCell ref="L2:M2"/>
    <mergeCell ref="N2:T2"/>
    <mergeCell ref="N3:N5"/>
    <mergeCell ref="M3:M5"/>
    <mergeCell ref="Z3:Z5"/>
    <mergeCell ref="A1:A5"/>
    <mergeCell ref="AE1:AG2"/>
    <mergeCell ref="U1:AD1"/>
    <mergeCell ref="U2:U5"/>
    <mergeCell ref="V2:W2"/>
    <mergeCell ref="X2:AD2"/>
    <mergeCell ref="V3:V5"/>
    <mergeCell ref="W3:W5"/>
    <mergeCell ref="X3:X5"/>
    <mergeCell ref="AE3:AE5"/>
    <mergeCell ref="F2:F5"/>
    <mergeCell ref="B1:F1"/>
    <mergeCell ref="Q3:T4"/>
    <mergeCell ref="E2:E5"/>
    <mergeCell ref="D2:D5"/>
    <mergeCell ref="C2:C5"/>
    <mergeCell ref="AH1:AH5"/>
    <mergeCell ref="AI1:AI5"/>
    <mergeCell ref="B2:B5"/>
    <mergeCell ref="Y3:Y5"/>
    <mergeCell ref="J1:J5"/>
    <mergeCell ref="I2:I5"/>
    <mergeCell ref="H3:H5"/>
    <mergeCell ref="G1:G5"/>
    <mergeCell ref="O3:O5"/>
    <mergeCell ref="P3:P5"/>
    <mergeCell ref="L3:L5"/>
    <mergeCell ref="H1:I1"/>
    <mergeCell ref="AG3:AG5"/>
    <mergeCell ref="AF3:AF5"/>
    <mergeCell ref="K1:T1"/>
    <mergeCell ref="K2:K5"/>
  </mergeCells>
  <phoneticPr fontId="2" type="noConversion"/>
  <dataValidations count="1">
    <dataValidation type="list" allowBlank="1" showInputMessage="1" showErrorMessage="1" sqref="H6:H80 H82:H84" xr:uid="{E3796652-B491-4A80-814B-F2F5411CB046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3EA9-159F-48DF-80CD-9BD953F56AAA}">
  <dimension ref="A1:K16"/>
  <sheetViews>
    <sheetView zoomScale="115" zoomScaleNormal="115" workbookViewId="0">
      <selection activeCell="F10" activeCellId="1" sqref="F4:F8 F10:F16"/>
    </sheetView>
  </sheetViews>
  <sheetFormatPr defaultColWidth="8.640625" defaultRowHeight="18.45" x14ac:dyDescent="0.35"/>
  <cols>
    <col min="1" max="1" width="24.85546875" style="11" customWidth="1"/>
    <col min="2" max="3" width="8.640625" style="11"/>
    <col min="4" max="4" width="11" style="11" customWidth="1"/>
    <col min="5" max="5" width="8.640625" style="11"/>
    <col min="6" max="6" width="15.42578125" style="11" customWidth="1"/>
    <col min="7" max="7" width="12.85546875" style="11" customWidth="1"/>
    <col min="8" max="8" width="8.640625" style="11"/>
    <col min="9" max="9" width="19.5" style="11" customWidth="1"/>
    <col min="10" max="10" width="20.92578125" style="11" customWidth="1"/>
    <col min="11" max="11" width="14.85546875" style="11" customWidth="1"/>
    <col min="12" max="16384" width="8.640625" style="11"/>
  </cols>
  <sheetData>
    <row r="1" spans="1:11" x14ac:dyDescent="0.35">
      <c r="A1" s="28" t="s">
        <v>34</v>
      </c>
      <c r="B1" s="27" t="s">
        <v>35</v>
      </c>
      <c r="C1" s="27"/>
      <c r="D1" s="27"/>
      <c r="E1" s="27"/>
      <c r="F1" s="28" t="s">
        <v>36</v>
      </c>
      <c r="G1" s="27" t="s">
        <v>43</v>
      </c>
      <c r="H1" s="27"/>
      <c r="I1" s="48" t="s">
        <v>47</v>
      </c>
      <c r="J1" s="27" t="s">
        <v>53</v>
      </c>
      <c r="K1" s="28" t="s">
        <v>54</v>
      </c>
    </row>
    <row r="2" spans="1:11" x14ac:dyDescent="0.35">
      <c r="A2" s="28"/>
      <c r="B2" s="27" t="s">
        <v>37</v>
      </c>
      <c r="C2" s="27" t="s">
        <v>38</v>
      </c>
      <c r="D2" s="27" t="s">
        <v>39</v>
      </c>
      <c r="E2" s="27" t="s">
        <v>40</v>
      </c>
      <c r="F2" s="28"/>
      <c r="G2" s="9" t="s">
        <v>44</v>
      </c>
      <c r="H2" s="49" t="s">
        <v>45</v>
      </c>
      <c r="I2" s="48"/>
      <c r="J2" s="27"/>
      <c r="K2" s="28"/>
    </row>
    <row r="3" spans="1:11" ht="22.5" customHeight="1" x14ac:dyDescent="0.35">
      <c r="A3" s="28"/>
      <c r="B3" s="27"/>
      <c r="C3" s="27"/>
      <c r="D3" s="27"/>
      <c r="E3" s="27"/>
      <c r="F3" s="28"/>
      <c r="G3" s="9" t="s">
        <v>46</v>
      </c>
      <c r="H3" s="27"/>
      <c r="I3" s="48"/>
      <c r="J3" s="27"/>
      <c r="K3" s="28"/>
    </row>
    <row r="4" spans="1:11" x14ac:dyDescent="0.35">
      <c r="A4" s="17" t="s">
        <v>1</v>
      </c>
      <c r="B4" s="12">
        <v>44.96</v>
      </c>
      <c r="C4" s="16">
        <v>30.33</v>
      </c>
      <c r="D4" s="16">
        <v>17.41</v>
      </c>
      <c r="E4" s="4">
        <v>7.39</v>
      </c>
      <c r="F4" s="23" t="s">
        <v>42</v>
      </c>
      <c r="G4" s="12"/>
      <c r="H4" s="4">
        <v>1</v>
      </c>
      <c r="I4" s="17">
        <v>3</v>
      </c>
      <c r="J4" s="17">
        <v>1</v>
      </c>
      <c r="K4" s="17" t="s">
        <v>55</v>
      </c>
    </row>
    <row r="5" spans="1:11" x14ac:dyDescent="0.35">
      <c r="A5" s="18" t="s">
        <v>30</v>
      </c>
      <c r="B5" s="6">
        <v>37.71</v>
      </c>
      <c r="C5" s="3">
        <v>28.08</v>
      </c>
      <c r="D5" s="3">
        <v>10.11</v>
      </c>
      <c r="E5" s="5">
        <v>12.6</v>
      </c>
      <c r="F5" s="20" t="s">
        <v>42</v>
      </c>
      <c r="G5" s="6" t="s">
        <v>48</v>
      </c>
      <c r="H5" s="5"/>
      <c r="I5" s="18">
        <v>1</v>
      </c>
      <c r="J5" s="18">
        <v>1</v>
      </c>
      <c r="K5" s="18" t="s">
        <v>51</v>
      </c>
    </row>
    <row r="6" spans="1:11" x14ac:dyDescent="0.35">
      <c r="A6" s="18" t="s">
        <v>24</v>
      </c>
      <c r="B6" s="6">
        <v>43.98</v>
      </c>
      <c r="C6" s="3">
        <v>19.41</v>
      </c>
      <c r="D6" s="3">
        <v>9.7200000000000006</v>
      </c>
      <c r="E6" s="5">
        <v>8.8000000000000007</v>
      </c>
      <c r="F6" s="20" t="s">
        <v>42</v>
      </c>
      <c r="G6" s="6" t="s">
        <v>50</v>
      </c>
      <c r="H6" s="5"/>
      <c r="I6" s="18">
        <v>1</v>
      </c>
      <c r="J6" s="18">
        <v>1</v>
      </c>
      <c r="K6" s="18" t="s">
        <v>51</v>
      </c>
    </row>
    <row r="7" spans="1:11" x14ac:dyDescent="0.35">
      <c r="A7" s="18" t="s">
        <v>27</v>
      </c>
      <c r="B7" s="6">
        <v>39.340000000000003</v>
      </c>
      <c r="C7" s="3">
        <v>24.65</v>
      </c>
      <c r="D7" s="3">
        <v>9.92</v>
      </c>
      <c r="E7" s="5">
        <v>9</v>
      </c>
      <c r="F7" s="20" t="s">
        <v>42</v>
      </c>
      <c r="G7" s="6" t="s">
        <v>49</v>
      </c>
      <c r="H7" s="5"/>
      <c r="I7" s="18">
        <v>2</v>
      </c>
      <c r="J7" s="18">
        <v>2</v>
      </c>
      <c r="K7" s="18" t="s">
        <v>51</v>
      </c>
    </row>
    <row r="8" spans="1:11" x14ac:dyDescent="0.35">
      <c r="A8" s="18" t="s">
        <v>31</v>
      </c>
      <c r="B8" s="6">
        <v>46.12</v>
      </c>
      <c r="C8" s="3">
        <v>37.06</v>
      </c>
      <c r="D8" s="3">
        <v>16.18</v>
      </c>
      <c r="E8" s="5">
        <v>20</v>
      </c>
      <c r="F8" s="20" t="s">
        <v>42</v>
      </c>
      <c r="G8" s="6" t="s">
        <v>52</v>
      </c>
      <c r="H8" s="5"/>
      <c r="I8" s="18">
        <v>4</v>
      </c>
      <c r="J8" s="18">
        <v>3</v>
      </c>
      <c r="K8" s="18" t="s">
        <v>55</v>
      </c>
    </row>
    <row r="9" spans="1:11" x14ac:dyDescent="0.35">
      <c r="A9" s="18" t="s">
        <v>28</v>
      </c>
      <c r="B9" s="6">
        <v>35.72</v>
      </c>
      <c r="C9" s="3">
        <v>20.94</v>
      </c>
      <c r="D9" s="3">
        <v>12.85</v>
      </c>
      <c r="E9" s="5">
        <v>7.5</v>
      </c>
      <c r="F9" s="20" t="s">
        <v>153</v>
      </c>
      <c r="G9" s="6"/>
      <c r="H9" s="5">
        <v>1</v>
      </c>
      <c r="I9" s="18">
        <v>2</v>
      </c>
      <c r="J9" s="18">
        <v>2</v>
      </c>
      <c r="K9" s="18" t="s">
        <v>51</v>
      </c>
    </row>
    <row r="10" spans="1:11" x14ac:dyDescent="0.35">
      <c r="A10" s="18" t="s">
        <v>22</v>
      </c>
      <c r="B10" s="6">
        <v>34.36</v>
      </c>
      <c r="C10" s="3">
        <v>18.96</v>
      </c>
      <c r="D10" s="3">
        <v>11.07</v>
      </c>
      <c r="E10" s="5">
        <v>6.2</v>
      </c>
      <c r="F10" s="20" t="s">
        <v>42</v>
      </c>
      <c r="G10" s="6" t="s">
        <v>50</v>
      </c>
      <c r="H10" s="5"/>
      <c r="I10" s="18">
        <v>1</v>
      </c>
      <c r="J10" s="18">
        <v>1</v>
      </c>
      <c r="K10" s="18" t="s">
        <v>51</v>
      </c>
    </row>
    <row r="11" spans="1:11" x14ac:dyDescent="0.35">
      <c r="A11" s="18" t="s">
        <v>32</v>
      </c>
      <c r="B11" s="6">
        <v>44.79</v>
      </c>
      <c r="C11" s="3">
        <v>38.22</v>
      </c>
      <c r="D11" s="3">
        <v>12.38</v>
      </c>
      <c r="E11" s="5">
        <v>18.100000000000001</v>
      </c>
      <c r="F11" s="20" t="s">
        <v>42</v>
      </c>
      <c r="G11" s="6" t="s">
        <v>50</v>
      </c>
      <c r="H11" s="5"/>
      <c r="I11" s="18">
        <v>1</v>
      </c>
      <c r="J11" s="18">
        <v>1</v>
      </c>
      <c r="K11" s="18" t="s">
        <v>51</v>
      </c>
    </row>
    <row r="12" spans="1:11" x14ac:dyDescent="0.35">
      <c r="A12" s="18" t="s">
        <v>23</v>
      </c>
      <c r="B12" s="6">
        <v>62.14</v>
      </c>
      <c r="C12" s="3">
        <v>33.83</v>
      </c>
      <c r="D12" s="3">
        <v>18.22</v>
      </c>
      <c r="E12" s="5">
        <v>34.799999999999997</v>
      </c>
      <c r="F12" s="20" t="s">
        <v>42</v>
      </c>
      <c r="G12" s="6" t="s">
        <v>49</v>
      </c>
      <c r="H12" s="5"/>
      <c r="I12" s="18">
        <v>4</v>
      </c>
      <c r="J12" s="18">
        <v>2</v>
      </c>
      <c r="K12" s="18" t="s">
        <v>55</v>
      </c>
    </row>
    <row r="13" spans="1:11" x14ac:dyDescent="0.35">
      <c r="A13" s="18" t="s">
        <v>26</v>
      </c>
      <c r="B13" s="6">
        <v>70.069999999999993</v>
      </c>
      <c r="C13" s="3">
        <v>55.75</v>
      </c>
      <c r="D13" s="3">
        <v>20.48</v>
      </c>
      <c r="E13" s="5">
        <v>71.5</v>
      </c>
      <c r="F13" s="20" t="s">
        <v>42</v>
      </c>
      <c r="G13" s="6" t="s">
        <v>50</v>
      </c>
      <c r="H13" s="5"/>
      <c r="I13" s="18">
        <v>10</v>
      </c>
      <c r="J13" s="18">
        <v>2</v>
      </c>
      <c r="K13" s="18" t="s">
        <v>55</v>
      </c>
    </row>
    <row r="14" spans="1:11" x14ac:dyDescent="0.35">
      <c r="A14" s="18" t="s">
        <v>33</v>
      </c>
      <c r="B14" s="6">
        <v>63.68</v>
      </c>
      <c r="C14" s="3">
        <v>63.56</v>
      </c>
      <c r="D14" s="3">
        <v>21.73</v>
      </c>
      <c r="E14" s="5">
        <v>77.3</v>
      </c>
      <c r="F14" s="20" t="s">
        <v>42</v>
      </c>
      <c r="G14" s="6" t="s">
        <v>50</v>
      </c>
      <c r="H14" s="5"/>
      <c r="I14" s="18">
        <v>2</v>
      </c>
      <c r="J14" s="18">
        <v>2</v>
      </c>
      <c r="K14" s="18" t="s">
        <v>51</v>
      </c>
    </row>
    <row r="15" spans="1:11" s="3" customFormat="1" x14ac:dyDescent="0.35">
      <c r="A15" s="18" t="s">
        <v>270</v>
      </c>
      <c r="B15" s="6">
        <v>37</v>
      </c>
      <c r="C15" s="3">
        <v>36</v>
      </c>
      <c r="D15" s="3">
        <v>14</v>
      </c>
      <c r="E15" s="5">
        <v>19.2</v>
      </c>
      <c r="F15" s="20" t="s">
        <v>42</v>
      </c>
      <c r="G15" s="6"/>
      <c r="H15" s="5">
        <v>1</v>
      </c>
      <c r="I15" s="18">
        <v>3</v>
      </c>
      <c r="J15" s="18">
        <v>3</v>
      </c>
      <c r="K15" s="18" t="s">
        <v>51</v>
      </c>
    </row>
    <row r="16" spans="1:11" x14ac:dyDescent="0.35">
      <c r="A16" s="19" t="s">
        <v>247</v>
      </c>
      <c r="B16" s="13">
        <v>43</v>
      </c>
      <c r="C16" s="8">
        <v>34</v>
      </c>
      <c r="D16" s="8">
        <v>21</v>
      </c>
      <c r="E16" s="7">
        <v>26.2</v>
      </c>
      <c r="F16" s="24" t="s">
        <v>42</v>
      </c>
      <c r="G16" s="13"/>
      <c r="H16" s="7">
        <v>1</v>
      </c>
      <c r="I16" s="19">
        <v>1</v>
      </c>
      <c r="J16" s="19">
        <v>1</v>
      </c>
      <c r="K16" s="19" t="s">
        <v>51</v>
      </c>
    </row>
  </sheetData>
  <mergeCells count="12">
    <mergeCell ref="A1:A3"/>
    <mergeCell ref="F1:F3"/>
    <mergeCell ref="E2:E3"/>
    <mergeCell ref="D2:D3"/>
    <mergeCell ref="C2:C3"/>
    <mergeCell ref="B2:B3"/>
    <mergeCell ref="I1:I3"/>
    <mergeCell ref="K1:K3"/>
    <mergeCell ref="J1:J3"/>
    <mergeCell ref="B1:E1"/>
    <mergeCell ref="G1:H1"/>
    <mergeCell ref="H2:H3"/>
  </mergeCells>
  <phoneticPr fontId="2" type="noConversion"/>
  <dataValidations count="1">
    <dataValidation type="list" allowBlank="1" showInputMessage="1" showErrorMessage="1" sqref="G4:G14" xr:uid="{97F0D138-84C9-4624-A885-0FC68C038131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E27F-88A0-49B7-BC46-A96F4BAE3768}">
  <dimension ref="A1:M19"/>
  <sheetViews>
    <sheetView workbookViewId="0">
      <selection activeCell="F19" activeCellId="1" sqref="F14:F15 F19"/>
    </sheetView>
  </sheetViews>
  <sheetFormatPr defaultColWidth="8.640625" defaultRowHeight="18.45" x14ac:dyDescent="0.35"/>
  <cols>
    <col min="1" max="1" width="24.2109375" style="3" customWidth="1"/>
    <col min="2" max="3" width="8.640625" style="3"/>
    <col min="4" max="4" width="11.640625" style="3" customWidth="1"/>
    <col min="5" max="5" width="8.640625" style="3"/>
    <col min="6" max="6" width="15.0703125" style="3" customWidth="1"/>
    <col min="7" max="7" width="13.85546875" style="3" customWidth="1"/>
    <col min="8" max="8" width="8.640625" style="3"/>
    <col min="9" max="10" width="19.5703125" style="3" customWidth="1"/>
    <col min="11" max="11" width="14.140625" style="3" customWidth="1"/>
    <col min="12" max="12" width="14.92578125" style="3" customWidth="1"/>
    <col min="13" max="13" width="13" style="3" customWidth="1"/>
    <col min="14" max="16384" width="8.640625" style="3"/>
  </cols>
  <sheetData>
    <row r="1" spans="1:13" x14ac:dyDescent="0.35">
      <c r="A1" s="28" t="s">
        <v>34</v>
      </c>
      <c r="B1" s="27" t="s">
        <v>35</v>
      </c>
      <c r="C1" s="27"/>
      <c r="D1" s="27"/>
      <c r="E1" s="27"/>
      <c r="F1" s="28" t="s">
        <v>36</v>
      </c>
      <c r="G1" s="27" t="s">
        <v>43</v>
      </c>
      <c r="H1" s="27"/>
      <c r="I1" s="28" t="s">
        <v>47</v>
      </c>
      <c r="J1" s="50" t="s">
        <v>66</v>
      </c>
      <c r="K1" s="27" t="s">
        <v>56</v>
      </c>
      <c r="L1" s="27" t="s">
        <v>57</v>
      </c>
      <c r="M1" s="27" t="s">
        <v>69</v>
      </c>
    </row>
    <row r="2" spans="1:13" x14ac:dyDescent="0.35">
      <c r="A2" s="28"/>
      <c r="B2" s="36" t="s">
        <v>37</v>
      </c>
      <c r="C2" s="36" t="s">
        <v>38</v>
      </c>
      <c r="D2" s="36" t="s">
        <v>39</v>
      </c>
      <c r="E2" s="36" t="s">
        <v>40</v>
      </c>
      <c r="F2" s="28"/>
      <c r="G2" s="10" t="s">
        <v>44</v>
      </c>
      <c r="H2" s="27" t="s">
        <v>45</v>
      </c>
      <c r="I2" s="28"/>
      <c r="J2" s="51"/>
      <c r="K2" s="27"/>
      <c r="L2" s="27"/>
      <c r="M2" s="27"/>
    </row>
    <row r="3" spans="1:13" ht="23.05" customHeight="1" x14ac:dyDescent="0.35">
      <c r="A3" s="28"/>
      <c r="B3" s="38"/>
      <c r="C3" s="38"/>
      <c r="D3" s="38"/>
      <c r="E3" s="38"/>
      <c r="F3" s="28"/>
      <c r="G3" s="10" t="s">
        <v>46</v>
      </c>
      <c r="H3" s="27"/>
      <c r="I3" s="28"/>
      <c r="J3" s="52"/>
      <c r="K3" s="27"/>
      <c r="L3" s="27"/>
      <c r="M3" s="27"/>
    </row>
    <row r="4" spans="1:13" x14ac:dyDescent="0.35">
      <c r="A4" s="17" t="s">
        <v>8</v>
      </c>
      <c r="B4" s="12">
        <v>77.56</v>
      </c>
      <c r="C4" s="16">
        <v>51.52</v>
      </c>
      <c r="D4" s="16">
        <v>20.74</v>
      </c>
      <c r="E4" s="4">
        <v>88</v>
      </c>
      <c r="F4" s="57" t="s">
        <v>42</v>
      </c>
      <c r="G4" s="12" t="s">
        <v>49</v>
      </c>
      <c r="H4" s="4"/>
      <c r="I4" s="17">
        <v>6</v>
      </c>
      <c r="J4" s="17">
        <v>2</v>
      </c>
      <c r="K4" s="17">
        <v>40.04</v>
      </c>
      <c r="L4" s="17">
        <v>1</v>
      </c>
      <c r="M4" s="17"/>
    </row>
    <row r="5" spans="1:13" x14ac:dyDescent="0.35">
      <c r="A5" s="18" t="s">
        <v>63</v>
      </c>
      <c r="B5" s="6">
        <v>48.85</v>
      </c>
      <c r="C5" s="3">
        <v>41.65</v>
      </c>
      <c r="D5" s="3">
        <v>15.62</v>
      </c>
      <c r="E5" s="5">
        <v>37.799999999999997</v>
      </c>
      <c r="F5" s="56" t="s">
        <v>42</v>
      </c>
      <c r="G5" s="6" t="s">
        <v>50</v>
      </c>
      <c r="H5" s="5"/>
      <c r="I5" s="18">
        <v>6</v>
      </c>
      <c r="J5" s="18">
        <v>2</v>
      </c>
      <c r="K5" s="18">
        <f>33.34+14.84</f>
        <v>48.180000000000007</v>
      </c>
      <c r="L5" s="18">
        <v>1</v>
      </c>
      <c r="M5" s="18"/>
    </row>
    <row r="6" spans="1:13" x14ac:dyDescent="0.35">
      <c r="A6" s="18" t="s">
        <v>15</v>
      </c>
      <c r="B6" s="6">
        <v>66.41</v>
      </c>
      <c r="C6" s="3">
        <v>43.33</v>
      </c>
      <c r="D6" s="3">
        <v>15.83</v>
      </c>
      <c r="E6" s="5">
        <v>63.7</v>
      </c>
      <c r="F6" s="18" t="s">
        <v>65</v>
      </c>
      <c r="G6" s="6"/>
      <c r="H6" s="5">
        <v>1</v>
      </c>
      <c r="I6" s="18">
        <v>7</v>
      </c>
      <c r="J6" s="18">
        <v>2</v>
      </c>
      <c r="K6" s="18">
        <v>46.12</v>
      </c>
      <c r="L6" s="18">
        <v>1</v>
      </c>
      <c r="M6" s="18"/>
    </row>
    <row r="7" spans="1:13" x14ac:dyDescent="0.35">
      <c r="A7" s="18" t="s">
        <v>64</v>
      </c>
      <c r="B7" s="6">
        <v>25.49</v>
      </c>
      <c r="C7" s="3">
        <v>18.52</v>
      </c>
      <c r="D7" s="3">
        <v>5.56</v>
      </c>
      <c r="E7" s="5">
        <v>2.9</v>
      </c>
      <c r="F7" s="56" t="s">
        <v>153</v>
      </c>
      <c r="G7" s="6"/>
      <c r="H7" s="5">
        <v>1</v>
      </c>
      <c r="I7" s="18">
        <v>3</v>
      </c>
      <c r="J7" s="18">
        <v>1</v>
      </c>
      <c r="K7" s="18">
        <v>11.39</v>
      </c>
      <c r="L7" s="18">
        <v>1</v>
      </c>
      <c r="M7" s="18"/>
    </row>
    <row r="8" spans="1:13" x14ac:dyDescent="0.35">
      <c r="A8" s="18" t="s">
        <v>2</v>
      </c>
      <c r="B8" s="6">
        <v>51.19</v>
      </c>
      <c r="C8" s="3">
        <v>29.92</v>
      </c>
      <c r="D8" s="3">
        <v>9.4700000000000006</v>
      </c>
      <c r="E8" s="5">
        <v>15.4</v>
      </c>
      <c r="F8" s="56" t="s">
        <v>42</v>
      </c>
      <c r="G8" s="6" t="s">
        <v>50</v>
      </c>
      <c r="H8" s="5"/>
      <c r="I8" s="18">
        <v>2</v>
      </c>
      <c r="J8" s="18">
        <v>1</v>
      </c>
      <c r="K8" s="18">
        <v>36.97</v>
      </c>
      <c r="L8" s="18">
        <v>1</v>
      </c>
      <c r="M8" s="18"/>
    </row>
    <row r="9" spans="1:13" x14ac:dyDescent="0.35">
      <c r="A9" s="18" t="s">
        <v>58</v>
      </c>
      <c r="B9" s="6">
        <v>46.67</v>
      </c>
      <c r="C9" s="3">
        <v>38.659999999999997</v>
      </c>
      <c r="D9" s="3">
        <v>14.29</v>
      </c>
      <c r="E9" s="5">
        <v>20.5</v>
      </c>
      <c r="F9" s="56" t="s">
        <v>42</v>
      </c>
      <c r="G9" s="6"/>
      <c r="H9" s="5">
        <v>1</v>
      </c>
      <c r="I9" s="18">
        <v>3</v>
      </c>
      <c r="J9" s="18">
        <v>1</v>
      </c>
      <c r="K9" s="18">
        <v>36.369999999999997</v>
      </c>
      <c r="L9" s="18">
        <v>1</v>
      </c>
      <c r="M9" s="18"/>
    </row>
    <row r="10" spans="1:13" x14ac:dyDescent="0.35">
      <c r="A10" s="18" t="s">
        <v>61</v>
      </c>
      <c r="B10" s="6">
        <v>59.4</v>
      </c>
      <c r="C10" s="3">
        <v>50.71</v>
      </c>
      <c r="D10" s="3">
        <v>22.58</v>
      </c>
      <c r="E10" s="5">
        <v>55.9</v>
      </c>
      <c r="F10" s="56" t="s">
        <v>42</v>
      </c>
      <c r="G10" s="6"/>
      <c r="H10" s="5">
        <v>1</v>
      </c>
      <c r="I10" s="18">
        <v>18</v>
      </c>
      <c r="J10" s="18">
        <v>2</v>
      </c>
      <c r="K10" s="18">
        <f>51.25+22.08</f>
        <v>73.33</v>
      </c>
      <c r="L10" s="18">
        <v>1</v>
      </c>
      <c r="M10" s="18"/>
    </row>
    <row r="11" spans="1:13" x14ac:dyDescent="0.35">
      <c r="A11" s="18" t="s">
        <v>60</v>
      </c>
      <c r="B11" s="6">
        <v>42.19</v>
      </c>
      <c r="C11" s="3">
        <v>25.59</v>
      </c>
      <c r="D11" s="3">
        <v>13.25</v>
      </c>
      <c r="E11" s="5">
        <v>11</v>
      </c>
      <c r="F11" s="56" t="s">
        <v>42</v>
      </c>
      <c r="G11" s="6"/>
      <c r="H11" s="5">
        <v>1</v>
      </c>
      <c r="I11" s="18">
        <v>24</v>
      </c>
      <c r="J11" s="18">
        <v>2</v>
      </c>
      <c r="K11" s="18">
        <f>32.69+45.51</f>
        <v>78.199999999999989</v>
      </c>
      <c r="L11" s="18">
        <v>2</v>
      </c>
      <c r="M11" s="18" t="s">
        <v>67</v>
      </c>
    </row>
    <row r="12" spans="1:13" x14ac:dyDescent="0.35">
      <c r="A12" s="18" t="s">
        <v>20</v>
      </c>
      <c r="B12" s="6">
        <v>56.68</v>
      </c>
      <c r="C12" s="3">
        <v>32.4</v>
      </c>
      <c r="D12" s="3">
        <v>16.93</v>
      </c>
      <c r="E12" s="5">
        <v>38.6</v>
      </c>
      <c r="F12" s="56" t="s">
        <v>42</v>
      </c>
      <c r="G12" s="6"/>
      <c r="H12" s="5">
        <v>1</v>
      </c>
      <c r="I12" s="18">
        <v>7</v>
      </c>
      <c r="J12" s="18">
        <v>2</v>
      </c>
      <c r="K12" s="18">
        <v>59.85</v>
      </c>
      <c r="L12" s="18">
        <v>1</v>
      </c>
      <c r="M12" s="18"/>
    </row>
    <row r="13" spans="1:13" x14ac:dyDescent="0.35">
      <c r="A13" s="18" t="s">
        <v>62</v>
      </c>
      <c r="B13" s="6">
        <v>38.299999999999997</v>
      </c>
      <c r="C13" s="3">
        <v>26.88</v>
      </c>
      <c r="D13" s="3">
        <v>16.29</v>
      </c>
      <c r="E13" s="5">
        <v>23.4</v>
      </c>
      <c r="F13" s="56" t="s">
        <v>153</v>
      </c>
      <c r="G13" s="6"/>
      <c r="H13" s="5">
        <v>1</v>
      </c>
      <c r="I13" s="18">
        <v>4</v>
      </c>
      <c r="J13" s="18">
        <v>1</v>
      </c>
      <c r="K13" s="18">
        <v>30.27</v>
      </c>
      <c r="L13" s="18">
        <v>1</v>
      </c>
      <c r="M13" s="18"/>
    </row>
    <row r="14" spans="1:13" x14ac:dyDescent="0.35">
      <c r="A14" s="18" t="s">
        <v>59</v>
      </c>
      <c r="B14" s="6">
        <v>41.15</v>
      </c>
      <c r="C14" s="3">
        <v>37.85</v>
      </c>
      <c r="D14" s="3">
        <v>19.440000000000001</v>
      </c>
      <c r="E14" s="5">
        <v>31.5</v>
      </c>
      <c r="F14" s="56" t="s">
        <v>68</v>
      </c>
      <c r="G14" s="6"/>
      <c r="H14" s="5">
        <v>1</v>
      </c>
      <c r="I14" s="18">
        <v>13</v>
      </c>
      <c r="J14" s="18">
        <v>2</v>
      </c>
      <c r="K14" s="18">
        <f>15.78+18.94+15.93</f>
        <v>50.65</v>
      </c>
      <c r="L14" s="18">
        <v>1</v>
      </c>
      <c r="M14" s="18"/>
    </row>
    <row r="15" spans="1:13" x14ac:dyDescent="0.35">
      <c r="A15" s="18" t="s">
        <v>14</v>
      </c>
      <c r="B15" s="6">
        <v>34.909999999999997</v>
      </c>
      <c r="C15" s="3">
        <v>34.25</v>
      </c>
      <c r="D15" s="3">
        <v>10.65</v>
      </c>
      <c r="E15" s="5">
        <v>11</v>
      </c>
      <c r="F15" s="56" t="s">
        <v>68</v>
      </c>
      <c r="G15" s="6"/>
      <c r="H15" s="5">
        <v>1</v>
      </c>
      <c r="I15" s="18">
        <v>7</v>
      </c>
      <c r="J15" s="18">
        <v>1</v>
      </c>
      <c r="K15" s="18">
        <f>31.64+27.99</f>
        <v>59.629999999999995</v>
      </c>
      <c r="L15" s="18">
        <v>2</v>
      </c>
      <c r="M15" s="18" t="s">
        <v>67</v>
      </c>
    </row>
    <row r="16" spans="1:13" x14ac:dyDescent="0.35">
      <c r="A16" s="18" t="s">
        <v>25</v>
      </c>
      <c r="B16" s="6">
        <v>52.15</v>
      </c>
      <c r="C16" s="3">
        <v>42.63</v>
      </c>
      <c r="D16" s="3">
        <v>22.16</v>
      </c>
      <c r="E16" s="5">
        <v>43.2</v>
      </c>
      <c r="F16" s="56" t="s">
        <v>42</v>
      </c>
      <c r="G16" s="6"/>
      <c r="H16" s="5">
        <v>1</v>
      </c>
      <c r="I16" s="18">
        <v>4</v>
      </c>
      <c r="J16" s="18">
        <v>1</v>
      </c>
      <c r="K16" s="18">
        <v>53.11</v>
      </c>
      <c r="L16" s="18">
        <v>1</v>
      </c>
      <c r="M16" s="18"/>
    </row>
    <row r="17" spans="1:13" x14ac:dyDescent="0.35">
      <c r="A17" s="18" t="s">
        <v>226</v>
      </c>
      <c r="B17" s="6">
        <v>48</v>
      </c>
      <c r="C17" s="3">
        <v>37</v>
      </c>
      <c r="D17" s="3">
        <v>17</v>
      </c>
      <c r="E17" s="5">
        <v>25.8</v>
      </c>
      <c r="F17" s="56" t="s">
        <v>263</v>
      </c>
      <c r="G17" s="6" t="s">
        <v>49</v>
      </c>
      <c r="H17" s="5"/>
      <c r="I17" s="18">
        <v>13</v>
      </c>
      <c r="J17" s="18">
        <v>2</v>
      </c>
      <c r="K17" s="18">
        <f>32.73+33.13</f>
        <v>65.86</v>
      </c>
      <c r="L17" s="18">
        <v>1</v>
      </c>
      <c r="M17" s="18"/>
    </row>
    <row r="18" spans="1:13" x14ac:dyDescent="0.35">
      <c r="A18" s="18" t="s">
        <v>172</v>
      </c>
      <c r="B18" s="6">
        <v>44</v>
      </c>
      <c r="C18" s="3">
        <v>24</v>
      </c>
      <c r="D18" s="3">
        <v>21</v>
      </c>
      <c r="E18" s="5">
        <v>20.399999999999999</v>
      </c>
      <c r="F18" s="18" t="s">
        <v>265</v>
      </c>
      <c r="G18" s="6"/>
      <c r="H18" s="5">
        <v>1</v>
      </c>
      <c r="I18" s="18">
        <v>8</v>
      </c>
      <c r="J18" s="18">
        <v>1</v>
      </c>
      <c r="K18" s="18">
        <v>33.19</v>
      </c>
      <c r="L18" s="18">
        <v>1</v>
      </c>
      <c r="M18" s="18"/>
    </row>
    <row r="19" spans="1:13" x14ac:dyDescent="0.35">
      <c r="A19" s="19" t="s">
        <v>237</v>
      </c>
      <c r="B19" s="13">
        <v>25</v>
      </c>
      <c r="C19" s="8">
        <v>29</v>
      </c>
      <c r="D19" s="8">
        <v>12</v>
      </c>
      <c r="E19" s="7">
        <v>8.8000000000000007</v>
      </c>
      <c r="F19" s="58" t="s">
        <v>264</v>
      </c>
      <c r="G19" s="13" t="s">
        <v>52</v>
      </c>
      <c r="H19" s="7"/>
      <c r="I19" s="19">
        <v>4</v>
      </c>
      <c r="J19" s="19">
        <v>1</v>
      </c>
      <c r="K19" s="19">
        <v>28.34</v>
      </c>
      <c r="L19" s="19">
        <v>1</v>
      </c>
      <c r="M19" s="19"/>
    </row>
  </sheetData>
  <mergeCells count="14">
    <mergeCell ref="K1:K3"/>
    <mergeCell ref="L1:L3"/>
    <mergeCell ref="J1:J3"/>
    <mergeCell ref="M1:M3"/>
    <mergeCell ref="A1:A3"/>
    <mergeCell ref="B1:E1"/>
    <mergeCell ref="F1:F3"/>
    <mergeCell ref="G1:H1"/>
    <mergeCell ref="I1:I3"/>
    <mergeCell ref="B2:B3"/>
    <mergeCell ref="C2:C3"/>
    <mergeCell ref="D2:D3"/>
    <mergeCell ref="E2:E3"/>
    <mergeCell ref="H2:H3"/>
  </mergeCells>
  <phoneticPr fontId="2" type="noConversion"/>
  <dataValidations count="1">
    <dataValidation type="list" allowBlank="1" showInputMessage="1" showErrorMessage="1" sqref="G4:G19" xr:uid="{0F4E9141-5B84-42F8-B78F-FEBE99C3D8C8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B827-BDB6-412B-A24C-B6FB14E0ABEA}">
  <dimension ref="A1:F82"/>
  <sheetViews>
    <sheetView tabSelected="1" zoomScale="70" zoomScaleNormal="70" workbookViewId="0">
      <selection activeCell="P84" sqref="P84"/>
    </sheetView>
  </sheetViews>
  <sheetFormatPr defaultColWidth="8.640625" defaultRowHeight="18.45" x14ac:dyDescent="0.35"/>
  <cols>
    <col min="1" max="1" width="26.140625" style="11" customWidth="1"/>
    <col min="2" max="2" width="18.0703125" style="11" customWidth="1"/>
    <col min="3" max="4" width="8.640625" style="11"/>
    <col min="5" max="5" width="10.85546875" style="11" customWidth="1"/>
    <col min="6" max="16384" width="8.640625" style="11"/>
  </cols>
  <sheetData>
    <row r="1" spans="1:6" ht="44.05" customHeight="1" x14ac:dyDescent="0.35">
      <c r="A1" s="1" t="s">
        <v>34</v>
      </c>
      <c r="B1" s="1" t="s">
        <v>36</v>
      </c>
      <c r="C1" s="1" t="s">
        <v>260</v>
      </c>
      <c r="D1" s="1" t="s">
        <v>261</v>
      </c>
      <c r="E1" s="1" t="s">
        <v>262</v>
      </c>
      <c r="F1" s="1" t="s">
        <v>259</v>
      </c>
    </row>
    <row r="2" spans="1:6" s="3" customFormat="1" x14ac:dyDescent="0.35">
      <c r="A2" s="17" t="s">
        <v>158</v>
      </c>
      <c r="B2" s="57" t="s">
        <v>263</v>
      </c>
      <c r="C2" s="12">
        <v>41</v>
      </c>
      <c r="D2" s="16">
        <v>39</v>
      </c>
      <c r="E2" s="16">
        <v>21</v>
      </c>
      <c r="F2" s="4">
        <v>30.3</v>
      </c>
    </row>
    <row r="3" spans="1:6" s="3" customFormat="1" x14ac:dyDescent="0.35">
      <c r="A3" s="18" t="s">
        <v>159</v>
      </c>
      <c r="B3" s="56" t="s">
        <v>263</v>
      </c>
      <c r="C3" s="6">
        <v>56</v>
      </c>
      <c r="D3" s="3">
        <v>40</v>
      </c>
      <c r="E3" s="3">
        <v>24</v>
      </c>
      <c r="F3" s="5">
        <v>39.799999999999997</v>
      </c>
    </row>
    <row r="4" spans="1:6" s="3" customFormat="1" x14ac:dyDescent="0.35">
      <c r="A4" s="18" t="s">
        <v>160</v>
      </c>
      <c r="B4" s="56" t="s">
        <v>263</v>
      </c>
      <c r="C4" s="6">
        <v>39</v>
      </c>
      <c r="D4" s="3">
        <v>29</v>
      </c>
      <c r="E4" s="3">
        <v>13</v>
      </c>
      <c r="F4" s="5" t="s">
        <v>161</v>
      </c>
    </row>
    <row r="5" spans="1:6" s="3" customFormat="1" x14ac:dyDescent="0.35">
      <c r="A5" s="18" t="s">
        <v>162</v>
      </c>
      <c r="B5" s="18" t="s">
        <v>266</v>
      </c>
      <c r="C5" s="6">
        <v>44</v>
      </c>
      <c r="D5" s="3">
        <v>30</v>
      </c>
      <c r="E5" s="3">
        <v>18</v>
      </c>
      <c r="F5" s="5" t="s">
        <v>163</v>
      </c>
    </row>
    <row r="6" spans="1:6" s="3" customFormat="1" x14ac:dyDescent="0.35">
      <c r="A6" s="18" t="s">
        <v>164</v>
      </c>
      <c r="B6" s="56" t="s">
        <v>263</v>
      </c>
      <c r="C6" s="6">
        <v>39</v>
      </c>
      <c r="D6" s="3">
        <v>30</v>
      </c>
      <c r="E6" s="3">
        <v>11</v>
      </c>
      <c r="F6" s="5" t="s">
        <v>165</v>
      </c>
    </row>
    <row r="7" spans="1:6" s="3" customFormat="1" x14ac:dyDescent="0.35">
      <c r="A7" s="18" t="s">
        <v>166</v>
      </c>
      <c r="B7" s="56" t="s">
        <v>263</v>
      </c>
      <c r="C7" s="6">
        <v>42</v>
      </c>
      <c r="D7" s="3">
        <v>33</v>
      </c>
      <c r="E7" s="3">
        <v>11</v>
      </c>
      <c r="F7" s="5">
        <v>15.9</v>
      </c>
    </row>
    <row r="8" spans="1:6" s="3" customFormat="1" x14ac:dyDescent="0.35">
      <c r="A8" s="18" t="s">
        <v>9</v>
      </c>
      <c r="B8" s="56" t="s">
        <v>263</v>
      </c>
      <c r="C8" s="6">
        <v>44</v>
      </c>
      <c r="D8" s="3">
        <v>31</v>
      </c>
      <c r="E8" s="3">
        <v>22</v>
      </c>
      <c r="F8" s="5">
        <v>19.3</v>
      </c>
    </row>
    <row r="9" spans="1:6" s="3" customFormat="1" x14ac:dyDescent="0.35">
      <c r="A9" s="18" t="s">
        <v>167</v>
      </c>
      <c r="B9" s="56" t="s">
        <v>263</v>
      </c>
      <c r="C9" s="6">
        <v>42</v>
      </c>
      <c r="D9" s="3">
        <v>38</v>
      </c>
      <c r="E9" s="3">
        <v>11</v>
      </c>
      <c r="F9" s="5">
        <v>15.9</v>
      </c>
    </row>
    <row r="10" spans="1:6" s="3" customFormat="1" x14ac:dyDescent="0.35">
      <c r="A10" s="18" t="s">
        <v>168</v>
      </c>
      <c r="B10" s="56" t="s">
        <v>263</v>
      </c>
      <c r="C10" s="6">
        <v>79</v>
      </c>
      <c r="D10" s="3">
        <v>54</v>
      </c>
      <c r="E10" s="3">
        <v>18</v>
      </c>
      <c r="F10" s="5">
        <v>85.7</v>
      </c>
    </row>
    <row r="11" spans="1:6" s="3" customFormat="1" x14ac:dyDescent="0.35">
      <c r="A11" s="18" t="s">
        <v>169</v>
      </c>
      <c r="B11" s="56" t="s">
        <v>263</v>
      </c>
      <c r="C11" s="6">
        <v>42</v>
      </c>
      <c r="D11" s="3">
        <v>46</v>
      </c>
      <c r="E11" s="3">
        <v>21</v>
      </c>
      <c r="F11" s="5">
        <v>27.7</v>
      </c>
    </row>
    <row r="12" spans="1:6" s="3" customFormat="1" x14ac:dyDescent="0.35">
      <c r="A12" s="18" t="s">
        <v>170</v>
      </c>
      <c r="B12" s="56" t="s">
        <v>263</v>
      </c>
      <c r="C12" s="6">
        <v>50</v>
      </c>
      <c r="D12" s="3">
        <v>39</v>
      </c>
      <c r="E12" s="3">
        <v>19</v>
      </c>
      <c r="F12" s="5">
        <v>57</v>
      </c>
    </row>
    <row r="13" spans="1:6" s="3" customFormat="1" x14ac:dyDescent="0.35">
      <c r="A13" s="18" t="s">
        <v>171</v>
      </c>
      <c r="B13" s="56" t="s">
        <v>263</v>
      </c>
      <c r="C13" s="6">
        <v>53</v>
      </c>
      <c r="D13" s="3">
        <v>32</v>
      </c>
      <c r="E13" s="3">
        <v>27</v>
      </c>
      <c r="F13" s="5">
        <v>36.4</v>
      </c>
    </row>
    <row r="14" spans="1:6" s="3" customFormat="1" x14ac:dyDescent="0.35">
      <c r="A14" s="18" t="s">
        <v>173</v>
      </c>
      <c r="B14" s="56" t="s">
        <v>263</v>
      </c>
      <c r="C14" s="6">
        <v>52</v>
      </c>
      <c r="D14" s="3">
        <v>62</v>
      </c>
      <c r="E14" s="3">
        <v>18</v>
      </c>
      <c r="F14" s="5">
        <v>56.5</v>
      </c>
    </row>
    <row r="15" spans="1:6" s="3" customFormat="1" x14ac:dyDescent="0.35">
      <c r="A15" s="18" t="s">
        <v>174</v>
      </c>
      <c r="B15" s="56" t="s">
        <v>264</v>
      </c>
      <c r="C15" s="6">
        <v>26</v>
      </c>
      <c r="D15" s="3">
        <v>20</v>
      </c>
      <c r="E15" s="3">
        <v>8</v>
      </c>
      <c r="F15" s="5" t="s">
        <v>175</v>
      </c>
    </row>
    <row r="16" spans="1:6" s="3" customFormat="1" x14ac:dyDescent="0.35">
      <c r="A16" s="18" t="s">
        <v>176</v>
      </c>
      <c r="B16" s="56" t="s">
        <v>263</v>
      </c>
      <c r="C16" s="6">
        <v>28</v>
      </c>
      <c r="D16" s="3">
        <v>18</v>
      </c>
      <c r="E16" s="3">
        <v>13</v>
      </c>
      <c r="F16" s="5" t="s">
        <v>177</v>
      </c>
    </row>
    <row r="17" spans="1:6" s="3" customFormat="1" x14ac:dyDescent="0.35">
      <c r="A17" s="18" t="s">
        <v>178</v>
      </c>
      <c r="B17" s="56" t="s">
        <v>263</v>
      </c>
      <c r="C17" s="6">
        <v>42</v>
      </c>
      <c r="D17" s="3">
        <v>38</v>
      </c>
      <c r="E17" s="3">
        <v>25</v>
      </c>
      <c r="F17" s="5" t="s">
        <v>179</v>
      </c>
    </row>
    <row r="18" spans="1:6" s="3" customFormat="1" x14ac:dyDescent="0.35">
      <c r="A18" s="18" t="s">
        <v>180</v>
      </c>
      <c r="B18" s="56" t="s">
        <v>263</v>
      </c>
      <c r="C18" s="6">
        <v>31</v>
      </c>
      <c r="D18" s="3">
        <v>25</v>
      </c>
      <c r="E18" s="3">
        <v>12</v>
      </c>
      <c r="F18" s="5">
        <v>7.1</v>
      </c>
    </row>
    <row r="19" spans="1:6" s="3" customFormat="1" x14ac:dyDescent="0.35">
      <c r="A19" s="18" t="s">
        <v>181</v>
      </c>
      <c r="B19" s="56" t="s">
        <v>263</v>
      </c>
      <c r="C19" s="6">
        <v>37</v>
      </c>
      <c r="D19" s="3">
        <v>28</v>
      </c>
      <c r="E19" s="3">
        <v>12</v>
      </c>
      <c r="F19" s="5">
        <v>9.3000000000000007</v>
      </c>
    </row>
    <row r="20" spans="1:6" s="3" customFormat="1" x14ac:dyDescent="0.35">
      <c r="A20" s="18" t="s">
        <v>182</v>
      </c>
      <c r="B20" s="56" t="s">
        <v>264</v>
      </c>
      <c r="C20" s="6">
        <v>34</v>
      </c>
      <c r="D20" s="3">
        <v>32</v>
      </c>
      <c r="E20" s="3">
        <v>20</v>
      </c>
      <c r="F20" s="5">
        <v>27.1</v>
      </c>
    </row>
    <row r="21" spans="1:6" s="3" customFormat="1" x14ac:dyDescent="0.35">
      <c r="A21" s="18" t="s">
        <v>183</v>
      </c>
      <c r="B21" s="56" t="s">
        <v>263</v>
      </c>
      <c r="C21" s="6">
        <v>60</v>
      </c>
      <c r="D21" s="3">
        <v>54</v>
      </c>
      <c r="E21" s="3">
        <v>22</v>
      </c>
      <c r="F21" s="5">
        <v>85.6</v>
      </c>
    </row>
    <row r="22" spans="1:6" s="3" customFormat="1" x14ac:dyDescent="0.35">
      <c r="A22" s="18" t="s">
        <v>184</v>
      </c>
      <c r="B22" s="56" t="s">
        <v>263</v>
      </c>
      <c r="C22" s="6">
        <v>50</v>
      </c>
      <c r="D22" s="3">
        <v>38</v>
      </c>
      <c r="E22" s="3">
        <v>25</v>
      </c>
      <c r="F22" s="5">
        <v>42.7</v>
      </c>
    </row>
    <row r="23" spans="1:6" s="3" customFormat="1" x14ac:dyDescent="0.35">
      <c r="A23" s="18" t="s">
        <v>185</v>
      </c>
      <c r="B23" s="56" t="s">
        <v>263</v>
      </c>
      <c r="C23" s="6">
        <v>33</v>
      </c>
      <c r="D23" s="3">
        <v>52</v>
      </c>
      <c r="E23" s="3">
        <v>26</v>
      </c>
      <c r="F23" s="5">
        <v>46.7</v>
      </c>
    </row>
    <row r="24" spans="1:6" s="3" customFormat="1" x14ac:dyDescent="0.35">
      <c r="A24" s="18" t="s">
        <v>186</v>
      </c>
      <c r="B24" s="56" t="s">
        <v>263</v>
      </c>
      <c r="C24" s="6">
        <v>49</v>
      </c>
      <c r="D24" s="3">
        <v>37</v>
      </c>
      <c r="E24" s="3">
        <v>11</v>
      </c>
      <c r="F24" s="5">
        <v>17.5</v>
      </c>
    </row>
    <row r="25" spans="1:6" s="3" customFormat="1" x14ac:dyDescent="0.35">
      <c r="A25" s="18" t="s">
        <v>187</v>
      </c>
      <c r="B25" s="56" t="s">
        <v>263</v>
      </c>
      <c r="C25" s="6">
        <v>56</v>
      </c>
      <c r="D25" s="3">
        <v>66</v>
      </c>
      <c r="E25" s="3">
        <v>14</v>
      </c>
      <c r="F25" s="5">
        <v>55.1</v>
      </c>
    </row>
    <row r="26" spans="1:6" s="3" customFormat="1" x14ac:dyDescent="0.35">
      <c r="A26" s="18" t="s">
        <v>188</v>
      </c>
      <c r="B26" s="56" t="s">
        <v>263</v>
      </c>
      <c r="C26" s="6">
        <v>38</v>
      </c>
      <c r="D26" s="3">
        <v>31</v>
      </c>
      <c r="E26" s="3">
        <v>13</v>
      </c>
      <c r="F26" s="5">
        <v>13.2</v>
      </c>
    </row>
    <row r="27" spans="1:6" s="3" customFormat="1" x14ac:dyDescent="0.35">
      <c r="A27" s="18" t="s">
        <v>189</v>
      </c>
      <c r="B27" s="56" t="s">
        <v>263</v>
      </c>
      <c r="C27" s="6">
        <v>46</v>
      </c>
      <c r="D27" s="3">
        <v>33</v>
      </c>
      <c r="E27" s="3">
        <v>15</v>
      </c>
      <c r="F27" s="5" t="s">
        <v>190</v>
      </c>
    </row>
    <row r="28" spans="1:6" s="3" customFormat="1" x14ac:dyDescent="0.35">
      <c r="A28" s="18" t="s">
        <v>191</v>
      </c>
      <c r="B28" s="56" t="s">
        <v>263</v>
      </c>
      <c r="C28" s="6">
        <v>26</v>
      </c>
      <c r="D28" s="3">
        <v>24</v>
      </c>
      <c r="E28" s="3">
        <v>10</v>
      </c>
      <c r="F28" s="5" t="s">
        <v>192</v>
      </c>
    </row>
    <row r="29" spans="1:6" s="3" customFormat="1" x14ac:dyDescent="0.35">
      <c r="A29" s="18" t="s">
        <v>193</v>
      </c>
      <c r="B29" s="56" t="s">
        <v>263</v>
      </c>
      <c r="C29" s="6">
        <v>33</v>
      </c>
      <c r="D29" s="3">
        <v>25</v>
      </c>
      <c r="E29" s="3">
        <v>13</v>
      </c>
      <c r="F29" s="5" t="s">
        <v>194</v>
      </c>
    </row>
    <row r="30" spans="1:6" s="3" customFormat="1" x14ac:dyDescent="0.35">
      <c r="A30" s="18" t="s">
        <v>195</v>
      </c>
      <c r="B30" s="56" t="s">
        <v>263</v>
      </c>
      <c r="C30" s="6">
        <v>42</v>
      </c>
      <c r="D30" s="3">
        <v>30</v>
      </c>
      <c r="E30" s="3">
        <v>18</v>
      </c>
      <c r="F30" s="5" t="s">
        <v>196</v>
      </c>
    </row>
    <row r="31" spans="1:6" s="3" customFormat="1" x14ac:dyDescent="0.35">
      <c r="A31" s="18" t="s">
        <v>197</v>
      </c>
      <c r="B31" s="56" t="s">
        <v>153</v>
      </c>
      <c r="C31" s="6">
        <v>28</v>
      </c>
      <c r="D31" s="3">
        <v>19</v>
      </c>
      <c r="E31" s="3">
        <v>10</v>
      </c>
      <c r="F31" s="5">
        <v>5.4</v>
      </c>
    </row>
    <row r="32" spans="1:6" s="3" customFormat="1" x14ac:dyDescent="0.35">
      <c r="A32" s="18" t="s">
        <v>200</v>
      </c>
      <c r="B32" s="56" t="s">
        <v>263</v>
      </c>
      <c r="C32" s="6">
        <v>31</v>
      </c>
      <c r="D32" s="3">
        <v>20</v>
      </c>
      <c r="E32" s="3">
        <v>10</v>
      </c>
      <c r="F32" s="5">
        <v>4.8</v>
      </c>
    </row>
    <row r="33" spans="1:6" s="3" customFormat="1" x14ac:dyDescent="0.35">
      <c r="A33" s="18" t="s">
        <v>201</v>
      </c>
      <c r="B33" s="56" t="s">
        <v>263</v>
      </c>
      <c r="C33" s="6">
        <v>31</v>
      </c>
      <c r="D33" s="3">
        <v>31</v>
      </c>
      <c r="E33" s="3">
        <v>16</v>
      </c>
      <c r="F33" s="5">
        <v>12.4</v>
      </c>
    </row>
    <row r="34" spans="1:6" s="3" customFormat="1" x14ac:dyDescent="0.35">
      <c r="A34" s="18" t="s">
        <v>21</v>
      </c>
      <c r="B34" s="56" t="s">
        <v>263</v>
      </c>
      <c r="C34" s="6">
        <v>50</v>
      </c>
      <c r="D34" s="3">
        <v>26</v>
      </c>
      <c r="E34" s="3">
        <v>9</v>
      </c>
      <c r="F34" s="5">
        <v>12</v>
      </c>
    </row>
    <row r="35" spans="1:6" s="3" customFormat="1" x14ac:dyDescent="0.35">
      <c r="A35" s="18" t="s">
        <v>202</v>
      </c>
      <c r="B35" s="56" t="s">
        <v>263</v>
      </c>
      <c r="C35" s="6">
        <v>47</v>
      </c>
      <c r="D35" s="3">
        <v>22</v>
      </c>
      <c r="E35" s="3">
        <v>10</v>
      </c>
      <c r="F35" s="5">
        <v>8.1999999999999993</v>
      </c>
    </row>
    <row r="36" spans="1:6" s="3" customFormat="1" x14ac:dyDescent="0.35">
      <c r="A36" s="18" t="s">
        <v>203</v>
      </c>
      <c r="B36" s="56" t="s">
        <v>263</v>
      </c>
      <c r="C36" s="6">
        <v>45</v>
      </c>
      <c r="D36" s="3">
        <v>25</v>
      </c>
      <c r="E36" s="3">
        <v>11</v>
      </c>
      <c r="F36" s="5">
        <v>11.8</v>
      </c>
    </row>
    <row r="37" spans="1:6" s="3" customFormat="1" x14ac:dyDescent="0.35">
      <c r="A37" s="18" t="s">
        <v>204</v>
      </c>
      <c r="B37" s="56" t="s">
        <v>263</v>
      </c>
      <c r="C37" s="6">
        <v>48</v>
      </c>
      <c r="D37" s="3">
        <v>38</v>
      </c>
      <c r="E37" s="3">
        <v>26</v>
      </c>
      <c r="F37" s="5">
        <v>32.299999999999997</v>
      </c>
    </row>
    <row r="38" spans="1:6" s="3" customFormat="1" x14ac:dyDescent="0.35">
      <c r="A38" s="18" t="s">
        <v>205</v>
      </c>
      <c r="B38" s="56" t="s">
        <v>263</v>
      </c>
      <c r="C38" s="6">
        <v>31</v>
      </c>
      <c r="D38" s="3">
        <v>19</v>
      </c>
      <c r="E38" s="3">
        <v>7</v>
      </c>
      <c r="F38" s="5">
        <v>3.5</v>
      </c>
    </row>
    <row r="39" spans="1:6" s="3" customFormat="1" x14ac:dyDescent="0.35">
      <c r="A39" s="18" t="s">
        <v>206</v>
      </c>
      <c r="B39" s="56" t="s">
        <v>263</v>
      </c>
      <c r="C39" s="6">
        <v>37</v>
      </c>
      <c r="D39" s="3">
        <v>19</v>
      </c>
      <c r="E39" s="3">
        <v>10</v>
      </c>
      <c r="F39" s="5">
        <v>4.8</v>
      </c>
    </row>
    <row r="40" spans="1:6" s="3" customFormat="1" x14ac:dyDescent="0.35">
      <c r="A40" s="18" t="s">
        <v>207</v>
      </c>
      <c r="B40" s="56" t="s">
        <v>263</v>
      </c>
      <c r="C40" s="6">
        <v>26</v>
      </c>
      <c r="D40" s="3">
        <v>38</v>
      </c>
      <c r="E40" s="3">
        <v>15</v>
      </c>
      <c r="F40" s="5">
        <v>12.3</v>
      </c>
    </row>
    <row r="41" spans="1:6" s="3" customFormat="1" x14ac:dyDescent="0.35">
      <c r="A41" s="18" t="s">
        <v>208</v>
      </c>
      <c r="B41" s="56" t="s">
        <v>153</v>
      </c>
      <c r="C41" s="6">
        <v>44</v>
      </c>
      <c r="D41" s="3">
        <v>40</v>
      </c>
      <c r="E41" s="3">
        <v>24</v>
      </c>
      <c r="F41" s="5">
        <v>46.8</v>
      </c>
    </row>
    <row r="42" spans="1:6" s="3" customFormat="1" x14ac:dyDescent="0.35">
      <c r="A42" s="18" t="s">
        <v>209</v>
      </c>
      <c r="B42" s="56" t="s">
        <v>264</v>
      </c>
      <c r="C42" s="6">
        <v>26</v>
      </c>
      <c r="D42" s="3">
        <v>22</v>
      </c>
      <c r="E42" s="3">
        <v>8</v>
      </c>
      <c r="F42" s="5">
        <v>4</v>
      </c>
    </row>
    <row r="43" spans="1:6" s="3" customFormat="1" x14ac:dyDescent="0.35">
      <c r="A43" s="18" t="s">
        <v>210</v>
      </c>
      <c r="B43" s="56" t="s">
        <v>263</v>
      </c>
      <c r="C43" s="6">
        <v>24</v>
      </c>
      <c r="D43" s="3">
        <v>24</v>
      </c>
      <c r="E43" s="3">
        <v>7</v>
      </c>
      <c r="F43" s="5" t="s">
        <v>211</v>
      </c>
    </row>
    <row r="44" spans="1:6" s="3" customFormat="1" x14ac:dyDescent="0.35">
      <c r="A44" s="18" t="s">
        <v>212</v>
      </c>
      <c r="B44" s="56" t="s">
        <v>263</v>
      </c>
      <c r="C44" s="6">
        <v>30</v>
      </c>
      <c r="D44" s="3">
        <v>38</v>
      </c>
      <c r="E44" s="3">
        <v>20</v>
      </c>
      <c r="F44" s="5">
        <v>16.2</v>
      </c>
    </row>
    <row r="45" spans="1:6" s="3" customFormat="1" x14ac:dyDescent="0.35">
      <c r="A45" s="18" t="s">
        <v>213</v>
      </c>
      <c r="B45" s="56" t="s">
        <v>263</v>
      </c>
      <c r="C45" s="6">
        <v>48</v>
      </c>
      <c r="D45" s="3">
        <v>31</v>
      </c>
      <c r="E45" s="3">
        <v>8</v>
      </c>
      <c r="F45" s="5" t="s">
        <v>214</v>
      </c>
    </row>
    <row r="46" spans="1:6" s="3" customFormat="1" x14ac:dyDescent="0.35">
      <c r="A46" s="18" t="s">
        <v>215</v>
      </c>
      <c r="B46" s="56" t="s">
        <v>263</v>
      </c>
      <c r="C46" s="6">
        <v>38</v>
      </c>
      <c r="D46" s="3">
        <v>30</v>
      </c>
      <c r="E46" s="3">
        <v>12</v>
      </c>
      <c r="F46" s="5">
        <v>11.5</v>
      </c>
    </row>
    <row r="47" spans="1:6" s="3" customFormat="1" x14ac:dyDescent="0.35">
      <c r="A47" s="18" t="s">
        <v>216</v>
      </c>
      <c r="B47" s="56" t="s">
        <v>263</v>
      </c>
      <c r="C47" s="6">
        <v>56</v>
      </c>
      <c r="D47" s="3">
        <v>43</v>
      </c>
      <c r="E47" s="3">
        <v>17</v>
      </c>
      <c r="F47" s="5">
        <v>40.700000000000003</v>
      </c>
    </row>
    <row r="48" spans="1:6" s="3" customFormat="1" x14ac:dyDescent="0.35">
      <c r="A48" s="18" t="s">
        <v>217</v>
      </c>
      <c r="B48" s="56" t="s">
        <v>264</v>
      </c>
      <c r="C48" s="6">
        <v>18</v>
      </c>
      <c r="D48" s="3">
        <v>30</v>
      </c>
      <c r="E48" s="3">
        <v>8</v>
      </c>
      <c r="F48" s="5">
        <v>3.1</v>
      </c>
    </row>
    <row r="49" spans="1:6" s="3" customFormat="1" x14ac:dyDescent="0.35">
      <c r="A49" s="18" t="s">
        <v>218</v>
      </c>
      <c r="B49" s="56" t="s">
        <v>264</v>
      </c>
      <c r="C49" s="6">
        <v>27</v>
      </c>
      <c r="D49" s="3">
        <v>26</v>
      </c>
      <c r="E49" s="3">
        <v>11</v>
      </c>
      <c r="F49" s="5">
        <v>8.6</v>
      </c>
    </row>
    <row r="50" spans="1:6" s="3" customFormat="1" x14ac:dyDescent="0.35">
      <c r="A50" s="18" t="s">
        <v>219</v>
      </c>
      <c r="B50" s="56" t="s">
        <v>263</v>
      </c>
      <c r="C50" s="6">
        <v>29</v>
      </c>
      <c r="D50" s="3">
        <v>31</v>
      </c>
      <c r="E50" s="3">
        <v>9</v>
      </c>
      <c r="F50" s="5">
        <v>8.1999999999999993</v>
      </c>
    </row>
    <row r="51" spans="1:6" s="3" customFormat="1" x14ac:dyDescent="0.35">
      <c r="A51" s="18" t="s">
        <v>220</v>
      </c>
      <c r="B51" s="56" t="s">
        <v>263</v>
      </c>
      <c r="C51" s="6">
        <v>35</v>
      </c>
      <c r="D51" s="3">
        <v>27</v>
      </c>
      <c r="E51" s="3">
        <v>8</v>
      </c>
      <c r="F51" s="5" t="s">
        <v>199</v>
      </c>
    </row>
    <row r="52" spans="1:6" s="3" customFormat="1" x14ac:dyDescent="0.35">
      <c r="A52" s="18" t="s">
        <v>221</v>
      </c>
      <c r="B52" s="56" t="s">
        <v>263</v>
      </c>
      <c r="C52" s="6">
        <v>39</v>
      </c>
      <c r="D52" s="3">
        <v>29</v>
      </c>
      <c r="E52" s="3">
        <v>13</v>
      </c>
      <c r="F52" s="5" t="s">
        <v>222</v>
      </c>
    </row>
    <row r="53" spans="1:6" s="3" customFormat="1" x14ac:dyDescent="0.35">
      <c r="A53" s="18" t="s">
        <v>223</v>
      </c>
      <c r="B53" s="56" t="s">
        <v>264</v>
      </c>
      <c r="C53" s="6">
        <v>52</v>
      </c>
      <c r="D53" s="3">
        <v>29</v>
      </c>
      <c r="E53" s="3">
        <v>13</v>
      </c>
      <c r="F53" s="5">
        <v>22.9</v>
      </c>
    </row>
    <row r="54" spans="1:6" s="3" customFormat="1" x14ac:dyDescent="0.35">
      <c r="A54" s="18" t="s">
        <v>224</v>
      </c>
      <c r="B54" s="56" t="s">
        <v>263</v>
      </c>
      <c r="C54" s="6">
        <v>44</v>
      </c>
      <c r="D54" s="3">
        <v>36</v>
      </c>
      <c r="E54" s="3">
        <v>16</v>
      </c>
      <c r="F54" s="5">
        <v>22.8</v>
      </c>
    </row>
    <row r="55" spans="1:6" s="3" customFormat="1" x14ac:dyDescent="0.35">
      <c r="A55" s="18" t="s">
        <v>225</v>
      </c>
      <c r="B55" s="56" t="s">
        <v>263</v>
      </c>
      <c r="C55" s="6">
        <v>42</v>
      </c>
      <c r="D55" s="3">
        <v>41</v>
      </c>
      <c r="E55" s="3">
        <v>16</v>
      </c>
      <c r="F55" s="5">
        <v>18.899999999999999</v>
      </c>
    </row>
    <row r="56" spans="1:6" s="3" customFormat="1" x14ac:dyDescent="0.35">
      <c r="A56" s="18" t="s">
        <v>227</v>
      </c>
      <c r="B56" s="56" t="s">
        <v>263</v>
      </c>
      <c r="C56" s="6">
        <v>42</v>
      </c>
      <c r="D56" s="3">
        <v>37</v>
      </c>
      <c r="E56" s="3">
        <v>17</v>
      </c>
      <c r="F56" s="5">
        <v>27.5</v>
      </c>
    </row>
    <row r="57" spans="1:6" s="3" customFormat="1" x14ac:dyDescent="0.35">
      <c r="A57" s="18" t="s">
        <v>228</v>
      </c>
      <c r="B57" s="56" t="s">
        <v>263</v>
      </c>
      <c r="C57" s="6">
        <v>32</v>
      </c>
      <c r="D57" s="3">
        <v>26</v>
      </c>
      <c r="E57" s="3">
        <v>10</v>
      </c>
      <c r="F57" s="5">
        <v>5.8</v>
      </c>
    </row>
    <row r="58" spans="1:6" s="3" customFormat="1" x14ac:dyDescent="0.35">
      <c r="A58" s="18" t="s">
        <v>229</v>
      </c>
      <c r="B58" s="56" t="s">
        <v>153</v>
      </c>
      <c r="C58" s="6">
        <v>51</v>
      </c>
      <c r="D58" s="3">
        <v>43</v>
      </c>
      <c r="E58" s="3">
        <v>20</v>
      </c>
      <c r="F58" s="5">
        <v>46.7</v>
      </c>
    </row>
    <row r="59" spans="1:6" s="3" customFormat="1" x14ac:dyDescent="0.35">
      <c r="A59" s="18" t="s">
        <v>230</v>
      </c>
      <c r="B59" s="56" t="s">
        <v>263</v>
      </c>
      <c r="C59" s="6">
        <v>62</v>
      </c>
      <c r="D59" s="3">
        <v>42</v>
      </c>
      <c r="E59" s="3">
        <v>17</v>
      </c>
      <c r="F59" s="5">
        <v>38.200000000000003</v>
      </c>
    </row>
    <row r="60" spans="1:6" s="3" customFormat="1" x14ac:dyDescent="0.35">
      <c r="A60" s="18" t="s">
        <v>231</v>
      </c>
      <c r="B60" s="56" t="s">
        <v>263</v>
      </c>
      <c r="C60" s="6">
        <v>68</v>
      </c>
      <c r="D60" s="3">
        <v>45</v>
      </c>
      <c r="E60" s="3">
        <v>10</v>
      </c>
      <c r="F60" s="5">
        <v>23.9</v>
      </c>
    </row>
    <row r="61" spans="1:6" s="3" customFormat="1" x14ac:dyDescent="0.35">
      <c r="A61" s="18" t="s">
        <v>232</v>
      </c>
      <c r="B61" s="56" t="s">
        <v>263</v>
      </c>
      <c r="C61" s="6">
        <v>33</v>
      </c>
      <c r="D61" s="3">
        <v>28</v>
      </c>
      <c r="E61" s="3">
        <v>8</v>
      </c>
      <c r="F61" s="5">
        <v>8.1999999999999993</v>
      </c>
    </row>
    <row r="62" spans="1:6" s="3" customFormat="1" x14ac:dyDescent="0.35">
      <c r="A62" s="18" t="s">
        <v>233</v>
      </c>
      <c r="B62" s="56" t="s">
        <v>263</v>
      </c>
      <c r="C62" s="6">
        <v>58</v>
      </c>
      <c r="D62" s="3">
        <v>53</v>
      </c>
      <c r="E62" s="3">
        <v>22</v>
      </c>
      <c r="F62" s="5" t="s">
        <v>234</v>
      </c>
    </row>
    <row r="63" spans="1:6" s="3" customFormat="1" x14ac:dyDescent="0.35">
      <c r="A63" s="18" t="s">
        <v>235</v>
      </c>
      <c r="B63" s="56" t="s">
        <v>263</v>
      </c>
      <c r="C63" s="6">
        <v>41</v>
      </c>
      <c r="D63" s="3">
        <v>33</v>
      </c>
      <c r="E63" s="3">
        <v>14</v>
      </c>
      <c r="F63" s="5">
        <v>19.7</v>
      </c>
    </row>
    <row r="64" spans="1:6" s="3" customFormat="1" x14ac:dyDescent="0.35">
      <c r="A64" s="18" t="s">
        <v>236</v>
      </c>
      <c r="B64" s="56" t="s">
        <v>263</v>
      </c>
      <c r="C64" s="6">
        <v>34</v>
      </c>
      <c r="D64" s="3">
        <v>31</v>
      </c>
      <c r="E64" s="3">
        <v>11</v>
      </c>
      <c r="F64" s="5">
        <v>10.3</v>
      </c>
    </row>
    <row r="65" spans="1:6" s="3" customFormat="1" x14ac:dyDescent="0.35">
      <c r="A65" s="18" t="s">
        <v>238</v>
      </c>
      <c r="B65" s="56" t="s">
        <v>263</v>
      </c>
      <c r="C65" s="6">
        <v>58</v>
      </c>
      <c r="D65" s="3">
        <v>47</v>
      </c>
      <c r="E65" s="3">
        <v>19</v>
      </c>
      <c r="F65" s="5">
        <v>42.1</v>
      </c>
    </row>
    <row r="66" spans="1:6" s="3" customFormat="1" x14ac:dyDescent="0.35">
      <c r="A66" s="18" t="s">
        <v>239</v>
      </c>
      <c r="B66" s="56" t="s">
        <v>153</v>
      </c>
      <c r="C66" s="6">
        <v>32</v>
      </c>
      <c r="D66" s="3">
        <v>15</v>
      </c>
      <c r="E66" s="3">
        <v>8</v>
      </c>
      <c r="F66" s="5">
        <v>3.5</v>
      </c>
    </row>
    <row r="67" spans="1:6" s="3" customFormat="1" x14ac:dyDescent="0.35">
      <c r="A67" s="18" t="s">
        <v>240</v>
      </c>
      <c r="B67" s="56" t="s">
        <v>264</v>
      </c>
      <c r="C67" s="6">
        <v>32</v>
      </c>
      <c r="D67" s="3">
        <v>21</v>
      </c>
      <c r="E67" s="3">
        <v>13</v>
      </c>
      <c r="F67" s="5">
        <v>7.5</v>
      </c>
    </row>
    <row r="68" spans="1:6" s="3" customFormat="1" x14ac:dyDescent="0.35">
      <c r="A68" s="18" t="s">
        <v>241</v>
      </c>
      <c r="B68" s="56" t="s">
        <v>263</v>
      </c>
      <c r="C68" s="6">
        <v>37</v>
      </c>
      <c r="D68" s="3">
        <v>32</v>
      </c>
      <c r="E68" s="3">
        <v>19</v>
      </c>
      <c r="F68" s="5">
        <v>18.100000000000001</v>
      </c>
    </row>
    <row r="69" spans="1:6" s="3" customFormat="1" x14ac:dyDescent="0.35">
      <c r="A69" s="18" t="s">
        <v>242</v>
      </c>
      <c r="B69" s="56" t="s">
        <v>263</v>
      </c>
      <c r="C69" s="6">
        <v>38</v>
      </c>
      <c r="D69" s="3">
        <v>26</v>
      </c>
      <c r="E69" s="3">
        <v>9</v>
      </c>
      <c r="F69" s="5" t="s">
        <v>243</v>
      </c>
    </row>
    <row r="70" spans="1:6" s="3" customFormat="1" x14ac:dyDescent="0.35">
      <c r="A70" s="18" t="s">
        <v>244</v>
      </c>
      <c r="B70" s="56" t="s">
        <v>263</v>
      </c>
      <c r="C70" s="6">
        <v>45</v>
      </c>
      <c r="D70" s="3">
        <v>27</v>
      </c>
      <c r="E70" s="3">
        <v>11</v>
      </c>
      <c r="F70" s="5" t="s">
        <v>245</v>
      </c>
    </row>
    <row r="71" spans="1:6" s="3" customFormat="1" x14ac:dyDescent="0.35">
      <c r="A71" s="18" t="s">
        <v>246</v>
      </c>
      <c r="B71" s="56" t="s">
        <v>263</v>
      </c>
      <c r="C71" s="6">
        <v>30</v>
      </c>
      <c r="D71" s="3">
        <v>31</v>
      </c>
      <c r="E71" s="3">
        <v>9</v>
      </c>
      <c r="F71" s="5">
        <v>7.6</v>
      </c>
    </row>
    <row r="72" spans="1:6" s="3" customFormat="1" x14ac:dyDescent="0.35">
      <c r="A72" s="18" t="s">
        <v>248</v>
      </c>
      <c r="B72" s="56" t="s">
        <v>263</v>
      </c>
      <c r="C72" s="6">
        <v>31</v>
      </c>
      <c r="D72" s="3">
        <v>30</v>
      </c>
      <c r="E72" s="3">
        <v>12</v>
      </c>
      <c r="F72" s="5">
        <v>8.4</v>
      </c>
    </row>
    <row r="73" spans="1:6" s="3" customFormat="1" x14ac:dyDescent="0.35">
      <c r="A73" s="18" t="s">
        <v>249</v>
      </c>
      <c r="B73" s="56" t="s">
        <v>263</v>
      </c>
      <c r="C73" s="6">
        <v>66</v>
      </c>
      <c r="D73" s="3">
        <v>37</v>
      </c>
      <c r="E73" s="3">
        <v>8</v>
      </c>
      <c r="F73" s="5">
        <v>25.5</v>
      </c>
    </row>
    <row r="74" spans="1:6" s="3" customFormat="1" x14ac:dyDescent="0.35">
      <c r="A74" s="18" t="s">
        <v>250</v>
      </c>
      <c r="B74" s="56" t="s">
        <v>263</v>
      </c>
      <c r="C74" s="6">
        <v>42</v>
      </c>
      <c r="D74" s="3">
        <v>45</v>
      </c>
      <c r="E74" s="3">
        <v>11</v>
      </c>
      <c r="F74" s="5">
        <v>15.4</v>
      </c>
    </row>
    <row r="75" spans="1:6" s="3" customFormat="1" x14ac:dyDescent="0.35">
      <c r="A75" s="18" t="s">
        <v>251</v>
      </c>
      <c r="B75" s="53" t="s">
        <v>65</v>
      </c>
      <c r="C75" s="6">
        <v>78</v>
      </c>
      <c r="D75" s="3">
        <v>70</v>
      </c>
      <c r="E75" s="3">
        <v>19</v>
      </c>
      <c r="F75" s="5">
        <v>109.2</v>
      </c>
    </row>
    <row r="76" spans="1:6" s="3" customFormat="1" x14ac:dyDescent="0.35">
      <c r="A76" s="18" t="s">
        <v>252</v>
      </c>
      <c r="B76" s="56" t="s">
        <v>153</v>
      </c>
      <c r="C76" s="6">
        <v>24</v>
      </c>
      <c r="D76" s="3">
        <v>21</v>
      </c>
      <c r="E76" s="3">
        <v>10</v>
      </c>
      <c r="F76" s="5">
        <v>6</v>
      </c>
    </row>
    <row r="77" spans="1:6" s="3" customFormat="1" x14ac:dyDescent="0.35">
      <c r="A77" s="18" t="s">
        <v>253</v>
      </c>
      <c r="B77" s="56" t="s">
        <v>264</v>
      </c>
      <c r="C77" s="6">
        <v>47</v>
      </c>
      <c r="D77" s="3">
        <v>44</v>
      </c>
      <c r="E77" s="3">
        <v>18</v>
      </c>
      <c r="F77" s="5">
        <v>34.200000000000003</v>
      </c>
    </row>
    <row r="78" spans="1:6" s="3" customFormat="1" x14ac:dyDescent="0.35">
      <c r="A78" s="18" t="s">
        <v>254</v>
      </c>
      <c r="B78" s="56" t="s">
        <v>263</v>
      </c>
      <c r="C78" s="6">
        <v>36</v>
      </c>
      <c r="D78" s="3">
        <v>29</v>
      </c>
      <c r="E78" s="3">
        <v>13</v>
      </c>
      <c r="F78" s="5">
        <v>12.1</v>
      </c>
    </row>
    <row r="79" spans="1:6" s="3" customFormat="1" x14ac:dyDescent="0.35">
      <c r="A79" s="18" t="s">
        <v>255</v>
      </c>
      <c r="B79" s="56" t="s">
        <v>264</v>
      </c>
      <c r="C79" s="6">
        <v>49</v>
      </c>
      <c r="D79" s="3">
        <v>32</v>
      </c>
      <c r="E79" s="3">
        <v>17</v>
      </c>
      <c r="F79" s="5">
        <v>28.7</v>
      </c>
    </row>
    <row r="80" spans="1:6" s="3" customFormat="1" x14ac:dyDescent="0.35">
      <c r="A80" s="18" t="s">
        <v>256</v>
      </c>
      <c r="B80" s="56" t="s">
        <v>153</v>
      </c>
      <c r="C80" s="6">
        <v>28</v>
      </c>
      <c r="D80" s="3">
        <v>24</v>
      </c>
      <c r="E80" s="3">
        <v>11</v>
      </c>
      <c r="F80" s="5">
        <v>6.8</v>
      </c>
    </row>
    <row r="81" spans="1:6" s="3" customFormat="1" x14ac:dyDescent="0.35">
      <c r="A81" s="18" t="s">
        <v>257</v>
      </c>
      <c r="B81" s="56" t="s">
        <v>263</v>
      </c>
      <c r="C81" s="6">
        <v>50</v>
      </c>
      <c r="D81" s="3">
        <v>46</v>
      </c>
      <c r="E81" s="3">
        <v>19</v>
      </c>
      <c r="F81" s="5">
        <v>50.5</v>
      </c>
    </row>
    <row r="82" spans="1:6" s="3" customFormat="1" x14ac:dyDescent="0.35">
      <c r="A82" s="19" t="s">
        <v>258</v>
      </c>
      <c r="B82" s="58" t="s">
        <v>153</v>
      </c>
      <c r="C82" s="13">
        <v>24</v>
      </c>
      <c r="D82" s="8">
        <v>20</v>
      </c>
      <c r="E82" s="8">
        <v>11</v>
      </c>
      <c r="F82" s="7">
        <v>5.6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Scrapers</vt:lpstr>
      <vt:lpstr>Notches</vt:lpstr>
      <vt:lpstr>Denticulates</vt:lpstr>
      <vt:lpstr>Miscellaneous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2023-12-07T09:13:52Z</dcterms:created>
  <dcterms:modified xsi:type="dcterms:W3CDTF">2024-06-30T06:12:18Z</dcterms:modified>
</cp:coreProperties>
</file>